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showInkAnnotation="0" autoCompressPictures="0"/>
  <workbookProtection lockStructure="1"/>
  <bookViews>
    <workbookView xWindow="0" yWindow="0" windowWidth="24240" windowHeight="13740" tabRatio="500"/>
  </bookViews>
  <sheets>
    <sheet name="IBR Calculator" sheetId="1" r:id="rId1"/>
  </sheets>
  <definedNames>
    <definedName name="top" localSheetId="0">'IBR Calculator'!$D$82</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53" i="1" l="1"/>
  <c r="H53" i="1"/>
  <c r="I53" i="1"/>
  <c r="J53" i="1"/>
  <c r="K53" i="1"/>
  <c r="L53" i="1"/>
  <c r="G52" i="1"/>
  <c r="H52" i="1"/>
  <c r="I52" i="1"/>
  <c r="J52" i="1"/>
  <c r="K52" i="1"/>
  <c r="L52" i="1"/>
  <c r="N52" i="1"/>
  <c r="O52" i="1"/>
  <c r="P52" i="1"/>
  <c r="Q52" i="1"/>
  <c r="R52" i="1"/>
  <c r="S52" i="1"/>
  <c r="T52" i="1"/>
  <c r="U52" i="1"/>
  <c r="V52" i="1"/>
  <c r="W52" i="1"/>
  <c r="X52" i="1"/>
  <c r="Y52" i="1"/>
  <c r="Z52" i="1"/>
  <c r="AA52" i="1"/>
  <c r="AB52" i="1"/>
  <c r="AC52" i="1"/>
  <c r="AD52" i="1"/>
  <c r="N53" i="1"/>
  <c r="O53" i="1"/>
  <c r="P53" i="1"/>
  <c r="Q53" i="1"/>
  <c r="R53" i="1"/>
  <c r="S53" i="1"/>
  <c r="T53" i="1"/>
  <c r="U53" i="1"/>
  <c r="V53" i="1"/>
  <c r="W53" i="1"/>
  <c r="X53" i="1"/>
  <c r="Y53" i="1"/>
  <c r="Z53" i="1"/>
  <c r="AA53" i="1"/>
  <c r="AB53" i="1"/>
  <c r="AC53" i="1"/>
  <c r="AD53" i="1"/>
  <c r="F51" i="1"/>
  <c r="F54" i="1"/>
  <c r="F96" i="1"/>
  <c r="C10" i="1"/>
  <c r="D10" i="1"/>
  <c r="C11" i="1"/>
  <c r="F84" i="1"/>
  <c r="D58" i="1"/>
  <c r="F69" i="1"/>
  <c r="F76" i="1"/>
  <c r="C26" i="1"/>
  <c r="C30" i="1"/>
  <c r="C32" i="1"/>
  <c r="F66" i="1"/>
  <c r="F67" i="1"/>
  <c r="D62" i="1"/>
  <c r="G65" i="1"/>
  <c r="G55" i="1"/>
  <c r="G56" i="1"/>
  <c r="G50" i="1"/>
  <c r="G51" i="1"/>
  <c r="G54" i="1"/>
  <c r="G49" i="1"/>
  <c r="G48" i="1"/>
  <c r="G47" i="1"/>
  <c r="G46" i="1"/>
  <c r="G96" i="1"/>
  <c r="G69" i="1"/>
  <c r="G66" i="1"/>
  <c r="C15" i="1"/>
  <c r="C84" i="1"/>
  <c r="G67" i="1"/>
  <c r="H65" i="1"/>
  <c r="H55" i="1"/>
  <c r="H56" i="1"/>
  <c r="H50" i="1"/>
  <c r="H51" i="1"/>
  <c r="H54" i="1"/>
  <c r="H49" i="1"/>
  <c r="H48" i="1"/>
  <c r="H47" i="1"/>
  <c r="H46" i="1"/>
  <c r="H96" i="1"/>
  <c r="H69" i="1"/>
  <c r="H66" i="1"/>
  <c r="H67" i="1"/>
  <c r="I65" i="1"/>
  <c r="I55" i="1"/>
  <c r="I56" i="1"/>
  <c r="I50" i="1"/>
  <c r="I51" i="1"/>
  <c r="I54" i="1"/>
  <c r="I49" i="1"/>
  <c r="I48" i="1"/>
  <c r="I47" i="1"/>
  <c r="I46" i="1"/>
  <c r="I96" i="1"/>
  <c r="I69" i="1"/>
  <c r="I66" i="1"/>
  <c r="I67" i="1"/>
  <c r="J65" i="1"/>
  <c r="J55" i="1"/>
  <c r="J56" i="1"/>
  <c r="J50" i="1"/>
  <c r="J51" i="1"/>
  <c r="J54" i="1"/>
  <c r="J49" i="1"/>
  <c r="J48" i="1"/>
  <c r="J47" i="1"/>
  <c r="J46" i="1"/>
  <c r="J96" i="1"/>
  <c r="J69" i="1"/>
  <c r="J66" i="1"/>
  <c r="J67" i="1"/>
  <c r="K65" i="1"/>
  <c r="K55" i="1"/>
  <c r="K56" i="1"/>
  <c r="K50" i="1"/>
  <c r="K51" i="1"/>
  <c r="K54" i="1"/>
  <c r="K49" i="1"/>
  <c r="K48" i="1"/>
  <c r="K47" i="1"/>
  <c r="K46" i="1"/>
  <c r="K96" i="1"/>
  <c r="K69" i="1"/>
  <c r="K66" i="1"/>
  <c r="K67" i="1"/>
  <c r="L65" i="1"/>
  <c r="L55" i="1"/>
  <c r="L56" i="1"/>
  <c r="L50" i="1"/>
  <c r="L51" i="1"/>
  <c r="L54" i="1"/>
  <c r="L49" i="1"/>
  <c r="L48" i="1"/>
  <c r="L47" i="1"/>
  <c r="L46" i="1"/>
  <c r="L96" i="1"/>
  <c r="L69" i="1"/>
  <c r="L66" i="1"/>
  <c r="L67" i="1"/>
  <c r="M65" i="1"/>
  <c r="M55" i="1"/>
  <c r="M56" i="1"/>
  <c r="M50" i="1"/>
  <c r="M51" i="1"/>
  <c r="M54" i="1"/>
  <c r="M49" i="1"/>
  <c r="M48" i="1"/>
  <c r="M47" i="1"/>
  <c r="M46" i="1"/>
  <c r="M96" i="1"/>
  <c r="M69" i="1"/>
  <c r="M66" i="1"/>
  <c r="M67" i="1"/>
  <c r="N65" i="1"/>
  <c r="N55" i="1"/>
  <c r="N56" i="1"/>
  <c r="N50" i="1"/>
  <c r="N51" i="1"/>
  <c r="N54" i="1"/>
  <c r="N49" i="1"/>
  <c r="N48" i="1"/>
  <c r="N47" i="1"/>
  <c r="N46" i="1"/>
  <c r="N96" i="1"/>
  <c r="N69" i="1"/>
  <c r="N66" i="1"/>
  <c r="N67" i="1"/>
  <c r="O65" i="1"/>
  <c r="O55" i="1"/>
  <c r="O56" i="1"/>
  <c r="O50" i="1"/>
  <c r="O51" i="1"/>
  <c r="O54" i="1"/>
  <c r="O49" i="1"/>
  <c r="O48" i="1"/>
  <c r="O47" i="1"/>
  <c r="O46" i="1"/>
  <c r="O96" i="1"/>
  <c r="O69" i="1"/>
  <c r="O66" i="1"/>
  <c r="O67" i="1"/>
  <c r="P65" i="1"/>
  <c r="P55" i="1"/>
  <c r="P56" i="1"/>
  <c r="P50" i="1"/>
  <c r="P51" i="1"/>
  <c r="P54" i="1"/>
  <c r="P49" i="1"/>
  <c r="P48" i="1"/>
  <c r="P47" i="1"/>
  <c r="P46" i="1"/>
  <c r="P96" i="1"/>
  <c r="P69" i="1"/>
  <c r="P66" i="1"/>
  <c r="P67" i="1"/>
  <c r="Q65" i="1"/>
  <c r="Q55" i="1"/>
  <c r="Q56" i="1"/>
  <c r="Q50" i="1"/>
  <c r="Q51" i="1"/>
  <c r="Q54" i="1"/>
  <c r="Q49" i="1"/>
  <c r="Q48" i="1"/>
  <c r="Q47" i="1"/>
  <c r="Q46" i="1"/>
  <c r="Q96" i="1"/>
  <c r="Q69" i="1"/>
  <c r="Q66" i="1"/>
  <c r="Q67" i="1"/>
  <c r="R65" i="1"/>
  <c r="R55" i="1"/>
  <c r="R56" i="1"/>
  <c r="R50" i="1"/>
  <c r="R51" i="1"/>
  <c r="R54" i="1"/>
  <c r="R49" i="1"/>
  <c r="R48" i="1"/>
  <c r="R47" i="1"/>
  <c r="R46" i="1"/>
  <c r="R96" i="1"/>
  <c r="R69" i="1"/>
  <c r="R66" i="1"/>
  <c r="R67" i="1"/>
  <c r="S65" i="1"/>
  <c r="S55" i="1"/>
  <c r="S56" i="1"/>
  <c r="S50" i="1"/>
  <c r="S51" i="1"/>
  <c r="S54" i="1"/>
  <c r="S49" i="1"/>
  <c r="S48" i="1"/>
  <c r="S47" i="1"/>
  <c r="S46" i="1"/>
  <c r="S96" i="1"/>
  <c r="S69" i="1"/>
  <c r="S66" i="1"/>
  <c r="S67" i="1"/>
  <c r="T65" i="1"/>
  <c r="T55" i="1"/>
  <c r="T56" i="1"/>
  <c r="T50" i="1"/>
  <c r="T51" i="1"/>
  <c r="T54" i="1"/>
  <c r="T49" i="1"/>
  <c r="T48" i="1"/>
  <c r="T47" i="1"/>
  <c r="T46" i="1"/>
  <c r="T96" i="1"/>
  <c r="T69" i="1"/>
  <c r="T66" i="1"/>
  <c r="T67" i="1"/>
  <c r="U65" i="1"/>
  <c r="U55" i="1"/>
  <c r="U56" i="1"/>
  <c r="U50" i="1"/>
  <c r="U51" i="1"/>
  <c r="U54" i="1"/>
  <c r="U49" i="1"/>
  <c r="U48" i="1"/>
  <c r="U47" i="1"/>
  <c r="U46" i="1"/>
  <c r="U96" i="1"/>
  <c r="U69" i="1"/>
  <c r="U66" i="1"/>
  <c r="U67" i="1"/>
  <c r="V65" i="1"/>
  <c r="V55" i="1"/>
  <c r="V56" i="1"/>
  <c r="V50" i="1"/>
  <c r="V51" i="1"/>
  <c r="V54" i="1"/>
  <c r="V49" i="1"/>
  <c r="V48" i="1"/>
  <c r="V47" i="1"/>
  <c r="V46" i="1"/>
  <c r="V96" i="1"/>
  <c r="V69" i="1"/>
  <c r="V66" i="1"/>
  <c r="V67" i="1"/>
  <c r="W65" i="1"/>
  <c r="W55" i="1"/>
  <c r="W56" i="1"/>
  <c r="W50" i="1"/>
  <c r="W51" i="1"/>
  <c r="W54" i="1"/>
  <c r="W49" i="1"/>
  <c r="W48" i="1"/>
  <c r="W47" i="1"/>
  <c r="W46" i="1"/>
  <c r="W96" i="1"/>
  <c r="W69" i="1"/>
  <c r="W66" i="1"/>
  <c r="W67" i="1"/>
  <c r="X65" i="1"/>
  <c r="X55" i="1"/>
  <c r="X56" i="1"/>
  <c r="X50" i="1"/>
  <c r="X51" i="1"/>
  <c r="X54" i="1"/>
  <c r="X49" i="1"/>
  <c r="X48" i="1"/>
  <c r="X47" i="1"/>
  <c r="X46" i="1"/>
  <c r="X96" i="1"/>
  <c r="X69" i="1"/>
  <c r="X66" i="1"/>
  <c r="X67" i="1"/>
  <c r="Y65" i="1"/>
  <c r="Y55" i="1"/>
  <c r="Y56" i="1"/>
  <c r="Y50" i="1"/>
  <c r="Y51" i="1"/>
  <c r="Y54" i="1"/>
  <c r="Y49" i="1"/>
  <c r="Y48" i="1"/>
  <c r="Y47" i="1"/>
  <c r="Y46" i="1"/>
  <c r="Y96" i="1"/>
  <c r="Y69" i="1"/>
  <c r="Y66" i="1"/>
  <c r="Y67" i="1"/>
  <c r="Y70" i="1"/>
  <c r="D37" i="1"/>
  <c r="F64" i="1"/>
  <c r="G64" i="1"/>
  <c r="H64" i="1"/>
  <c r="I64" i="1"/>
  <c r="J64" i="1"/>
  <c r="K64" i="1"/>
  <c r="L64" i="1"/>
  <c r="M64" i="1"/>
  <c r="N64" i="1"/>
  <c r="O64" i="1"/>
  <c r="P64" i="1"/>
  <c r="Q64" i="1"/>
  <c r="R64" i="1"/>
  <c r="S64" i="1"/>
  <c r="T64" i="1"/>
  <c r="U64" i="1"/>
  <c r="V64" i="1"/>
  <c r="W64" i="1"/>
  <c r="Z65" i="1"/>
  <c r="Z50" i="1"/>
  <c r="Z69" i="1"/>
  <c r="Z66" i="1"/>
  <c r="Z51" i="1"/>
  <c r="Z55" i="1"/>
  <c r="Z56" i="1"/>
  <c r="Z54" i="1"/>
  <c r="Z96" i="1"/>
  <c r="Z67" i="1"/>
  <c r="X64" i="1"/>
  <c r="AA65" i="1"/>
  <c r="AA50" i="1"/>
  <c r="AA69" i="1"/>
  <c r="AA66" i="1"/>
  <c r="AA51" i="1"/>
  <c r="AA55" i="1"/>
  <c r="AA56" i="1"/>
  <c r="AA54" i="1"/>
  <c r="AA96" i="1"/>
  <c r="AA67" i="1"/>
  <c r="Y64" i="1"/>
  <c r="C37" i="1"/>
  <c r="Z49" i="1"/>
  <c r="AA49" i="1"/>
  <c r="AB49" i="1"/>
  <c r="AC49" i="1"/>
  <c r="AD49" i="1"/>
  <c r="Z48" i="1"/>
  <c r="AA48" i="1"/>
  <c r="AB48" i="1"/>
  <c r="AC48" i="1"/>
  <c r="AD48" i="1"/>
  <c r="Z47" i="1"/>
  <c r="AA47" i="1"/>
  <c r="AB47" i="1"/>
  <c r="AC47" i="1"/>
  <c r="AD47" i="1"/>
  <c r="Z46" i="1"/>
  <c r="AA46" i="1"/>
  <c r="AB46" i="1"/>
  <c r="AC46" i="1"/>
  <c r="AD46" i="1"/>
  <c r="AE49" i="1"/>
  <c r="AF49" i="1"/>
  <c r="AG49" i="1"/>
  <c r="AH49" i="1"/>
  <c r="AI49" i="1"/>
  <c r="AE48" i="1"/>
  <c r="AF48" i="1"/>
  <c r="AG48" i="1"/>
  <c r="AH48" i="1"/>
  <c r="AI48" i="1"/>
  <c r="AE47" i="1"/>
  <c r="AF47" i="1"/>
  <c r="AG47" i="1"/>
  <c r="AH47" i="1"/>
  <c r="AI47" i="1"/>
  <c r="AE46" i="1"/>
  <c r="AF46" i="1"/>
  <c r="AG46" i="1"/>
  <c r="AH46" i="1"/>
  <c r="AI46" i="1"/>
  <c r="F73" i="1"/>
  <c r="G70" i="1"/>
  <c r="G77" i="1"/>
  <c r="H70" i="1"/>
  <c r="H77" i="1"/>
  <c r="I70" i="1"/>
  <c r="I77" i="1"/>
  <c r="J70" i="1"/>
  <c r="J77" i="1"/>
  <c r="K70" i="1"/>
  <c r="K77" i="1"/>
  <c r="L70" i="1"/>
  <c r="L77" i="1"/>
  <c r="M70" i="1"/>
  <c r="M77" i="1"/>
  <c r="N70" i="1"/>
  <c r="N77" i="1"/>
  <c r="O70" i="1"/>
  <c r="O77" i="1"/>
  <c r="P70" i="1"/>
  <c r="P77" i="1"/>
  <c r="Q70" i="1"/>
  <c r="Q77" i="1"/>
  <c r="R70" i="1"/>
  <c r="R77" i="1"/>
  <c r="S70" i="1"/>
  <c r="S77" i="1"/>
  <c r="T70" i="1"/>
  <c r="T77" i="1"/>
  <c r="U70" i="1"/>
  <c r="U77" i="1"/>
  <c r="V70" i="1"/>
  <c r="V77" i="1"/>
  <c r="W70" i="1"/>
  <c r="W77" i="1"/>
  <c r="X70" i="1"/>
  <c r="X77" i="1"/>
  <c r="Y77" i="1"/>
  <c r="G76" i="1"/>
  <c r="H76" i="1"/>
  <c r="I76" i="1"/>
  <c r="J76" i="1"/>
  <c r="K76" i="1"/>
  <c r="L76" i="1"/>
  <c r="M76" i="1"/>
  <c r="N76" i="1"/>
  <c r="O76" i="1"/>
  <c r="P76" i="1"/>
  <c r="Q76" i="1"/>
  <c r="R76" i="1"/>
  <c r="S76" i="1"/>
  <c r="T76" i="1"/>
  <c r="U76" i="1"/>
  <c r="V76" i="1"/>
  <c r="W76" i="1"/>
  <c r="X76" i="1"/>
  <c r="Y76" i="1"/>
  <c r="F70" i="1"/>
  <c r="F77" i="1"/>
  <c r="AB65" i="1"/>
  <c r="AB50" i="1"/>
  <c r="AB69" i="1"/>
  <c r="AB66" i="1"/>
  <c r="AB51" i="1"/>
  <c r="AB55" i="1"/>
  <c r="AB56" i="1"/>
  <c r="AB54" i="1"/>
  <c r="AB96" i="1"/>
  <c r="AB67" i="1"/>
  <c r="AC65" i="1"/>
  <c r="AC50" i="1"/>
  <c r="AC69" i="1"/>
  <c r="AC66" i="1"/>
  <c r="AC51" i="1"/>
  <c r="AC55" i="1"/>
  <c r="AC56" i="1"/>
  <c r="AC54" i="1"/>
  <c r="AC96" i="1"/>
  <c r="AC67" i="1"/>
  <c r="AD65" i="1"/>
  <c r="AD50" i="1"/>
  <c r="AD69" i="1"/>
  <c r="AD66" i="1"/>
  <c r="AD51" i="1"/>
  <c r="AD55" i="1"/>
  <c r="AD56" i="1"/>
  <c r="AD54" i="1"/>
  <c r="AD96" i="1"/>
  <c r="AD67" i="1"/>
  <c r="C64" i="1"/>
  <c r="Z70" i="1"/>
  <c r="AA70" i="1"/>
  <c r="AB70" i="1"/>
  <c r="AC70" i="1"/>
  <c r="AD70" i="1"/>
  <c r="Z64" i="1"/>
  <c r="AA64" i="1"/>
  <c r="AB64" i="1"/>
  <c r="AC64" i="1"/>
  <c r="AD64" i="1"/>
  <c r="F61" i="1"/>
  <c r="F62" i="1"/>
  <c r="G60" i="1"/>
  <c r="G73" i="1"/>
  <c r="G61" i="1"/>
  <c r="G62" i="1"/>
  <c r="H73" i="1"/>
  <c r="H60" i="1"/>
  <c r="H61" i="1"/>
  <c r="H62" i="1"/>
  <c r="H74" i="1"/>
  <c r="I60" i="1"/>
  <c r="I73" i="1"/>
  <c r="I61" i="1"/>
  <c r="I62" i="1"/>
  <c r="J60" i="1"/>
  <c r="J73" i="1"/>
  <c r="J61" i="1"/>
  <c r="J62" i="1"/>
  <c r="G74" i="1"/>
  <c r="G84" i="1"/>
  <c r="G79" i="1"/>
  <c r="F82" i="1"/>
  <c r="G82" i="1"/>
  <c r="G80" i="1"/>
  <c r="G90" i="1"/>
  <c r="G81" i="1"/>
  <c r="G83" i="1"/>
  <c r="G85" i="1"/>
  <c r="G86" i="1"/>
  <c r="F85" i="1"/>
  <c r="F86" i="1"/>
  <c r="F87" i="1"/>
  <c r="F88" i="1"/>
  <c r="F89" i="1"/>
  <c r="G87" i="1"/>
  <c r="G88" i="1"/>
  <c r="F65" i="1"/>
  <c r="F108" i="1"/>
  <c r="F102" i="1"/>
  <c r="F106" i="1"/>
  <c r="G101" i="1"/>
  <c r="G108" i="1"/>
  <c r="G102" i="1"/>
  <c r="G106" i="1"/>
  <c r="H101" i="1"/>
  <c r="H108" i="1"/>
  <c r="H102" i="1"/>
  <c r="D39" i="1"/>
  <c r="D40" i="1"/>
  <c r="D38" i="1"/>
  <c r="F104" i="1"/>
  <c r="H106" i="1"/>
  <c r="I101" i="1"/>
  <c r="I108" i="1"/>
  <c r="I102" i="1"/>
  <c r="I106" i="1"/>
  <c r="J101" i="1"/>
  <c r="J108" i="1"/>
  <c r="J102" i="1"/>
  <c r="J106" i="1"/>
  <c r="K101" i="1"/>
  <c r="K108" i="1"/>
  <c r="K102" i="1"/>
  <c r="K106" i="1"/>
  <c r="L101" i="1"/>
  <c r="L108" i="1"/>
  <c r="L102" i="1"/>
  <c r="L106" i="1"/>
  <c r="M101" i="1"/>
  <c r="M108" i="1"/>
  <c r="M102" i="1"/>
  <c r="M106" i="1"/>
  <c r="N101" i="1"/>
  <c r="N108" i="1"/>
  <c r="N102" i="1"/>
  <c r="N106" i="1"/>
  <c r="O101" i="1"/>
  <c r="O108" i="1"/>
  <c r="O102" i="1"/>
  <c r="O106" i="1"/>
  <c r="P101" i="1"/>
  <c r="P108" i="1"/>
  <c r="P102" i="1"/>
  <c r="P106" i="1"/>
  <c r="Q101" i="1"/>
  <c r="Q108" i="1"/>
  <c r="Q102" i="1"/>
  <c r="Q106" i="1"/>
  <c r="R101" i="1"/>
  <c r="R108" i="1"/>
  <c r="R102" i="1"/>
  <c r="R106" i="1"/>
  <c r="S101" i="1"/>
  <c r="S108" i="1"/>
  <c r="S102" i="1"/>
  <c r="S106" i="1"/>
  <c r="T101" i="1"/>
  <c r="T108" i="1"/>
  <c r="T102" i="1"/>
  <c r="T106" i="1"/>
  <c r="U101" i="1"/>
  <c r="U108" i="1"/>
  <c r="U102" i="1"/>
  <c r="U106" i="1"/>
  <c r="V101" i="1"/>
  <c r="V108" i="1"/>
  <c r="V102" i="1"/>
  <c r="V106" i="1"/>
  <c r="W101" i="1"/>
  <c r="W108" i="1"/>
  <c r="W102" i="1"/>
  <c r="W106" i="1"/>
  <c r="X101" i="1"/>
  <c r="X108" i="1"/>
  <c r="X102" i="1"/>
  <c r="X106" i="1"/>
  <c r="Y101" i="1"/>
  <c r="Y108" i="1"/>
  <c r="Y102" i="1"/>
  <c r="Y106" i="1"/>
  <c r="Z101" i="1"/>
  <c r="Z108" i="1"/>
  <c r="Z102" i="1"/>
  <c r="Z106" i="1"/>
  <c r="AA101" i="1"/>
  <c r="AA108" i="1"/>
  <c r="AA102" i="1"/>
  <c r="AA106" i="1"/>
  <c r="AB101" i="1"/>
  <c r="AB108" i="1"/>
  <c r="AB102" i="1"/>
  <c r="AB106" i="1"/>
  <c r="AC101" i="1"/>
  <c r="AC108" i="1"/>
  <c r="AC102" i="1"/>
  <c r="AC106" i="1"/>
  <c r="AD101" i="1"/>
  <c r="AD108" i="1"/>
  <c r="AD102" i="1"/>
  <c r="AD106" i="1"/>
  <c r="D41" i="1"/>
  <c r="F100" i="1"/>
  <c r="G100" i="1"/>
  <c r="H100" i="1"/>
  <c r="I100" i="1"/>
  <c r="J100" i="1"/>
  <c r="K100" i="1"/>
  <c r="L100" i="1"/>
  <c r="M100" i="1"/>
  <c r="N100" i="1"/>
  <c r="O100" i="1"/>
  <c r="P100" i="1"/>
  <c r="Q100" i="1"/>
  <c r="R100" i="1"/>
  <c r="S100" i="1"/>
  <c r="T100" i="1"/>
  <c r="U100" i="1"/>
  <c r="V100" i="1"/>
  <c r="W100" i="1"/>
  <c r="X100" i="1"/>
  <c r="Y100" i="1"/>
  <c r="Z100" i="1"/>
  <c r="AA100" i="1"/>
  <c r="AB100" i="1"/>
  <c r="AC100" i="1"/>
  <c r="AD100" i="1"/>
  <c r="C41" i="1"/>
  <c r="F90" i="1"/>
  <c r="F91" i="1"/>
  <c r="F92" i="1"/>
  <c r="F93" i="1"/>
  <c r="F94" i="1"/>
  <c r="G91" i="1"/>
  <c r="G92" i="1"/>
  <c r="G93" i="1"/>
  <c r="G94" i="1"/>
  <c r="I90" i="1"/>
  <c r="H90" i="1"/>
  <c r="H91" i="1"/>
  <c r="H92" i="1"/>
  <c r="H93" i="1"/>
  <c r="H94" i="1"/>
  <c r="I91" i="1"/>
  <c r="I92" i="1"/>
  <c r="I93" i="1"/>
  <c r="I94" i="1"/>
  <c r="K90" i="1"/>
  <c r="J90" i="1"/>
  <c r="J91" i="1"/>
  <c r="J92" i="1"/>
  <c r="J93" i="1"/>
  <c r="J94" i="1"/>
  <c r="K91" i="1"/>
  <c r="K92" i="1"/>
  <c r="K93" i="1"/>
  <c r="K94" i="1"/>
  <c r="L90" i="1"/>
  <c r="M90" i="1"/>
  <c r="L91" i="1"/>
  <c r="L92" i="1"/>
  <c r="L93" i="1"/>
  <c r="L94" i="1"/>
  <c r="M91" i="1"/>
  <c r="M92" i="1"/>
  <c r="M93" i="1"/>
  <c r="M94" i="1"/>
  <c r="N90" i="1"/>
  <c r="O90" i="1"/>
  <c r="N91" i="1"/>
  <c r="N92" i="1"/>
  <c r="N93" i="1"/>
  <c r="N94" i="1"/>
  <c r="O91" i="1"/>
  <c r="O92" i="1"/>
  <c r="O93" i="1"/>
  <c r="O94" i="1"/>
  <c r="P90" i="1"/>
  <c r="P91" i="1"/>
  <c r="P92" i="1"/>
  <c r="P93" i="1"/>
  <c r="P94" i="1"/>
  <c r="Q90" i="1"/>
  <c r="Q91" i="1"/>
  <c r="Q92" i="1"/>
  <c r="Q93" i="1"/>
  <c r="Q94" i="1"/>
  <c r="R90" i="1"/>
  <c r="S90" i="1"/>
  <c r="R91" i="1"/>
  <c r="R92" i="1"/>
  <c r="R93" i="1"/>
  <c r="R94" i="1"/>
  <c r="S91" i="1"/>
  <c r="S92" i="1"/>
  <c r="S93" i="1"/>
  <c r="S94" i="1"/>
  <c r="T90" i="1"/>
  <c r="U90" i="1"/>
  <c r="T91" i="1"/>
  <c r="T92" i="1"/>
  <c r="T93" i="1"/>
  <c r="T94" i="1"/>
  <c r="U91" i="1"/>
  <c r="U92" i="1"/>
  <c r="U93" i="1"/>
  <c r="U94" i="1"/>
  <c r="V90" i="1"/>
  <c r="W90" i="1"/>
  <c r="V91" i="1"/>
  <c r="V92" i="1"/>
  <c r="V93" i="1"/>
  <c r="V94" i="1"/>
  <c r="W91" i="1"/>
  <c r="W92" i="1"/>
  <c r="W93" i="1"/>
  <c r="W94" i="1"/>
  <c r="X90" i="1"/>
  <c r="X91" i="1"/>
  <c r="X92" i="1"/>
  <c r="X93" i="1"/>
  <c r="X94" i="1"/>
  <c r="Y90" i="1"/>
  <c r="Y91" i="1"/>
  <c r="Y92" i="1"/>
  <c r="Y93" i="1"/>
  <c r="Y94" i="1"/>
  <c r="Z90" i="1"/>
  <c r="AA90" i="1"/>
  <c r="Z91" i="1"/>
  <c r="Z92" i="1"/>
  <c r="Z93" i="1"/>
  <c r="Z94" i="1"/>
  <c r="AA91" i="1"/>
  <c r="AA92" i="1"/>
  <c r="AA93" i="1"/>
  <c r="AA94" i="1"/>
  <c r="AB90" i="1"/>
  <c r="AC90" i="1"/>
  <c r="AB91" i="1"/>
  <c r="AB92" i="1"/>
  <c r="AB93" i="1"/>
  <c r="AB94" i="1"/>
  <c r="AC91" i="1"/>
  <c r="AC92" i="1"/>
  <c r="AC93" i="1"/>
  <c r="AC94" i="1"/>
  <c r="AD90" i="1"/>
  <c r="AE90" i="1"/>
  <c r="AD91" i="1"/>
  <c r="AD92" i="1"/>
  <c r="AD93" i="1"/>
  <c r="AD94" i="1"/>
  <c r="AE91" i="1"/>
  <c r="AE92" i="1"/>
  <c r="AE93" i="1"/>
  <c r="AE94" i="1"/>
  <c r="AF90" i="1"/>
  <c r="AG90" i="1"/>
  <c r="AF91" i="1"/>
  <c r="AF92" i="1"/>
  <c r="AF93" i="1"/>
  <c r="AF94" i="1"/>
  <c r="AG91" i="1"/>
  <c r="AG92" i="1"/>
  <c r="AG93" i="1"/>
  <c r="AG94" i="1"/>
  <c r="AH90" i="1"/>
  <c r="AH91" i="1"/>
  <c r="AH92" i="1"/>
  <c r="AH93" i="1"/>
  <c r="AH94" i="1"/>
  <c r="AI90" i="1"/>
  <c r="C40" i="1"/>
  <c r="H82" i="1"/>
  <c r="I82" i="1"/>
  <c r="J82" i="1"/>
  <c r="K82" i="1"/>
  <c r="L82" i="1"/>
  <c r="M82" i="1"/>
  <c r="N82" i="1"/>
  <c r="O82" i="1"/>
  <c r="P82" i="1"/>
  <c r="Q82" i="1"/>
  <c r="R82" i="1"/>
  <c r="S82" i="1"/>
  <c r="T82" i="1"/>
  <c r="U82" i="1"/>
  <c r="V82" i="1"/>
  <c r="W82" i="1"/>
  <c r="X82" i="1"/>
  <c r="Y82" i="1"/>
  <c r="Z82" i="1"/>
  <c r="AA82" i="1"/>
  <c r="AB82" i="1"/>
  <c r="AC82" i="1"/>
  <c r="AD82" i="1"/>
  <c r="AE82" i="1"/>
  <c r="AF82" i="1"/>
  <c r="AG82" i="1"/>
  <c r="AH82" i="1"/>
  <c r="AI82" i="1"/>
  <c r="C39" i="1"/>
  <c r="H84" i="1"/>
  <c r="I84" i="1"/>
  <c r="J84" i="1"/>
  <c r="K84" i="1"/>
  <c r="L84" i="1"/>
  <c r="M84" i="1"/>
  <c r="N84" i="1"/>
  <c r="O84" i="1"/>
  <c r="C38" i="1"/>
  <c r="K60" i="1"/>
  <c r="K73" i="1"/>
  <c r="K61" i="1"/>
  <c r="K62" i="1"/>
  <c r="L60" i="1"/>
  <c r="L73" i="1"/>
  <c r="L61" i="1"/>
  <c r="L62" i="1"/>
  <c r="M60" i="1"/>
  <c r="M73" i="1"/>
  <c r="M61" i="1"/>
  <c r="M62" i="1"/>
  <c r="N60" i="1"/>
  <c r="N73" i="1"/>
  <c r="N61" i="1"/>
  <c r="N62" i="1"/>
  <c r="O60" i="1"/>
  <c r="O73" i="1"/>
  <c r="O61" i="1"/>
  <c r="O62" i="1"/>
  <c r="P60" i="1"/>
  <c r="P73" i="1"/>
  <c r="P61" i="1"/>
  <c r="P62" i="1"/>
  <c r="Q60" i="1"/>
  <c r="Q73" i="1"/>
  <c r="Q61" i="1"/>
  <c r="Q62" i="1"/>
  <c r="R60" i="1"/>
  <c r="R73" i="1"/>
  <c r="R61" i="1"/>
  <c r="R62" i="1"/>
  <c r="S60" i="1"/>
  <c r="S73" i="1"/>
  <c r="S61" i="1"/>
  <c r="S62" i="1"/>
  <c r="T60" i="1"/>
  <c r="T73" i="1"/>
  <c r="T61" i="1"/>
  <c r="T62" i="1"/>
  <c r="U60" i="1"/>
  <c r="U73" i="1"/>
  <c r="U61" i="1"/>
  <c r="U62" i="1"/>
  <c r="V60" i="1"/>
  <c r="V73" i="1"/>
  <c r="V61" i="1"/>
  <c r="V62" i="1"/>
  <c r="W60" i="1"/>
  <c r="W73" i="1"/>
  <c r="W61" i="1"/>
  <c r="W62" i="1"/>
  <c r="X60" i="1"/>
  <c r="X73" i="1"/>
  <c r="X61" i="1"/>
  <c r="X62" i="1"/>
  <c r="Y60" i="1"/>
  <c r="Y73" i="1"/>
  <c r="Y61" i="1"/>
  <c r="Y62" i="1"/>
  <c r="Z60" i="1"/>
  <c r="Z73" i="1"/>
  <c r="Z61" i="1"/>
  <c r="Z62" i="1"/>
  <c r="AA60" i="1"/>
  <c r="AA73" i="1"/>
  <c r="AA61" i="1"/>
  <c r="AA62" i="1"/>
  <c r="AB60" i="1"/>
  <c r="AB73" i="1"/>
  <c r="AB61" i="1"/>
  <c r="AB62" i="1"/>
  <c r="AC60" i="1"/>
  <c r="AC73" i="1"/>
  <c r="AC61" i="1"/>
  <c r="AC62" i="1"/>
  <c r="AD60" i="1"/>
  <c r="AD73" i="1"/>
  <c r="AD61" i="1"/>
  <c r="AD62" i="1"/>
  <c r="D36" i="1"/>
  <c r="F59" i="1"/>
  <c r="G59" i="1"/>
  <c r="H59" i="1"/>
  <c r="I59" i="1"/>
  <c r="J59" i="1"/>
  <c r="K59" i="1"/>
  <c r="L59" i="1"/>
  <c r="M59" i="1"/>
  <c r="N59" i="1"/>
  <c r="O59" i="1"/>
  <c r="P59" i="1"/>
  <c r="Q59" i="1"/>
  <c r="R59" i="1"/>
  <c r="S59" i="1"/>
  <c r="T59" i="1"/>
  <c r="U59" i="1"/>
  <c r="V59" i="1"/>
  <c r="W59" i="1"/>
  <c r="X59" i="1"/>
  <c r="Y59" i="1"/>
  <c r="Z59" i="1"/>
  <c r="AA59" i="1"/>
  <c r="AB59" i="1"/>
  <c r="AC59" i="1"/>
  <c r="AD59" i="1"/>
  <c r="C36" i="1"/>
  <c r="G105" i="1"/>
  <c r="H105" i="1"/>
  <c r="I105" i="1"/>
  <c r="J105" i="1"/>
  <c r="K105" i="1"/>
  <c r="L105" i="1"/>
  <c r="M105" i="1"/>
  <c r="N105" i="1"/>
  <c r="O105" i="1"/>
  <c r="P105" i="1"/>
  <c r="Q105" i="1"/>
  <c r="R105" i="1"/>
  <c r="S105" i="1"/>
  <c r="T105" i="1"/>
  <c r="U105" i="1"/>
  <c r="V105" i="1"/>
  <c r="W105" i="1"/>
  <c r="X105" i="1"/>
  <c r="Y105" i="1"/>
  <c r="Z105" i="1"/>
  <c r="AA105" i="1"/>
  <c r="AB105" i="1"/>
  <c r="AC105" i="1"/>
  <c r="AD105" i="1"/>
  <c r="F105" i="1"/>
  <c r="H104" i="1"/>
  <c r="I104" i="1"/>
  <c r="J104" i="1"/>
  <c r="K104" i="1"/>
  <c r="L104" i="1"/>
  <c r="M104" i="1"/>
  <c r="N104" i="1"/>
  <c r="O104" i="1"/>
  <c r="P104" i="1"/>
  <c r="Q104" i="1"/>
  <c r="R104" i="1"/>
  <c r="S104" i="1"/>
  <c r="T104" i="1"/>
  <c r="U104" i="1"/>
  <c r="V104" i="1"/>
  <c r="W104" i="1"/>
  <c r="X104" i="1"/>
  <c r="Y104" i="1"/>
  <c r="Z104" i="1"/>
  <c r="AA104" i="1"/>
  <c r="AB104" i="1"/>
  <c r="AC104" i="1"/>
  <c r="AD104" i="1"/>
  <c r="G104"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F81" i="1"/>
  <c r="H80" i="1"/>
  <c r="I80" i="1"/>
  <c r="J80" i="1"/>
  <c r="K80" i="1"/>
  <c r="L80" i="1"/>
  <c r="M80" i="1"/>
  <c r="N80" i="1"/>
  <c r="O80" i="1"/>
  <c r="P80" i="1"/>
  <c r="Q80" i="1"/>
  <c r="R80" i="1"/>
  <c r="S80" i="1"/>
  <c r="T80" i="1"/>
  <c r="U80" i="1"/>
  <c r="V80" i="1"/>
  <c r="W80" i="1"/>
  <c r="X80" i="1"/>
  <c r="Y80" i="1"/>
  <c r="Z80" i="1"/>
  <c r="AA80" i="1"/>
  <c r="AB80" i="1"/>
  <c r="AC80" i="1"/>
  <c r="AD80" i="1"/>
  <c r="AE80" i="1"/>
  <c r="AF80" i="1"/>
  <c r="AG80" i="1"/>
  <c r="AH80" i="1"/>
  <c r="AI80" i="1"/>
  <c r="F80" i="1"/>
  <c r="H79" i="1"/>
  <c r="I79" i="1"/>
  <c r="J79" i="1"/>
  <c r="K79" i="1"/>
  <c r="L79" i="1"/>
  <c r="M79" i="1"/>
  <c r="N79" i="1"/>
  <c r="O79" i="1"/>
  <c r="F79" i="1"/>
  <c r="D14" i="1"/>
  <c r="D54" i="1"/>
  <c r="D57" i="1"/>
  <c r="B36" i="1"/>
  <c r="D26" i="1"/>
  <c r="F60" i="1"/>
  <c r="F101" i="1"/>
  <c r="F110" i="1"/>
  <c r="AD97" i="1"/>
  <c r="AC97" i="1"/>
  <c r="AB97" i="1"/>
  <c r="AA97" i="1"/>
  <c r="Z97" i="1"/>
  <c r="Y97" i="1"/>
  <c r="X97" i="1"/>
  <c r="W97" i="1"/>
  <c r="V97" i="1"/>
  <c r="U97" i="1"/>
  <c r="T97" i="1"/>
  <c r="S97" i="1"/>
  <c r="R97" i="1"/>
  <c r="Q97" i="1"/>
  <c r="P97" i="1"/>
  <c r="O97" i="1"/>
  <c r="N97" i="1"/>
  <c r="M97" i="1"/>
  <c r="L97" i="1"/>
  <c r="K97" i="1"/>
  <c r="J97" i="1"/>
  <c r="I97" i="1"/>
  <c r="H97" i="1"/>
  <c r="G97" i="1"/>
  <c r="F97" i="1"/>
  <c r="AE55" i="1"/>
  <c r="AF55" i="1"/>
  <c r="AG55" i="1"/>
  <c r="AH55" i="1"/>
  <c r="AI55" i="1"/>
  <c r="AI51" i="1"/>
  <c r="AE56" i="1"/>
  <c r="AF56" i="1"/>
  <c r="AG56" i="1"/>
  <c r="AH56" i="1"/>
  <c r="AI56" i="1"/>
  <c r="AI54" i="1"/>
  <c r="AI96" i="1"/>
  <c r="AH51" i="1"/>
  <c r="AH54" i="1"/>
  <c r="AH96" i="1"/>
  <c r="AG51" i="1"/>
  <c r="AG54" i="1"/>
  <c r="AG96" i="1"/>
  <c r="AF51" i="1"/>
  <c r="AF54" i="1"/>
  <c r="AF96" i="1"/>
  <c r="AE51" i="1"/>
  <c r="AE54" i="1"/>
  <c r="AE96" i="1"/>
  <c r="AI91" i="1"/>
  <c r="AI92" i="1"/>
  <c r="AI93" i="1"/>
  <c r="AI94" i="1"/>
  <c r="G89" i="1"/>
  <c r="H85" i="1"/>
  <c r="H86" i="1"/>
  <c r="H87" i="1"/>
  <c r="H88" i="1"/>
  <c r="H89" i="1"/>
  <c r="I85" i="1"/>
  <c r="I86" i="1"/>
  <c r="I87" i="1"/>
  <c r="I88" i="1"/>
  <c r="I89" i="1"/>
  <c r="J85" i="1"/>
  <c r="J86" i="1"/>
  <c r="J87" i="1"/>
  <c r="J88" i="1"/>
  <c r="J89" i="1"/>
  <c r="K85" i="1"/>
  <c r="K86" i="1"/>
  <c r="K87" i="1"/>
  <c r="K88" i="1"/>
  <c r="K89" i="1"/>
  <c r="L85" i="1"/>
  <c r="L86" i="1"/>
  <c r="L87" i="1"/>
  <c r="L88" i="1"/>
  <c r="L89" i="1"/>
  <c r="M85" i="1"/>
  <c r="M86" i="1"/>
  <c r="M87" i="1"/>
  <c r="M88" i="1"/>
  <c r="M89" i="1"/>
  <c r="N85" i="1"/>
  <c r="N86" i="1"/>
  <c r="N87" i="1"/>
  <c r="N88" i="1"/>
  <c r="N89" i="1"/>
  <c r="O85" i="1"/>
  <c r="O86" i="1"/>
  <c r="O87" i="1"/>
  <c r="O88" i="1"/>
  <c r="O89" i="1"/>
  <c r="AI87" i="1"/>
  <c r="AH87" i="1"/>
  <c r="AG87" i="1"/>
  <c r="AF87" i="1"/>
  <c r="AE87" i="1"/>
  <c r="AD87" i="1"/>
  <c r="AC87" i="1"/>
  <c r="AB87" i="1"/>
  <c r="AA87" i="1"/>
  <c r="Z87" i="1"/>
  <c r="Y87" i="1"/>
  <c r="X87" i="1"/>
  <c r="W87" i="1"/>
  <c r="V87" i="1"/>
  <c r="U87" i="1"/>
  <c r="T87" i="1"/>
  <c r="S87" i="1"/>
  <c r="R87" i="1"/>
  <c r="Q87" i="1"/>
  <c r="P87" i="1"/>
  <c r="AD86" i="1"/>
  <c r="AC86" i="1"/>
  <c r="AB86" i="1"/>
  <c r="AA86" i="1"/>
  <c r="Z86" i="1"/>
  <c r="Y86" i="1"/>
  <c r="X86" i="1"/>
  <c r="W86" i="1"/>
  <c r="V86" i="1"/>
  <c r="U86" i="1"/>
  <c r="T86" i="1"/>
  <c r="S86" i="1"/>
  <c r="R86" i="1"/>
  <c r="Q86" i="1"/>
  <c r="P86" i="1"/>
  <c r="D85" i="1"/>
  <c r="J83" i="1"/>
  <c r="F83" i="1"/>
  <c r="K83" i="1"/>
  <c r="L83" i="1"/>
  <c r="M83" i="1"/>
  <c r="N83" i="1"/>
  <c r="O83" i="1"/>
  <c r="P83" i="1"/>
  <c r="Q83" i="1"/>
  <c r="R83" i="1"/>
  <c r="S83" i="1"/>
  <c r="T83" i="1"/>
  <c r="U83" i="1"/>
  <c r="V83" i="1"/>
  <c r="W83" i="1"/>
  <c r="X83" i="1"/>
  <c r="Y83" i="1"/>
  <c r="Z83" i="1"/>
  <c r="AA83" i="1"/>
  <c r="AB83" i="1"/>
  <c r="AC83" i="1"/>
  <c r="AD83" i="1"/>
  <c r="AE83" i="1"/>
  <c r="AF83" i="1"/>
  <c r="AG83" i="1"/>
  <c r="AH83" i="1"/>
  <c r="AI83" i="1"/>
  <c r="I83" i="1"/>
  <c r="H83" i="1"/>
  <c r="D83" i="1"/>
  <c r="H110" i="1"/>
  <c r="I110" i="1"/>
  <c r="J110" i="1"/>
  <c r="K110" i="1"/>
  <c r="L110" i="1"/>
  <c r="M110" i="1"/>
  <c r="N110" i="1"/>
  <c r="O110" i="1"/>
  <c r="P110" i="1"/>
  <c r="Q110" i="1"/>
  <c r="R110" i="1"/>
  <c r="S110" i="1"/>
  <c r="T110" i="1"/>
  <c r="U110" i="1"/>
  <c r="V110" i="1"/>
  <c r="W110" i="1"/>
  <c r="X110" i="1"/>
  <c r="Y110" i="1"/>
  <c r="Z110" i="1"/>
  <c r="AA110" i="1"/>
  <c r="AB110" i="1"/>
  <c r="AC110" i="1"/>
  <c r="AD110" i="1"/>
  <c r="G110" i="1"/>
  <c r="D110" i="1"/>
  <c r="F74" i="1"/>
  <c r="AD74" i="1"/>
  <c r="AC74" i="1"/>
  <c r="AB74" i="1"/>
  <c r="AA74" i="1"/>
  <c r="Z74" i="1"/>
  <c r="Y74" i="1"/>
  <c r="X74" i="1"/>
  <c r="W74" i="1"/>
  <c r="V74" i="1"/>
  <c r="U74" i="1"/>
  <c r="T74" i="1"/>
  <c r="S74" i="1"/>
  <c r="R74" i="1"/>
  <c r="Q74" i="1"/>
  <c r="P74" i="1"/>
  <c r="O74" i="1"/>
  <c r="N74" i="1"/>
  <c r="M74" i="1"/>
  <c r="L74" i="1"/>
  <c r="K74" i="1"/>
  <c r="J74" i="1"/>
  <c r="I74" i="1"/>
</calcChain>
</file>

<file path=xl/comments1.xml><?xml version="1.0" encoding="utf-8"?>
<comments xmlns="http://schemas.openxmlformats.org/spreadsheetml/2006/main">
  <authors>
    <author>Clare McCann</author>
    <author>Alexander Holt</author>
    <author>Alex Holt</author>
  </authors>
  <commentList>
    <comment ref="B6" authorId="0">
      <text>
        <r>
          <rPr>
            <sz val="10"/>
            <color indexed="81"/>
            <rFont val="Calibri"/>
            <family val="2"/>
          </rPr>
          <t>Enter the total amount of  each loan type the borrower holds.</t>
        </r>
      </text>
    </comment>
    <comment ref="C6" authorId="1">
      <text>
        <r>
          <rPr>
            <sz val="9"/>
            <color indexed="81"/>
            <rFont val="Calibri"/>
            <family val="2"/>
          </rPr>
          <t xml:space="preserve">The maximum amount a student could borrow in four years of undergrad in Subsidized Staffords is $19,000
</t>
        </r>
      </text>
    </comment>
    <comment ref="C7" authorId="1">
      <text>
        <r>
          <rPr>
            <sz val="9"/>
            <color indexed="81"/>
            <rFont val="Calibri"/>
            <family val="2"/>
          </rPr>
          <t xml:space="preserve">The maximum a student could borrow after four years in Undergrad Unsubsidized Staffords is $31,000 (minus however much was borrowed in Subsidized Staffords)
</t>
        </r>
      </text>
    </comment>
    <comment ref="C8" authorId="1">
      <text>
        <r>
          <rPr>
            <sz val="9"/>
            <color indexed="81"/>
            <rFont val="Calibri"/>
            <family val="2"/>
          </rPr>
          <t>Students can borrow up to the cost of attendance in Grad PLUS loans. There is no total maximum</t>
        </r>
      </text>
    </comment>
    <comment ref="B14" authorId="0">
      <text>
        <r>
          <rPr>
            <sz val="10"/>
            <color indexed="81"/>
            <rFont val="Calibri"/>
            <family val="2"/>
          </rPr>
          <t xml:space="preserve">Enter either "Old" or "New" for the type of IBR under which the borrower will repay. Old is the existing version; New is the pending regulation for Pay-As-You-Earn, as well as the law that will take effect in 2014.
</t>
        </r>
      </text>
    </comment>
    <comment ref="B17" authorId="0">
      <text>
        <r>
          <rPr>
            <sz val="10"/>
            <color indexed="81"/>
            <rFont val="Calibri"/>
            <family val="2"/>
          </rPr>
          <t xml:space="preserve">Enter the number that corresponds with the repayment year in which the borrower has each child. 
</t>
        </r>
      </text>
    </comment>
    <comment ref="D36" authorId="1">
      <text>
        <r>
          <rPr>
            <sz val="9"/>
            <color indexed="81"/>
            <rFont val="Calibri"/>
            <family val="2"/>
          </rPr>
          <t>Reflects total accrued unpaid interest and principal at the end of the 25th year for Old IBR or the 20th year for New IBR</t>
        </r>
      </text>
    </comment>
    <comment ref="D41" authorId="1">
      <text>
        <r>
          <rPr>
            <sz val="9"/>
            <color indexed="81"/>
            <rFont val="Calibri"/>
            <family val="2"/>
          </rPr>
          <t>Reflects total accrued unpaid interest and principal at the end of the 25th year for original loan balances greater than $40,000 or the 20th year if the the original loan balance was less than or equal to $40,000</t>
        </r>
      </text>
    </comment>
    <comment ref="AD59" authorId="2">
      <text>
        <r>
          <rPr>
            <b/>
            <sz val="9"/>
            <color indexed="81"/>
            <rFont val="Tahoma"/>
            <family val="2"/>
          </rPr>
          <t>Alex Holt:</t>
        </r>
        <r>
          <rPr>
            <sz val="9"/>
            <color indexed="81"/>
            <rFont val="Tahoma"/>
            <family val="2"/>
          </rPr>
          <t xml:space="preserve">
Last cell is different formula
</t>
        </r>
      </text>
    </comment>
  </commentList>
</comments>
</file>

<file path=xl/sharedStrings.xml><?xml version="1.0" encoding="utf-8"?>
<sst xmlns="http://schemas.openxmlformats.org/spreadsheetml/2006/main" count="89" uniqueCount="74">
  <si>
    <t>Interest Rate</t>
  </si>
  <si>
    <t>Annual Interest Rate</t>
  </si>
  <si>
    <t>Payments per Year</t>
  </si>
  <si>
    <t>Payment as share of income</t>
  </si>
  <si>
    <t>Household size (in addition to you)</t>
  </si>
  <si>
    <t>Total</t>
  </si>
  <si>
    <t>Grad PLUS</t>
  </si>
  <si>
    <t>Year</t>
  </si>
  <si>
    <t>Poverty Exemption</t>
  </si>
  <si>
    <t>Baseline Poverty exemption</t>
  </si>
  <si>
    <t>Additional Poverty exemption</t>
  </si>
  <si>
    <t>Weighted Average Interest Rate</t>
  </si>
  <si>
    <t>Standard Annual Repayment p and i</t>
  </si>
  <si>
    <t>Annual IBR Payment</t>
  </si>
  <si>
    <t>Annual Interest</t>
  </si>
  <si>
    <t>Cumulative negative amortization/(Principal Payment)</t>
  </si>
  <si>
    <t>Loan Balance</t>
  </si>
  <si>
    <t>Total Payments</t>
  </si>
  <si>
    <t>Graduated Consolidation Monthly payment</t>
  </si>
  <si>
    <t>Standard Monthly payment</t>
  </si>
  <si>
    <t>Graduated Standard Monthly payment</t>
  </si>
  <si>
    <t>Annual Grad standard</t>
  </si>
  <si>
    <t>Principal Payment</t>
  </si>
  <si>
    <t>Annual Grad consolidated Payment</t>
  </si>
  <si>
    <t>Income minus exemption</t>
  </si>
  <si>
    <t>IBR payment annual</t>
  </si>
  <si>
    <t>Average</t>
  </si>
  <si>
    <t>Effective Rate (Income)</t>
  </si>
  <si>
    <t>Percentage Unsub</t>
  </si>
  <si>
    <t>Repayment Year</t>
  </si>
  <si>
    <t>Forgiven</t>
  </si>
  <si>
    <t>Unsubsidized</t>
  </si>
  <si>
    <t>Subsidized</t>
  </si>
  <si>
    <t>Unsubsidized Stafford</t>
  </si>
  <si>
    <t>Subsidized Stafford</t>
  </si>
  <si>
    <t>NAF IBR</t>
  </si>
  <si>
    <t>Old IBR (15%) or New IBR (10%)?</t>
  </si>
  <si>
    <t>Fixed Consolidation</t>
  </si>
  <si>
    <t>Graduated Consolidation</t>
  </si>
  <si>
    <t>Repayment year first child is born</t>
  </si>
  <si>
    <t>Repayment year second child is born</t>
  </si>
  <si>
    <t>Repayment year third child is born</t>
  </si>
  <si>
    <t>Repayment year fourth child is born</t>
  </si>
  <si>
    <t>Repayment year fifth child is born</t>
  </si>
  <si>
    <t>Loan Balance ($)</t>
  </si>
  <si>
    <t>Standard Monthly Payment ($)</t>
  </si>
  <si>
    <t>Consolidation Monthly Payment ($)</t>
  </si>
  <si>
    <t>"Safety Net or Windfall? Examining Changes to Income-Based Repayment for Federal Student Loans"</t>
  </si>
  <si>
    <t>Old</t>
  </si>
  <si>
    <t>Graduated Consolidation Monthly Payment ($)</t>
  </si>
  <si>
    <t xml:space="preserve">Source: New America Foundation </t>
  </si>
  <si>
    <t xml:space="preserve"> October 2012</t>
  </si>
  <si>
    <t>Annual Income ($)</t>
  </si>
  <si>
    <t>Adjusted Gross Income ($)</t>
  </si>
  <si>
    <t>Standard 10-Year</t>
  </si>
  <si>
    <t>New America IBR Calculator</t>
  </si>
  <si>
    <t>Repayment Options</t>
  </si>
  <si>
    <t>Old IBR Monthly Payment ($)</t>
  </si>
  <si>
    <t>New IBR Monthly Payment ($)</t>
  </si>
  <si>
    <t>New IBR</t>
  </si>
  <si>
    <t>NAF Recommended Changes to IBR Monthly Payment ($)</t>
  </si>
  <si>
    <t>NAF IBR Recommended Changes</t>
  </si>
  <si>
    <t>Step 1</t>
  </si>
  <si>
    <t>Step 2</t>
  </si>
  <si>
    <t>Step 3</t>
  </si>
  <si>
    <r>
      <rPr>
        <b/>
        <sz val="10"/>
        <color theme="1"/>
        <rFont val="Calibri"/>
        <family val="2"/>
      </rPr>
      <t>Step 1:</t>
    </r>
    <r>
      <rPr>
        <sz val="10"/>
        <color theme="1"/>
        <rFont val="Calibri"/>
        <family val="2"/>
      </rPr>
      <t xml:space="preserve"> Enter loan balance and corresponding interest rate for each type of loan in orange cells in rows 6, 7, and 8. Leave cells blank if borrower does not have that loan type. The calculator automatically calculates the total consolidated loan and interest rate in row 10. </t>
    </r>
  </si>
  <si>
    <r>
      <rPr>
        <b/>
        <sz val="10"/>
        <color theme="1"/>
        <rFont val="Calibri"/>
        <family val="2"/>
      </rPr>
      <t xml:space="preserve">Step 2: </t>
    </r>
    <r>
      <rPr>
        <sz val="10"/>
        <color theme="1"/>
        <rFont val="Calibri"/>
        <family val="2"/>
      </rPr>
      <t xml:space="preserve">Input the repayment year in which the borrower will have each child in rows 17-21. Leave cells blank if the borrower will not have any more children. For instance, if the borrower has two children, one in year 3 and one in year 5, enter “3” in cell C17, “5” in cell C18, and leave cells C19-21 blank. Each dependent decreases the borrower's monthly IBR payment, and dependents are claimed every year thereafter. Leaving cells C17-21 blank means that the borrower will never claim any dependents.             </t>
    </r>
  </si>
  <si>
    <r>
      <rPr>
        <b/>
        <sz val="10"/>
        <color theme="1"/>
        <rFont val="Calibri"/>
        <family val="2"/>
      </rPr>
      <t xml:space="preserve">Step 3: </t>
    </r>
    <r>
      <rPr>
        <sz val="10"/>
        <color theme="1"/>
        <rFont val="Calibri"/>
        <family val="2"/>
      </rPr>
      <t>In the orange cells in row 50, enter the borrower's income for each repayment year. The row below automatically calculates the borrower's adjusted gross income, from which IBR payments are calculated.</t>
    </r>
  </si>
  <si>
    <r>
      <rPr>
        <b/>
        <sz val="10"/>
        <color theme="1"/>
        <rFont val="Calibri"/>
        <family val="2"/>
        <scheme val="minor"/>
      </rPr>
      <t xml:space="preserve">4: </t>
    </r>
    <r>
      <rPr>
        <sz val="10"/>
        <color theme="1"/>
        <rFont val="Calibri"/>
        <family val="2"/>
        <scheme val="minor"/>
      </rPr>
      <t xml:space="preserve">Row 73 displays the borrower’s monthly payment under "Old IBR", which is the original IBR, which was implemented in 2009. Row 74 displays the borrower's loan balance at the end of the given repayment year. Balances often grow in early years when the borrower's income is low.  </t>
    </r>
  </si>
  <si>
    <r>
      <rPr>
        <b/>
        <sz val="10"/>
        <color theme="1"/>
        <rFont val="Calibri"/>
        <family val="2"/>
        <scheme val="minor"/>
      </rPr>
      <t xml:space="preserve">6: </t>
    </r>
    <r>
      <rPr>
        <sz val="10"/>
        <color theme="1"/>
        <rFont val="Calibri"/>
        <family val="2"/>
        <scheme val="minor"/>
      </rPr>
      <t xml:space="preserve">Row 79 displays what the borrower would pay monthly under the standard 10-year repayment plan. Row 80 displays what the borrower would pay under a fixed rate consolidation plan. The larger the original loan balance, the longer the repayment period. Row 81 displays the monthly payment under graduated consolidation. This payment plan is similar to fixed rate consolidation, except the payments are lower at the beginning and higher at the end. Calculator numbers represent a close estimate of consolidation payments, but are not exact. </t>
    </r>
  </si>
  <si>
    <r>
      <rPr>
        <b/>
        <sz val="10"/>
        <color theme="1"/>
        <rFont val="Calibri"/>
        <family val="2"/>
        <scheme val="minor"/>
      </rPr>
      <t xml:space="preserve">7: </t>
    </r>
    <r>
      <rPr>
        <sz val="10"/>
        <color theme="1"/>
        <rFont val="Calibri"/>
        <family val="2"/>
        <scheme val="minor"/>
      </rPr>
      <t xml:space="preserve">Rows 104 and 105 show the monthly payment and loan balance if the New America Foundation’s recommended changes were implemented. </t>
    </r>
  </si>
  <si>
    <r>
      <rPr>
        <b/>
        <sz val="10"/>
        <color theme="1"/>
        <rFont val="Calibri"/>
        <family val="2"/>
        <scheme val="minor"/>
      </rPr>
      <t xml:space="preserve">8: </t>
    </r>
    <r>
      <rPr>
        <sz val="10"/>
        <color theme="1"/>
        <rFont val="Calibri"/>
        <family val="2"/>
        <scheme val="minor"/>
      </rPr>
      <t xml:space="preserve">Rows 36 through 41 display how much the borrower would pay in total over the repayment period for each plan, as well as how much of their remaining loan principal and interest would be forgiven.  </t>
    </r>
  </si>
  <si>
    <r>
      <rPr>
        <b/>
        <sz val="10"/>
        <color theme="1"/>
        <rFont val="Calibri"/>
        <family val="2"/>
        <scheme val="minor"/>
      </rPr>
      <t xml:space="preserve">5: </t>
    </r>
    <r>
      <rPr>
        <sz val="10"/>
        <color theme="1"/>
        <rFont val="Calibri"/>
        <family val="2"/>
        <scheme val="minor"/>
      </rPr>
      <t xml:space="preserve">Row 76 displays what the borrower's monthly payments will be under "New IBR". which is equivalent to President Obama's pending Pay As You Earn plan, which will take effect soon and is available for borrowers who took out their first loan in 2008 or later and have at least one new loan in 2012. It is the same as the changes to IBR that will affect new borrowers starting in 2014. Row 77 displays the borrower's loan balance at the end of the repayment year. Balances often grow in early years when the borrower's income is low. </t>
    </r>
  </si>
  <si>
    <t>New IBR is effectively identical to the President Obama's Pay-As-You-Earn (PAYE) policy and legislative changes that will take effect in 2014. Old IBR is the existing IBR plan available to all borrowers since 2009.
                                                                                                                                                                                                                                                                            Calculator assumes all borrowers file separate federal income tax returns and claim any children that they have as dependents on their returns.  The interest rate for all repayment plans is the rate the borrower would pay under the consolidation plan, which is the weighted average rate rounded up to the nearest one-eighth of 1 percent.  
Calculator is designed for borrowers at the start of repayment or borrowers who are entering IBR for the first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</si>
</sst>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000%"/>
    <numFmt numFmtId="167" formatCode="_(* #,##0_);_(* \(#,##0\);_(* &quot;-&quot;??_);_(@_)"/>
  </numFmts>
  <fonts count="26" x14ac:knownFonts="1">
    <font>
      <sz val="11"/>
      <color theme="1"/>
      <name val="Calibri"/>
      <family val="2"/>
      <scheme val="minor"/>
    </font>
    <font>
      <sz val="11"/>
      <name val="Times New Roman"/>
      <family val="1"/>
    </font>
    <font>
      <b/>
      <sz val="11"/>
      <color theme="1"/>
      <name val="Calibri"/>
      <family val="2"/>
      <scheme val="minor"/>
    </font>
    <font>
      <u/>
      <sz val="11"/>
      <color theme="10"/>
      <name val="Calibri"/>
      <family val="2"/>
      <scheme val="minor"/>
    </font>
    <font>
      <b/>
      <i/>
      <sz val="11"/>
      <color theme="1"/>
      <name val="Calibri"/>
      <family val="2"/>
      <scheme val="minor"/>
    </font>
    <font>
      <sz val="10"/>
      <color theme="1"/>
      <name val="Calibri"/>
      <family val="2"/>
      <scheme val="minor"/>
    </font>
    <font>
      <b/>
      <sz val="9"/>
      <color indexed="81"/>
      <name val="Tahoma"/>
      <family val="2"/>
    </font>
    <font>
      <sz val="9"/>
      <color indexed="81"/>
      <name val="Tahoma"/>
      <family val="2"/>
    </font>
    <font>
      <i/>
      <sz val="11"/>
      <color theme="1"/>
      <name val="Calibri"/>
      <family val="2"/>
      <scheme val="minor"/>
    </font>
    <font>
      <u/>
      <sz val="11"/>
      <color theme="11"/>
      <name val="Calibri"/>
      <family val="2"/>
      <scheme val="minor"/>
    </font>
    <font>
      <sz val="11"/>
      <color theme="1"/>
      <name val="Calibri"/>
      <family val="2"/>
      <scheme val="minor"/>
    </font>
    <font>
      <sz val="11"/>
      <name val="Calibri"/>
      <family val="2"/>
      <scheme val="minor"/>
    </font>
    <font>
      <b/>
      <sz val="11"/>
      <name val="Calibri"/>
      <family val="2"/>
      <scheme val="minor"/>
    </font>
    <font>
      <b/>
      <sz val="11"/>
      <name val="Calibri"/>
      <family val="2"/>
      <scheme val="minor"/>
    </font>
    <font>
      <sz val="11"/>
      <name val="Calibri"/>
      <family val="2"/>
      <scheme val="minor"/>
    </font>
    <font>
      <sz val="11"/>
      <color theme="7"/>
      <name val="Calibri"/>
      <family val="2"/>
      <scheme val="minor"/>
    </font>
    <font>
      <sz val="10"/>
      <name val="Calibri"/>
      <family val="2"/>
      <scheme val="minor"/>
    </font>
    <font>
      <sz val="10"/>
      <color indexed="81"/>
      <name val="Calibri"/>
      <family val="2"/>
    </font>
    <font>
      <sz val="9"/>
      <color indexed="81"/>
      <name val="Calibri"/>
      <family val="2"/>
    </font>
    <font>
      <b/>
      <sz val="16"/>
      <color theme="1"/>
      <name val="Calibri"/>
      <family val="2"/>
      <scheme val="minor"/>
    </font>
    <font>
      <b/>
      <sz val="11"/>
      <color rgb="FF000000"/>
      <name val="Calibri"/>
      <family val="2"/>
      <scheme val="minor"/>
    </font>
    <font>
      <sz val="8"/>
      <color theme="1"/>
      <name val="Calibri"/>
      <family val="2"/>
      <scheme val="minor"/>
    </font>
    <font>
      <sz val="8"/>
      <name val="Calibri"/>
      <family val="2"/>
      <scheme val="minor"/>
    </font>
    <font>
      <sz val="10"/>
      <color theme="1"/>
      <name val="Calibri"/>
      <family val="2"/>
    </font>
    <font>
      <b/>
      <sz val="10"/>
      <color theme="1"/>
      <name val="Calibri"/>
      <family val="2"/>
    </font>
    <font>
      <b/>
      <sz val="10"/>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bgColor indexed="64"/>
      </patternFill>
    </fill>
    <fill>
      <patternFill patternType="solid">
        <fgColor theme="0" tint="-0.249977111117893"/>
        <bgColor indexed="64"/>
      </patternFill>
    </fill>
    <fill>
      <patternFill patternType="solid">
        <fgColor rgb="FFBFBFBF"/>
        <bgColor rgb="FF000000"/>
      </patternFill>
    </fill>
  </fills>
  <borders count="2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diagonal/>
    </border>
    <border>
      <left style="thin">
        <color auto="1"/>
      </left>
      <right/>
      <top/>
      <bottom/>
      <diagonal/>
    </border>
    <border>
      <left/>
      <right style="thin">
        <color auto="1"/>
      </right>
      <top/>
      <bottom/>
      <diagonal/>
    </border>
  </borders>
  <cellStyleXfs count="67">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205">
    <xf numFmtId="0" fontId="0" fillId="0" borderId="0" xfId="0"/>
    <xf numFmtId="49" fontId="0" fillId="0" borderId="0" xfId="0" applyNumberFormat="1" applyAlignment="1">
      <alignment wrapText="1"/>
    </xf>
    <xf numFmtId="1" fontId="1" fillId="0" borderId="0" xfId="2" applyNumberFormat="1" applyFont="1" applyFill="1" applyBorder="1" applyProtection="1"/>
    <xf numFmtId="42" fontId="1" fillId="0" borderId="0" xfId="2" applyNumberFormat="1" applyFont="1" applyFill="1" applyBorder="1" applyProtection="1"/>
    <xf numFmtId="0" fontId="0" fillId="0" borderId="0" xfId="0" applyFill="1"/>
    <xf numFmtId="164" fontId="1" fillId="0" borderId="0" xfId="2" applyNumberFormat="1" applyFont="1" applyFill="1" applyBorder="1" applyProtection="1"/>
    <xf numFmtId="10" fontId="1" fillId="0" borderId="0" xfId="2" applyNumberFormat="1" applyFont="1" applyFill="1" applyBorder="1" applyProtection="1"/>
    <xf numFmtId="0" fontId="0" fillId="4" borderId="0" xfId="0" applyFill="1"/>
    <xf numFmtId="4" fontId="1" fillId="0" borderId="0" xfId="2" applyNumberFormat="1" applyFont="1" applyFill="1" applyBorder="1" applyProtection="1"/>
    <xf numFmtId="166" fontId="14" fillId="0" borderId="2" xfId="1" applyNumberFormat="1" applyFont="1" applyBorder="1" applyProtection="1"/>
    <xf numFmtId="0" fontId="10" fillId="0" borderId="0" xfId="0" applyFont="1"/>
    <xf numFmtId="0" fontId="10" fillId="0" borderId="0" xfId="0" applyFont="1" applyFill="1" applyBorder="1"/>
    <xf numFmtId="0" fontId="10" fillId="0" borderId="0" xfId="0" applyFont="1" applyFill="1"/>
    <xf numFmtId="0" fontId="10" fillId="5" borderId="0" xfId="0" applyFont="1" applyFill="1"/>
    <xf numFmtId="49" fontId="0" fillId="0" borderId="0" xfId="0" applyNumberFormat="1" applyFill="1" applyAlignment="1">
      <alignment wrapText="1"/>
    </xf>
    <xf numFmtId="0" fontId="10" fillId="4" borderId="0" xfId="0" applyFont="1" applyFill="1" applyBorder="1"/>
    <xf numFmtId="5" fontId="11" fillId="5" borderId="2" xfId="2" applyNumberFormat="1" applyFont="1" applyFill="1" applyBorder="1" applyProtection="1"/>
    <xf numFmtId="0" fontId="10" fillId="4" borderId="18" xfId="0" applyFont="1" applyFill="1" applyBorder="1"/>
    <xf numFmtId="5" fontId="12" fillId="5" borderId="2" xfId="2" applyNumberFormat="1" applyFont="1" applyFill="1" applyBorder="1" applyAlignment="1" applyProtection="1">
      <alignment horizontal="right"/>
    </xf>
    <xf numFmtId="9" fontId="14" fillId="7" borderId="2" xfId="2" applyNumberFormat="1" applyFont="1" applyFill="1" applyBorder="1" applyAlignment="1" applyProtection="1">
      <alignment horizontal="right" vertical="center"/>
    </xf>
    <xf numFmtId="167" fontId="11" fillId="7" borderId="2" xfId="3" applyNumberFormat="1" applyFont="1" applyFill="1" applyBorder="1" applyAlignment="1" applyProtection="1">
      <alignment horizontal="right" vertical="center"/>
    </xf>
    <xf numFmtId="0" fontId="5" fillId="5" borderId="15" xfId="0" applyFont="1" applyFill="1" applyBorder="1" applyAlignment="1" applyProtection="1">
      <alignment horizontal="right"/>
    </xf>
    <xf numFmtId="0" fontId="10" fillId="0" borderId="15" xfId="0" applyFont="1" applyBorder="1" applyProtection="1"/>
    <xf numFmtId="1" fontId="14" fillId="7" borderId="2" xfId="2" applyNumberFormat="1" applyFont="1" applyFill="1" applyBorder="1" applyAlignment="1" applyProtection="1">
      <alignment horizontal="right" vertical="center"/>
    </xf>
    <xf numFmtId="0" fontId="0" fillId="4" borderId="0" xfId="0" applyFill="1" applyProtection="1"/>
    <xf numFmtId="0" fontId="19" fillId="4" borderId="0" xfId="0" applyFont="1" applyFill="1" applyProtection="1"/>
    <xf numFmtId="0" fontId="8" fillId="4" borderId="0" xfId="0" applyFont="1" applyFill="1" applyProtection="1"/>
    <xf numFmtId="0" fontId="8" fillId="4" borderId="0" xfId="0" applyFont="1" applyFill="1" applyAlignment="1" applyProtection="1">
      <alignment horizontal="left" vertical="top" wrapText="1"/>
    </xf>
    <xf numFmtId="0" fontId="0" fillId="4" borderId="0" xfId="0" applyFill="1" applyAlignment="1" applyProtection="1">
      <alignment vertical="top" wrapText="1"/>
    </xf>
    <xf numFmtId="49" fontId="0" fillId="4" borderId="0" xfId="0" applyNumberFormat="1" applyFill="1" applyAlignment="1" applyProtection="1">
      <alignment wrapText="1"/>
    </xf>
    <xf numFmtId="49" fontId="0" fillId="4" borderId="1" xfId="0" applyNumberFormat="1" applyFill="1" applyBorder="1" applyAlignment="1" applyProtection="1">
      <alignment horizontal="left" vertical="top" wrapText="1"/>
    </xf>
    <xf numFmtId="0" fontId="0" fillId="4" borderId="1" xfId="0" applyFill="1" applyBorder="1" applyAlignment="1" applyProtection="1">
      <alignment horizontal="left" vertical="top" wrapText="1"/>
    </xf>
    <xf numFmtId="0" fontId="0" fillId="4" borderId="0" xfId="0" applyFill="1" applyAlignment="1" applyProtection="1">
      <alignment horizontal="left" vertical="top" wrapText="1"/>
    </xf>
    <xf numFmtId="0" fontId="21" fillId="4" borderId="0" xfId="0" applyFont="1" applyFill="1" applyAlignment="1" applyProtection="1">
      <alignment vertical="top" wrapText="1"/>
    </xf>
    <xf numFmtId="0" fontId="13" fillId="8" borderId="11" xfId="1" applyFont="1" applyFill="1" applyBorder="1" applyAlignment="1" applyProtection="1">
      <alignment horizontal="centerContinuous"/>
    </xf>
    <xf numFmtId="0" fontId="12" fillId="8" borderId="12" xfId="1" applyFont="1" applyFill="1" applyBorder="1" applyAlignment="1" applyProtection="1">
      <alignment horizontal="centerContinuous"/>
    </xf>
    <xf numFmtId="0" fontId="2" fillId="8" borderId="13" xfId="0" applyFont="1" applyFill="1" applyBorder="1" applyProtection="1"/>
    <xf numFmtId="0" fontId="21" fillId="4" borderId="0" xfId="0" applyFont="1" applyFill="1" applyAlignment="1" applyProtection="1">
      <alignment horizontal="right"/>
    </xf>
    <xf numFmtId="0" fontId="12" fillId="6" borderId="14" xfId="1" applyFont="1" applyFill="1" applyBorder="1" applyAlignment="1" applyProtection="1">
      <alignment horizontal="left"/>
    </xf>
    <xf numFmtId="164" fontId="11" fillId="7" borderId="2" xfId="1" applyNumberFormat="1" applyFont="1" applyFill="1" applyBorder="1" applyAlignment="1" applyProtection="1">
      <alignment horizontal="right" vertical="center"/>
    </xf>
    <xf numFmtId="10" fontId="0" fillId="7" borderId="15" xfId="0" applyNumberFormat="1" applyFont="1" applyFill="1" applyBorder="1" applyAlignment="1" applyProtection="1">
      <alignment horizontal="right" vertical="center"/>
    </xf>
    <xf numFmtId="10" fontId="0" fillId="4" borderId="0" xfId="0" applyNumberFormat="1" applyFill="1" applyProtection="1"/>
    <xf numFmtId="0" fontId="12" fillId="8" borderId="14" xfId="1" applyFont="1" applyFill="1" applyBorder="1" applyAlignment="1" applyProtection="1">
      <alignment horizontal="left"/>
    </xf>
    <xf numFmtId="164" fontId="14" fillId="8" borderId="2" xfId="1" applyNumberFormat="1" applyFont="1" applyFill="1" applyBorder="1" applyAlignment="1" applyProtection="1">
      <alignment horizontal="right" vertical="center"/>
    </xf>
    <xf numFmtId="10" fontId="10" fillId="8" borderId="15" xfId="0" applyNumberFormat="1" applyFont="1" applyFill="1" applyBorder="1" applyAlignment="1" applyProtection="1">
      <alignment horizontal="right" vertical="center"/>
    </xf>
    <xf numFmtId="166" fontId="2" fillId="5" borderId="15" xfId="0" applyNumberFormat="1" applyFont="1" applyFill="1" applyBorder="1" applyProtection="1"/>
    <xf numFmtId="0" fontId="14" fillId="6" borderId="14" xfId="1" applyFont="1" applyFill="1" applyBorder="1" applyProtection="1"/>
    <xf numFmtId="0" fontId="5" fillId="4" borderId="0" xfId="0" applyFont="1" applyFill="1" applyAlignment="1" applyProtection="1">
      <alignment vertical="center" wrapText="1"/>
    </xf>
    <xf numFmtId="167" fontId="14" fillId="0" borderId="2" xfId="3" applyNumberFormat="1" applyFont="1" applyBorder="1" applyProtection="1"/>
    <xf numFmtId="0" fontId="14" fillId="8" borderId="14" xfId="1" applyFont="1" applyFill="1" applyBorder="1" applyProtection="1"/>
    <xf numFmtId="167" fontId="14" fillId="8" borderId="2" xfId="3" applyNumberFormat="1" applyFont="1" applyFill="1" applyBorder="1" applyProtection="1"/>
    <xf numFmtId="0" fontId="10" fillId="8" borderId="15" xfId="0" applyFont="1" applyFill="1" applyBorder="1" applyProtection="1"/>
    <xf numFmtId="0" fontId="2" fillId="4" borderId="0" xfId="0" applyFont="1" applyFill="1" applyProtection="1"/>
    <xf numFmtId="0" fontId="10" fillId="0" borderId="24" xfId="0" applyFont="1" applyBorder="1" applyProtection="1"/>
    <xf numFmtId="0" fontId="16" fillId="6" borderId="14" xfId="1" applyFont="1" applyFill="1" applyBorder="1" applyProtection="1"/>
    <xf numFmtId="1" fontId="14" fillId="7" borderId="22" xfId="2" applyNumberFormat="1" applyFont="1" applyFill="1" applyBorder="1" applyAlignment="1" applyProtection="1">
      <alignment horizontal="right" vertical="center"/>
    </xf>
    <xf numFmtId="1" fontId="10" fillId="8" borderId="5" xfId="4" applyNumberFormat="1" applyFont="1" applyFill="1" applyBorder="1" applyProtection="1"/>
    <xf numFmtId="0" fontId="10" fillId="8" borderId="7" xfId="0" applyFont="1" applyFill="1" applyBorder="1" applyProtection="1"/>
    <xf numFmtId="0" fontId="16" fillId="6" borderId="8" xfId="1" applyFont="1" applyFill="1" applyBorder="1" applyProtection="1"/>
    <xf numFmtId="1" fontId="14" fillId="7" borderId="23" xfId="2" applyNumberFormat="1" applyFont="1" applyFill="1" applyBorder="1" applyAlignment="1" applyProtection="1">
      <alignment horizontal="right" vertical="center"/>
    </xf>
    <xf numFmtId="0" fontId="10" fillId="8" borderId="3" xfId="0" applyFont="1" applyFill="1" applyBorder="1" applyProtection="1"/>
    <xf numFmtId="0" fontId="1" fillId="0" borderId="0" xfId="1" applyFont="1" applyFill="1" applyProtection="1"/>
    <xf numFmtId="0" fontId="0" fillId="0" borderId="0" xfId="0" applyProtection="1"/>
    <xf numFmtId="10" fontId="0" fillId="0" borderId="0" xfId="0" applyNumberFormat="1" applyProtection="1"/>
    <xf numFmtId="166" fontId="0" fillId="0" borderId="0" xfId="0" applyNumberFormat="1" applyProtection="1"/>
    <xf numFmtId="164" fontId="0" fillId="0" borderId="0" xfId="0" applyNumberFormat="1" applyFill="1" applyBorder="1" applyProtection="1"/>
    <xf numFmtId="0" fontId="12" fillId="8" borderId="11" xfId="1" applyFont="1" applyFill="1" applyBorder="1" applyProtection="1"/>
    <xf numFmtId="164" fontId="2" fillId="8" borderId="12" xfId="0" applyNumberFormat="1" applyFont="1" applyFill="1" applyBorder="1" applyAlignment="1" applyProtection="1">
      <alignment horizontal="center" vertical="center"/>
    </xf>
    <xf numFmtId="164" fontId="2" fillId="8" borderId="13" xfId="0" applyNumberFormat="1" applyFont="1" applyFill="1" applyBorder="1" applyAlignment="1" applyProtection="1">
      <alignment horizontal="center" vertical="center"/>
    </xf>
    <xf numFmtId="0" fontId="2" fillId="6" borderId="14" xfId="0" applyFont="1" applyFill="1" applyBorder="1" applyProtection="1"/>
    <xf numFmtId="5" fontId="10" fillId="5" borderId="15" xfId="0" applyNumberFormat="1" applyFont="1" applyFill="1" applyBorder="1" applyProtection="1"/>
    <xf numFmtId="0" fontId="22" fillId="4" borderId="0" xfId="0" applyFont="1" applyFill="1" applyAlignment="1" applyProtection="1">
      <alignment vertical="top" wrapText="1"/>
    </xf>
    <xf numFmtId="0" fontId="11" fillId="4" borderId="0" xfId="0" applyFont="1" applyFill="1" applyProtection="1"/>
    <xf numFmtId="0" fontId="12" fillId="4" borderId="0" xfId="0" applyFont="1" applyFill="1" applyProtection="1"/>
    <xf numFmtId="0" fontId="12" fillId="6" borderId="14" xfId="1" applyFont="1" applyFill="1" applyBorder="1" applyProtection="1"/>
    <xf numFmtId="5" fontId="10" fillId="5" borderId="2" xfId="0" applyNumberFormat="1" applyFont="1" applyFill="1" applyBorder="1" applyAlignment="1" applyProtection="1"/>
    <xf numFmtId="5" fontId="0" fillId="5" borderId="15" xfId="0" applyNumberFormat="1" applyFont="1" applyFill="1" applyBorder="1" applyAlignment="1" applyProtection="1">
      <alignment horizontal="right"/>
    </xf>
    <xf numFmtId="3" fontId="11" fillId="4" borderId="0" xfId="0" applyNumberFormat="1" applyFont="1" applyFill="1" applyProtection="1"/>
    <xf numFmtId="5" fontId="10" fillId="5" borderId="2" xfId="0" applyNumberFormat="1" applyFont="1" applyFill="1" applyBorder="1" applyProtection="1"/>
    <xf numFmtId="0" fontId="2" fillId="6" borderId="8" xfId="0" applyFont="1" applyFill="1" applyBorder="1" applyProtection="1"/>
    <xf numFmtId="5" fontId="10" fillId="5" borderId="16" xfId="0" applyNumberFormat="1" applyFont="1" applyFill="1" applyBorder="1" applyProtection="1"/>
    <xf numFmtId="5" fontId="0" fillId="5" borderId="9" xfId="0" applyNumberFormat="1" applyFont="1" applyFill="1" applyBorder="1" applyAlignment="1" applyProtection="1"/>
    <xf numFmtId="0" fontId="1" fillId="4" borderId="0" xfId="1" applyFont="1" applyFill="1" applyBorder="1" applyProtection="1"/>
    <xf numFmtId="41" fontId="0" fillId="4" borderId="0" xfId="0" applyNumberFormat="1" applyFill="1" applyBorder="1" applyAlignment="1" applyProtection="1">
      <alignment wrapText="1"/>
    </xf>
    <xf numFmtId="41" fontId="0" fillId="4" borderId="0" xfId="0" applyNumberFormat="1" applyFill="1" applyBorder="1" applyProtection="1"/>
    <xf numFmtId="0" fontId="0" fillId="4" borderId="0" xfId="0" applyFill="1" applyAlignment="1" applyProtection="1"/>
    <xf numFmtId="0" fontId="0" fillId="4" borderId="0" xfId="0" applyFill="1" applyBorder="1" applyAlignment="1" applyProtection="1">
      <alignment horizontal="left" indent="1"/>
    </xf>
    <xf numFmtId="0" fontId="10" fillId="4" borderId="0" xfId="0" applyFont="1" applyFill="1" applyProtection="1"/>
    <xf numFmtId="0" fontId="14" fillId="4" borderId="0" xfId="1" applyFont="1" applyFill="1" applyBorder="1" applyProtection="1"/>
    <xf numFmtId="0" fontId="2" fillId="0" borderId="2" xfId="0" applyFont="1" applyBorder="1" applyProtection="1"/>
    <xf numFmtId="0" fontId="10" fillId="4" borderId="0" xfId="0" applyFont="1" applyFill="1" applyBorder="1" applyProtection="1"/>
    <xf numFmtId="0" fontId="10" fillId="0" borderId="0" xfId="0" applyFont="1" applyBorder="1" applyAlignment="1" applyProtection="1">
      <alignment horizontal="right"/>
    </xf>
    <xf numFmtId="0" fontId="10" fillId="0" borderId="0" xfId="0" applyFont="1" applyProtection="1"/>
    <xf numFmtId="0" fontId="22" fillId="4" borderId="0" xfId="1" applyFont="1" applyFill="1" applyBorder="1" applyAlignment="1" applyProtection="1">
      <alignment horizontal="right"/>
    </xf>
    <xf numFmtId="3" fontId="10" fillId="7" borderId="10" xfId="0" applyNumberFormat="1" applyFont="1" applyFill="1" applyBorder="1" applyProtection="1"/>
    <xf numFmtId="3" fontId="10" fillId="8" borderId="6" xfId="0" applyNumberFormat="1" applyFont="1" applyFill="1" applyBorder="1" applyProtection="1"/>
    <xf numFmtId="3" fontId="10" fillId="8" borderId="19" xfId="0" applyNumberFormat="1" applyFont="1" applyFill="1" applyBorder="1" applyProtection="1"/>
    <xf numFmtId="3" fontId="10" fillId="8" borderId="20" xfId="0" applyNumberFormat="1" applyFont="1" applyFill="1" applyBorder="1" applyProtection="1"/>
    <xf numFmtId="3" fontId="8" fillId="5" borderId="10" xfId="0" applyNumberFormat="1" applyFont="1" applyFill="1" applyBorder="1" applyProtection="1"/>
    <xf numFmtId="3" fontId="8" fillId="8" borderId="4" xfId="0" applyNumberFormat="1" applyFont="1" applyFill="1" applyBorder="1" applyProtection="1"/>
    <xf numFmtId="3" fontId="8" fillId="8" borderId="17" xfId="0" applyNumberFormat="1" applyFont="1" applyFill="1" applyBorder="1" applyProtection="1"/>
    <xf numFmtId="3" fontId="8" fillId="8" borderId="21" xfId="0" applyNumberFormat="1" applyFont="1" applyFill="1" applyBorder="1" applyProtection="1"/>
    <xf numFmtId="0" fontId="10" fillId="0" borderId="0" xfId="0" applyFont="1" applyBorder="1" applyProtection="1"/>
    <xf numFmtId="3" fontId="10" fillId="0" borderId="0" xfId="0" applyNumberFormat="1" applyFont="1" applyProtection="1"/>
    <xf numFmtId="166" fontId="10" fillId="4" borderId="0" xfId="0" applyNumberFormat="1" applyFont="1" applyFill="1" applyBorder="1" applyProtection="1"/>
    <xf numFmtId="10" fontId="10" fillId="0" borderId="0" xfId="0" applyNumberFormat="1" applyFont="1" applyBorder="1" applyProtection="1"/>
    <xf numFmtId="3" fontId="4" fillId="4" borderId="0" xfId="0" applyNumberFormat="1" applyFont="1" applyFill="1" applyBorder="1" applyProtection="1"/>
    <xf numFmtId="3" fontId="4" fillId="0" borderId="0" xfId="0" applyNumberFormat="1" applyFont="1" applyBorder="1" applyProtection="1"/>
    <xf numFmtId="0" fontId="10" fillId="2" borderId="0" xfId="0" applyFont="1" applyFill="1" applyBorder="1" applyProtection="1"/>
    <xf numFmtId="3" fontId="10" fillId="2" borderId="0" xfId="0" applyNumberFormat="1" applyFont="1" applyFill="1" applyProtection="1"/>
    <xf numFmtId="3" fontId="5" fillId="0" borderId="0" xfId="0" applyNumberFormat="1" applyFont="1" applyFill="1" applyProtection="1"/>
    <xf numFmtId="0" fontId="10" fillId="3" borderId="0" xfId="0" applyFont="1" applyFill="1" applyBorder="1" applyProtection="1"/>
    <xf numFmtId="3" fontId="10" fillId="3" borderId="0" xfId="0" applyNumberFormat="1" applyFont="1" applyFill="1" applyProtection="1"/>
    <xf numFmtId="3" fontId="10" fillId="0" borderId="0" xfId="0" applyNumberFormat="1" applyFont="1" applyFill="1" applyProtection="1"/>
    <xf numFmtId="41" fontId="10" fillId="2" borderId="0" xfId="0" applyNumberFormat="1" applyFont="1" applyFill="1" applyProtection="1"/>
    <xf numFmtId="41" fontId="10" fillId="3" borderId="0" xfId="0" applyNumberFormat="1" applyFont="1" applyFill="1" applyProtection="1"/>
    <xf numFmtId="41" fontId="10" fillId="0" borderId="0" xfId="0" applyNumberFormat="1" applyFont="1" applyFill="1" applyProtection="1"/>
    <xf numFmtId="165" fontId="4" fillId="4" borderId="0" xfId="0" applyNumberFormat="1" applyFont="1" applyFill="1" applyBorder="1" applyProtection="1"/>
    <xf numFmtId="165" fontId="4" fillId="2" borderId="0" xfId="0" applyNumberFormat="1" applyFont="1" applyFill="1" applyBorder="1" applyProtection="1"/>
    <xf numFmtId="0" fontId="2" fillId="4" borderId="0" xfId="0" applyFont="1" applyFill="1" applyBorder="1" applyAlignment="1" applyProtection="1">
      <alignment horizontal="right"/>
    </xf>
    <xf numFmtId="41" fontId="10" fillId="4" borderId="0" xfId="0" applyNumberFormat="1" applyFont="1" applyFill="1" applyBorder="1" applyProtection="1"/>
    <xf numFmtId="41" fontId="10" fillId="4" borderId="0" xfId="0" applyNumberFormat="1" applyFont="1" applyFill="1" applyProtection="1"/>
    <xf numFmtId="0" fontId="21" fillId="4" borderId="0" xfId="0" applyFont="1" applyFill="1" applyBorder="1" applyAlignment="1" applyProtection="1">
      <alignment horizontal="right"/>
    </xf>
    <xf numFmtId="41" fontId="0" fillId="8" borderId="10" xfId="0" applyNumberFormat="1" applyFont="1" applyFill="1" applyBorder="1" applyProtection="1"/>
    <xf numFmtId="41" fontId="0" fillId="8" borderId="2" xfId="0" applyNumberFormat="1" applyFont="1" applyFill="1" applyBorder="1" applyProtection="1"/>
    <xf numFmtId="41" fontId="10" fillId="8" borderId="6" xfId="0" applyNumberFormat="1" applyFont="1" applyFill="1" applyBorder="1" applyProtection="1"/>
    <xf numFmtId="41" fontId="10" fillId="8" borderId="19" xfId="0" applyNumberFormat="1" applyFont="1" applyFill="1" applyBorder="1" applyProtection="1"/>
    <xf numFmtId="41" fontId="10" fillId="8" borderId="20" xfId="0" applyNumberFormat="1" applyFont="1" applyFill="1" applyBorder="1" applyProtection="1"/>
    <xf numFmtId="41" fontId="10" fillId="0" borderId="20" xfId="0" applyNumberFormat="1" applyFont="1" applyFill="1" applyBorder="1" applyProtection="1"/>
    <xf numFmtId="41" fontId="10" fillId="8" borderId="4" xfId="0" applyNumberFormat="1" applyFont="1" applyFill="1" applyBorder="1" applyProtection="1"/>
    <xf numFmtId="41" fontId="10" fillId="8" borderId="17" xfId="0" applyNumberFormat="1" applyFont="1" applyFill="1" applyBorder="1" applyProtection="1"/>
    <xf numFmtId="41" fontId="10" fillId="8" borderId="21" xfId="0" applyNumberFormat="1" applyFont="1" applyFill="1" applyBorder="1" applyProtection="1"/>
    <xf numFmtId="164" fontId="0" fillId="4" borderId="0" xfId="0" applyNumberFormat="1" applyFont="1" applyFill="1" applyBorder="1" applyAlignment="1" applyProtection="1">
      <alignment horizontal="right"/>
    </xf>
    <xf numFmtId="41" fontId="10" fillId="4" borderId="19" xfId="0" applyNumberFormat="1" applyFont="1" applyFill="1" applyBorder="1" applyProtection="1"/>
    <xf numFmtId="41" fontId="10" fillId="8" borderId="10" xfId="0" applyNumberFormat="1" applyFont="1" applyFill="1" applyBorder="1" applyProtection="1"/>
    <xf numFmtId="41" fontId="10" fillId="8" borderId="2" xfId="0" applyNumberFormat="1" applyFont="1" applyFill="1" applyBorder="1" applyProtection="1"/>
    <xf numFmtId="41" fontId="10" fillId="8" borderId="22" xfId="0" applyNumberFormat="1" applyFont="1" applyFill="1" applyBorder="1" applyProtection="1"/>
    <xf numFmtId="41" fontId="10" fillId="4" borderId="10" xfId="0" applyNumberFormat="1" applyFont="1" applyFill="1" applyBorder="1" applyProtection="1"/>
    <xf numFmtId="41" fontId="10" fillId="4" borderId="2" xfId="0" applyNumberFormat="1" applyFont="1" applyFill="1" applyBorder="1" applyProtection="1"/>
    <xf numFmtId="41" fontId="10" fillId="4" borderId="22" xfId="0" applyNumberFormat="1" applyFont="1" applyFill="1" applyBorder="1" applyProtection="1"/>
    <xf numFmtId="164" fontId="10" fillId="4" borderId="0" xfId="0" applyNumberFormat="1" applyFont="1" applyFill="1" applyBorder="1" applyProtection="1"/>
    <xf numFmtId="164" fontId="10" fillId="4" borderId="0" xfId="0" applyNumberFormat="1" applyFont="1" applyFill="1" applyBorder="1" applyAlignment="1" applyProtection="1">
      <alignment horizontal="right"/>
    </xf>
    <xf numFmtId="41" fontId="10" fillId="4" borderId="17" xfId="0" applyNumberFormat="1" applyFont="1" applyFill="1" applyBorder="1" applyProtection="1"/>
    <xf numFmtId="41" fontId="10" fillId="5" borderId="21" xfId="0" applyNumberFormat="1" applyFont="1" applyFill="1" applyBorder="1" applyProtection="1"/>
    <xf numFmtId="41" fontId="10" fillId="8" borderId="18" xfId="0" applyNumberFormat="1" applyFont="1" applyFill="1" applyBorder="1" applyProtection="1"/>
    <xf numFmtId="0" fontId="2" fillId="5" borderId="17" xfId="0" applyFont="1" applyFill="1" applyBorder="1" applyAlignment="1" applyProtection="1">
      <alignment horizontal="right"/>
    </xf>
    <xf numFmtId="41" fontId="10" fillId="5" borderId="10" xfId="0" applyNumberFormat="1" applyFont="1" applyFill="1" applyBorder="1" applyProtection="1"/>
    <xf numFmtId="41" fontId="10" fillId="5" borderId="2" xfId="0" applyNumberFormat="1" applyFont="1" applyFill="1" applyBorder="1" applyProtection="1"/>
    <xf numFmtId="41" fontId="10" fillId="5" borderId="3" xfId="0" applyNumberFormat="1" applyFont="1" applyFill="1" applyBorder="1" applyProtection="1"/>
    <xf numFmtId="164" fontId="10" fillId="4" borderId="0" xfId="0" applyNumberFormat="1" applyFont="1" applyFill="1" applyProtection="1"/>
    <xf numFmtId="164" fontId="2" fillId="0" borderId="0" xfId="0" applyNumberFormat="1" applyFont="1" applyFill="1" applyBorder="1" applyProtection="1"/>
    <xf numFmtId="41" fontId="10" fillId="0" borderId="10" xfId="0" applyNumberFormat="1" applyFont="1" applyFill="1" applyBorder="1" applyProtection="1"/>
    <xf numFmtId="41" fontId="10" fillId="0" borderId="2" xfId="0" applyNumberFormat="1" applyFont="1" applyFill="1" applyBorder="1" applyProtection="1"/>
    <xf numFmtId="8" fontId="15" fillId="4" borderId="0" xfId="0" applyNumberFormat="1" applyFont="1" applyFill="1" applyProtection="1"/>
    <xf numFmtId="0" fontId="2" fillId="0" borderId="0" xfId="0" applyFont="1" applyFill="1" applyBorder="1" applyProtection="1"/>
    <xf numFmtId="42" fontId="10" fillId="4" borderId="0" xfId="0" applyNumberFormat="1" applyFont="1" applyFill="1" applyProtection="1"/>
    <xf numFmtId="42" fontId="2" fillId="0" borderId="0" xfId="0" applyNumberFormat="1" applyFont="1" applyFill="1" applyBorder="1" applyProtection="1"/>
    <xf numFmtId="8" fontId="10" fillId="0" borderId="10" xfId="0" applyNumberFormat="1" applyFont="1" applyFill="1" applyBorder="1" applyProtection="1"/>
    <xf numFmtId="8" fontId="10" fillId="0" borderId="2" xfId="0" applyNumberFormat="1" applyFont="1" applyFill="1" applyBorder="1" applyProtection="1"/>
    <xf numFmtId="0" fontId="10" fillId="0" borderId="2" xfId="0" applyFont="1" applyFill="1" applyBorder="1" applyProtection="1"/>
    <xf numFmtId="3" fontId="10" fillId="0" borderId="10" xfId="0" applyNumberFormat="1" applyFont="1" applyFill="1" applyBorder="1" applyProtection="1"/>
    <xf numFmtId="3" fontId="10" fillId="0" borderId="2" xfId="0" applyNumberFormat="1" applyFont="1" applyFill="1" applyBorder="1" applyProtection="1"/>
    <xf numFmtId="0" fontId="2" fillId="5" borderId="18" xfId="0" applyFont="1" applyFill="1" applyBorder="1" applyAlignment="1" applyProtection="1">
      <alignment horizontal="right"/>
    </xf>
    <xf numFmtId="0" fontId="10" fillId="0" borderId="0" xfId="0" applyFont="1" applyFill="1" applyBorder="1" applyProtection="1"/>
    <xf numFmtId="0" fontId="10" fillId="0" borderId="0" xfId="0" applyFont="1" applyFill="1" applyProtection="1"/>
    <xf numFmtId="0" fontId="2" fillId="4" borderId="0" xfId="0" applyFont="1" applyFill="1" applyBorder="1" applyProtection="1"/>
    <xf numFmtId="0" fontId="10" fillId="4" borderId="19" xfId="0" applyFont="1" applyFill="1" applyBorder="1" applyProtection="1"/>
    <xf numFmtId="41" fontId="10" fillId="4" borderId="18" xfId="0" applyNumberFormat="1" applyFont="1" applyFill="1" applyBorder="1" applyProtection="1"/>
    <xf numFmtId="41" fontId="8" fillId="5" borderId="21" xfId="0" applyNumberFormat="1" applyFont="1" applyFill="1" applyBorder="1" applyProtection="1"/>
    <xf numFmtId="41" fontId="8" fillId="5" borderId="3" xfId="0" applyNumberFormat="1" applyFont="1" applyFill="1" applyBorder="1" applyProtection="1"/>
    <xf numFmtId="0" fontId="10" fillId="8" borderId="6" xfId="0" applyFont="1" applyFill="1" applyBorder="1" applyProtection="1"/>
    <xf numFmtId="0" fontId="10" fillId="8" borderId="19" xfId="0" applyFont="1" applyFill="1" applyBorder="1" applyProtection="1"/>
    <xf numFmtId="0" fontId="10" fillId="8" borderId="20" xfId="0" applyFont="1" applyFill="1" applyBorder="1" applyProtection="1"/>
    <xf numFmtId="0" fontId="10" fillId="8" borderId="25" xfId="0" applyFont="1" applyFill="1" applyBorder="1" applyProtection="1"/>
    <xf numFmtId="0" fontId="10" fillId="8" borderId="0" xfId="0" applyFont="1" applyFill="1" applyBorder="1" applyProtection="1"/>
    <xf numFmtId="0" fontId="10" fillId="8" borderId="26" xfId="0" applyFont="1" applyFill="1" applyBorder="1" applyProtection="1"/>
    <xf numFmtId="165" fontId="0" fillId="0" borderId="17" xfId="0" applyNumberFormat="1" applyFont="1" applyFill="1" applyBorder="1" applyAlignment="1" applyProtection="1">
      <alignment horizontal="right"/>
    </xf>
    <xf numFmtId="41" fontId="8" fillId="0" borderId="10" xfId="0" applyNumberFormat="1" applyFont="1" applyFill="1" applyBorder="1" applyProtection="1"/>
    <xf numFmtId="41" fontId="8" fillId="0" borderId="2" xfId="0" applyNumberFormat="1" applyFont="1" applyFill="1" applyBorder="1" applyProtection="1"/>
    <xf numFmtId="0" fontId="10" fillId="8" borderId="4" xfId="0" applyFont="1" applyFill="1" applyBorder="1" applyProtection="1"/>
    <xf numFmtId="0" fontId="10" fillId="8" borderId="17" xfId="0" applyFont="1" applyFill="1" applyBorder="1" applyProtection="1"/>
    <xf numFmtId="0" fontId="10" fillId="8" borderId="21" xfId="0" applyFont="1" applyFill="1" applyBorder="1" applyProtection="1"/>
    <xf numFmtId="0" fontId="2" fillId="4" borderId="0" xfId="0" applyFont="1" applyFill="1" applyAlignment="1" applyProtection="1">
      <alignment horizontal="right"/>
    </xf>
    <xf numFmtId="164" fontId="0" fillId="4" borderId="0" xfId="0" applyNumberFormat="1" applyFill="1" applyProtection="1"/>
    <xf numFmtId="41" fontId="0" fillId="4" borderId="0" xfId="0" applyNumberFormat="1" applyFill="1" applyProtection="1"/>
    <xf numFmtId="164" fontId="2" fillId="4" borderId="0" xfId="0" applyNumberFormat="1" applyFont="1" applyFill="1" applyProtection="1"/>
    <xf numFmtId="0" fontId="2" fillId="4" borderId="0" xfId="0" applyFont="1" applyFill="1" applyAlignment="1" applyProtection="1">
      <alignment vertical="top" wrapText="1"/>
    </xf>
    <xf numFmtId="0" fontId="23" fillId="0" borderId="0" xfId="0" applyFont="1" applyAlignment="1" applyProtection="1">
      <alignment horizontal="left" vertical="center" wrapText="1"/>
    </xf>
    <xf numFmtId="0" fontId="23" fillId="4" borderId="0" xfId="0" applyFont="1" applyFill="1" applyAlignment="1" applyProtection="1">
      <alignment horizontal="left" vertical="center" wrapText="1"/>
    </xf>
    <xf numFmtId="0" fontId="5" fillId="4" borderId="19" xfId="0" applyFont="1" applyFill="1" applyBorder="1" applyAlignment="1" applyProtection="1">
      <alignment horizontal="left" vertical="center" wrapText="1"/>
    </xf>
    <xf numFmtId="0" fontId="5" fillId="4" borderId="0" xfId="0" applyFont="1" applyFill="1" applyBorder="1" applyAlignment="1" applyProtection="1">
      <alignment horizontal="left" vertical="center" wrapText="1"/>
    </xf>
    <xf numFmtId="0" fontId="5" fillId="4" borderId="0" xfId="0" applyFont="1" applyFill="1" applyAlignment="1" applyProtection="1">
      <alignment horizontal="left" vertical="center" wrapText="1"/>
    </xf>
    <xf numFmtId="0" fontId="5" fillId="4" borderId="0" xfId="0" applyFont="1" applyFill="1" applyAlignment="1" applyProtection="1">
      <alignment horizontal="left" vertical="center"/>
    </xf>
    <xf numFmtId="0" fontId="0" fillId="4" borderId="0" xfId="0" applyFill="1" applyAlignment="1" applyProtection="1">
      <alignment horizontal="left" vertical="center" wrapText="1"/>
    </xf>
    <xf numFmtId="0" fontId="2" fillId="0" borderId="18" xfId="0" applyFont="1" applyBorder="1" applyAlignment="1" applyProtection="1">
      <alignment horizontal="right" wrapText="1"/>
    </xf>
    <xf numFmtId="0" fontId="2" fillId="0" borderId="10" xfId="0" applyFont="1" applyBorder="1" applyAlignment="1" applyProtection="1">
      <alignment horizontal="right" wrapText="1"/>
    </xf>
    <xf numFmtId="0" fontId="2" fillId="0" borderId="18" xfId="0" applyFont="1" applyBorder="1" applyAlignment="1" applyProtection="1">
      <alignment horizontal="right"/>
    </xf>
    <xf numFmtId="0" fontId="0" fillId="5" borderId="18" xfId="0" applyFont="1" applyFill="1" applyBorder="1" applyAlignment="1" applyProtection="1">
      <alignment horizontal="right"/>
    </xf>
    <xf numFmtId="0" fontId="10" fillId="5" borderId="18" xfId="0" applyFont="1" applyFill="1" applyBorder="1" applyAlignment="1" applyProtection="1">
      <alignment horizontal="right"/>
    </xf>
    <xf numFmtId="0" fontId="2" fillId="5" borderId="18" xfId="0" applyFont="1" applyFill="1" applyBorder="1" applyAlignment="1" applyProtection="1">
      <alignment horizontal="right"/>
    </xf>
    <xf numFmtId="165" fontId="0" fillId="0" borderId="18" xfId="0" applyNumberFormat="1" applyFont="1" applyFill="1" applyBorder="1" applyAlignment="1" applyProtection="1">
      <alignment horizontal="right"/>
    </xf>
    <xf numFmtId="0" fontId="8" fillId="4" borderId="0" xfId="0" applyFont="1" applyFill="1" applyAlignment="1" applyProtection="1">
      <alignment horizontal="left" vertical="top" wrapText="1"/>
    </xf>
    <xf numFmtId="164" fontId="2" fillId="8" borderId="18" xfId="0" applyNumberFormat="1" applyFont="1" applyFill="1" applyBorder="1" applyAlignment="1" applyProtection="1">
      <alignment horizontal="right"/>
    </xf>
    <xf numFmtId="164" fontId="0" fillId="0" borderId="18" xfId="0" applyNumberFormat="1" applyFont="1" applyFill="1" applyBorder="1" applyAlignment="1" applyProtection="1">
      <alignment horizontal="right"/>
    </xf>
    <xf numFmtId="164" fontId="20" fillId="9" borderId="18" xfId="0" applyNumberFormat="1" applyFont="1" applyFill="1" applyBorder="1" applyAlignment="1" applyProtection="1">
      <alignment horizontal="right"/>
    </xf>
  </cellXfs>
  <cellStyles count="67">
    <cellStyle name="Comma 2" xfId="3"/>
    <cellStyle name="Currency 2" xfId="2"/>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Hyperlink" xfId="4" builtinId="8"/>
    <cellStyle name="Normal" xfId="0" builtinId="0"/>
    <cellStyle name="Normal 2" xfId="1"/>
  </cellStyles>
  <dxfs count="0"/>
  <tableStyles count="0" defaultTableStyle="TableStyleMedium9" defaultPivotStyle="PivotStyleMedium4"/>
  <colors>
    <mruColors>
      <color rgb="FF66CCFF"/>
      <color rgb="FFFFCC66"/>
      <color rgb="FFF9FB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137160</xdr:colOff>
      <xdr:row>42</xdr:row>
      <xdr:rowOff>0</xdr:rowOff>
    </xdr:from>
    <xdr:to>
      <xdr:col>0</xdr:col>
      <xdr:colOff>314960</xdr:colOff>
      <xdr:row>43</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137160" y="4704080"/>
          <a:ext cx="177800" cy="182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D120"/>
  <sheetViews>
    <sheetView tabSelected="1" zoomScale="85" zoomScaleNormal="85" zoomScalePageLayoutView="85" workbookViewId="0">
      <pane xSplit="5" topLeftCell="F1" activePane="topRight" state="frozen"/>
      <selection pane="topRight" activeCell="C7" sqref="C7"/>
    </sheetView>
  </sheetViews>
  <sheetFormatPr baseColWidth="10" defaultColWidth="8.83203125" defaultRowHeight="14" x14ac:dyDescent="0"/>
  <cols>
    <col min="1" max="1" width="4.83203125" style="4" customWidth="1"/>
    <col min="2" max="2" width="26.33203125" customWidth="1"/>
    <col min="3" max="4" width="14.5" customWidth="1"/>
    <col min="5" max="5" width="15.1640625" customWidth="1"/>
    <col min="6" max="6" width="11" bestFit="1" customWidth="1"/>
    <col min="7" max="11" width="10.1640625" bestFit="1" customWidth="1"/>
    <col min="12" max="13" width="11" bestFit="1" customWidth="1"/>
    <col min="14" max="14" width="11.5" bestFit="1" customWidth="1"/>
    <col min="15" max="18" width="11" bestFit="1" customWidth="1"/>
    <col min="19" max="21" width="10.5" bestFit="1" customWidth="1"/>
    <col min="22" max="23" width="11" bestFit="1" customWidth="1"/>
    <col min="24" max="25" width="10.5" bestFit="1" customWidth="1"/>
    <col min="26" max="26" width="10.5" customWidth="1"/>
    <col min="27" max="27" width="11.33203125" customWidth="1"/>
    <col min="28" max="28" width="11.1640625" customWidth="1"/>
    <col min="29" max="29" width="14.83203125" bestFit="1" customWidth="1"/>
    <col min="30" max="30" width="12.5" customWidth="1"/>
    <col min="31" max="31" width="10.6640625" customWidth="1"/>
    <col min="32" max="34" width="14.83203125" bestFit="1" customWidth="1"/>
    <col min="35" max="35" width="13.33203125" customWidth="1"/>
    <col min="41" max="120" width="8.83203125" style="4"/>
    <col min="121" max="121" width="8.83203125" style="4" customWidth="1"/>
    <col min="122" max="498" width="8.83203125" style="4"/>
  </cols>
  <sheetData>
    <row r="1" spans="1:498" ht="20">
      <c r="A1" s="24"/>
      <c r="B1" s="25" t="s">
        <v>55</v>
      </c>
      <c r="C1" s="24"/>
      <c r="D1" s="24"/>
      <c r="E1" s="24"/>
      <c r="F1" s="187" t="s">
        <v>65</v>
      </c>
      <c r="G1" s="187"/>
      <c r="H1" s="187"/>
      <c r="I1" s="187"/>
      <c r="J1" s="187"/>
      <c r="K1" s="187"/>
      <c r="L1" s="187"/>
      <c r="M1" s="187"/>
      <c r="N1" s="187"/>
      <c r="O1" s="187"/>
      <c r="P1" s="24"/>
      <c r="Q1" s="24"/>
      <c r="R1" s="24"/>
      <c r="S1" s="24"/>
      <c r="T1" s="24"/>
      <c r="U1" s="24"/>
      <c r="V1" s="24"/>
      <c r="W1" s="24"/>
      <c r="X1" s="24"/>
      <c r="Y1" s="24"/>
      <c r="Z1" s="24"/>
      <c r="AA1" s="24"/>
      <c r="AB1" s="24"/>
      <c r="AC1" s="24"/>
      <c r="AD1" s="24"/>
      <c r="AE1" s="24"/>
      <c r="AF1" s="24"/>
      <c r="AG1" s="24"/>
      <c r="AH1" s="24"/>
      <c r="AI1" s="24"/>
      <c r="AJ1" s="24"/>
      <c r="AK1" s="24"/>
      <c r="AL1" s="24"/>
      <c r="AM1" s="24"/>
      <c r="AN1" s="24"/>
      <c r="AO1" s="24"/>
    </row>
    <row r="2" spans="1:498" s="7" customFormat="1" ht="15" customHeight="1">
      <c r="A2" s="24"/>
      <c r="B2" s="26" t="s">
        <v>50</v>
      </c>
      <c r="C2" s="24"/>
      <c r="D2" s="24"/>
      <c r="E2" s="24"/>
      <c r="F2" s="187"/>
      <c r="G2" s="187"/>
      <c r="H2" s="187"/>
      <c r="I2" s="187"/>
      <c r="J2" s="187"/>
      <c r="K2" s="187"/>
      <c r="L2" s="187"/>
      <c r="M2" s="187"/>
      <c r="N2" s="187"/>
      <c r="O2" s="187"/>
      <c r="P2" s="24"/>
      <c r="Q2" s="24"/>
      <c r="R2" s="24"/>
      <c r="S2" s="24"/>
      <c r="T2" s="24"/>
      <c r="U2" s="24"/>
      <c r="V2" s="24"/>
      <c r="W2" s="24"/>
      <c r="X2" s="24"/>
      <c r="Y2" s="24"/>
      <c r="Z2" s="24"/>
      <c r="AA2" s="24"/>
      <c r="AB2" s="24"/>
      <c r="AC2" s="24"/>
      <c r="AD2" s="24"/>
      <c r="AE2" s="24"/>
      <c r="AF2" s="24"/>
      <c r="AG2" s="24"/>
      <c r="AH2" s="24"/>
      <c r="AI2" s="24"/>
      <c r="AJ2" s="24"/>
      <c r="AK2" s="24"/>
      <c r="AL2" s="24"/>
      <c r="AM2" s="24"/>
      <c r="AN2" s="24"/>
      <c r="AO2" s="24"/>
    </row>
    <row r="3" spans="1:498" s="7" customFormat="1" ht="33" customHeight="1">
      <c r="A3" s="24"/>
      <c r="B3" s="201" t="s">
        <v>47</v>
      </c>
      <c r="C3" s="201"/>
      <c r="D3" s="201"/>
      <c r="E3" s="27"/>
      <c r="F3" s="188" t="s">
        <v>66</v>
      </c>
      <c r="G3" s="188"/>
      <c r="H3" s="188"/>
      <c r="I3" s="188"/>
      <c r="J3" s="188"/>
      <c r="K3" s="188"/>
      <c r="L3" s="188"/>
      <c r="M3" s="188"/>
      <c r="N3" s="188"/>
      <c r="O3" s="188"/>
      <c r="P3" s="28"/>
      <c r="Q3" s="24"/>
      <c r="R3" s="24"/>
      <c r="S3" s="24"/>
      <c r="T3" s="24"/>
      <c r="U3" s="24"/>
      <c r="V3" s="24"/>
      <c r="W3" s="24"/>
      <c r="X3" s="24"/>
      <c r="Y3" s="24"/>
      <c r="Z3" s="24"/>
      <c r="AA3" s="24"/>
      <c r="AB3" s="24"/>
      <c r="AC3" s="24"/>
      <c r="AD3" s="24"/>
      <c r="AE3" s="24"/>
      <c r="AF3" s="24"/>
      <c r="AG3" s="24"/>
      <c r="AH3" s="24"/>
      <c r="AI3" s="24"/>
      <c r="AJ3" s="24"/>
      <c r="AK3" s="24"/>
      <c r="AL3" s="24"/>
      <c r="AM3" s="24"/>
      <c r="AN3" s="24"/>
      <c r="AO3" s="24"/>
    </row>
    <row r="4" spans="1:498" s="1" customFormat="1" ht="22.5" customHeight="1" thickBot="1">
      <c r="A4" s="29"/>
      <c r="B4" s="30"/>
      <c r="C4" s="31"/>
      <c r="D4" s="31"/>
      <c r="E4" s="32"/>
      <c r="F4" s="188"/>
      <c r="G4" s="188"/>
      <c r="H4" s="188"/>
      <c r="I4" s="188"/>
      <c r="J4" s="188"/>
      <c r="K4" s="188"/>
      <c r="L4" s="188"/>
      <c r="M4" s="188"/>
      <c r="N4" s="188"/>
      <c r="O4" s="188"/>
      <c r="P4" s="33"/>
      <c r="Q4" s="29"/>
      <c r="R4" s="29"/>
      <c r="S4" s="29"/>
      <c r="T4" s="29"/>
      <c r="U4" s="29"/>
      <c r="V4" s="29"/>
      <c r="W4" s="29"/>
      <c r="X4" s="29"/>
      <c r="Y4" s="29"/>
      <c r="Z4" s="29"/>
      <c r="AA4" s="29"/>
      <c r="AB4" s="29"/>
      <c r="AC4" s="29"/>
      <c r="AD4" s="29"/>
      <c r="AE4" s="29"/>
      <c r="AF4" s="29"/>
      <c r="AG4" s="29"/>
      <c r="AH4" s="29"/>
      <c r="AI4" s="29"/>
      <c r="AJ4" s="29"/>
      <c r="AK4" s="29"/>
      <c r="AL4" s="29"/>
      <c r="AM4" s="29"/>
      <c r="AN4" s="29"/>
      <c r="AO4" s="29"/>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row>
    <row r="5" spans="1:498">
      <c r="A5" s="24"/>
      <c r="B5" s="34"/>
      <c r="C5" s="35" t="s">
        <v>16</v>
      </c>
      <c r="D5" s="36" t="s">
        <v>0</v>
      </c>
      <c r="E5" s="24"/>
      <c r="F5" s="188" t="s">
        <v>67</v>
      </c>
      <c r="G5" s="188"/>
      <c r="H5" s="188"/>
      <c r="I5" s="188"/>
      <c r="J5" s="188"/>
      <c r="K5" s="188"/>
      <c r="L5" s="188"/>
      <c r="M5" s="188"/>
      <c r="N5" s="188"/>
      <c r="O5" s="188"/>
      <c r="P5" s="33"/>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98" ht="15" customHeight="1">
      <c r="A6" s="37" t="s">
        <v>62</v>
      </c>
      <c r="B6" s="38" t="s">
        <v>34</v>
      </c>
      <c r="C6" s="39">
        <v>0</v>
      </c>
      <c r="D6" s="40">
        <v>6.8000000000000005E-2</v>
      </c>
      <c r="E6" s="41"/>
      <c r="F6" s="188"/>
      <c r="G6" s="188"/>
      <c r="H6" s="188"/>
      <c r="I6" s="188"/>
      <c r="J6" s="188"/>
      <c r="K6" s="188"/>
      <c r="L6" s="188"/>
      <c r="M6" s="188"/>
      <c r="N6" s="188"/>
      <c r="O6" s="188"/>
      <c r="P6" s="33"/>
      <c r="Q6" s="28"/>
      <c r="R6" s="28"/>
      <c r="S6" s="28"/>
      <c r="T6" s="28"/>
      <c r="U6" s="28"/>
      <c r="V6" s="28"/>
      <c r="W6" s="24"/>
      <c r="X6" s="24"/>
      <c r="Y6" s="24"/>
      <c r="Z6" s="24"/>
      <c r="AA6" s="24"/>
      <c r="AB6" s="24"/>
      <c r="AC6" s="24"/>
      <c r="AD6" s="24"/>
      <c r="AE6" s="24"/>
      <c r="AF6" s="24"/>
      <c r="AG6" s="24"/>
      <c r="AH6" s="24"/>
      <c r="AI6" s="24"/>
      <c r="AJ6" s="24"/>
      <c r="AK6" s="24"/>
      <c r="AL6" s="24"/>
      <c r="AM6" s="24"/>
      <c r="AN6" s="24"/>
      <c r="AO6" s="24"/>
    </row>
    <row r="7" spans="1:498" ht="14" customHeight="1">
      <c r="A7" s="24"/>
      <c r="B7" s="38" t="s">
        <v>33</v>
      </c>
      <c r="C7" s="39">
        <v>145000</v>
      </c>
      <c r="D7" s="40">
        <v>6.8000000000000005E-2</v>
      </c>
      <c r="E7" s="41"/>
      <c r="F7" s="189" t="s">
        <v>68</v>
      </c>
      <c r="G7" s="189"/>
      <c r="H7" s="189"/>
      <c r="I7" s="189"/>
      <c r="J7" s="189"/>
      <c r="K7" s="189"/>
      <c r="L7" s="189"/>
      <c r="M7" s="189"/>
      <c r="N7" s="189"/>
      <c r="O7" s="189"/>
      <c r="P7" s="33"/>
      <c r="Q7" s="28"/>
      <c r="R7" s="28"/>
      <c r="S7" s="28"/>
      <c r="T7" s="28"/>
      <c r="U7" s="28"/>
      <c r="V7" s="28"/>
      <c r="W7" s="24"/>
      <c r="X7" s="24"/>
      <c r="Y7" s="24"/>
      <c r="Z7" s="24"/>
      <c r="AA7" s="24"/>
      <c r="AB7" s="24"/>
      <c r="AC7" s="24"/>
      <c r="AD7" s="24"/>
      <c r="AE7" s="24"/>
      <c r="AF7" s="24"/>
      <c r="AG7" s="24"/>
      <c r="AH7" s="24"/>
      <c r="AI7" s="24"/>
      <c r="AJ7" s="24"/>
      <c r="AK7" s="24"/>
      <c r="AL7" s="24"/>
      <c r="AM7" s="24"/>
      <c r="AN7" s="24"/>
      <c r="AO7" s="24"/>
    </row>
    <row r="8" spans="1:498" ht="14" customHeight="1">
      <c r="A8" s="24"/>
      <c r="B8" s="38" t="s">
        <v>6</v>
      </c>
      <c r="C8" s="39"/>
      <c r="D8" s="40">
        <v>7.9000000000000001E-2</v>
      </c>
      <c r="E8" s="41"/>
      <c r="F8" s="190"/>
      <c r="G8" s="190"/>
      <c r="H8" s="190"/>
      <c r="I8" s="190"/>
      <c r="J8" s="190"/>
      <c r="K8" s="190"/>
      <c r="L8" s="190"/>
      <c r="M8" s="190"/>
      <c r="N8" s="190"/>
      <c r="O8" s="190"/>
      <c r="P8" s="33"/>
      <c r="Q8" s="28"/>
      <c r="R8" s="28"/>
      <c r="S8" s="28"/>
      <c r="T8" s="28"/>
      <c r="U8" s="28"/>
      <c r="V8" s="28"/>
      <c r="W8" s="24"/>
      <c r="X8" s="24"/>
      <c r="Y8" s="24"/>
      <c r="Z8" s="24"/>
      <c r="AA8" s="24"/>
      <c r="AB8" s="24"/>
      <c r="AC8" s="24"/>
      <c r="AD8" s="24"/>
      <c r="AE8" s="24"/>
      <c r="AF8" s="24"/>
      <c r="AG8" s="24"/>
      <c r="AH8" s="24"/>
      <c r="AI8" s="24"/>
      <c r="AJ8" s="24"/>
      <c r="AK8" s="24"/>
      <c r="AL8" s="24"/>
      <c r="AM8" s="24"/>
      <c r="AN8" s="24"/>
      <c r="AO8" s="24"/>
    </row>
    <row r="9" spans="1:498" ht="6" customHeight="1">
      <c r="A9" s="24"/>
      <c r="B9" s="42"/>
      <c r="C9" s="43"/>
      <c r="D9" s="44"/>
      <c r="E9" s="41"/>
      <c r="F9" s="190"/>
      <c r="G9" s="190"/>
      <c r="H9" s="190"/>
      <c r="I9" s="190"/>
      <c r="J9" s="190"/>
      <c r="K9" s="190"/>
      <c r="L9" s="190"/>
      <c r="M9" s="190"/>
      <c r="N9" s="190"/>
      <c r="O9" s="190"/>
      <c r="P9" s="33"/>
      <c r="Q9" s="28"/>
      <c r="R9" s="28"/>
      <c r="S9" s="28"/>
      <c r="T9" s="28"/>
      <c r="U9" s="28"/>
      <c r="V9" s="28"/>
      <c r="W9" s="24"/>
      <c r="X9" s="24"/>
      <c r="Y9" s="24"/>
      <c r="Z9" s="24"/>
      <c r="AA9" s="24"/>
      <c r="AB9" s="24"/>
      <c r="AC9" s="24"/>
      <c r="AD9" s="24"/>
      <c r="AE9" s="24"/>
      <c r="AF9" s="24"/>
      <c r="AG9" s="24"/>
      <c r="AH9" s="24"/>
      <c r="AI9" s="24"/>
      <c r="AJ9" s="24"/>
      <c r="AK9" s="24"/>
      <c r="AL9" s="24"/>
      <c r="AM9" s="24"/>
      <c r="AN9" s="24"/>
      <c r="AO9" s="24"/>
    </row>
    <row r="10" spans="1:498" ht="14" customHeight="1">
      <c r="A10" s="24"/>
      <c r="B10" s="38" t="s">
        <v>5</v>
      </c>
      <c r="C10" s="18">
        <f>SUM(C6,C7,C8)</f>
        <v>145000</v>
      </c>
      <c r="D10" s="45">
        <f>IF(C10=0,"",CEILING((((C6*D6)+(C7*D7)+(C8*D8))/C10),0.00125)+N("Weighted Average"))</f>
        <v>6.8750000000000006E-2</v>
      </c>
      <c r="E10" s="41"/>
      <c r="F10" s="190"/>
      <c r="G10" s="190"/>
      <c r="H10" s="190"/>
      <c r="I10" s="190"/>
      <c r="J10" s="190"/>
      <c r="K10" s="190"/>
      <c r="L10" s="190"/>
      <c r="M10" s="190"/>
      <c r="N10" s="190"/>
      <c r="O10" s="190"/>
      <c r="P10" s="33"/>
      <c r="Q10" s="28"/>
      <c r="R10" s="28"/>
      <c r="S10" s="28"/>
      <c r="T10" s="28"/>
      <c r="U10" s="28"/>
      <c r="V10" s="28"/>
      <c r="W10" s="24"/>
      <c r="X10" s="24"/>
      <c r="Y10" s="24"/>
      <c r="Z10" s="24"/>
      <c r="AA10" s="24"/>
      <c r="AB10" s="24"/>
      <c r="AC10" s="24"/>
      <c r="AD10" s="24"/>
      <c r="AE10" s="24"/>
      <c r="AF10" s="24"/>
      <c r="AG10" s="24"/>
      <c r="AH10" s="24"/>
      <c r="AI10" s="24"/>
      <c r="AJ10" s="24"/>
      <c r="AK10" s="24"/>
      <c r="AL10" s="24"/>
      <c r="AM10" s="24"/>
      <c r="AN10" s="24"/>
      <c r="AO10" s="24"/>
    </row>
    <row r="11" spans="1:498" ht="15" hidden="1" customHeight="1">
      <c r="A11" s="24"/>
      <c r="B11" s="46" t="s">
        <v>1</v>
      </c>
      <c r="C11" s="9">
        <f>CEILING(D10, 0.00125)</f>
        <v>6.8750000000000006E-2</v>
      </c>
      <c r="D11" s="22"/>
      <c r="E11" s="24"/>
      <c r="F11" s="47"/>
      <c r="G11" s="47"/>
      <c r="H11" s="47"/>
      <c r="I11" s="47"/>
      <c r="J11" s="47"/>
      <c r="K11" s="47"/>
      <c r="L11" s="47"/>
      <c r="M11" s="47"/>
      <c r="N11" s="47"/>
      <c r="O11" s="47"/>
      <c r="P11" s="33"/>
      <c r="Q11" s="28"/>
      <c r="R11" s="28"/>
      <c r="S11" s="28"/>
      <c r="T11" s="28"/>
      <c r="U11" s="28"/>
      <c r="V11" s="28"/>
      <c r="W11" s="24"/>
      <c r="X11" s="24"/>
      <c r="Y11" s="24"/>
      <c r="Z11" s="24"/>
      <c r="AA11" s="24"/>
      <c r="AB11" s="24"/>
      <c r="AC11" s="24"/>
      <c r="AD11" s="24"/>
      <c r="AE11" s="24"/>
      <c r="AF11" s="24"/>
      <c r="AG11" s="24"/>
      <c r="AH11" s="24"/>
      <c r="AI11" s="24"/>
      <c r="AJ11" s="24"/>
      <c r="AK11" s="24"/>
      <c r="AL11" s="24"/>
      <c r="AM11" s="24"/>
      <c r="AN11" s="24"/>
      <c r="AO11" s="24"/>
    </row>
    <row r="12" spans="1:498" ht="15" hidden="1" customHeight="1">
      <c r="A12" s="24"/>
      <c r="B12" s="46" t="s">
        <v>2</v>
      </c>
      <c r="C12" s="48">
        <v>12</v>
      </c>
      <c r="D12" s="22"/>
      <c r="E12" s="24"/>
      <c r="F12" s="47"/>
      <c r="G12" s="47"/>
      <c r="H12" s="47"/>
      <c r="I12" s="47"/>
      <c r="J12" s="47"/>
      <c r="K12" s="47"/>
      <c r="L12" s="47"/>
      <c r="M12" s="47"/>
      <c r="N12" s="47"/>
      <c r="O12" s="47"/>
      <c r="P12" s="33"/>
      <c r="Q12" s="28"/>
      <c r="R12" s="28"/>
      <c r="S12" s="28"/>
      <c r="T12" s="28"/>
      <c r="U12" s="28"/>
      <c r="V12" s="28"/>
      <c r="W12" s="24"/>
      <c r="X12" s="24"/>
      <c r="Y12" s="24"/>
      <c r="Z12" s="24"/>
      <c r="AA12" s="24"/>
      <c r="AB12" s="24"/>
      <c r="AC12" s="24"/>
      <c r="AD12" s="24"/>
      <c r="AE12" s="24"/>
      <c r="AF12" s="24"/>
      <c r="AG12" s="24"/>
      <c r="AH12" s="24"/>
      <c r="AI12" s="24"/>
      <c r="AJ12" s="24"/>
      <c r="AK12" s="24"/>
      <c r="AL12" s="24"/>
      <c r="AM12" s="24"/>
      <c r="AN12" s="24"/>
      <c r="AO12" s="24"/>
    </row>
    <row r="13" spans="1:498" ht="6" customHeight="1">
      <c r="A13" s="24"/>
      <c r="B13" s="49"/>
      <c r="C13" s="50"/>
      <c r="D13" s="51"/>
      <c r="E13" s="24"/>
      <c r="F13" s="191" t="s">
        <v>72</v>
      </c>
      <c r="G13" s="191"/>
      <c r="H13" s="191"/>
      <c r="I13" s="191"/>
      <c r="J13" s="191"/>
      <c r="K13" s="191"/>
      <c r="L13" s="191"/>
      <c r="M13" s="191"/>
      <c r="N13" s="191"/>
      <c r="O13" s="191"/>
      <c r="P13" s="33"/>
      <c r="Q13" s="28"/>
      <c r="R13" s="28"/>
      <c r="S13" s="28"/>
      <c r="T13" s="28"/>
      <c r="U13" s="28"/>
      <c r="V13" s="28"/>
      <c r="W13" s="24"/>
      <c r="X13" s="24"/>
      <c r="Y13" s="24"/>
      <c r="Z13" s="24"/>
      <c r="AA13" s="24"/>
      <c r="AB13" s="24"/>
      <c r="AC13" s="24"/>
      <c r="AD13" s="24"/>
      <c r="AE13" s="24"/>
      <c r="AF13" s="24"/>
      <c r="AG13" s="24"/>
      <c r="AH13" s="24"/>
      <c r="AI13" s="24"/>
      <c r="AJ13" s="24"/>
      <c r="AK13" s="24"/>
      <c r="AL13" s="24"/>
      <c r="AM13" s="24"/>
      <c r="AN13" s="24"/>
      <c r="AO13" s="24"/>
    </row>
    <row r="14" spans="1:498" ht="14" hidden="1" customHeight="1">
      <c r="A14" s="24"/>
      <c r="B14" s="46" t="s">
        <v>36</v>
      </c>
      <c r="C14" s="20" t="s">
        <v>48</v>
      </c>
      <c r="D14" s="21" t="str">
        <f>IF(C14="Old","Old IBR",IF(C14="New","New IBR","Error"))</f>
        <v>Old IBR</v>
      </c>
      <c r="E14" s="24"/>
      <c r="F14" s="191"/>
      <c r="G14" s="191"/>
      <c r="H14" s="191"/>
      <c r="I14" s="191"/>
      <c r="J14" s="191"/>
      <c r="K14" s="191"/>
      <c r="L14" s="191"/>
      <c r="M14" s="191"/>
      <c r="N14" s="191"/>
      <c r="O14" s="191"/>
      <c r="P14" s="33"/>
      <c r="Q14" s="28"/>
      <c r="R14" s="28"/>
      <c r="S14" s="28"/>
      <c r="T14" s="28"/>
      <c r="U14" s="28"/>
      <c r="V14" s="28"/>
      <c r="W14" s="24"/>
      <c r="X14" s="24"/>
      <c r="Y14" s="24"/>
      <c r="Z14" s="24"/>
      <c r="AA14" s="24"/>
      <c r="AB14" s="24"/>
      <c r="AC14" s="24"/>
      <c r="AD14" s="24"/>
      <c r="AE14" s="24"/>
      <c r="AF14" s="24"/>
      <c r="AG14" s="24"/>
      <c r="AH14" s="24"/>
      <c r="AI14" s="24"/>
      <c r="AJ14" s="24"/>
      <c r="AK14" s="24"/>
      <c r="AL14" s="24"/>
      <c r="AM14" s="24"/>
      <c r="AN14" s="24"/>
      <c r="AO14" s="24"/>
    </row>
    <row r="15" spans="1:498" ht="14" hidden="1" customHeight="1">
      <c r="A15" s="24"/>
      <c r="B15" s="46" t="s">
        <v>3</v>
      </c>
      <c r="C15" s="19">
        <f>IF(C14="Old",0.15,IF(C14="New",0.1,"Error"))</f>
        <v>0.15</v>
      </c>
      <c r="D15" s="22"/>
      <c r="E15" s="24"/>
      <c r="F15" s="191"/>
      <c r="G15" s="191"/>
      <c r="H15" s="191"/>
      <c r="I15" s="191"/>
      <c r="J15" s="191"/>
      <c r="K15" s="191"/>
      <c r="L15" s="191"/>
      <c r="M15" s="191"/>
      <c r="N15" s="191"/>
      <c r="O15" s="191"/>
      <c r="P15" s="33"/>
      <c r="Q15" s="28"/>
      <c r="R15" s="28"/>
      <c r="S15" s="28"/>
      <c r="T15" s="28"/>
      <c r="U15" s="28"/>
      <c r="V15" s="28"/>
      <c r="W15" s="24"/>
      <c r="X15" s="24"/>
      <c r="Y15" s="24"/>
      <c r="Z15" s="24"/>
      <c r="AA15" s="24"/>
      <c r="AB15" s="24"/>
      <c r="AC15" s="24"/>
      <c r="AD15" s="24"/>
      <c r="AE15" s="52"/>
      <c r="AF15" s="24"/>
      <c r="AG15" s="24"/>
      <c r="AH15" s="24"/>
      <c r="AI15" s="24"/>
      <c r="AJ15" s="24"/>
      <c r="AK15" s="24"/>
      <c r="AL15" s="24"/>
      <c r="AM15" s="24"/>
      <c r="AN15" s="24"/>
      <c r="AO15" s="24"/>
    </row>
    <row r="16" spans="1:498" ht="14" hidden="1" customHeight="1">
      <c r="A16" s="24"/>
      <c r="B16" s="46" t="s">
        <v>4</v>
      </c>
      <c r="C16" s="23">
        <v>0</v>
      </c>
      <c r="D16" s="53"/>
      <c r="E16" s="24"/>
      <c r="F16" s="191"/>
      <c r="G16" s="191"/>
      <c r="H16" s="191"/>
      <c r="I16" s="191"/>
      <c r="J16" s="191"/>
      <c r="K16" s="191"/>
      <c r="L16" s="191"/>
      <c r="M16" s="191"/>
      <c r="N16" s="191"/>
      <c r="O16" s="191"/>
      <c r="P16" s="33"/>
      <c r="Q16" s="28"/>
      <c r="R16" s="28"/>
      <c r="S16" s="28"/>
      <c r="T16" s="28"/>
      <c r="U16" s="28"/>
      <c r="V16" s="28"/>
      <c r="W16" s="24"/>
      <c r="X16" s="24"/>
      <c r="Y16" s="24"/>
      <c r="Z16" s="24"/>
      <c r="AA16" s="24"/>
      <c r="AB16" s="24"/>
      <c r="AC16" s="24"/>
      <c r="AD16" s="24"/>
      <c r="AE16" s="52"/>
      <c r="AF16" s="24"/>
      <c r="AG16" s="24"/>
      <c r="AH16" s="24"/>
      <c r="AI16" s="24"/>
      <c r="AJ16" s="24"/>
      <c r="AK16" s="24"/>
      <c r="AL16" s="24"/>
      <c r="AM16" s="24"/>
      <c r="AN16" s="24"/>
      <c r="AO16" s="24"/>
    </row>
    <row r="17" spans="1:41" ht="14" customHeight="1">
      <c r="A17" s="37" t="s">
        <v>63</v>
      </c>
      <c r="B17" s="54" t="s">
        <v>39</v>
      </c>
      <c r="C17" s="55"/>
      <c r="D17" s="56"/>
      <c r="E17" s="24"/>
      <c r="F17" s="191"/>
      <c r="G17" s="191"/>
      <c r="H17" s="191"/>
      <c r="I17" s="191"/>
      <c r="J17" s="191"/>
      <c r="K17" s="191"/>
      <c r="L17" s="191"/>
      <c r="M17" s="191"/>
      <c r="N17" s="191"/>
      <c r="O17" s="191"/>
      <c r="P17" s="33"/>
      <c r="Q17" s="28"/>
      <c r="R17" s="28"/>
      <c r="S17" s="28"/>
      <c r="T17" s="28"/>
      <c r="U17" s="28"/>
      <c r="V17" s="28"/>
      <c r="W17" s="24"/>
      <c r="X17" s="24"/>
      <c r="Y17" s="24"/>
      <c r="Z17" s="24"/>
      <c r="AA17" s="24"/>
      <c r="AB17" s="24"/>
      <c r="AC17" s="24"/>
      <c r="AD17" s="24"/>
      <c r="AE17" s="52"/>
      <c r="AF17" s="24"/>
      <c r="AG17" s="24"/>
      <c r="AH17" s="24"/>
      <c r="AI17" s="24"/>
      <c r="AJ17" s="24"/>
      <c r="AK17" s="24"/>
      <c r="AL17" s="24"/>
      <c r="AM17" s="24"/>
      <c r="AN17" s="24"/>
      <c r="AO17" s="24"/>
    </row>
    <row r="18" spans="1:41" ht="15" customHeight="1">
      <c r="A18" s="24"/>
      <c r="B18" s="54" t="s">
        <v>40</v>
      </c>
      <c r="C18" s="55"/>
      <c r="D18" s="57"/>
      <c r="E18" s="24"/>
      <c r="F18" s="191"/>
      <c r="G18" s="191"/>
      <c r="H18" s="191"/>
      <c r="I18" s="191"/>
      <c r="J18" s="191"/>
      <c r="K18" s="191"/>
      <c r="L18" s="191"/>
      <c r="M18" s="191"/>
      <c r="N18" s="191"/>
      <c r="O18" s="191"/>
      <c r="P18" s="33"/>
      <c r="Q18" s="28"/>
      <c r="R18" s="28"/>
      <c r="S18" s="28"/>
      <c r="T18" s="28"/>
      <c r="U18" s="28"/>
      <c r="V18" s="28"/>
      <c r="W18" s="24"/>
      <c r="X18" s="24"/>
      <c r="Y18" s="24"/>
      <c r="Z18" s="24"/>
      <c r="AA18" s="24"/>
      <c r="AB18" s="24"/>
      <c r="AC18" s="24"/>
      <c r="AD18" s="24"/>
      <c r="AE18" s="52"/>
      <c r="AF18" s="24"/>
      <c r="AG18" s="24"/>
      <c r="AH18" s="24"/>
      <c r="AI18" s="24"/>
      <c r="AJ18" s="24"/>
      <c r="AK18" s="24"/>
      <c r="AL18" s="24"/>
      <c r="AM18" s="24"/>
      <c r="AN18" s="24"/>
      <c r="AO18" s="24"/>
    </row>
    <row r="19" spans="1:41" ht="14" customHeight="1">
      <c r="A19" s="24"/>
      <c r="B19" s="54" t="s">
        <v>41</v>
      </c>
      <c r="C19" s="55"/>
      <c r="D19" s="57"/>
      <c r="E19" s="24"/>
      <c r="F19" s="191"/>
      <c r="G19" s="191"/>
      <c r="H19" s="191"/>
      <c r="I19" s="191"/>
      <c r="J19" s="191"/>
      <c r="K19" s="191"/>
      <c r="L19" s="191"/>
      <c r="M19" s="191"/>
      <c r="N19" s="191"/>
      <c r="O19" s="191"/>
      <c r="P19" s="28"/>
      <c r="Q19" s="28"/>
      <c r="R19" s="28"/>
      <c r="S19" s="28"/>
      <c r="T19" s="28"/>
      <c r="U19" s="28"/>
      <c r="V19" s="28"/>
      <c r="W19" s="24"/>
      <c r="X19" s="24"/>
      <c r="Y19" s="24"/>
      <c r="Z19" s="24"/>
      <c r="AA19" s="24"/>
      <c r="AB19" s="24"/>
      <c r="AC19" s="24"/>
      <c r="AD19" s="24"/>
      <c r="AE19" s="52"/>
      <c r="AF19" s="24"/>
      <c r="AG19" s="24"/>
      <c r="AH19" s="24"/>
      <c r="AI19" s="24"/>
      <c r="AJ19" s="24"/>
      <c r="AK19" s="24"/>
      <c r="AL19" s="24"/>
      <c r="AM19" s="24"/>
      <c r="AN19" s="24"/>
      <c r="AO19" s="24"/>
    </row>
    <row r="20" spans="1:41" ht="14" customHeight="1">
      <c r="A20" s="24"/>
      <c r="B20" s="54" t="s">
        <v>42</v>
      </c>
      <c r="C20" s="55"/>
      <c r="D20" s="57"/>
      <c r="E20" s="24"/>
      <c r="F20" s="191"/>
      <c r="G20" s="191"/>
      <c r="H20" s="191"/>
      <c r="I20" s="191"/>
      <c r="J20" s="191"/>
      <c r="K20" s="191"/>
      <c r="L20" s="191"/>
      <c r="M20" s="191"/>
      <c r="N20" s="191"/>
      <c r="O20" s="191"/>
      <c r="P20" s="28"/>
      <c r="Q20" s="28"/>
      <c r="R20" s="28"/>
      <c r="S20" s="28"/>
      <c r="T20" s="28"/>
      <c r="U20" s="28"/>
      <c r="V20" s="28"/>
      <c r="W20" s="24"/>
      <c r="X20" s="24"/>
      <c r="Y20" s="24"/>
      <c r="Z20" s="24"/>
      <c r="AA20" s="24"/>
      <c r="AB20" s="24"/>
      <c r="AC20" s="24"/>
      <c r="AD20" s="24"/>
      <c r="AE20" s="52"/>
      <c r="AF20" s="24"/>
      <c r="AG20" s="24"/>
      <c r="AH20" s="24"/>
      <c r="AI20" s="24"/>
      <c r="AJ20" s="24"/>
      <c r="AK20" s="24"/>
      <c r="AL20" s="24"/>
      <c r="AM20" s="24"/>
      <c r="AN20" s="24"/>
      <c r="AO20" s="24"/>
    </row>
    <row r="21" spans="1:41" ht="15" customHeight="1" thickBot="1">
      <c r="A21" s="24"/>
      <c r="B21" s="58" t="s">
        <v>43</v>
      </c>
      <c r="C21" s="59"/>
      <c r="D21" s="60"/>
      <c r="E21" s="24"/>
      <c r="F21" s="191" t="s">
        <v>69</v>
      </c>
      <c r="G21" s="191"/>
      <c r="H21" s="191"/>
      <c r="I21" s="191"/>
      <c r="J21" s="191"/>
      <c r="K21" s="191"/>
      <c r="L21" s="191"/>
      <c r="M21" s="191"/>
      <c r="N21" s="191"/>
      <c r="O21" s="191"/>
      <c r="P21" s="28"/>
      <c r="Q21" s="28"/>
      <c r="R21" s="28"/>
      <c r="S21" s="28"/>
      <c r="T21" s="28"/>
      <c r="U21" s="28"/>
      <c r="V21" s="28"/>
      <c r="W21" s="24"/>
      <c r="X21" s="24"/>
      <c r="Y21" s="24"/>
      <c r="Z21" s="24"/>
      <c r="AA21" s="24"/>
      <c r="AB21" s="24"/>
      <c r="AC21" s="24"/>
      <c r="AD21" s="24"/>
      <c r="AE21" s="52"/>
      <c r="AF21" s="24"/>
      <c r="AG21" s="24"/>
      <c r="AH21" s="24"/>
      <c r="AI21" s="24"/>
      <c r="AJ21" s="24"/>
      <c r="AK21" s="24"/>
      <c r="AL21" s="24"/>
      <c r="AM21" s="24"/>
      <c r="AN21" s="24"/>
      <c r="AO21" s="24"/>
    </row>
    <row r="22" spans="1:41" ht="15" customHeight="1" thickBot="1">
      <c r="A22" s="24"/>
      <c r="B22" s="61"/>
      <c r="C22" s="2"/>
      <c r="D22" s="62"/>
      <c r="E22" s="24"/>
      <c r="F22" s="191"/>
      <c r="G22" s="191"/>
      <c r="H22" s="191"/>
      <c r="I22" s="191"/>
      <c r="J22" s="191"/>
      <c r="K22" s="191"/>
      <c r="L22" s="191"/>
      <c r="M22" s="191"/>
      <c r="N22" s="191"/>
      <c r="O22" s="191"/>
      <c r="P22" s="33"/>
      <c r="Q22" s="24"/>
      <c r="R22" s="24"/>
      <c r="S22" s="24"/>
      <c r="T22" s="24"/>
      <c r="U22" s="24"/>
      <c r="V22" s="24"/>
      <c r="W22" s="24"/>
      <c r="X22" s="24"/>
      <c r="Y22" s="24"/>
      <c r="Z22" s="24"/>
      <c r="AA22" s="24"/>
      <c r="AB22" s="24"/>
      <c r="AC22" s="24"/>
      <c r="AD22" s="24"/>
      <c r="AE22" s="52"/>
      <c r="AF22" s="24"/>
      <c r="AG22" s="24"/>
      <c r="AH22" s="24"/>
      <c r="AI22" s="24"/>
      <c r="AJ22" s="24"/>
      <c r="AK22" s="24"/>
      <c r="AL22" s="24"/>
      <c r="AM22" s="24"/>
      <c r="AN22" s="24"/>
      <c r="AO22" s="24"/>
    </row>
    <row r="23" spans="1:41" ht="15" hidden="1" customHeight="1">
      <c r="A23" s="24"/>
      <c r="B23" s="61"/>
      <c r="C23" s="3"/>
      <c r="D23" s="63"/>
      <c r="E23" s="24"/>
      <c r="F23" s="191"/>
      <c r="G23" s="191"/>
      <c r="H23" s="191"/>
      <c r="I23" s="191"/>
      <c r="J23" s="191"/>
      <c r="K23" s="191"/>
      <c r="L23" s="191"/>
      <c r="M23" s="191"/>
      <c r="N23" s="191"/>
      <c r="O23" s="191"/>
      <c r="P23" s="33"/>
      <c r="Q23" s="24"/>
      <c r="R23" s="24"/>
      <c r="S23" s="24"/>
      <c r="T23" s="24"/>
      <c r="U23" s="24"/>
      <c r="V23" s="24"/>
      <c r="W23" s="24"/>
      <c r="X23" s="24"/>
      <c r="Y23" s="24"/>
      <c r="Z23" s="24"/>
      <c r="AA23" s="24"/>
      <c r="AB23" s="24"/>
      <c r="AC23" s="24"/>
      <c r="AD23" s="24"/>
      <c r="AE23" s="52"/>
      <c r="AF23" s="24"/>
      <c r="AG23" s="24"/>
      <c r="AH23" s="24"/>
      <c r="AI23" s="24"/>
      <c r="AJ23" s="24"/>
      <c r="AK23" s="24"/>
      <c r="AL23" s="24"/>
      <c r="AM23" s="24"/>
      <c r="AN23" s="24"/>
      <c r="AO23" s="24"/>
    </row>
    <row r="24" spans="1:41" ht="15" hidden="1" customHeight="1">
      <c r="A24" s="24"/>
      <c r="B24" s="61"/>
      <c r="C24" s="3"/>
      <c r="D24" s="63"/>
      <c r="E24" s="24"/>
      <c r="F24" s="191"/>
      <c r="G24" s="191"/>
      <c r="H24" s="191"/>
      <c r="I24" s="191"/>
      <c r="J24" s="191"/>
      <c r="K24" s="191"/>
      <c r="L24" s="191"/>
      <c r="M24" s="191"/>
      <c r="N24" s="191"/>
      <c r="O24" s="191"/>
      <c r="P24" s="33"/>
      <c r="Q24" s="24"/>
      <c r="R24" s="24"/>
      <c r="S24" s="24"/>
      <c r="T24" s="24"/>
      <c r="U24" s="24"/>
      <c r="V24" s="24"/>
      <c r="W24" s="24"/>
      <c r="X24" s="24"/>
      <c r="Y24" s="24"/>
      <c r="Z24" s="24"/>
      <c r="AA24" s="24"/>
      <c r="AB24" s="24"/>
      <c r="AC24" s="24"/>
      <c r="AD24" s="24"/>
      <c r="AE24" s="52"/>
      <c r="AF24" s="24"/>
      <c r="AG24" s="24"/>
      <c r="AH24" s="24"/>
      <c r="AI24" s="24"/>
      <c r="AJ24" s="24"/>
      <c r="AK24" s="24"/>
      <c r="AL24" s="24"/>
      <c r="AM24" s="24"/>
      <c r="AN24" s="24"/>
      <c r="AO24" s="24"/>
    </row>
    <row r="25" spans="1:41" ht="15" hidden="1" customHeight="1">
      <c r="A25" s="24"/>
      <c r="B25" s="61"/>
      <c r="C25" s="5"/>
      <c r="D25" s="63"/>
      <c r="E25" s="24"/>
      <c r="F25" s="191"/>
      <c r="G25" s="191"/>
      <c r="H25" s="191"/>
      <c r="I25" s="191"/>
      <c r="J25" s="191"/>
      <c r="K25" s="191"/>
      <c r="L25" s="191"/>
      <c r="M25" s="191"/>
      <c r="N25" s="191"/>
      <c r="O25" s="191"/>
      <c r="P25" s="33"/>
      <c r="Q25" s="24"/>
      <c r="R25" s="24"/>
      <c r="S25" s="24"/>
      <c r="T25" s="24"/>
      <c r="U25" s="24"/>
      <c r="V25" s="24"/>
      <c r="W25" s="24"/>
      <c r="X25" s="24"/>
      <c r="Y25" s="24"/>
      <c r="Z25" s="24"/>
      <c r="AA25" s="24"/>
      <c r="AB25" s="24"/>
      <c r="AC25" s="24"/>
      <c r="AD25" s="24"/>
      <c r="AE25" s="52"/>
      <c r="AF25" s="24"/>
      <c r="AG25" s="24"/>
      <c r="AH25" s="24"/>
      <c r="AI25" s="24"/>
      <c r="AJ25" s="24"/>
      <c r="AK25" s="24"/>
      <c r="AL25" s="24"/>
      <c r="AM25" s="24"/>
      <c r="AN25" s="24"/>
      <c r="AO25" s="24"/>
    </row>
    <row r="26" spans="1:41" ht="15" hidden="1" customHeight="1">
      <c r="A26" s="24"/>
      <c r="B26" s="61" t="s">
        <v>31</v>
      </c>
      <c r="C26" s="8">
        <f>SUM(C7,C8)</f>
        <v>145000</v>
      </c>
      <c r="D26" s="64">
        <f>((C7*D7)+(C8*D8))/C26</f>
        <v>6.8000000000000005E-2</v>
      </c>
      <c r="E26" s="24"/>
      <c r="F26" s="191"/>
      <c r="G26" s="191"/>
      <c r="H26" s="191"/>
      <c r="I26" s="191"/>
      <c r="J26" s="191"/>
      <c r="K26" s="191"/>
      <c r="L26" s="191"/>
      <c r="M26" s="191"/>
      <c r="N26" s="191"/>
      <c r="O26" s="191"/>
      <c r="P26" s="33"/>
      <c r="Q26" s="24"/>
      <c r="R26" s="24"/>
      <c r="S26" s="24"/>
      <c r="T26" s="24"/>
      <c r="U26" s="24"/>
      <c r="V26" s="24"/>
      <c r="W26" s="24"/>
      <c r="X26" s="24"/>
      <c r="Y26" s="24"/>
      <c r="Z26" s="24"/>
      <c r="AA26" s="24"/>
      <c r="AB26" s="24"/>
      <c r="AC26" s="24"/>
      <c r="AD26" s="24"/>
      <c r="AE26" s="52"/>
      <c r="AF26" s="24"/>
      <c r="AG26" s="24"/>
      <c r="AH26" s="24"/>
      <c r="AI26" s="24"/>
      <c r="AJ26" s="24"/>
      <c r="AK26" s="24"/>
      <c r="AL26" s="24"/>
      <c r="AM26" s="24"/>
      <c r="AN26" s="24"/>
      <c r="AO26" s="24"/>
    </row>
    <row r="27" spans="1:41" ht="15" hidden="1" customHeight="1">
      <c r="A27" s="24"/>
      <c r="B27" s="61"/>
      <c r="C27" s="8"/>
      <c r="D27" s="62"/>
      <c r="E27" s="24"/>
      <c r="F27" s="191"/>
      <c r="G27" s="191"/>
      <c r="H27" s="191"/>
      <c r="I27" s="191"/>
      <c r="J27" s="191"/>
      <c r="K27" s="191"/>
      <c r="L27" s="191"/>
      <c r="M27" s="191"/>
      <c r="N27" s="191"/>
      <c r="O27" s="191"/>
      <c r="P27" s="33"/>
      <c r="Q27" s="24"/>
      <c r="R27" s="24"/>
      <c r="S27" s="24"/>
      <c r="T27" s="24"/>
      <c r="U27" s="24"/>
      <c r="V27" s="24"/>
      <c r="W27" s="24"/>
      <c r="X27" s="24"/>
      <c r="Y27" s="24"/>
      <c r="Z27" s="24"/>
      <c r="AA27" s="24"/>
      <c r="AB27" s="24"/>
      <c r="AC27" s="24"/>
      <c r="AD27" s="24"/>
      <c r="AE27" s="52"/>
      <c r="AF27" s="24"/>
      <c r="AG27" s="24"/>
      <c r="AH27" s="24"/>
      <c r="AI27" s="24"/>
      <c r="AJ27" s="24"/>
      <c r="AK27" s="24"/>
      <c r="AL27" s="24"/>
      <c r="AM27" s="24"/>
      <c r="AN27" s="24"/>
      <c r="AO27" s="24"/>
    </row>
    <row r="28" spans="1:41" ht="15" hidden="1" customHeight="1">
      <c r="A28" s="24"/>
      <c r="B28" s="61"/>
      <c r="C28" s="8"/>
      <c r="D28" s="64"/>
      <c r="E28" s="24"/>
      <c r="F28" s="191"/>
      <c r="G28" s="191"/>
      <c r="H28" s="191"/>
      <c r="I28" s="191"/>
      <c r="J28" s="191"/>
      <c r="K28" s="191"/>
      <c r="L28" s="191"/>
      <c r="M28" s="191"/>
      <c r="N28" s="191"/>
      <c r="O28" s="191"/>
      <c r="P28" s="33"/>
      <c r="Q28" s="24"/>
      <c r="R28" s="24"/>
      <c r="S28" s="24"/>
      <c r="T28" s="24"/>
      <c r="U28" s="24"/>
      <c r="V28" s="24"/>
      <c r="W28" s="24"/>
      <c r="X28" s="24"/>
      <c r="Y28" s="24"/>
      <c r="Z28" s="24"/>
      <c r="AA28" s="24"/>
      <c r="AB28" s="24"/>
      <c r="AC28" s="24"/>
      <c r="AD28" s="24"/>
      <c r="AE28" s="52"/>
      <c r="AF28" s="24"/>
      <c r="AG28" s="24"/>
      <c r="AH28" s="24"/>
      <c r="AI28" s="24"/>
      <c r="AJ28" s="24"/>
      <c r="AK28" s="24"/>
      <c r="AL28" s="24"/>
      <c r="AM28" s="24"/>
      <c r="AN28" s="24"/>
      <c r="AO28" s="24"/>
    </row>
    <row r="29" spans="1:41" ht="15" hidden="1" customHeight="1">
      <c r="A29" s="24"/>
      <c r="B29" s="61"/>
      <c r="C29" s="8"/>
      <c r="D29" s="64"/>
      <c r="E29" s="24"/>
      <c r="F29" s="191"/>
      <c r="G29" s="191"/>
      <c r="H29" s="191"/>
      <c r="I29" s="191"/>
      <c r="J29" s="191"/>
      <c r="K29" s="191"/>
      <c r="L29" s="191"/>
      <c r="M29" s="191"/>
      <c r="N29" s="191"/>
      <c r="O29" s="191"/>
      <c r="P29" s="33"/>
      <c r="Q29" s="24"/>
      <c r="R29" s="24"/>
      <c r="S29" s="24"/>
      <c r="T29" s="24"/>
      <c r="U29" s="24"/>
      <c r="V29" s="24"/>
      <c r="W29" s="24"/>
      <c r="X29" s="24"/>
      <c r="Y29" s="24"/>
      <c r="Z29" s="24"/>
      <c r="AA29" s="24"/>
      <c r="AB29" s="24"/>
      <c r="AC29" s="24"/>
      <c r="AD29" s="24"/>
      <c r="AE29" s="52"/>
      <c r="AF29" s="24"/>
      <c r="AG29" s="24"/>
      <c r="AH29" s="24"/>
      <c r="AI29" s="24"/>
      <c r="AJ29" s="24"/>
      <c r="AK29" s="24"/>
      <c r="AL29" s="24"/>
      <c r="AM29" s="24"/>
      <c r="AN29" s="24"/>
      <c r="AO29" s="24"/>
    </row>
    <row r="30" spans="1:41" ht="15" hidden="1" customHeight="1">
      <c r="A30" s="24"/>
      <c r="B30" s="61" t="s">
        <v>32</v>
      </c>
      <c r="C30" s="8">
        <f>C6</f>
        <v>0</v>
      </c>
      <c r="D30" s="64">
        <v>6.8000000000000005E-2</v>
      </c>
      <c r="E30" s="24"/>
      <c r="F30" s="191"/>
      <c r="G30" s="191"/>
      <c r="H30" s="191"/>
      <c r="I30" s="191"/>
      <c r="J30" s="191"/>
      <c r="K30" s="191"/>
      <c r="L30" s="191"/>
      <c r="M30" s="191"/>
      <c r="N30" s="191"/>
      <c r="O30" s="191"/>
      <c r="P30" s="33"/>
      <c r="Q30" s="24"/>
      <c r="R30" s="24"/>
      <c r="S30" s="24"/>
      <c r="T30" s="24"/>
      <c r="U30" s="24"/>
      <c r="V30" s="24"/>
      <c r="W30" s="24"/>
      <c r="X30" s="24"/>
      <c r="Y30" s="24"/>
      <c r="Z30" s="24"/>
      <c r="AA30" s="24"/>
      <c r="AB30" s="24"/>
      <c r="AC30" s="24"/>
      <c r="AD30" s="24"/>
      <c r="AE30" s="52"/>
      <c r="AF30" s="24"/>
      <c r="AG30" s="24"/>
      <c r="AH30" s="24"/>
      <c r="AI30" s="24"/>
      <c r="AJ30" s="24"/>
      <c r="AK30" s="24"/>
      <c r="AL30" s="24"/>
      <c r="AM30" s="24"/>
      <c r="AN30" s="24"/>
      <c r="AO30" s="24"/>
    </row>
    <row r="31" spans="1:41" ht="15" hidden="1" customHeight="1">
      <c r="A31" s="24"/>
      <c r="B31" s="61"/>
      <c r="C31" s="2"/>
      <c r="D31" s="64"/>
      <c r="E31" s="24"/>
      <c r="F31" s="191"/>
      <c r="G31" s="191"/>
      <c r="H31" s="191"/>
      <c r="I31" s="191"/>
      <c r="J31" s="191"/>
      <c r="K31" s="191"/>
      <c r="L31" s="191"/>
      <c r="M31" s="191"/>
      <c r="N31" s="191"/>
      <c r="O31" s="191"/>
      <c r="P31" s="33"/>
      <c r="Q31" s="24"/>
      <c r="R31" s="24"/>
      <c r="S31" s="24"/>
      <c r="T31" s="24"/>
      <c r="U31" s="24"/>
      <c r="V31" s="24"/>
      <c r="W31" s="24"/>
      <c r="X31" s="24"/>
      <c r="Y31" s="24"/>
      <c r="Z31" s="24"/>
      <c r="AA31" s="24"/>
      <c r="AB31" s="24"/>
      <c r="AC31" s="24"/>
      <c r="AD31" s="24"/>
      <c r="AE31" s="52"/>
      <c r="AF31" s="24"/>
      <c r="AG31" s="24"/>
      <c r="AH31" s="24"/>
      <c r="AI31" s="24"/>
      <c r="AJ31" s="24"/>
      <c r="AK31" s="24"/>
      <c r="AL31" s="24"/>
      <c r="AM31" s="24"/>
      <c r="AN31" s="24"/>
      <c r="AO31" s="24"/>
    </row>
    <row r="32" spans="1:41" ht="15" hidden="1" customHeight="1">
      <c r="A32" s="24"/>
      <c r="B32" s="61" t="s">
        <v>28</v>
      </c>
      <c r="C32" s="6">
        <f>C26/(C26+C30)</f>
        <v>1</v>
      </c>
      <c r="D32" s="64"/>
      <c r="E32" s="24"/>
      <c r="F32" s="191"/>
      <c r="G32" s="191"/>
      <c r="H32" s="191"/>
      <c r="I32" s="191"/>
      <c r="J32" s="191"/>
      <c r="K32" s="191"/>
      <c r="L32" s="191"/>
      <c r="M32" s="191"/>
      <c r="N32" s="191"/>
      <c r="O32" s="191"/>
      <c r="P32" s="33"/>
      <c r="Q32" s="24"/>
      <c r="R32" s="24"/>
      <c r="S32" s="24"/>
      <c r="T32" s="24"/>
      <c r="U32" s="24"/>
      <c r="V32" s="24"/>
      <c r="W32" s="24"/>
      <c r="X32" s="24"/>
      <c r="Y32" s="24"/>
      <c r="Z32" s="24"/>
      <c r="AA32" s="24"/>
      <c r="AB32" s="24"/>
      <c r="AC32" s="24"/>
      <c r="AD32" s="24"/>
      <c r="AE32" s="52"/>
      <c r="AF32" s="24"/>
      <c r="AG32" s="24"/>
      <c r="AH32" s="24"/>
      <c r="AI32" s="24"/>
      <c r="AJ32" s="24"/>
      <c r="AK32" s="24"/>
      <c r="AL32" s="24"/>
      <c r="AM32" s="24"/>
      <c r="AN32" s="24"/>
      <c r="AO32" s="24"/>
    </row>
    <row r="33" spans="1:41" ht="15" hidden="1" customHeight="1">
      <c r="A33" s="24"/>
      <c r="B33" s="61"/>
      <c r="C33" s="6"/>
      <c r="D33" s="64"/>
      <c r="E33" s="24"/>
      <c r="F33" s="191"/>
      <c r="G33" s="191"/>
      <c r="H33" s="191"/>
      <c r="I33" s="191"/>
      <c r="J33" s="191"/>
      <c r="K33" s="191"/>
      <c r="L33" s="191"/>
      <c r="M33" s="191"/>
      <c r="N33" s="191"/>
      <c r="O33" s="191"/>
      <c r="P33" s="33"/>
      <c r="Q33" s="24"/>
      <c r="R33" s="24"/>
      <c r="S33" s="24"/>
      <c r="T33" s="24"/>
      <c r="U33" s="24"/>
      <c r="V33" s="24"/>
      <c r="W33" s="24"/>
      <c r="X33" s="24"/>
      <c r="Y33" s="24"/>
      <c r="Z33" s="24"/>
      <c r="AA33" s="24"/>
      <c r="AB33" s="24"/>
      <c r="AC33" s="24"/>
      <c r="AD33" s="24"/>
      <c r="AE33" s="52"/>
      <c r="AF33" s="24"/>
      <c r="AG33" s="24"/>
      <c r="AH33" s="24"/>
      <c r="AI33" s="24"/>
      <c r="AJ33" s="24"/>
      <c r="AK33" s="24"/>
      <c r="AL33" s="24"/>
      <c r="AM33" s="24"/>
      <c r="AN33" s="24"/>
      <c r="AO33" s="24"/>
    </row>
    <row r="34" spans="1:41" ht="15" hidden="1" customHeight="1" thickBot="1">
      <c r="A34" s="24"/>
      <c r="B34" s="61"/>
      <c r="C34" s="65"/>
      <c r="D34" s="65"/>
      <c r="E34" s="24"/>
      <c r="F34" s="191"/>
      <c r="G34" s="191"/>
      <c r="H34" s="191"/>
      <c r="I34" s="191"/>
      <c r="J34" s="191"/>
      <c r="K34" s="191"/>
      <c r="L34" s="191"/>
      <c r="M34" s="191"/>
      <c r="N34" s="191"/>
      <c r="O34" s="191"/>
      <c r="P34" s="33"/>
      <c r="Q34" s="24"/>
      <c r="R34" s="24"/>
      <c r="S34" s="24"/>
      <c r="T34" s="24"/>
      <c r="U34" s="24"/>
      <c r="V34" s="24"/>
      <c r="W34" s="24"/>
      <c r="X34" s="24"/>
      <c r="Y34" s="24"/>
      <c r="Z34" s="24"/>
      <c r="AA34" s="24"/>
      <c r="AB34" s="24"/>
      <c r="AC34" s="24"/>
      <c r="AD34" s="24"/>
      <c r="AE34" s="52"/>
      <c r="AF34" s="24"/>
      <c r="AG34" s="24"/>
      <c r="AH34" s="24"/>
      <c r="AI34" s="24"/>
      <c r="AJ34" s="24"/>
      <c r="AK34" s="24"/>
      <c r="AL34" s="24"/>
      <c r="AM34" s="24"/>
      <c r="AN34" s="24"/>
      <c r="AO34" s="24"/>
    </row>
    <row r="35" spans="1:41">
      <c r="A35" s="24"/>
      <c r="B35" s="66" t="s">
        <v>56</v>
      </c>
      <c r="C35" s="67" t="s">
        <v>17</v>
      </c>
      <c r="D35" s="68" t="s">
        <v>30</v>
      </c>
      <c r="E35" s="24"/>
      <c r="F35" s="191"/>
      <c r="G35" s="191"/>
      <c r="H35" s="191"/>
      <c r="I35" s="191"/>
      <c r="J35" s="191"/>
      <c r="K35" s="191"/>
      <c r="L35" s="191"/>
      <c r="M35" s="191"/>
      <c r="N35" s="191"/>
      <c r="O35" s="191"/>
      <c r="P35" s="33"/>
      <c r="Q35" s="24"/>
      <c r="R35" s="24"/>
      <c r="S35" s="24"/>
      <c r="T35" s="24"/>
      <c r="U35" s="24"/>
      <c r="V35" s="24"/>
      <c r="W35" s="24"/>
      <c r="X35" s="24"/>
      <c r="Y35" s="24"/>
      <c r="Z35" s="24"/>
      <c r="AA35" s="24"/>
      <c r="AB35" s="24"/>
      <c r="AC35" s="24"/>
      <c r="AD35" s="24"/>
      <c r="AE35" s="52"/>
      <c r="AF35" s="24"/>
      <c r="AG35" s="24"/>
      <c r="AH35" s="24"/>
      <c r="AI35" s="24"/>
      <c r="AJ35" s="24"/>
      <c r="AK35" s="24"/>
      <c r="AL35" s="24"/>
      <c r="AM35" s="24"/>
      <c r="AN35" s="24"/>
      <c r="AO35" s="24"/>
    </row>
    <row r="36" spans="1:41" ht="14" customHeight="1">
      <c r="A36" s="37">
        <v>8</v>
      </c>
      <c r="B36" s="69" t="str">
        <f>IF(C14="Old","Old IBR",IF(C14="New","New IBR","Error"))</f>
        <v>Old IBR</v>
      </c>
      <c r="C36" s="16">
        <f>IF(C10=0,"",IF(F73="Ineligible","Ineligible",SUM(F59:AD59)))</f>
        <v>279227.7468578195</v>
      </c>
      <c r="D36" s="70">
        <f>IF(C10=0,"",IF(F73="Ineligible","Ineligible",IF(C15=0.1,Y62,IF(C15=0.15,AD62,"ERROR"))))</f>
        <v>0</v>
      </c>
      <c r="E36" s="24"/>
      <c r="F36" s="191"/>
      <c r="G36" s="191"/>
      <c r="H36" s="191"/>
      <c r="I36" s="191"/>
      <c r="J36" s="191"/>
      <c r="K36" s="191"/>
      <c r="L36" s="191"/>
      <c r="M36" s="191"/>
      <c r="N36" s="191"/>
      <c r="O36" s="191"/>
      <c r="P36" s="33"/>
      <c r="Q36" s="24"/>
      <c r="R36" s="24"/>
      <c r="S36" s="24"/>
      <c r="T36" s="24"/>
      <c r="U36" s="24"/>
      <c r="V36" s="24"/>
      <c r="W36" s="24"/>
      <c r="X36" s="24"/>
      <c r="Y36" s="24"/>
      <c r="Z36" s="24"/>
      <c r="AA36" s="24"/>
      <c r="AB36" s="24"/>
      <c r="AC36" s="24"/>
      <c r="AD36" s="24"/>
      <c r="AE36" s="52"/>
      <c r="AF36" s="24"/>
      <c r="AG36" s="24"/>
      <c r="AH36" s="24"/>
      <c r="AI36" s="24"/>
      <c r="AJ36" s="24"/>
      <c r="AK36" s="24"/>
      <c r="AL36" s="24"/>
      <c r="AM36" s="24"/>
      <c r="AN36" s="24"/>
      <c r="AO36" s="24"/>
    </row>
    <row r="37" spans="1:41">
      <c r="A37" s="24"/>
      <c r="B37" s="69" t="s">
        <v>59</v>
      </c>
      <c r="C37" s="16">
        <f>IF(C10=0,"",IF(F76="Ineligible","Ineligible",SUM(F64:Y64)))</f>
        <v>248892.14019427795</v>
      </c>
      <c r="D37" s="70">
        <f>IF(C10=0,"",IF(F76="Ineligible","Ineligible",Y70))</f>
        <v>94634.426629886919</v>
      </c>
      <c r="E37" s="24"/>
      <c r="F37" s="191"/>
      <c r="G37" s="191"/>
      <c r="H37" s="191"/>
      <c r="I37" s="191"/>
      <c r="J37" s="191"/>
      <c r="K37" s="191"/>
      <c r="L37" s="191"/>
      <c r="M37" s="191"/>
      <c r="N37" s="191"/>
      <c r="O37" s="191"/>
      <c r="P37" s="71"/>
      <c r="Q37" s="72"/>
      <c r="R37" s="72"/>
      <c r="S37" s="72"/>
      <c r="T37" s="72"/>
      <c r="U37" s="72"/>
      <c r="V37" s="72"/>
      <c r="W37" s="72"/>
      <c r="X37" s="72"/>
      <c r="Y37" s="72"/>
      <c r="Z37" s="72"/>
      <c r="AA37" s="72"/>
      <c r="AB37" s="72"/>
      <c r="AC37" s="72"/>
      <c r="AD37" s="72"/>
      <c r="AE37" s="73"/>
      <c r="AF37" s="72"/>
      <c r="AG37" s="72"/>
      <c r="AH37" s="72"/>
      <c r="AI37" s="72"/>
      <c r="AJ37" s="24"/>
      <c r="AK37" s="24"/>
      <c r="AL37" s="24"/>
      <c r="AM37" s="24"/>
      <c r="AN37" s="24"/>
      <c r="AO37" s="24"/>
    </row>
    <row r="38" spans="1:41">
      <c r="A38" s="24"/>
      <c r="B38" s="74" t="s">
        <v>54</v>
      </c>
      <c r="C38" s="75">
        <f>IF(C10=0,"",SUM(F84:O84)*12)</f>
        <v>200909.57029434032</v>
      </c>
      <c r="D38" s="76" t="str">
        <f>IF($C$10=0,"","N/A")</f>
        <v>N/A</v>
      </c>
      <c r="E38" s="24"/>
      <c r="F38" s="192" t="s">
        <v>70</v>
      </c>
      <c r="G38" s="192"/>
      <c r="H38" s="192"/>
      <c r="I38" s="192"/>
      <c r="J38" s="192"/>
      <c r="K38" s="192"/>
      <c r="L38" s="192"/>
      <c r="M38" s="192"/>
      <c r="N38" s="192"/>
      <c r="O38" s="192"/>
      <c r="P38" s="77"/>
      <c r="Q38" s="77"/>
      <c r="R38" s="77"/>
      <c r="S38" s="77"/>
      <c r="T38" s="77"/>
      <c r="U38" s="77"/>
      <c r="V38" s="77"/>
      <c r="W38" s="77"/>
      <c r="X38" s="77"/>
      <c r="Y38" s="77"/>
      <c r="Z38" s="77"/>
      <c r="AA38" s="77"/>
      <c r="AB38" s="77"/>
      <c r="AC38" s="77"/>
      <c r="AD38" s="77"/>
      <c r="AE38" s="77"/>
      <c r="AF38" s="77"/>
      <c r="AG38" s="77"/>
      <c r="AH38" s="77"/>
      <c r="AI38" s="77"/>
      <c r="AJ38" s="24"/>
      <c r="AK38" s="24"/>
      <c r="AL38" s="24"/>
      <c r="AM38" s="24"/>
      <c r="AN38" s="24"/>
      <c r="AO38" s="24"/>
    </row>
    <row r="39" spans="1:41">
      <c r="A39" s="24"/>
      <c r="B39" s="69" t="s">
        <v>37</v>
      </c>
      <c r="C39" s="78">
        <f>IF(C10=0,"",SUM(F82:AI82)*12)</f>
        <v>342916.8407386184</v>
      </c>
      <c r="D39" s="76" t="str">
        <f t="shared" ref="D39:D40" si="0">IF($C$10=0,"","N/A")</f>
        <v>N/A</v>
      </c>
      <c r="E39" s="24"/>
      <c r="F39" s="191" t="s">
        <v>71</v>
      </c>
      <c r="G39" s="191"/>
      <c r="H39" s="191"/>
      <c r="I39" s="191"/>
      <c r="J39" s="191"/>
      <c r="K39" s="191"/>
      <c r="L39" s="191"/>
      <c r="M39" s="191"/>
      <c r="N39" s="191"/>
      <c r="O39" s="191"/>
      <c r="P39" s="77"/>
      <c r="Q39" s="77"/>
      <c r="R39" s="77"/>
      <c r="S39" s="77"/>
      <c r="T39" s="77"/>
      <c r="U39" s="77"/>
      <c r="V39" s="77"/>
      <c r="W39" s="77"/>
      <c r="X39" s="77"/>
      <c r="Y39" s="77"/>
      <c r="Z39" s="77"/>
      <c r="AA39" s="77"/>
      <c r="AB39" s="77"/>
      <c r="AC39" s="77"/>
      <c r="AD39" s="77"/>
      <c r="AE39" s="77"/>
      <c r="AF39" s="77"/>
      <c r="AG39" s="77"/>
      <c r="AH39" s="77"/>
      <c r="AI39" s="77"/>
      <c r="AJ39" s="24"/>
      <c r="AK39" s="24"/>
      <c r="AL39" s="24"/>
      <c r="AM39" s="24"/>
      <c r="AN39" s="24"/>
      <c r="AO39" s="24"/>
    </row>
    <row r="40" spans="1:41">
      <c r="A40" s="24"/>
      <c r="B40" s="74" t="s">
        <v>38</v>
      </c>
      <c r="C40" s="78">
        <f>IF(C10=0,"",IF(K90="N/A","N/A",SUM(F90:AI90)*12))</f>
        <v>370829.88022105669</v>
      </c>
      <c r="D40" s="76" t="str">
        <f t="shared" si="0"/>
        <v>N/A</v>
      </c>
      <c r="E40" s="24"/>
      <c r="F40" s="191"/>
      <c r="G40" s="191"/>
      <c r="H40" s="191"/>
      <c r="I40" s="191"/>
      <c r="J40" s="191"/>
      <c r="K40" s="191"/>
      <c r="L40" s="191"/>
      <c r="M40" s="191"/>
      <c r="N40" s="191"/>
      <c r="O40" s="191"/>
      <c r="P40" s="77"/>
      <c r="Q40" s="77"/>
      <c r="R40" s="77"/>
      <c r="S40" s="77"/>
      <c r="T40" s="77"/>
      <c r="U40" s="77"/>
      <c r="V40" s="77"/>
      <c r="W40" s="77"/>
      <c r="X40" s="77"/>
      <c r="Y40" s="77"/>
      <c r="Z40" s="77"/>
      <c r="AA40" s="77"/>
      <c r="AB40" s="77"/>
      <c r="AC40" s="77"/>
      <c r="AD40" s="77"/>
      <c r="AE40" s="77"/>
      <c r="AF40" s="77"/>
      <c r="AG40" s="77"/>
      <c r="AH40" s="77"/>
      <c r="AI40" s="77"/>
      <c r="AJ40" s="24"/>
      <c r="AK40" s="24"/>
      <c r="AL40" s="24"/>
      <c r="AM40" s="24"/>
      <c r="AN40" s="24"/>
      <c r="AO40" s="24"/>
    </row>
    <row r="41" spans="1:41" ht="15" thickBot="1">
      <c r="A41" s="24"/>
      <c r="B41" s="79" t="s">
        <v>61</v>
      </c>
      <c r="C41" s="80">
        <f>IF(C10=0,"",IF(F104="Ineligible","Ineligible",SUM(F100:AD100)))</f>
        <v>274446.05504603114</v>
      </c>
      <c r="D41" s="81">
        <f>IF(C10=0,"",IF(F104="Ineligible","Ineligible",IF(
C10&lt;40000+N("If the loan balance is less than 40,000 THEN"),
Y106+N("The loan balance at 20 years")+N("If not, THEN"),
AD106)))</f>
        <v>0</v>
      </c>
      <c r="E41" s="24"/>
      <c r="F41" s="191"/>
      <c r="G41" s="191"/>
      <c r="H41" s="191"/>
      <c r="I41" s="191"/>
      <c r="J41" s="191"/>
      <c r="K41" s="191"/>
      <c r="L41" s="191"/>
      <c r="M41" s="191"/>
      <c r="N41" s="191"/>
      <c r="O41" s="191"/>
      <c r="P41" s="77"/>
      <c r="Q41" s="77"/>
      <c r="R41" s="77"/>
      <c r="S41" s="77"/>
      <c r="T41" s="77"/>
      <c r="U41" s="77"/>
      <c r="V41" s="77"/>
      <c r="W41" s="77"/>
      <c r="X41" s="77"/>
      <c r="Y41" s="77"/>
      <c r="Z41" s="77"/>
      <c r="AA41" s="77"/>
      <c r="AB41" s="77"/>
      <c r="AC41" s="77"/>
      <c r="AD41" s="77"/>
      <c r="AE41" s="77"/>
      <c r="AF41" s="77"/>
      <c r="AG41" s="77"/>
      <c r="AH41" s="77"/>
      <c r="AI41" s="77"/>
      <c r="AJ41" s="24"/>
      <c r="AK41" s="24"/>
      <c r="AL41" s="24"/>
      <c r="AM41" s="24"/>
      <c r="AN41" s="24"/>
      <c r="AO41" s="24"/>
    </row>
    <row r="42" spans="1:41">
      <c r="A42" s="24"/>
      <c r="B42" s="82"/>
      <c r="C42" s="83"/>
      <c r="D42" s="84"/>
      <c r="E42" s="24"/>
      <c r="F42" s="85"/>
      <c r="G42" s="85"/>
      <c r="H42" s="85"/>
      <c r="I42" s="85"/>
      <c r="J42" s="85"/>
      <c r="K42" s="85"/>
      <c r="L42" s="85"/>
      <c r="M42" s="85"/>
      <c r="N42" s="85"/>
      <c r="O42" s="85"/>
      <c r="P42" s="77"/>
      <c r="Q42" s="77"/>
      <c r="R42" s="77"/>
      <c r="S42" s="77"/>
      <c r="T42" s="77"/>
      <c r="U42" s="77"/>
      <c r="V42" s="77"/>
      <c r="W42" s="77"/>
      <c r="X42" s="77"/>
      <c r="Y42" s="77"/>
      <c r="Z42" s="77"/>
      <c r="AA42" s="77"/>
      <c r="AB42" s="77"/>
      <c r="AC42" s="77"/>
      <c r="AD42" s="77"/>
      <c r="AE42" s="77"/>
      <c r="AF42" s="77"/>
      <c r="AG42" s="77"/>
      <c r="AH42" s="77"/>
      <c r="AI42" s="77"/>
      <c r="AJ42" s="24"/>
      <c r="AK42" s="24"/>
      <c r="AL42" s="24"/>
      <c r="AM42" s="24"/>
      <c r="AN42" s="24"/>
      <c r="AO42" s="24"/>
    </row>
    <row r="43" spans="1:41">
      <c r="A43" s="24"/>
      <c r="B43" s="86" t="s">
        <v>51</v>
      </c>
      <c r="C43" s="83"/>
      <c r="D43" s="84"/>
      <c r="E43" s="24"/>
      <c r="F43" s="85"/>
      <c r="G43" s="85"/>
      <c r="H43" s="85"/>
      <c r="I43" s="85"/>
      <c r="J43" s="85"/>
      <c r="K43" s="85"/>
      <c r="L43" s="85"/>
      <c r="M43" s="85"/>
      <c r="N43" s="85"/>
      <c r="O43" s="85"/>
      <c r="P43" s="72"/>
      <c r="Q43" s="72"/>
      <c r="R43" s="72"/>
      <c r="S43" s="72"/>
      <c r="T43" s="72"/>
      <c r="U43" s="72"/>
      <c r="V43" s="72"/>
      <c r="W43" s="72"/>
      <c r="X43" s="72"/>
      <c r="Y43" s="72"/>
      <c r="Z43" s="72"/>
      <c r="AA43" s="72"/>
      <c r="AB43" s="72"/>
      <c r="AC43" s="72"/>
      <c r="AD43" s="72"/>
      <c r="AE43" s="73"/>
      <c r="AF43" s="72"/>
      <c r="AG43" s="72"/>
      <c r="AH43" s="72"/>
      <c r="AI43" s="72"/>
      <c r="AJ43" s="24"/>
      <c r="AK43" s="24"/>
      <c r="AL43" s="24"/>
      <c r="AM43" s="24"/>
      <c r="AN43" s="24"/>
      <c r="AO43" s="24"/>
    </row>
    <row r="44" spans="1:41" hidden="1">
      <c r="A44" s="24"/>
      <c r="B44" s="86"/>
      <c r="C44" s="83"/>
      <c r="D44" s="84"/>
      <c r="E44" s="24"/>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3"/>
      <c r="AF44" s="72"/>
      <c r="AG44" s="72"/>
      <c r="AH44" s="72"/>
      <c r="AI44" s="72"/>
      <c r="AJ44" s="24"/>
      <c r="AK44" s="24"/>
      <c r="AL44" s="24"/>
      <c r="AM44" s="24"/>
      <c r="AN44" s="24"/>
      <c r="AO44" s="24"/>
    </row>
    <row r="45" spans="1:41" hidden="1">
      <c r="A45" s="24"/>
      <c r="B45" s="86"/>
      <c r="C45" s="83"/>
      <c r="D45" s="8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52"/>
      <c r="AF45" s="24"/>
      <c r="AG45" s="24"/>
      <c r="AH45" s="24"/>
      <c r="AI45" s="24"/>
      <c r="AJ45" s="24"/>
      <c r="AK45" s="24"/>
      <c r="AL45" s="24"/>
      <c r="AM45" s="24"/>
      <c r="AN45" s="24"/>
      <c r="AO45" s="24"/>
    </row>
    <row r="46" spans="1:41" hidden="1">
      <c r="A46" s="24"/>
      <c r="B46" s="86"/>
      <c r="C46" s="83"/>
      <c r="D46" s="84"/>
      <c r="E46" s="24"/>
      <c r="F46" s="77">
        <v>68000</v>
      </c>
      <c r="G46" s="77">
        <f>F46*1.025</f>
        <v>69700</v>
      </c>
      <c r="H46" s="77">
        <f t="shared" ref="H46:H49" si="1">G46*1.025</f>
        <v>71442.5</v>
      </c>
      <c r="I46" s="77">
        <f t="shared" ref="I46:I49" si="2">H46*1.025</f>
        <v>73228.5625</v>
      </c>
      <c r="J46" s="77">
        <f t="shared" ref="J46:J49" si="3">I46*1.025</f>
        <v>75059.276562499988</v>
      </c>
      <c r="K46" s="77">
        <f t="shared" ref="K46:K49" si="4">J46*1.025</f>
        <v>76935.758476562478</v>
      </c>
      <c r="L46" s="77">
        <f t="shared" ref="L46:L49" si="5">K46*1.025</f>
        <v>78859.152438476536</v>
      </c>
      <c r="M46" s="77">
        <f t="shared" ref="M46:M49" si="6">L46*1.025</f>
        <v>80830.631249438447</v>
      </c>
      <c r="N46" s="77">
        <f t="shared" ref="N46:N49" si="7">M46*1.025</f>
        <v>82851.397030674401</v>
      </c>
      <c r="O46" s="77">
        <f t="shared" ref="O46:O49" si="8">N46*1.025</f>
        <v>84922.681956441258</v>
      </c>
      <c r="P46" s="77">
        <f t="shared" ref="P46:P49" si="9">O46*1.025</f>
        <v>87045.749005352278</v>
      </c>
      <c r="Q46" s="77">
        <f t="shared" ref="Q46:Q49" si="10">P46*1.025</f>
        <v>89221.89273048607</v>
      </c>
      <c r="R46" s="77">
        <f t="shared" ref="R46:R49" si="11">Q46*1.025</f>
        <v>91452.44004874822</v>
      </c>
      <c r="S46" s="77">
        <f t="shared" ref="S46:S49" si="12">R46*1.025</f>
        <v>93738.751049966915</v>
      </c>
      <c r="T46" s="77">
        <f t="shared" ref="T46:T49" si="13">S46*1.025</f>
        <v>96082.219826216082</v>
      </c>
      <c r="U46" s="77">
        <f t="shared" ref="U46:U49" si="14">T46*1.025</f>
        <v>98484.275321871479</v>
      </c>
      <c r="V46" s="77">
        <f t="shared" ref="V46:V49" si="15">U46*1.025</f>
        <v>100946.38220491826</v>
      </c>
      <c r="W46" s="77">
        <f t="shared" ref="W46:W49" si="16">V46*1.025</f>
        <v>103470.04176004122</v>
      </c>
      <c r="X46" s="77">
        <f t="shared" ref="X46:X49" si="17">W46*1.025</f>
        <v>106056.79280404224</v>
      </c>
      <c r="Y46" s="77">
        <f t="shared" ref="Y46:Y49" si="18">X46*1.025</f>
        <v>108708.21262414329</v>
      </c>
      <c r="Z46" s="77">
        <f t="shared" ref="Z46:Z49" si="19">Y46*1.025</f>
        <v>111425.91793974685</v>
      </c>
      <c r="AA46" s="77">
        <f t="shared" ref="AA46:AA49" si="20">Z46*1.025</f>
        <v>114211.56588824051</v>
      </c>
      <c r="AB46" s="77">
        <f t="shared" ref="AB46:AB49" si="21">AA46*1.025</f>
        <v>117066.85503544651</v>
      </c>
      <c r="AC46" s="77">
        <f t="shared" ref="AC46:AC49" si="22">AB46*1.025</f>
        <v>119993.52641133267</v>
      </c>
      <c r="AD46" s="77">
        <f t="shared" ref="AD46:AD49" si="23">AC46*1.025</f>
        <v>122993.36457161598</v>
      </c>
      <c r="AE46" s="77">
        <f t="shared" ref="AE46:AE49" si="24">AD46*1.025</f>
        <v>126068.19868590638</v>
      </c>
      <c r="AF46" s="77">
        <f t="shared" ref="AF46:AF49" si="25">AE46*1.025</f>
        <v>129219.90365305402</v>
      </c>
      <c r="AG46" s="77">
        <f t="shared" ref="AG46:AG49" si="26">AF46*1.025</f>
        <v>132450.40124438037</v>
      </c>
      <c r="AH46" s="77">
        <f t="shared" ref="AH46:AH49" si="27">AG46*1.025</f>
        <v>135761.66127548987</v>
      </c>
      <c r="AI46" s="77">
        <f t="shared" ref="AI46:AI49" si="28">AH46*1.025</f>
        <v>139155.70280737709</v>
      </c>
      <c r="AJ46" s="24"/>
      <c r="AK46" s="24"/>
      <c r="AL46" s="24"/>
      <c r="AM46" s="24"/>
      <c r="AN46" s="24"/>
      <c r="AO46" s="24"/>
    </row>
    <row r="47" spans="1:41" hidden="1">
      <c r="A47" s="24"/>
      <c r="B47" s="86"/>
      <c r="C47" s="83"/>
      <c r="D47" s="84"/>
      <c r="E47" s="24"/>
      <c r="F47" s="77">
        <v>100000</v>
      </c>
      <c r="G47" s="77">
        <f>F47*1.025</f>
        <v>102499.99999999999</v>
      </c>
      <c r="H47" s="77">
        <f t="shared" si="1"/>
        <v>105062.49999999997</v>
      </c>
      <c r="I47" s="77">
        <f t="shared" si="2"/>
        <v>107689.06249999996</v>
      </c>
      <c r="J47" s="77">
        <f t="shared" si="3"/>
        <v>110381.28906249994</v>
      </c>
      <c r="K47" s="77">
        <f t="shared" si="4"/>
        <v>113140.82128906243</v>
      </c>
      <c r="L47" s="77">
        <f t="shared" si="5"/>
        <v>115969.34182128898</v>
      </c>
      <c r="M47" s="77">
        <f t="shared" si="6"/>
        <v>118868.5753668212</v>
      </c>
      <c r="N47" s="77">
        <f t="shared" si="7"/>
        <v>121840.28975099172</v>
      </c>
      <c r="O47" s="77">
        <f t="shared" si="8"/>
        <v>124886.29699476651</v>
      </c>
      <c r="P47" s="77">
        <f t="shared" si="9"/>
        <v>128008.45441963566</v>
      </c>
      <c r="Q47" s="77">
        <f t="shared" si="10"/>
        <v>131208.66578012652</v>
      </c>
      <c r="R47" s="77">
        <f t="shared" si="11"/>
        <v>134488.88242462967</v>
      </c>
      <c r="S47" s="77">
        <f t="shared" si="12"/>
        <v>137851.10448524539</v>
      </c>
      <c r="T47" s="77">
        <f t="shared" si="13"/>
        <v>141297.38209737651</v>
      </c>
      <c r="U47" s="77">
        <f t="shared" si="14"/>
        <v>144829.81664981091</v>
      </c>
      <c r="V47" s="77">
        <f t="shared" si="15"/>
        <v>148450.56206605615</v>
      </c>
      <c r="W47" s="77">
        <f t="shared" si="16"/>
        <v>152161.82611770753</v>
      </c>
      <c r="X47" s="77">
        <f t="shared" si="17"/>
        <v>155965.87177065021</v>
      </c>
      <c r="Y47" s="77">
        <f t="shared" si="18"/>
        <v>159865.01856491645</v>
      </c>
      <c r="Z47" s="77">
        <f t="shared" si="19"/>
        <v>163861.64402903934</v>
      </c>
      <c r="AA47" s="77">
        <f t="shared" si="20"/>
        <v>167958.1851297653</v>
      </c>
      <c r="AB47" s="77">
        <f t="shared" si="21"/>
        <v>172157.13975800943</v>
      </c>
      <c r="AC47" s="77">
        <f t="shared" si="22"/>
        <v>176461.06825195966</v>
      </c>
      <c r="AD47" s="77">
        <f t="shared" si="23"/>
        <v>180872.59495825865</v>
      </c>
      <c r="AE47" s="77">
        <f t="shared" si="24"/>
        <v>185394.40983221511</v>
      </c>
      <c r="AF47" s="77">
        <f t="shared" si="25"/>
        <v>190029.27007802046</v>
      </c>
      <c r="AG47" s="77">
        <f t="shared" si="26"/>
        <v>194780.00182997095</v>
      </c>
      <c r="AH47" s="77">
        <f t="shared" si="27"/>
        <v>199649.50187572019</v>
      </c>
      <c r="AI47" s="77">
        <f t="shared" si="28"/>
        <v>204640.73942261317</v>
      </c>
      <c r="AJ47" s="24"/>
      <c r="AK47" s="24"/>
      <c r="AL47" s="24"/>
      <c r="AM47" s="24"/>
      <c r="AN47" s="24"/>
      <c r="AO47" s="24"/>
    </row>
    <row r="48" spans="1:41" hidden="1">
      <c r="A48" s="24"/>
      <c r="B48" s="86"/>
      <c r="C48" s="83"/>
      <c r="D48" s="84"/>
      <c r="E48" s="24"/>
      <c r="F48" s="77">
        <v>150000</v>
      </c>
      <c r="G48" s="77">
        <f>F48*1.025</f>
        <v>153750</v>
      </c>
      <c r="H48" s="77">
        <f t="shared" si="1"/>
        <v>157593.75</v>
      </c>
      <c r="I48" s="77">
        <f t="shared" si="2"/>
        <v>161533.59375</v>
      </c>
      <c r="J48" s="77">
        <f t="shared" si="3"/>
        <v>165571.93359375</v>
      </c>
      <c r="K48" s="77">
        <f t="shared" si="4"/>
        <v>169711.23193359372</v>
      </c>
      <c r="L48" s="77">
        <f t="shared" si="5"/>
        <v>173954.01273193356</v>
      </c>
      <c r="M48" s="77">
        <f t="shared" si="6"/>
        <v>178302.86305023188</v>
      </c>
      <c r="N48" s="77">
        <f t="shared" si="7"/>
        <v>182760.43462648767</v>
      </c>
      <c r="O48" s="77">
        <f t="shared" si="8"/>
        <v>187329.44549214985</v>
      </c>
      <c r="P48" s="77">
        <f t="shared" si="9"/>
        <v>192012.68162945358</v>
      </c>
      <c r="Q48" s="77">
        <f t="shared" si="10"/>
        <v>196812.9986701899</v>
      </c>
      <c r="R48" s="77">
        <f t="shared" si="11"/>
        <v>201733.32363694464</v>
      </c>
      <c r="S48" s="77">
        <f t="shared" si="12"/>
        <v>206776.65672786825</v>
      </c>
      <c r="T48" s="77">
        <f t="shared" si="13"/>
        <v>211946.07314606494</v>
      </c>
      <c r="U48" s="77">
        <f t="shared" si="14"/>
        <v>217244.72497471655</v>
      </c>
      <c r="V48" s="77">
        <f t="shared" si="15"/>
        <v>222675.84309908445</v>
      </c>
      <c r="W48" s="77">
        <f t="shared" si="16"/>
        <v>228242.73917656153</v>
      </c>
      <c r="X48" s="77">
        <f t="shared" si="17"/>
        <v>233948.80765597554</v>
      </c>
      <c r="Y48" s="77">
        <f t="shared" si="18"/>
        <v>239797.52784737491</v>
      </c>
      <c r="Z48" s="77">
        <f t="shared" si="19"/>
        <v>245792.46604355925</v>
      </c>
      <c r="AA48" s="77">
        <f t="shared" si="20"/>
        <v>251937.27769464822</v>
      </c>
      <c r="AB48" s="77">
        <f t="shared" si="21"/>
        <v>258235.7096370144</v>
      </c>
      <c r="AC48" s="77">
        <f t="shared" si="22"/>
        <v>264691.60237793974</v>
      </c>
      <c r="AD48" s="77">
        <f t="shared" si="23"/>
        <v>271308.89243738819</v>
      </c>
      <c r="AE48" s="77">
        <f t="shared" si="24"/>
        <v>278091.61474832287</v>
      </c>
      <c r="AF48" s="77">
        <f t="shared" si="25"/>
        <v>285043.9051170309</v>
      </c>
      <c r="AG48" s="77">
        <f t="shared" si="26"/>
        <v>292170.00274495664</v>
      </c>
      <c r="AH48" s="77">
        <f t="shared" si="27"/>
        <v>299474.2528135805</v>
      </c>
      <c r="AI48" s="77">
        <f t="shared" si="28"/>
        <v>306961.10913391999</v>
      </c>
      <c r="AJ48" s="24"/>
      <c r="AK48" s="24"/>
      <c r="AL48" s="24"/>
      <c r="AM48" s="24"/>
      <c r="AN48" s="24"/>
      <c r="AO48" s="24"/>
    </row>
    <row r="49" spans="1:498" hidden="1">
      <c r="A49" s="24"/>
      <c r="B49" s="86"/>
      <c r="C49" s="83"/>
      <c r="D49" s="84"/>
      <c r="E49" s="24"/>
      <c r="F49" s="77">
        <v>200000</v>
      </c>
      <c r="G49" s="77">
        <f>F49*1.025</f>
        <v>204999.99999999997</v>
      </c>
      <c r="H49" s="77">
        <f t="shared" si="1"/>
        <v>210124.99999999994</v>
      </c>
      <c r="I49" s="77">
        <f t="shared" si="2"/>
        <v>215378.12499999991</v>
      </c>
      <c r="J49" s="77">
        <f t="shared" si="3"/>
        <v>220762.57812499988</v>
      </c>
      <c r="K49" s="77">
        <f t="shared" si="4"/>
        <v>226281.64257812485</v>
      </c>
      <c r="L49" s="77">
        <f t="shared" si="5"/>
        <v>231938.68364257796</v>
      </c>
      <c r="M49" s="77">
        <f t="shared" si="6"/>
        <v>237737.1507336424</v>
      </c>
      <c r="N49" s="77">
        <f t="shared" si="7"/>
        <v>243680.57950198345</v>
      </c>
      <c r="O49" s="77">
        <f t="shared" si="8"/>
        <v>249772.59398953302</v>
      </c>
      <c r="P49" s="77">
        <f t="shared" si="9"/>
        <v>256016.90883927132</v>
      </c>
      <c r="Q49" s="77">
        <f t="shared" si="10"/>
        <v>262417.33156025305</v>
      </c>
      <c r="R49" s="77">
        <f t="shared" si="11"/>
        <v>268977.76484925934</v>
      </c>
      <c r="S49" s="77">
        <f t="shared" si="12"/>
        <v>275702.20897049078</v>
      </c>
      <c r="T49" s="77">
        <f t="shared" si="13"/>
        <v>282594.76419475302</v>
      </c>
      <c r="U49" s="77">
        <f t="shared" si="14"/>
        <v>289659.63329962181</v>
      </c>
      <c r="V49" s="77">
        <f t="shared" si="15"/>
        <v>296901.12413211231</v>
      </c>
      <c r="W49" s="77">
        <f t="shared" si="16"/>
        <v>304323.65223541507</v>
      </c>
      <c r="X49" s="77">
        <f t="shared" si="17"/>
        <v>311931.74354130041</v>
      </c>
      <c r="Y49" s="77">
        <f t="shared" si="18"/>
        <v>319730.0371298329</v>
      </c>
      <c r="Z49" s="77">
        <f t="shared" si="19"/>
        <v>327723.28805807867</v>
      </c>
      <c r="AA49" s="77">
        <f t="shared" si="20"/>
        <v>335916.37025953061</v>
      </c>
      <c r="AB49" s="77">
        <f t="shared" si="21"/>
        <v>344314.27951601887</v>
      </c>
      <c r="AC49" s="77">
        <f t="shared" si="22"/>
        <v>352922.13650391932</v>
      </c>
      <c r="AD49" s="77">
        <f t="shared" si="23"/>
        <v>361745.18991651729</v>
      </c>
      <c r="AE49" s="77">
        <f t="shared" si="24"/>
        <v>370788.81966443022</v>
      </c>
      <c r="AF49" s="77">
        <f t="shared" si="25"/>
        <v>380058.54015604092</v>
      </c>
      <c r="AG49" s="77">
        <f t="shared" si="26"/>
        <v>389560.0036599419</v>
      </c>
      <c r="AH49" s="77">
        <f t="shared" si="27"/>
        <v>399299.00375144038</v>
      </c>
      <c r="AI49" s="77">
        <f t="shared" si="28"/>
        <v>409281.47884522635</v>
      </c>
      <c r="AJ49" s="24"/>
      <c r="AK49" s="24"/>
      <c r="AL49" s="24"/>
      <c r="AM49" s="24"/>
      <c r="AN49" s="24"/>
      <c r="AO49" s="24"/>
    </row>
    <row r="50" spans="1:498" s="10" customFormat="1">
      <c r="A50" s="87"/>
      <c r="B50" s="88"/>
      <c r="C50" s="194" t="s">
        <v>29</v>
      </c>
      <c r="D50" s="194"/>
      <c r="E50" s="195"/>
      <c r="F50" s="89">
        <v>1</v>
      </c>
      <c r="G50" s="89">
        <f t="shared" ref="G50:AD50" si="29">F50+1</f>
        <v>2</v>
      </c>
      <c r="H50" s="89">
        <f t="shared" si="29"/>
        <v>3</v>
      </c>
      <c r="I50" s="89">
        <f t="shared" si="29"/>
        <v>4</v>
      </c>
      <c r="J50" s="89">
        <f t="shared" si="29"/>
        <v>5</v>
      </c>
      <c r="K50" s="89">
        <f t="shared" si="29"/>
        <v>6</v>
      </c>
      <c r="L50" s="89">
        <f t="shared" si="29"/>
        <v>7</v>
      </c>
      <c r="M50" s="89">
        <f t="shared" si="29"/>
        <v>8</v>
      </c>
      <c r="N50" s="89">
        <f t="shared" si="29"/>
        <v>9</v>
      </c>
      <c r="O50" s="89">
        <f t="shared" si="29"/>
        <v>10</v>
      </c>
      <c r="P50" s="89">
        <f t="shared" si="29"/>
        <v>11</v>
      </c>
      <c r="Q50" s="89">
        <f t="shared" si="29"/>
        <v>12</v>
      </c>
      <c r="R50" s="89">
        <f t="shared" si="29"/>
        <v>13</v>
      </c>
      <c r="S50" s="89">
        <f t="shared" si="29"/>
        <v>14</v>
      </c>
      <c r="T50" s="89">
        <f t="shared" si="29"/>
        <v>15</v>
      </c>
      <c r="U50" s="89">
        <f t="shared" si="29"/>
        <v>16</v>
      </c>
      <c r="V50" s="89">
        <f t="shared" si="29"/>
        <v>17</v>
      </c>
      <c r="W50" s="89">
        <f t="shared" si="29"/>
        <v>18</v>
      </c>
      <c r="X50" s="89">
        <f t="shared" si="29"/>
        <v>19</v>
      </c>
      <c r="Y50" s="89">
        <f t="shared" si="29"/>
        <v>20</v>
      </c>
      <c r="Z50" s="89">
        <f t="shared" si="29"/>
        <v>21</v>
      </c>
      <c r="AA50" s="89">
        <f t="shared" si="29"/>
        <v>22</v>
      </c>
      <c r="AB50" s="89">
        <f t="shared" si="29"/>
        <v>23</v>
      </c>
      <c r="AC50" s="89">
        <f t="shared" si="29"/>
        <v>24</v>
      </c>
      <c r="AD50" s="89">
        <f t="shared" si="29"/>
        <v>25</v>
      </c>
      <c r="AE50" s="89">
        <v>26</v>
      </c>
      <c r="AF50" s="89">
        <v>27</v>
      </c>
      <c r="AG50" s="89">
        <v>28</v>
      </c>
      <c r="AH50" s="89">
        <v>29</v>
      </c>
      <c r="AI50" s="89">
        <v>30</v>
      </c>
      <c r="AJ50" s="87"/>
      <c r="AK50" s="87"/>
      <c r="AL50" s="87"/>
      <c r="AM50" s="87"/>
      <c r="AN50" s="87"/>
      <c r="AO50" s="87"/>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c r="IW50" s="12"/>
      <c r="IX50" s="12"/>
      <c r="IY50" s="12"/>
      <c r="IZ50" s="12"/>
      <c r="JA50" s="12"/>
      <c r="JB50" s="12"/>
      <c r="JC50" s="12"/>
      <c r="JD50" s="12"/>
      <c r="JE50" s="12"/>
      <c r="JF50" s="12"/>
      <c r="JG50" s="12"/>
      <c r="JH50" s="12"/>
      <c r="JI50" s="12"/>
      <c r="JJ50" s="12"/>
      <c r="JK50" s="12"/>
      <c r="JL50" s="12"/>
      <c r="JM50" s="12"/>
      <c r="JN50" s="12"/>
      <c r="JO50" s="12"/>
      <c r="JP50" s="12"/>
      <c r="JQ50" s="12"/>
      <c r="JR50" s="12"/>
      <c r="JS50" s="12"/>
      <c r="JT50" s="12"/>
      <c r="JU50" s="12"/>
      <c r="JV50" s="12"/>
      <c r="JW50" s="12"/>
      <c r="JX50" s="12"/>
      <c r="JY50" s="12"/>
      <c r="JZ50" s="12"/>
      <c r="KA50" s="12"/>
      <c r="KB50" s="12"/>
      <c r="KC50" s="12"/>
      <c r="KD50" s="12"/>
      <c r="KE50" s="12"/>
      <c r="KF50" s="12"/>
      <c r="KG50" s="12"/>
      <c r="KH50" s="12"/>
      <c r="KI50" s="12"/>
      <c r="KJ50" s="12"/>
      <c r="KK50" s="12"/>
      <c r="KL50" s="12"/>
      <c r="KM50" s="12"/>
      <c r="KN50" s="12"/>
      <c r="KO50" s="12"/>
      <c r="KP50" s="12"/>
      <c r="KQ50" s="12"/>
      <c r="KR50" s="12"/>
      <c r="KS50" s="12"/>
      <c r="KT50" s="12"/>
      <c r="KU50" s="12"/>
      <c r="KV50" s="12"/>
      <c r="KW50" s="12"/>
      <c r="KX50" s="12"/>
      <c r="KY50" s="12"/>
      <c r="KZ50" s="12"/>
      <c r="LA50" s="12"/>
      <c r="LB50" s="12"/>
      <c r="LC50" s="12"/>
      <c r="LD50" s="12"/>
      <c r="LE50" s="12"/>
      <c r="LF50" s="12"/>
      <c r="LG50" s="12"/>
      <c r="LH50" s="12"/>
      <c r="LI50" s="12"/>
      <c r="LJ50" s="12"/>
      <c r="LK50" s="12"/>
      <c r="LL50" s="12"/>
      <c r="LM50" s="12"/>
      <c r="LN50" s="12"/>
      <c r="LO50" s="12"/>
      <c r="LP50" s="12"/>
      <c r="LQ50" s="12"/>
      <c r="LR50" s="12"/>
      <c r="LS50" s="12"/>
      <c r="LT50" s="12"/>
      <c r="LU50" s="12"/>
      <c r="LV50" s="12"/>
      <c r="LW50" s="12"/>
      <c r="LX50" s="12"/>
      <c r="LY50" s="12"/>
      <c r="LZ50" s="12"/>
      <c r="MA50" s="12"/>
      <c r="MB50" s="12"/>
      <c r="MC50" s="12"/>
      <c r="MD50" s="12"/>
      <c r="ME50" s="12"/>
      <c r="MF50" s="12"/>
      <c r="MG50" s="12"/>
      <c r="MH50" s="12"/>
      <c r="MI50" s="12"/>
      <c r="MJ50" s="12"/>
      <c r="MK50" s="12"/>
      <c r="ML50" s="12"/>
      <c r="MM50" s="12"/>
      <c r="MN50" s="12"/>
      <c r="MO50" s="12"/>
      <c r="MP50" s="12"/>
      <c r="MQ50" s="12"/>
      <c r="MR50" s="12"/>
      <c r="MS50" s="12"/>
      <c r="MT50" s="12"/>
      <c r="MU50" s="12"/>
      <c r="MV50" s="12"/>
      <c r="MW50" s="12"/>
      <c r="MX50" s="12"/>
      <c r="MY50" s="12"/>
      <c r="MZ50" s="12"/>
      <c r="NA50" s="12"/>
      <c r="NB50" s="12"/>
      <c r="NC50" s="12"/>
      <c r="ND50" s="12"/>
      <c r="NE50" s="12"/>
      <c r="NF50" s="12"/>
      <c r="NG50" s="12"/>
      <c r="NH50" s="12"/>
      <c r="NI50" s="12"/>
      <c r="NJ50" s="12"/>
      <c r="NK50" s="12"/>
      <c r="NL50" s="12"/>
      <c r="NM50" s="12"/>
      <c r="NN50" s="12"/>
      <c r="NO50" s="12"/>
      <c r="NP50" s="12"/>
      <c r="NQ50" s="12"/>
      <c r="NR50" s="12"/>
      <c r="NS50" s="12"/>
      <c r="NT50" s="12"/>
      <c r="NU50" s="12"/>
      <c r="NV50" s="12"/>
      <c r="NW50" s="12"/>
      <c r="NX50" s="12"/>
      <c r="NY50" s="12"/>
      <c r="NZ50" s="12"/>
      <c r="OA50" s="12"/>
      <c r="OB50" s="12"/>
      <c r="OC50" s="12"/>
      <c r="OD50" s="12"/>
      <c r="OE50" s="12"/>
      <c r="OF50" s="12"/>
      <c r="OG50" s="12"/>
      <c r="OH50" s="12"/>
      <c r="OI50" s="12"/>
      <c r="OJ50" s="12"/>
      <c r="OK50" s="12"/>
      <c r="OL50" s="12"/>
      <c r="OM50" s="12"/>
      <c r="ON50" s="12"/>
      <c r="OO50" s="12"/>
      <c r="OP50" s="12"/>
      <c r="OQ50" s="12"/>
      <c r="OR50" s="12"/>
      <c r="OS50" s="12"/>
      <c r="OT50" s="12"/>
      <c r="OU50" s="12"/>
      <c r="OV50" s="12"/>
      <c r="OW50" s="12"/>
      <c r="OX50" s="12"/>
      <c r="OY50" s="12"/>
      <c r="OZ50" s="12"/>
      <c r="PA50" s="12"/>
      <c r="PB50" s="12"/>
      <c r="PC50" s="12"/>
      <c r="PD50" s="12"/>
      <c r="PE50" s="12"/>
      <c r="PF50" s="12"/>
      <c r="PG50" s="12"/>
      <c r="PH50" s="12"/>
      <c r="PI50" s="12"/>
      <c r="PJ50" s="12"/>
      <c r="PK50" s="12"/>
      <c r="PL50" s="12"/>
      <c r="PM50" s="12"/>
      <c r="PN50" s="12"/>
      <c r="PO50" s="12"/>
      <c r="PP50" s="12"/>
      <c r="PQ50" s="12"/>
      <c r="PR50" s="12"/>
      <c r="PS50" s="12"/>
      <c r="PT50" s="12"/>
      <c r="PU50" s="12"/>
      <c r="PV50" s="12"/>
      <c r="PW50" s="12"/>
      <c r="PX50" s="12"/>
      <c r="PY50" s="12"/>
      <c r="PZ50" s="12"/>
      <c r="QA50" s="12"/>
      <c r="QB50" s="12"/>
      <c r="QC50" s="12"/>
      <c r="QD50" s="12"/>
      <c r="QE50" s="12"/>
      <c r="QF50" s="12"/>
      <c r="QG50" s="12"/>
      <c r="QH50" s="12"/>
      <c r="QI50" s="12"/>
      <c r="QJ50" s="12"/>
      <c r="QK50" s="12"/>
      <c r="QL50" s="12"/>
      <c r="QM50" s="12"/>
      <c r="QN50" s="12"/>
      <c r="QO50" s="12"/>
      <c r="QP50" s="12"/>
      <c r="QQ50" s="12"/>
      <c r="QR50" s="12"/>
      <c r="QS50" s="12"/>
      <c r="QT50" s="12"/>
      <c r="QU50" s="12"/>
      <c r="QV50" s="12"/>
      <c r="QW50" s="12"/>
      <c r="QX50" s="12"/>
      <c r="QY50" s="12"/>
      <c r="QZ50" s="12"/>
      <c r="RA50" s="12"/>
      <c r="RB50" s="12"/>
      <c r="RC50" s="12"/>
      <c r="RD50" s="12"/>
      <c r="RE50" s="12"/>
      <c r="RF50" s="12"/>
      <c r="RG50" s="12"/>
      <c r="RH50" s="12"/>
      <c r="RI50" s="12"/>
      <c r="RJ50" s="12"/>
      <c r="RK50" s="12"/>
      <c r="RL50" s="12"/>
      <c r="RM50" s="12"/>
      <c r="RN50" s="12"/>
      <c r="RO50" s="12"/>
      <c r="RP50" s="12"/>
      <c r="RQ50" s="12"/>
      <c r="RR50" s="12"/>
      <c r="RS50" s="12"/>
      <c r="RT50" s="12"/>
      <c r="RU50" s="12"/>
      <c r="RV50" s="12"/>
      <c r="RW50" s="12"/>
      <c r="RX50" s="12"/>
      <c r="RY50" s="12"/>
      <c r="RZ50" s="12"/>
      <c r="SA50" s="12"/>
      <c r="SB50" s="12"/>
      <c r="SC50" s="12"/>
      <c r="SD50" s="12"/>
    </row>
    <row r="51" spans="1:498" s="10" customFormat="1" hidden="1">
      <c r="A51" s="87"/>
      <c r="B51" s="88" t="s">
        <v>4</v>
      </c>
      <c r="C51" s="90"/>
      <c r="D51" s="90"/>
      <c r="E51" s="91"/>
      <c r="F51" s="92">
        <f t="shared" ref="F51:AI51" si="30">IF(AND($C$21&lt;=F50,$C$21&lt;&gt;0),5,IF(AND($C$20&lt;=F50,$C$20&lt;&gt;0),4,IF(AND($C$19&lt;=F50,$C$19&lt;&gt;0),3,IF(AND($C$18&lt;=F50,$C$18&lt;&gt;0),2,IF(AND($C$17&lt;=F50,$C$17&lt;&gt;0),1,0)))))</f>
        <v>0</v>
      </c>
      <c r="G51" s="92">
        <f t="shared" si="30"/>
        <v>0</v>
      </c>
      <c r="H51" s="92">
        <f t="shared" si="30"/>
        <v>0</v>
      </c>
      <c r="I51" s="92">
        <f t="shared" si="30"/>
        <v>0</v>
      </c>
      <c r="J51" s="92">
        <f t="shared" si="30"/>
        <v>0</v>
      </c>
      <c r="K51" s="92">
        <f t="shared" si="30"/>
        <v>0</v>
      </c>
      <c r="L51" s="92">
        <f t="shared" si="30"/>
        <v>0</v>
      </c>
      <c r="M51" s="92">
        <f t="shared" si="30"/>
        <v>0</v>
      </c>
      <c r="N51" s="92">
        <f t="shared" si="30"/>
        <v>0</v>
      </c>
      <c r="O51" s="92">
        <f t="shared" si="30"/>
        <v>0</v>
      </c>
      <c r="P51" s="92">
        <f t="shared" si="30"/>
        <v>0</v>
      </c>
      <c r="Q51" s="92">
        <f t="shared" si="30"/>
        <v>0</v>
      </c>
      <c r="R51" s="92">
        <f t="shared" si="30"/>
        <v>0</v>
      </c>
      <c r="S51" s="92">
        <f t="shared" si="30"/>
        <v>0</v>
      </c>
      <c r="T51" s="92">
        <f t="shared" si="30"/>
        <v>0</v>
      </c>
      <c r="U51" s="92">
        <f t="shared" si="30"/>
        <v>0</v>
      </c>
      <c r="V51" s="92">
        <f t="shared" si="30"/>
        <v>0</v>
      </c>
      <c r="W51" s="92">
        <f t="shared" si="30"/>
        <v>0</v>
      </c>
      <c r="X51" s="92">
        <f t="shared" si="30"/>
        <v>0</v>
      </c>
      <c r="Y51" s="92">
        <f t="shared" si="30"/>
        <v>0</v>
      </c>
      <c r="Z51" s="92">
        <f t="shared" si="30"/>
        <v>0</v>
      </c>
      <c r="AA51" s="92">
        <f t="shared" si="30"/>
        <v>0</v>
      </c>
      <c r="AB51" s="92">
        <f t="shared" si="30"/>
        <v>0</v>
      </c>
      <c r="AC51" s="92">
        <f t="shared" si="30"/>
        <v>0</v>
      </c>
      <c r="AD51" s="92">
        <f t="shared" si="30"/>
        <v>0</v>
      </c>
      <c r="AE51" s="92">
        <f t="shared" si="30"/>
        <v>0</v>
      </c>
      <c r="AF51" s="92">
        <f t="shared" si="30"/>
        <v>0</v>
      </c>
      <c r="AG51" s="92">
        <f t="shared" si="30"/>
        <v>0</v>
      </c>
      <c r="AH51" s="92">
        <f t="shared" si="30"/>
        <v>0</v>
      </c>
      <c r="AI51" s="92">
        <f t="shared" si="30"/>
        <v>0</v>
      </c>
      <c r="AJ51" s="87"/>
      <c r="AK51" s="87"/>
      <c r="AL51" s="87"/>
      <c r="AM51" s="87"/>
      <c r="AN51" s="87"/>
      <c r="AO51" s="87"/>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2"/>
      <c r="IO51" s="12"/>
      <c r="IP51" s="12"/>
      <c r="IQ51" s="12"/>
      <c r="IR51" s="12"/>
      <c r="IS51" s="12"/>
      <c r="IT51" s="12"/>
      <c r="IU51" s="12"/>
      <c r="IV51" s="12"/>
      <c r="IW51" s="12"/>
      <c r="IX51" s="12"/>
      <c r="IY51" s="12"/>
      <c r="IZ51" s="12"/>
      <c r="JA51" s="12"/>
      <c r="JB51" s="12"/>
      <c r="JC51" s="12"/>
      <c r="JD51" s="12"/>
      <c r="JE51" s="12"/>
      <c r="JF51" s="12"/>
      <c r="JG51" s="12"/>
      <c r="JH51" s="12"/>
      <c r="JI51" s="12"/>
      <c r="JJ51" s="12"/>
      <c r="JK51" s="12"/>
      <c r="JL51" s="12"/>
      <c r="JM51" s="12"/>
      <c r="JN51" s="12"/>
      <c r="JO51" s="12"/>
      <c r="JP51" s="12"/>
      <c r="JQ51" s="12"/>
      <c r="JR51" s="12"/>
      <c r="JS51" s="12"/>
      <c r="JT51" s="12"/>
      <c r="JU51" s="12"/>
      <c r="JV51" s="12"/>
      <c r="JW51" s="12"/>
      <c r="JX51" s="12"/>
      <c r="JY51" s="12"/>
      <c r="JZ51" s="12"/>
      <c r="KA51" s="12"/>
      <c r="KB51" s="12"/>
      <c r="KC51" s="12"/>
      <c r="KD51" s="12"/>
      <c r="KE51" s="12"/>
      <c r="KF51" s="12"/>
      <c r="KG51" s="12"/>
      <c r="KH51" s="12"/>
      <c r="KI51" s="12"/>
      <c r="KJ51" s="12"/>
      <c r="KK51" s="12"/>
      <c r="KL51" s="12"/>
      <c r="KM51" s="12"/>
      <c r="KN51" s="12"/>
      <c r="KO51" s="12"/>
      <c r="KP51" s="12"/>
      <c r="KQ51" s="12"/>
      <c r="KR51" s="12"/>
      <c r="KS51" s="12"/>
      <c r="KT51" s="12"/>
      <c r="KU51" s="12"/>
      <c r="KV51" s="12"/>
      <c r="KW51" s="12"/>
      <c r="KX51" s="12"/>
      <c r="KY51" s="12"/>
      <c r="KZ51" s="12"/>
      <c r="LA51" s="12"/>
      <c r="LB51" s="12"/>
      <c r="LC51" s="12"/>
      <c r="LD51" s="12"/>
      <c r="LE51" s="12"/>
      <c r="LF51" s="12"/>
      <c r="LG51" s="12"/>
      <c r="LH51" s="12"/>
      <c r="LI51" s="12"/>
      <c r="LJ51" s="12"/>
      <c r="LK51" s="12"/>
      <c r="LL51" s="12"/>
      <c r="LM51" s="12"/>
      <c r="LN51" s="12"/>
      <c r="LO51" s="12"/>
      <c r="LP51" s="12"/>
      <c r="LQ51" s="12"/>
      <c r="LR51" s="12"/>
      <c r="LS51" s="12"/>
      <c r="LT51" s="12"/>
      <c r="LU51" s="12"/>
      <c r="LV51" s="12"/>
      <c r="LW51" s="12"/>
      <c r="LX51" s="12"/>
      <c r="LY51" s="12"/>
      <c r="LZ51" s="12"/>
      <c r="MA51" s="12"/>
      <c r="MB51" s="12"/>
      <c r="MC51" s="12"/>
      <c r="MD51" s="12"/>
      <c r="ME51" s="12"/>
      <c r="MF51" s="12"/>
      <c r="MG51" s="12"/>
      <c r="MH51" s="12"/>
      <c r="MI51" s="12"/>
      <c r="MJ51" s="12"/>
      <c r="MK51" s="12"/>
      <c r="ML51" s="12"/>
      <c r="MM51" s="12"/>
      <c r="MN51" s="12"/>
      <c r="MO51" s="12"/>
      <c r="MP51" s="12"/>
      <c r="MQ51" s="12"/>
      <c r="MR51" s="12"/>
      <c r="MS51" s="12"/>
      <c r="MT51" s="12"/>
      <c r="MU51" s="12"/>
      <c r="MV51" s="12"/>
      <c r="MW51" s="12"/>
      <c r="MX51" s="12"/>
      <c r="MY51" s="12"/>
      <c r="MZ51" s="12"/>
      <c r="NA51" s="12"/>
      <c r="NB51" s="12"/>
      <c r="NC51" s="12"/>
      <c r="ND51" s="12"/>
      <c r="NE51" s="12"/>
      <c r="NF51" s="12"/>
      <c r="NG51" s="12"/>
      <c r="NH51" s="12"/>
      <c r="NI51" s="12"/>
      <c r="NJ51" s="12"/>
      <c r="NK51" s="12"/>
      <c r="NL51" s="12"/>
      <c r="NM51" s="12"/>
      <c r="NN51" s="12"/>
      <c r="NO51" s="12"/>
      <c r="NP51" s="12"/>
      <c r="NQ51" s="12"/>
      <c r="NR51" s="12"/>
      <c r="NS51" s="12"/>
      <c r="NT51" s="12"/>
      <c r="NU51" s="12"/>
      <c r="NV51" s="12"/>
      <c r="NW51" s="12"/>
      <c r="NX51" s="12"/>
      <c r="NY51" s="12"/>
      <c r="NZ51" s="12"/>
      <c r="OA51" s="12"/>
      <c r="OB51" s="12"/>
      <c r="OC51" s="12"/>
      <c r="OD51" s="12"/>
      <c r="OE51" s="12"/>
      <c r="OF51" s="12"/>
      <c r="OG51" s="12"/>
      <c r="OH51" s="12"/>
      <c r="OI51" s="12"/>
      <c r="OJ51" s="12"/>
      <c r="OK51" s="12"/>
      <c r="OL51" s="12"/>
      <c r="OM51" s="12"/>
      <c r="ON51" s="12"/>
      <c r="OO51" s="12"/>
      <c r="OP51" s="12"/>
      <c r="OQ51" s="12"/>
      <c r="OR51" s="12"/>
      <c r="OS51" s="12"/>
      <c r="OT51" s="12"/>
      <c r="OU51" s="12"/>
      <c r="OV51" s="12"/>
      <c r="OW51" s="12"/>
      <c r="OX51" s="12"/>
      <c r="OY51" s="12"/>
      <c r="OZ51" s="12"/>
      <c r="PA51" s="12"/>
      <c r="PB51" s="12"/>
      <c r="PC51" s="12"/>
      <c r="PD51" s="12"/>
      <c r="PE51" s="12"/>
      <c r="PF51" s="12"/>
      <c r="PG51" s="12"/>
      <c r="PH51" s="12"/>
      <c r="PI51" s="12"/>
      <c r="PJ51" s="12"/>
      <c r="PK51" s="12"/>
      <c r="PL51" s="12"/>
      <c r="PM51" s="12"/>
      <c r="PN51" s="12"/>
      <c r="PO51" s="12"/>
      <c r="PP51" s="12"/>
      <c r="PQ51" s="12"/>
      <c r="PR51" s="12"/>
      <c r="PS51" s="12"/>
      <c r="PT51" s="12"/>
      <c r="PU51" s="12"/>
      <c r="PV51" s="12"/>
      <c r="PW51" s="12"/>
      <c r="PX51" s="12"/>
      <c r="PY51" s="12"/>
      <c r="PZ51" s="12"/>
      <c r="QA51" s="12"/>
      <c r="QB51" s="12"/>
      <c r="QC51" s="12"/>
      <c r="QD51" s="12"/>
      <c r="QE51" s="12"/>
      <c r="QF51" s="12"/>
      <c r="QG51" s="12"/>
      <c r="QH51" s="12"/>
      <c r="QI51" s="12"/>
      <c r="QJ51" s="12"/>
      <c r="QK51" s="12"/>
      <c r="QL51" s="12"/>
      <c r="QM51" s="12"/>
      <c r="QN51" s="12"/>
      <c r="QO51" s="12"/>
      <c r="QP51" s="12"/>
      <c r="QQ51" s="12"/>
      <c r="QR51" s="12"/>
      <c r="QS51" s="12"/>
      <c r="QT51" s="12"/>
      <c r="QU51" s="12"/>
      <c r="QV51" s="12"/>
      <c r="QW51" s="12"/>
      <c r="QX51" s="12"/>
      <c r="QY51" s="12"/>
      <c r="QZ51" s="12"/>
      <c r="RA51" s="12"/>
      <c r="RB51" s="12"/>
      <c r="RC51" s="12"/>
      <c r="RD51" s="12"/>
      <c r="RE51" s="12"/>
      <c r="RF51" s="12"/>
      <c r="RG51" s="12"/>
      <c r="RH51" s="12"/>
      <c r="RI51" s="12"/>
      <c r="RJ51" s="12"/>
      <c r="RK51" s="12"/>
      <c r="RL51" s="12"/>
      <c r="RM51" s="12"/>
      <c r="RN51" s="12"/>
      <c r="RO51" s="12"/>
      <c r="RP51" s="12"/>
      <c r="RQ51" s="12"/>
      <c r="RR51" s="12"/>
      <c r="RS51" s="12"/>
      <c r="RT51" s="12"/>
      <c r="RU51" s="12"/>
      <c r="RV51" s="12"/>
      <c r="RW51" s="12"/>
      <c r="RX51" s="12"/>
      <c r="RY51" s="12"/>
      <c r="RZ51" s="12"/>
      <c r="SA51" s="12"/>
      <c r="SB51" s="12"/>
      <c r="SC51" s="12"/>
      <c r="SD51" s="12"/>
    </row>
    <row r="52" spans="1:498" s="10" customFormat="1">
      <c r="A52" s="87"/>
      <c r="B52" s="93" t="s">
        <v>64</v>
      </c>
      <c r="C52" s="196" t="s">
        <v>52</v>
      </c>
      <c r="D52" s="196"/>
      <c r="E52" s="196"/>
      <c r="F52" s="94">
        <v>75000</v>
      </c>
      <c r="G52" s="94">
        <f>F52*1.03</f>
        <v>77250</v>
      </c>
      <c r="H52" s="94">
        <f t="shared" ref="H52:AD52" si="31">G52*1.03</f>
        <v>79567.5</v>
      </c>
      <c r="I52" s="94">
        <f t="shared" si="31"/>
        <v>81954.525000000009</v>
      </c>
      <c r="J52" s="94">
        <f t="shared" si="31"/>
        <v>84413.16075000001</v>
      </c>
      <c r="K52" s="94">
        <f t="shared" si="31"/>
        <v>86945.555572500016</v>
      </c>
      <c r="L52" s="94">
        <f t="shared" si="31"/>
        <v>89553.922239675012</v>
      </c>
      <c r="M52" s="94">
        <v>150000</v>
      </c>
      <c r="N52" s="94">
        <f t="shared" si="31"/>
        <v>154500</v>
      </c>
      <c r="O52" s="94">
        <f t="shared" si="31"/>
        <v>159135</v>
      </c>
      <c r="P52" s="94">
        <f t="shared" si="31"/>
        <v>163909.05000000002</v>
      </c>
      <c r="Q52" s="94">
        <f t="shared" si="31"/>
        <v>168826.32150000002</v>
      </c>
      <c r="R52" s="94">
        <f t="shared" si="31"/>
        <v>173891.11114500003</v>
      </c>
      <c r="S52" s="94">
        <f t="shared" si="31"/>
        <v>179107.84447935002</v>
      </c>
      <c r="T52" s="94">
        <f t="shared" si="31"/>
        <v>184481.07981373052</v>
      </c>
      <c r="U52" s="94">
        <f t="shared" si="31"/>
        <v>190015.51220814243</v>
      </c>
      <c r="V52" s="94">
        <f t="shared" si="31"/>
        <v>195715.97757438672</v>
      </c>
      <c r="W52" s="94">
        <f t="shared" si="31"/>
        <v>201587.45690161834</v>
      </c>
      <c r="X52" s="94">
        <f t="shared" si="31"/>
        <v>207635.0806086669</v>
      </c>
      <c r="Y52" s="94">
        <f t="shared" si="31"/>
        <v>213864.13302692692</v>
      </c>
      <c r="Z52" s="94">
        <f t="shared" si="31"/>
        <v>220280.05701773474</v>
      </c>
      <c r="AA52" s="94">
        <f t="shared" si="31"/>
        <v>226888.45872826679</v>
      </c>
      <c r="AB52" s="94">
        <f t="shared" si="31"/>
        <v>233695.11249011481</v>
      </c>
      <c r="AC52" s="94">
        <f t="shared" si="31"/>
        <v>240705.96586481825</v>
      </c>
      <c r="AD52" s="94">
        <f t="shared" si="31"/>
        <v>247927.1448407628</v>
      </c>
      <c r="AE52" s="95"/>
      <c r="AF52" s="96"/>
      <c r="AG52" s="96"/>
      <c r="AH52" s="96"/>
      <c r="AI52" s="97"/>
      <c r="AJ52" s="87"/>
      <c r="AK52" s="87"/>
      <c r="AL52" s="87"/>
      <c r="AM52" s="87"/>
      <c r="AN52" s="87"/>
      <c r="AO52" s="87"/>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2"/>
      <c r="IO52" s="12"/>
      <c r="IP52" s="12"/>
      <c r="IQ52" s="12"/>
      <c r="IR52" s="12"/>
      <c r="IS52" s="12"/>
      <c r="IT52" s="12"/>
      <c r="IU52" s="12"/>
      <c r="IV52" s="12"/>
      <c r="IW52" s="12"/>
      <c r="IX52" s="12"/>
      <c r="IY52" s="12"/>
      <c r="IZ52" s="12"/>
      <c r="JA52" s="12"/>
      <c r="JB52" s="12"/>
      <c r="JC52" s="12"/>
      <c r="JD52" s="12"/>
      <c r="JE52" s="12"/>
      <c r="JF52" s="12"/>
      <c r="JG52" s="12"/>
      <c r="JH52" s="12"/>
      <c r="JI52" s="12"/>
      <c r="JJ52" s="12"/>
      <c r="JK52" s="12"/>
      <c r="JL52" s="12"/>
      <c r="JM52" s="12"/>
      <c r="JN52" s="12"/>
      <c r="JO52" s="12"/>
      <c r="JP52" s="12"/>
      <c r="JQ52" s="12"/>
      <c r="JR52" s="12"/>
      <c r="JS52" s="12"/>
      <c r="JT52" s="12"/>
      <c r="JU52" s="12"/>
      <c r="JV52" s="12"/>
      <c r="JW52" s="12"/>
      <c r="JX52" s="12"/>
      <c r="JY52" s="12"/>
      <c r="JZ52" s="12"/>
      <c r="KA52" s="12"/>
      <c r="KB52" s="12"/>
      <c r="KC52" s="12"/>
      <c r="KD52" s="12"/>
      <c r="KE52" s="12"/>
      <c r="KF52" s="12"/>
      <c r="KG52" s="12"/>
      <c r="KH52" s="12"/>
      <c r="KI52" s="12"/>
      <c r="KJ52" s="12"/>
      <c r="KK52" s="12"/>
      <c r="KL52" s="12"/>
      <c r="KM52" s="12"/>
      <c r="KN52" s="12"/>
      <c r="KO52" s="12"/>
      <c r="KP52" s="12"/>
      <c r="KQ52" s="12"/>
      <c r="KR52" s="12"/>
      <c r="KS52" s="12"/>
      <c r="KT52" s="12"/>
      <c r="KU52" s="12"/>
      <c r="KV52" s="12"/>
      <c r="KW52" s="12"/>
      <c r="KX52" s="12"/>
      <c r="KY52" s="12"/>
      <c r="KZ52" s="12"/>
      <c r="LA52" s="12"/>
      <c r="LB52" s="12"/>
      <c r="LC52" s="12"/>
      <c r="LD52" s="12"/>
      <c r="LE52" s="12"/>
      <c r="LF52" s="12"/>
      <c r="LG52" s="12"/>
      <c r="LH52" s="12"/>
      <c r="LI52" s="12"/>
      <c r="LJ52" s="12"/>
      <c r="LK52" s="12"/>
      <c r="LL52" s="12"/>
      <c r="LM52" s="12"/>
      <c r="LN52" s="12"/>
      <c r="LO52" s="12"/>
      <c r="LP52" s="12"/>
      <c r="LQ52" s="12"/>
      <c r="LR52" s="12"/>
      <c r="LS52" s="12"/>
      <c r="LT52" s="12"/>
      <c r="LU52" s="12"/>
      <c r="LV52" s="12"/>
      <c r="LW52" s="12"/>
      <c r="LX52" s="12"/>
      <c r="LY52" s="12"/>
      <c r="LZ52" s="12"/>
      <c r="MA52" s="12"/>
      <c r="MB52" s="12"/>
      <c r="MC52" s="12"/>
      <c r="MD52" s="12"/>
      <c r="ME52" s="12"/>
      <c r="MF52" s="12"/>
      <c r="MG52" s="12"/>
      <c r="MH52" s="12"/>
      <c r="MI52" s="12"/>
      <c r="MJ52" s="12"/>
      <c r="MK52" s="12"/>
      <c r="ML52" s="12"/>
      <c r="MM52" s="12"/>
      <c r="MN52" s="12"/>
      <c r="MO52" s="12"/>
      <c r="MP52" s="12"/>
      <c r="MQ52" s="12"/>
      <c r="MR52" s="12"/>
      <c r="MS52" s="12"/>
      <c r="MT52" s="12"/>
      <c r="MU52" s="12"/>
      <c r="MV52" s="12"/>
      <c r="MW52" s="12"/>
      <c r="MX52" s="12"/>
      <c r="MY52" s="12"/>
      <c r="MZ52" s="12"/>
      <c r="NA52" s="12"/>
      <c r="NB52" s="12"/>
      <c r="NC52" s="12"/>
      <c r="ND52" s="12"/>
      <c r="NE52" s="12"/>
      <c r="NF52" s="12"/>
      <c r="NG52" s="12"/>
      <c r="NH52" s="12"/>
      <c r="NI52" s="12"/>
      <c r="NJ52" s="12"/>
      <c r="NK52" s="12"/>
      <c r="NL52" s="12"/>
      <c r="NM52" s="12"/>
      <c r="NN52" s="12"/>
      <c r="NO52" s="12"/>
      <c r="NP52" s="12"/>
      <c r="NQ52" s="12"/>
      <c r="NR52" s="12"/>
      <c r="NS52" s="12"/>
      <c r="NT52" s="12"/>
      <c r="NU52" s="12"/>
      <c r="NV52" s="12"/>
      <c r="NW52" s="12"/>
      <c r="NX52" s="12"/>
      <c r="NY52" s="12"/>
      <c r="NZ52" s="12"/>
      <c r="OA52" s="12"/>
      <c r="OB52" s="12"/>
      <c r="OC52" s="12"/>
      <c r="OD52" s="12"/>
      <c r="OE52" s="12"/>
      <c r="OF52" s="12"/>
      <c r="OG52" s="12"/>
      <c r="OH52" s="12"/>
      <c r="OI52" s="12"/>
      <c r="OJ52" s="12"/>
      <c r="OK52" s="12"/>
      <c r="OL52" s="12"/>
      <c r="OM52" s="12"/>
      <c r="ON52" s="12"/>
      <c r="OO52" s="12"/>
      <c r="OP52" s="12"/>
      <c r="OQ52" s="12"/>
      <c r="OR52" s="12"/>
      <c r="OS52" s="12"/>
      <c r="OT52" s="12"/>
      <c r="OU52" s="12"/>
      <c r="OV52" s="12"/>
      <c r="OW52" s="12"/>
      <c r="OX52" s="12"/>
      <c r="OY52" s="12"/>
      <c r="OZ52" s="12"/>
      <c r="PA52" s="12"/>
      <c r="PB52" s="12"/>
      <c r="PC52" s="12"/>
      <c r="PD52" s="12"/>
      <c r="PE52" s="12"/>
      <c r="PF52" s="12"/>
      <c r="PG52" s="12"/>
      <c r="PH52" s="12"/>
      <c r="PI52" s="12"/>
      <c r="PJ52" s="12"/>
      <c r="PK52" s="12"/>
      <c r="PL52" s="12"/>
      <c r="PM52" s="12"/>
      <c r="PN52" s="12"/>
      <c r="PO52" s="12"/>
      <c r="PP52" s="12"/>
      <c r="PQ52" s="12"/>
      <c r="PR52" s="12"/>
      <c r="PS52" s="12"/>
      <c r="PT52" s="12"/>
      <c r="PU52" s="12"/>
      <c r="PV52" s="12"/>
      <c r="PW52" s="12"/>
      <c r="PX52" s="12"/>
      <c r="PY52" s="12"/>
      <c r="PZ52" s="12"/>
      <c r="QA52" s="12"/>
      <c r="QB52" s="12"/>
      <c r="QC52" s="12"/>
      <c r="QD52" s="12"/>
      <c r="QE52" s="12"/>
      <c r="QF52" s="12"/>
      <c r="QG52" s="12"/>
      <c r="QH52" s="12"/>
      <c r="QI52" s="12"/>
      <c r="QJ52" s="12"/>
      <c r="QK52" s="12"/>
      <c r="QL52" s="12"/>
      <c r="QM52" s="12"/>
      <c r="QN52" s="12"/>
      <c r="QO52" s="12"/>
      <c r="QP52" s="12"/>
      <c r="QQ52" s="12"/>
      <c r="QR52" s="12"/>
      <c r="QS52" s="12"/>
      <c r="QT52" s="12"/>
      <c r="QU52" s="12"/>
      <c r="QV52" s="12"/>
      <c r="QW52" s="12"/>
      <c r="QX52" s="12"/>
      <c r="QY52" s="12"/>
      <c r="QZ52" s="12"/>
      <c r="RA52" s="12"/>
      <c r="RB52" s="12"/>
      <c r="RC52" s="12"/>
      <c r="RD52" s="12"/>
      <c r="RE52" s="12"/>
      <c r="RF52" s="12"/>
      <c r="RG52" s="12"/>
      <c r="RH52" s="12"/>
      <c r="RI52" s="12"/>
      <c r="RJ52" s="12"/>
      <c r="RK52" s="12"/>
      <c r="RL52" s="12"/>
      <c r="RM52" s="12"/>
      <c r="RN52" s="12"/>
      <c r="RO52" s="12"/>
      <c r="RP52" s="12"/>
      <c r="RQ52" s="12"/>
      <c r="RR52" s="12"/>
      <c r="RS52" s="12"/>
      <c r="RT52" s="12"/>
      <c r="RU52" s="12"/>
      <c r="RV52" s="12"/>
      <c r="RW52" s="12"/>
      <c r="RX52" s="12"/>
      <c r="RY52" s="12"/>
      <c r="RZ52" s="12"/>
      <c r="SA52" s="12"/>
      <c r="SB52" s="12"/>
      <c r="SC52" s="12"/>
      <c r="SD52" s="12"/>
    </row>
    <row r="53" spans="1:498" s="13" customFormat="1">
      <c r="A53" s="87"/>
      <c r="B53" s="90"/>
      <c r="C53" s="197" t="s">
        <v>53</v>
      </c>
      <c r="D53" s="198"/>
      <c r="E53" s="198"/>
      <c r="F53" s="98">
        <v>75000</v>
      </c>
      <c r="G53" s="98">
        <f>F53*1.03</f>
        <v>77250</v>
      </c>
      <c r="H53" s="98">
        <f t="shared" ref="H53:AD53" si="32">G53*1.03</f>
        <v>79567.5</v>
      </c>
      <c r="I53" s="98">
        <f t="shared" si="32"/>
        <v>81954.525000000009</v>
      </c>
      <c r="J53" s="98">
        <f t="shared" si="32"/>
        <v>84413.16075000001</v>
      </c>
      <c r="K53" s="98">
        <f t="shared" si="32"/>
        <v>86945.555572500016</v>
      </c>
      <c r="L53" s="98">
        <f t="shared" si="32"/>
        <v>89553.922239675012</v>
      </c>
      <c r="M53" s="98">
        <v>150000</v>
      </c>
      <c r="N53" s="98">
        <f t="shared" si="32"/>
        <v>154500</v>
      </c>
      <c r="O53" s="98">
        <f t="shared" si="32"/>
        <v>159135</v>
      </c>
      <c r="P53" s="98">
        <f t="shared" si="32"/>
        <v>163909.05000000002</v>
      </c>
      <c r="Q53" s="98">
        <f t="shared" si="32"/>
        <v>168826.32150000002</v>
      </c>
      <c r="R53" s="98">
        <f t="shared" si="32"/>
        <v>173891.11114500003</v>
      </c>
      <c r="S53" s="98">
        <f t="shared" si="32"/>
        <v>179107.84447935002</v>
      </c>
      <c r="T53" s="98">
        <f t="shared" si="32"/>
        <v>184481.07981373052</v>
      </c>
      <c r="U53" s="98">
        <f t="shared" si="32"/>
        <v>190015.51220814243</v>
      </c>
      <c r="V53" s="98">
        <f t="shared" si="32"/>
        <v>195715.97757438672</v>
      </c>
      <c r="W53" s="98">
        <f t="shared" si="32"/>
        <v>201587.45690161834</v>
      </c>
      <c r="X53" s="98">
        <f t="shared" si="32"/>
        <v>207635.0806086669</v>
      </c>
      <c r="Y53" s="98">
        <f t="shared" si="32"/>
        <v>213864.13302692692</v>
      </c>
      <c r="Z53" s="98">
        <f t="shared" si="32"/>
        <v>220280.05701773474</v>
      </c>
      <c r="AA53" s="98">
        <f t="shared" si="32"/>
        <v>226888.45872826679</v>
      </c>
      <c r="AB53" s="98">
        <f t="shared" si="32"/>
        <v>233695.11249011481</v>
      </c>
      <c r="AC53" s="98">
        <f t="shared" si="32"/>
        <v>240705.96586481825</v>
      </c>
      <c r="AD53" s="98">
        <f t="shared" si="32"/>
        <v>247927.1448407628</v>
      </c>
      <c r="AE53" s="99"/>
      <c r="AF53" s="100"/>
      <c r="AG53" s="100"/>
      <c r="AH53" s="100"/>
      <c r="AI53" s="101"/>
      <c r="AJ53" s="87"/>
      <c r="AK53" s="87"/>
      <c r="AL53" s="87"/>
      <c r="AM53" s="87"/>
      <c r="AN53" s="87"/>
      <c r="AO53" s="87"/>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c r="IW53" s="12"/>
      <c r="IX53" s="12"/>
      <c r="IY53" s="12"/>
      <c r="IZ53" s="12"/>
      <c r="JA53" s="12"/>
      <c r="JB53" s="12"/>
      <c r="JC53" s="12"/>
      <c r="JD53" s="12"/>
      <c r="JE53" s="12"/>
      <c r="JF53" s="12"/>
      <c r="JG53" s="12"/>
      <c r="JH53" s="12"/>
      <c r="JI53" s="12"/>
      <c r="JJ53" s="12"/>
      <c r="JK53" s="12"/>
      <c r="JL53" s="12"/>
      <c r="JM53" s="12"/>
      <c r="JN53" s="12"/>
      <c r="JO53" s="12"/>
      <c r="JP53" s="12"/>
      <c r="JQ53" s="12"/>
      <c r="JR53" s="12"/>
      <c r="JS53" s="12"/>
      <c r="JT53" s="12"/>
      <c r="JU53" s="12"/>
      <c r="JV53" s="12"/>
      <c r="JW53" s="12"/>
      <c r="JX53" s="12"/>
      <c r="JY53" s="12"/>
      <c r="JZ53" s="12"/>
      <c r="KA53" s="12"/>
      <c r="KB53" s="12"/>
      <c r="KC53" s="12"/>
      <c r="KD53" s="12"/>
      <c r="KE53" s="12"/>
      <c r="KF53" s="12"/>
      <c r="KG53" s="12"/>
      <c r="KH53" s="12"/>
      <c r="KI53" s="12"/>
      <c r="KJ53" s="12"/>
      <c r="KK53" s="12"/>
      <c r="KL53" s="12"/>
      <c r="KM53" s="12"/>
      <c r="KN53" s="12"/>
      <c r="KO53" s="12"/>
      <c r="KP53" s="12"/>
      <c r="KQ53" s="12"/>
      <c r="KR53" s="12"/>
      <c r="KS53" s="12"/>
      <c r="KT53" s="12"/>
      <c r="KU53" s="12"/>
      <c r="KV53" s="12"/>
      <c r="KW53" s="12"/>
      <c r="KX53" s="12"/>
      <c r="KY53" s="12"/>
      <c r="KZ53" s="12"/>
      <c r="LA53" s="12"/>
      <c r="LB53" s="12"/>
      <c r="LC53" s="12"/>
      <c r="LD53" s="12"/>
      <c r="LE53" s="12"/>
      <c r="LF53" s="12"/>
      <c r="LG53" s="12"/>
      <c r="LH53" s="12"/>
      <c r="LI53" s="12"/>
      <c r="LJ53" s="12"/>
      <c r="LK53" s="12"/>
      <c r="LL53" s="12"/>
      <c r="LM53" s="12"/>
      <c r="LN53" s="12"/>
      <c r="LO53" s="12"/>
      <c r="LP53" s="12"/>
      <c r="LQ53" s="12"/>
      <c r="LR53" s="12"/>
      <c r="LS53" s="12"/>
      <c r="LT53" s="12"/>
      <c r="LU53" s="12"/>
      <c r="LV53" s="12"/>
      <c r="LW53" s="12"/>
      <c r="LX53" s="12"/>
      <c r="LY53" s="12"/>
      <c r="LZ53" s="12"/>
      <c r="MA53" s="12"/>
      <c r="MB53" s="12"/>
      <c r="MC53" s="12"/>
      <c r="MD53" s="12"/>
      <c r="ME53" s="12"/>
      <c r="MF53" s="12"/>
      <c r="MG53" s="12"/>
      <c r="MH53" s="12"/>
      <c r="MI53" s="12"/>
      <c r="MJ53" s="12"/>
      <c r="MK53" s="12"/>
      <c r="ML53" s="12"/>
      <c r="MM53" s="12"/>
      <c r="MN53" s="12"/>
      <c r="MO53" s="12"/>
      <c r="MP53" s="12"/>
      <c r="MQ53" s="12"/>
      <c r="MR53" s="12"/>
      <c r="MS53" s="12"/>
      <c r="MT53" s="12"/>
      <c r="MU53" s="12"/>
      <c r="MV53" s="12"/>
      <c r="MW53" s="12"/>
      <c r="MX53" s="12"/>
      <c r="MY53" s="12"/>
      <c r="MZ53" s="12"/>
      <c r="NA53" s="12"/>
      <c r="NB53" s="12"/>
      <c r="NC53" s="12"/>
      <c r="ND53" s="12"/>
      <c r="NE53" s="12"/>
      <c r="NF53" s="12"/>
      <c r="NG53" s="12"/>
      <c r="NH53" s="12"/>
      <c r="NI53" s="12"/>
      <c r="NJ53" s="12"/>
      <c r="NK53" s="12"/>
      <c r="NL53" s="12"/>
      <c r="NM53" s="12"/>
      <c r="NN53" s="12"/>
      <c r="NO53" s="12"/>
      <c r="NP53" s="12"/>
      <c r="NQ53" s="12"/>
      <c r="NR53" s="12"/>
      <c r="NS53" s="12"/>
      <c r="NT53" s="12"/>
      <c r="NU53" s="12"/>
      <c r="NV53" s="12"/>
      <c r="NW53" s="12"/>
      <c r="NX53" s="12"/>
      <c r="NY53" s="12"/>
      <c r="NZ53" s="12"/>
      <c r="OA53" s="12"/>
      <c r="OB53" s="12"/>
      <c r="OC53" s="12"/>
      <c r="OD53" s="12"/>
      <c r="OE53" s="12"/>
      <c r="OF53" s="12"/>
      <c r="OG53" s="12"/>
      <c r="OH53" s="12"/>
      <c r="OI53" s="12"/>
      <c r="OJ53" s="12"/>
      <c r="OK53" s="12"/>
      <c r="OL53" s="12"/>
      <c r="OM53" s="12"/>
      <c r="ON53" s="12"/>
      <c r="OO53" s="12"/>
      <c r="OP53" s="12"/>
      <c r="OQ53" s="12"/>
      <c r="OR53" s="12"/>
      <c r="OS53" s="12"/>
      <c r="OT53" s="12"/>
      <c r="OU53" s="12"/>
      <c r="OV53" s="12"/>
      <c r="OW53" s="12"/>
      <c r="OX53" s="12"/>
      <c r="OY53" s="12"/>
      <c r="OZ53" s="12"/>
      <c r="PA53" s="12"/>
      <c r="PB53" s="12"/>
      <c r="PC53" s="12"/>
      <c r="PD53" s="12"/>
      <c r="PE53" s="12"/>
      <c r="PF53" s="12"/>
      <c r="PG53" s="12"/>
      <c r="PH53" s="12"/>
      <c r="PI53" s="12"/>
      <c r="PJ53" s="12"/>
      <c r="PK53" s="12"/>
      <c r="PL53" s="12"/>
      <c r="PM53" s="12"/>
      <c r="PN53" s="12"/>
      <c r="PO53" s="12"/>
      <c r="PP53" s="12"/>
      <c r="PQ53" s="12"/>
      <c r="PR53" s="12"/>
      <c r="PS53" s="12"/>
      <c r="PT53" s="12"/>
      <c r="PU53" s="12"/>
      <c r="PV53" s="12"/>
      <c r="PW53" s="12"/>
      <c r="PX53" s="12"/>
      <c r="PY53" s="12"/>
      <c r="PZ53" s="12"/>
      <c r="QA53" s="12"/>
      <c r="QB53" s="12"/>
      <c r="QC53" s="12"/>
      <c r="QD53" s="12"/>
      <c r="QE53" s="12"/>
      <c r="QF53" s="12"/>
      <c r="QG53" s="12"/>
      <c r="QH53" s="12"/>
      <c r="QI53" s="12"/>
      <c r="QJ53" s="12"/>
      <c r="QK53" s="12"/>
      <c r="QL53" s="12"/>
      <c r="QM53" s="12"/>
      <c r="QN53" s="12"/>
      <c r="QO53" s="12"/>
      <c r="QP53" s="12"/>
      <c r="QQ53" s="12"/>
      <c r="QR53" s="12"/>
      <c r="QS53" s="12"/>
      <c r="QT53" s="12"/>
      <c r="QU53" s="12"/>
      <c r="QV53" s="12"/>
      <c r="QW53" s="12"/>
      <c r="QX53" s="12"/>
      <c r="QY53" s="12"/>
      <c r="QZ53" s="12"/>
      <c r="RA53" s="12"/>
      <c r="RB53" s="12"/>
      <c r="RC53" s="12"/>
      <c r="RD53" s="12"/>
      <c r="RE53" s="12"/>
      <c r="RF53" s="12"/>
      <c r="RG53" s="12"/>
      <c r="RH53" s="12"/>
      <c r="RI53" s="12"/>
      <c r="RJ53" s="12"/>
      <c r="RK53" s="12"/>
      <c r="RL53" s="12"/>
      <c r="RM53" s="12"/>
      <c r="RN53" s="12"/>
      <c r="RO53" s="12"/>
      <c r="RP53" s="12"/>
      <c r="RQ53" s="12"/>
      <c r="RR53" s="12"/>
      <c r="RS53" s="12"/>
      <c r="RT53" s="12"/>
      <c r="RU53" s="12"/>
      <c r="RV53" s="12"/>
      <c r="RW53" s="12"/>
      <c r="RX53" s="12"/>
      <c r="RY53" s="12"/>
      <c r="RZ53" s="12"/>
      <c r="SA53" s="12"/>
      <c r="SB53" s="12"/>
      <c r="SC53" s="12"/>
      <c r="SD53" s="12"/>
    </row>
    <row r="54" spans="1:498" s="10" customFormat="1" hidden="1">
      <c r="A54" s="87"/>
      <c r="B54" s="90" t="s">
        <v>8</v>
      </c>
      <c r="C54" s="90"/>
      <c r="D54" s="90">
        <f>11170+(C16*3960)</f>
        <v>11170</v>
      </c>
      <c r="E54" s="102"/>
      <c r="F54" s="103">
        <f t="shared" ref="F54:AI54" si="33">(F55+(F51*F56))*1.5</f>
        <v>16755</v>
      </c>
      <c r="G54" s="103">
        <f t="shared" si="33"/>
        <v>17175.550499999998</v>
      </c>
      <c r="H54" s="103">
        <f t="shared" si="33"/>
        <v>17606.656817549996</v>
      </c>
      <c r="I54" s="103">
        <f t="shared" si="33"/>
        <v>18048.5839036705</v>
      </c>
      <c r="J54" s="103">
        <f t="shared" si="33"/>
        <v>18501.603359652629</v>
      </c>
      <c r="K54" s="103">
        <f t="shared" si="33"/>
        <v>18965.993603979907</v>
      </c>
      <c r="L54" s="103">
        <f t="shared" si="33"/>
        <v>19442.0400434398</v>
      </c>
      <c r="M54" s="103">
        <f t="shared" si="33"/>
        <v>19930.035248530137</v>
      </c>
      <c r="N54" s="103">
        <f t="shared" si="33"/>
        <v>20430.279133268239</v>
      </c>
      <c r="O54" s="103">
        <f t="shared" si="33"/>
        <v>20943.079139513273</v>
      </c>
      <c r="P54" s="103">
        <f t="shared" si="33"/>
        <v>21468.750425915052</v>
      </c>
      <c r="Q54" s="103">
        <f t="shared" si="33"/>
        <v>22007.61606160552</v>
      </c>
      <c r="R54" s="103">
        <f t="shared" si="33"/>
        <v>22560.007224751815</v>
      </c>
      <c r="S54" s="103">
        <f t="shared" si="33"/>
        <v>23126.263406093083</v>
      </c>
      <c r="T54" s="103">
        <f t="shared" si="33"/>
        <v>23706.732617586014</v>
      </c>
      <c r="U54" s="103">
        <f t="shared" si="33"/>
        <v>24301.771606287424</v>
      </c>
      <c r="V54" s="103">
        <f t="shared" si="33"/>
        <v>24911.746073605231</v>
      </c>
      <c r="W54" s="103">
        <f t="shared" si="33"/>
        <v>25537.03090005272</v>
      </c>
      <c r="X54" s="103">
        <f t="shared" si="33"/>
        <v>26178.01037564404</v>
      </c>
      <c r="Y54" s="103">
        <f t="shared" si="33"/>
        <v>26835.078436072705</v>
      </c>
      <c r="Z54" s="103">
        <f t="shared" si="33"/>
        <v>27508.638904818126</v>
      </c>
      <c r="AA54" s="103">
        <f t="shared" si="33"/>
        <v>28199.105741329058</v>
      </c>
      <c r="AB54" s="103">
        <f t="shared" si="33"/>
        <v>28906.903295436416</v>
      </c>
      <c r="AC54" s="103">
        <f t="shared" si="33"/>
        <v>29632.466568151867</v>
      </c>
      <c r="AD54" s="103">
        <f t="shared" si="33"/>
        <v>30376.241479012475</v>
      </c>
      <c r="AE54" s="103">
        <f t="shared" si="33"/>
        <v>31138.685140135683</v>
      </c>
      <c r="AF54" s="103">
        <f t="shared" si="33"/>
        <v>31920.266137153085</v>
      </c>
      <c r="AG54" s="103">
        <f t="shared" si="33"/>
        <v>32721.464817195629</v>
      </c>
      <c r="AH54" s="103">
        <f t="shared" si="33"/>
        <v>33542.773584107235</v>
      </c>
      <c r="AI54" s="103">
        <f t="shared" si="33"/>
        <v>34384.697201068324</v>
      </c>
      <c r="AJ54" s="87"/>
      <c r="AK54" s="87"/>
      <c r="AL54" s="87"/>
      <c r="AM54" s="87"/>
      <c r="AN54" s="87"/>
      <c r="AO54" s="87"/>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2"/>
      <c r="IO54" s="12"/>
      <c r="IP54" s="12"/>
      <c r="IQ54" s="12"/>
      <c r="IR54" s="12"/>
      <c r="IS54" s="12"/>
      <c r="IT54" s="12"/>
      <c r="IU54" s="12"/>
      <c r="IV54" s="12"/>
      <c r="IW54" s="12"/>
      <c r="IX54" s="12"/>
      <c r="IY54" s="12"/>
      <c r="IZ54" s="12"/>
      <c r="JA54" s="12"/>
      <c r="JB54" s="12"/>
      <c r="JC54" s="12"/>
      <c r="JD54" s="12"/>
      <c r="JE54" s="12"/>
      <c r="JF54" s="12"/>
      <c r="JG54" s="12"/>
      <c r="JH54" s="12"/>
      <c r="JI54" s="12"/>
      <c r="JJ54" s="12"/>
      <c r="JK54" s="12"/>
      <c r="JL54" s="12"/>
      <c r="JM54" s="12"/>
      <c r="JN54" s="12"/>
      <c r="JO54" s="12"/>
      <c r="JP54" s="12"/>
      <c r="JQ54" s="12"/>
      <c r="JR54" s="12"/>
      <c r="JS54" s="12"/>
      <c r="JT54" s="12"/>
      <c r="JU54" s="12"/>
      <c r="JV54" s="12"/>
      <c r="JW54" s="12"/>
      <c r="JX54" s="12"/>
      <c r="JY54" s="12"/>
      <c r="JZ54" s="12"/>
      <c r="KA54" s="12"/>
      <c r="KB54" s="12"/>
      <c r="KC54" s="12"/>
      <c r="KD54" s="12"/>
      <c r="KE54" s="12"/>
      <c r="KF54" s="12"/>
      <c r="KG54" s="12"/>
      <c r="KH54" s="12"/>
      <c r="KI54" s="12"/>
      <c r="KJ54" s="12"/>
      <c r="KK54" s="12"/>
      <c r="KL54" s="12"/>
      <c r="KM54" s="12"/>
      <c r="KN54" s="12"/>
      <c r="KO54" s="12"/>
      <c r="KP54" s="12"/>
      <c r="KQ54" s="12"/>
      <c r="KR54" s="12"/>
      <c r="KS54" s="12"/>
      <c r="KT54" s="12"/>
      <c r="KU54" s="12"/>
      <c r="KV54" s="12"/>
      <c r="KW54" s="12"/>
      <c r="KX54" s="12"/>
      <c r="KY54" s="12"/>
      <c r="KZ54" s="12"/>
      <c r="LA54" s="12"/>
      <c r="LB54" s="12"/>
      <c r="LC54" s="12"/>
      <c r="LD54" s="12"/>
      <c r="LE54" s="12"/>
      <c r="LF54" s="12"/>
      <c r="LG54" s="12"/>
      <c r="LH54" s="12"/>
      <c r="LI54" s="12"/>
      <c r="LJ54" s="12"/>
      <c r="LK54" s="12"/>
      <c r="LL54" s="12"/>
      <c r="LM54" s="12"/>
      <c r="LN54" s="12"/>
      <c r="LO54" s="12"/>
      <c r="LP54" s="12"/>
      <c r="LQ54" s="12"/>
      <c r="LR54" s="12"/>
      <c r="LS54" s="12"/>
      <c r="LT54" s="12"/>
      <c r="LU54" s="12"/>
      <c r="LV54" s="12"/>
      <c r="LW54" s="12"/>
      <c r="LX54" s="12"/>
      <c r="LY54" s="12"/>
      <c r="LZ54" s="12"/>
      <c r="MA54" s="12"/>
      <c r="MB54" s="12"/>
      <c r="MC54" s="12"/>
      <c r="MD54" s="12"/>
      <c r="ME54" s="12"/>
      <c r="MF54" s="12"/>
      <c r="MG54" s="12"/>
      <c r="MH54" s="12"/>
      <c r="MI54" s="12"/>
      <c r="MJ54" s="12"/>
      <c r="MK54" s="12"/>
      <c r="ML54" s="12"/>
      <c r="MM54" s="12"/>
      <c r="MN54" s="12"/>
      <c r="MO54" s="12"/>
      <c r="MP54" s="12"/>
      <c r="MQ54" s="12"/>
      <c r="MR54" s="12"/>
      <c r="MS54" s="12"/>
      <c r="MT54" s="12"/>
      <c r="MU54" s="12"/>
      <c r="MV54" s="12"/>
      <c r="MW54" s="12"/>
      <c r="MX54" s="12"/>
      <c r="MY54" s="12"/>
      <c r="MZ54" s="12"/>
      <c r="NA54" s="12"/>
      <c r="NB54" s="12"/>
      <c r="NC54" s="12"/>
      <c r="ND54" s="12"/>
      <c r="NE54" s="12"/>
      <c r="NF54" s="12"/>
      <c r="NG54" s="12"/>
      <c r="NH54" s="12"/>
      <c r="NI54" s="12"/>
      <c r="NJ54" s="12"/>
      <c r="NK54" s="12"/>
      <c r="NL54" s="12"/>
      <c r="NM54" s="12"/>
      <c r="NN54" s="12"/>
      <c r="NO54" s="12"/>
      <c r="NP54" s="12"/>
      <c r="NQ54" s="12"/>
      <c r="NR54" s="12"/>
      <c r="NS54" s="12"/>
      <c r="NT54" s="12"/>
      <c r="NU54" s="12"/>
      <c r="NV54" s="12"/>
      <c r="NW54" s="12"/>
      <c r="NX54" s="12"/>
      <c r="NY54" s="12"/>
      <c r="NZ54" s="12"/>
      <c r="OA54" s="12"/>
      <c r="OB54" s="12"/>
      <c r="OC54" s="12"/>
      <c r="OD54" s="12"/>
      <c r="OE54" s="12"/>
      <c r="OF54" s="12"/>
      <c r="OG54" s="12"/>
      <c r="OH54" s="12"/>
      <c r="OI54" s="12"/>
      <c r="OJ54" s="12"/>
      <c r="OK54" s="12"/>
      <c r="OL54" s="12"/>
      <c r="OM54" s="12"/>
      <c r="ON54" s="12"/>
      <c r="OO54" s="12"/>
      <c r="OP54" s="12"/>
      <c r="OQ54" s="12"/>
      <c r="OR54" s="12"/>
      <c r="OS54" s="12"/>
      <c r="OT54" s="12"/>
      <c r="OU54" s="12"/>
      <c r="OV54" s="12"/>
      <c r="OW54" s="12"/>
      <c r="OX54" s="12"/>
      <c r="OY54" s="12"/>
      <c r="OZ54" s="12"/>
      <c r="PA54" s="12"/>
      <c r="PB54" s="12"/>
      <c r="PC54" s="12"/>
      <c r="PD54" s="12"/>
      <c r="PE54" s="12"/>
      <c r="PF54" s="12"/>
      <c r="PG54" s="12"/>
      <c r="PH54" s="12"/>
      <c r="PI54" s="12"/>
      <c r="PJ54" s="12"/>
      <c r="PK54" s="12"/>
      <c r="PL54" s="12"/>
      <c r="PM54" s="12"/>
      <c r="PN54" s="12"/>
      <c r="PO54" s="12"/>
      <c r="PP54" s="12"/>
      <c r="PQ54" s="12"/>
      <c r="PR54" s="12"/>
      <c r="PS54" s="12"/>
      <c r="PT54" s="12"/>
      <c r="PU54" s="12"/>
      <c r="PV54" s="12"/>
      <c r="PW54" s="12"/>
      <c r="PX54" s="12"/>
      <c r="PY54" s="12"/>
      <c r="PZ54" s="12"/>
      <c r="QA54" s="12"/>
      <c r="QB54" s="12"/>
      <c r="QC54" s="12"/>
      <c r="QD54" s="12"/>
      <c r="QE54" s="12"/>
      <c r="QF54" s="12"/>
      <c r="QG54" s="12"/>
      <c r="QH54" s="12"/>
      <c r="QI54" s="12"/>
      <c r="QJ54" s="12"/>
      <c r="QK54" s="12"/>
      <c r="QL54" s="12"/>
      <c r="QM54" s="12"/>
      <c r="QN54" s="12"/>
      <c r="QO54" s="12"/>
      <c r="QP54" s="12"/>
      <c r="QQ54" s="12"/>
      <c r="QR54" s="12"/>
      <c r="QS54" s="12"/>
      <c r="QT54" s="12"/>
      <c r="QU54" s="12"/>
      <c r="QV54" s="12"/>
      <c r="QW54" s="12"/>
      <c r="QX54" s="12"/>
      <c r="QY54" s="12"/>
      <c r="QZ54" s="12"/>
      <c r="RA54" s="12"/>
      <c r="RB54" s="12"/>
      <c r="RC54" s="12"/>
      <c r="RD54" s="12"/>
      <c r="RE54" s="12"/>
      <c r="RF54" s="12"/>
      <c r="RG54" s="12"/>
      <c r="RH54" s="12"/>
      <c r="RI54" s="12"/>
      <c r="RJ54" s="12"/>
      <c r="RK54" s="12"/>
      <c r="RL54" s="12"/>
      <c r="RM54" s="12"/>
      <c r="RN54" s="12"/>
      <c r="RO54" s="12"/>
      <c r="RP54" s="12"/>
      <c r="RQ54" s="12"/>
      <c r="RR54" s="12"/>
      <c r="RS54" s="12"/>
      <c r="RT54" s="12"/>
      <c r="RU54" s="12"/>
      <c r="RV54" s="12"/>
      <c r="RW54" s="12"/>
      <c r="RX54" s="12"/>
      <c r="RY54" s="12"/>
      <c r="RZ54" s="12"/>
      <c r="SA54" s="12"/>
      <c r="SB54" s="12"/>
      <c r="SC54" s="12"/>
      <c r="SD54" s="12"/>
    </row>
    <row r="55" spans="1:498" s="10" customFormat="1" hidden="1">
      <c r="A55" s="87"/>
      <c r="B55" s="90" t="s">
        <v>9</v>
      </c>
      <c r="C55" s="90"/>
      <c r="D55" s="90"/>
      <c r="E55" s="102"/>
      <c r="F55" s="103">
        <v>11170</v>
      </c>
      <c r="G55" s="103">
        <f>F55*1.0251</f>
        <v>11450.366999999998</v>
      </c>
      <c r="H55" s="103">
        <f t="shared" ref="H55:AI55" si="34">G55*1.0251</f>
        <v>11737.771211699997</v>
      </c>
      <c r="I55" s="103">
        <f t="shared" si="34"/>
        <v>12032.389269113666</v>
      </c>
      <c r="J55" s="103">
        <f t="shared" si="34"/>
        <v>12334.402239768418</v>
      </c>
      <c r="K55" s="103">
        <f t="shared" si="34"/>
        <v>12643.995735986604</v>
      </c>
      <c r="L55" s="103">
        <f t="shared" si="34"/>
        <v>12961.360028959867</v>
      </c>
      <c r="M55" s="103">
        <f t="shared" si="34"/>
        <v>13286.690165686758</v>
      </c>
      <c r="N55" s="103">
        <f t="shared" si="34"/>
        <v>13620.186088845494</v>
      </c>
      <c r="O55" s="103">
        <f t="shared" si="34"/>
        <v>13962.052759675515</v>
      </c>
      <c r="P55" s="103">
        <f t="shared" si="34"/>
        <v>14312.500283943369</v>
      </c>
      <c r="Q55" s="103">
        <f t="shared" si="34"/>
        <v>14671.744041070346</v>
      </c>
      <c r="R55" s="103">
        <f t="shared" si="34"/>
        <v>15040.00481650121</v>
      </c>
      <c r="S55" s="103">
        <f t="shared" si="34"/>
        <v>15417.508937395389</v>
      </c>
      <c r="T55" s="103">
        <f t="shared" si="34"/>
        <v>15804.488411724011</v>
      </c>
      <c r="U55" s="103">
        <f t="shared" si="34"/>
        <v>16201.181070858282</v>
      </c>
      <c r="V55" s="103">
        <f t="shared" si="34"/>
        <v>16607.830715736822</v>
      </c>
      <c r="W55" s="103">
        <f t="shared" si="34"/>
        <v>17024.687266701814</v>
      </c>
      <c r="X55" s="103">
        <f t="shared" si="34"/>
        <v>17452.006917096027</v>
      </c>
      <c r="Y55" s="103">
        <f t="shared" si="34"/>
        <v>17890.052290715135</v>
      </c>
      <c r="Z55" s="103">
        <f t="shared" si="34"/>
        <v>18339.092603212084</v>
      </c>
      <c r="AA55" s="103">
        <f t="shared" si="34"/>
        <v>18799.403827552705</v>
      </c>
      <c r="AB55" s="103">
        <f t="shared" si="34"/>
        <v>19271.268863624278</v>
      </c>
      <c r="AC55" s="103">
        <f t="shared" si="34"/>
        <v>19754.977712101245</v>
      </c>
      <c r="AD55" s="103">
        <f t="shared" si="34"/>
        <v>20250.827652674983</v>
      </c>
      <c r="AE55" s="103">
        <f t="shared" si="34"/>
        <v>20759.123426757124</v>
      </c>
      <c r="AF55" s="103">
        <f t="shared" si="34"/>
        <v>21280.177424768724</v>
      </c>
      <c r="AG55" s="103">
        <f t="shared" si="34"/>
        <v>21814.309878130418</v>
      </c>
      <c r="AH55" s="103">
        <f t="shared" si="34"/>
        <v>22361.849056071489</v>
      </c>
      <c r="AI55" s="103">
        <f t="shared" si="34"/>
        <v>22923.13146737888</v>
      </c>
      <c r="AJ55" s="87"/>
      <c r="AK55" s="87"/>
      <c r="AL55" s="87"/>
      <c r="AM55" s="87"/>
      <c r="AN55" s="87"/>
      <c r="AO55" s="87"/>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2"/>
      <c r="IO55" s="12"/>
      <c r="IP55" s="12"/>
      <c r="IQ55" s="12"/>
      <c r="IR55" s="12"/>
      <c r="IS55" s="12"/>
      <c r="IT55" s="12"/>
      <c r="IU55" s="12"/>
      <c r="IV55" s="12"/>
      <c r="IW55" s="12"/>
      <c r="IX55" s="12"/>
      <c r="IY55" s="12"/>
      <c r="IZ55" s="12"/>
      <c r="JA55" s="12"/>
      <c r="JB55" s="12"/>
      <c r="JC55" s="12"/>
      <c r="JD55" s="12"/>
      <c r="JE55" s="12"/>
      <c r="JF55" s="12"/>
      <c r="JG55" s="12"/>
      <c r="JH55" s="12"/>
      <c r="JI55" s="12"/>
      <c r="JJ55" s="12"/>
      <c r="JK55" s="12"/>
      <c r="JL55" s="12"/>
      <c r="JM55" s="12"/>
      <c r="JN55" s="12"/>
      <c r="JO55" s="12"/>
      <c r="JP55" s="12"/>
      <c r="JQ55" s="12"/>
      <c r="JR55" s="12"/>
      <c r="JS55" s="12"/>
      <c r="JT55" s="12"/>
      <c r="JU55" s="12"/>
      <c r="JV55" s="12"/>
      <c r="JW55" s="12"/>
      <c r="JX55" s="12"/>
      <c r="JY55" s="12"/>
      <c r="JZ55" s="12"/>
      <c r="KA55" s="12"/>
      <c r="KB55" s="12"/>
      <c r="KC55" s="12"/>
      <c r="KD55" s="12"/>
      <c r="KE55" s="12"/>
      <c r="KF55" s="12"/>
      <c r="KG55" s="12"/>
      <c r="KH55" s="12"/>
      <c r="KI55" s="12"/>
      <c r="KJ55" s="12"/>
      <c r="KK55" s="12"/>
      <c r="KL55" s="12"/>
      <c r="KM55" s="12"/>
      <c r="KN55" s="12"/>
      <c r="KO55" s="12"/>
      <c r="KP55" s="12"/>
      <c r="KQ55" s="12"/>
      <c r="KR55" s="12"/>
      <c r="KS55" s="12"/>
      <c r="KT55" s="12"/>
      <c r="KU55" s="12"/>
      <c r="KV55" s="12"/>
      <c r="KW55" s="12"/>
      <c r="KX55" s="12"/>
      <c r="KY55" s="12"/>
      <c r="KZ55" s="12"/>
      <c r="LA55" s="12"/>
      <c r="LB55" s="12"/>
      <c r="LC55" s="12"/>
      <c r="LD55" s="12"/>
      <c r="LE55" s="12"/>
      <c r="LF55" s="12"/>
      <c r="LG55" s="12"/>
      <c r="LH55" s="12"/>
      <c r="LI55" s="12"/>
      <c r="LJ55" s="12"/>
      <c r="LK55" s="12"/>
      <c r="LL55" s="12"/>
      <c r="LM55" s="12"/>
      <c r="LN55" s="12"/>
      <c r="LO55" s="12"/>
      <c r="LP55" s="12"/>
      <c r="LQ55" s="12"/>
      <c r="LR55" s="12"/>
      <c r="LS55" s="12"/>
      <c r="LT55" s="12"/>
      <c r="LU55" s="12"/>
      <c r="LV55" s="12"/>
      <c r="LW55" s="12"/>
      <c r="LX55" s="12"/>
      <c r="LY55" s="12"/>
      <c r="LZ55" s="12"/>
      <c r="MA55" s="12"/>
      <c r="MB55" s="12"/>
      <c r="MC55" s="12"/>
      <c r="MD55" s="12"/>
      <c r="ME55" s="12"/>
      <c r="MF55" s="12"/>
      <c r="MG55" s="12"/>
      <c r="MH55" s="12"/>
      <c r="MI55" s="12"/>
      <c r="MJ55" s="12"/>
      <c r="MK55" s="12"/>
      <c r="ML55" s="12"/>
      <c r="MM55" s="12"/>
      <c r="MN55" s="12"/>
      <c r="MO55" s="12"/>
      <c r="MP55" s="12"/>
      <c r="MQ55" s="12"/>
      <c r="MR55" s="12"/>
      <c r="MS55" s="12"/>
      <c r="MT55" s="12"/>
      <c r="MU55" s="12"/>
      <c r="MV55" s="12"/>
      <c r="MW55" s="12"/>
      <c r="MX55" s="12"/>
      <c r="MY55" s="12"/>
      <c r="MZ55" s="12"/>
      <c r="NA55" s="12"/>
      <c r="NB55" s="12"/>
      <c r="NC55" s="12"/>
      <c r="ND55" s="12"/>
      <c r="NE55" s="12"/>
      <c r="NF55" s="12"/>
      <c r="NG55" s="12"/>
      <c r="NH55" s="12"/>
      <c r="NI55" s="12"/>
      <c r="NJ55" s="12"/>
      <c r="NK55" s="12"/>
      <c r="NL55" s="12"/>
      <c r="NM55" s="12"/>
      <c r="NN55" s="12"/>
      <c r="NO55" s="12"/>
      <c r="NP55" s="12"/>
      <c r="NQ55" s="12"/>
      <c r="NR55" s="12"/>
      <c r="NS55" s="12"/>
      <c r="NT55" s="12"/>
      <c r="NU55" s="12"/>
      <c r="NV55" s="12"/>
      <c r="NW55" s="12"/>
      <c r="NX55" s="12"/>
      <c r="NY55" s="12"/>
      <c r="NZ55" s="12"/>
      <c r="OA55" s="12"/>
      <c r="OB55" s="12"/>
      <c r="OC55" s="12"/>
      <c r="OD55" s="12"/>
      <c r="OE55" s="12"/>
      <c r="OF55" s="12"/>
      <c r="OG55" s="12"/>
      <c r="OH55" s="12"/>
      <c r="OI55" s="12"/>
      <c r="OJ55" s="12"/>
      <c r="OK55" s="12"/>
      <c r="OL55" s="12"/>
      <c r="OM55" s="12"/>
      <c r="ON55" s="12"/>
      <c r="OO55" s="12"/>
      <c r="OP55" s="12"/>
      <c r="OQ55" s="12"/>
      <c r="OR55" s="12"/>
      <c r="OS55" s="12"/>
      <c r="OT55" s="12"/>
      <c r="OU55" s="12"/>
      <c r="OV55" s="12"/>
      <c r="OW55" s="12"/>
      <c r="OX55" s="12"/>
      <c r="OY55" s="12"/>
      <c r="OZ55" s="12"/>
      <c r="PA55" s="12"/>
      <c r="PB55" s="12"/>
      <c r="PC55" s="12"/>
      <c r="PD55" s="12"/>
      <c r="PE55" s="12"/>
      <c r="PF55" s="12"/>
      <c r="PG55" s="12"/>
      <c r="PH55" s="12"/>
      <c r="PI55" s="12"/>
      <c r="PJ55" s="12"/>
      <c r="PK55" s="12"/>
      <c r="PL55" s="12"/>
      <c r="PM55" s="12"/>
      <c r="PN55" s="12"/>
      <c r="PO55" s="12"/>
      <c r="PP55" s="12"/>
      <c r="PQ55" s="12"/>
      <c r="PR55" s="12"/>
      <c r="PS55" s="12"/>
      <c r="PT55" s="12"/>
      <c r="PU55" s="12"/>
      <c r="PV55" s="12"/>
      <c r="PW55" s="12"/>
      <c r="PX55" s="12"/>
      <c r="PY55" s="12"/>
      <c r="PZ55" s="12"/>
      <c r="QA55" s="12"/>
      <c r="QB55" s="12"/>
      <c r="QC55" s="12"/>
      <c r="QD55" s="12"/>
      <c r="QE55" s="12"/>
      <c r="QF55" s="12"/>
      <c r="QG55" s="12"/>
      <c r="QH55" s="12"/>
      <c r="QI55" s="12"/>
      <c r="QJ55" s="12"/>
      <c r="QK55" s="12"/>
      <c r="QL55" s="12"/>
      <c r="QM55" s="12"/>
      <c r="QN55" s="12"/>
      <c r="QO55" s="12"/>
      <c r="QP55" s="12"/>
      <c r="QQ55" s="12"/>
      <c r="QR55" s="12"/>
      <c r="QS55" s="12"/>
      <c r="QT55" s="12"/>
      <c r="QU55" s="12"/>
      <c r="QV55" s="12"/>
      <c r="QW55" s="12"/>
      <c r="QX55" s="12"/>
      <c r="QY55" s="12"/>
      <c r="QZ55" s="12"/>
      <c r="RA55" s="12"/>
      <c r="RB55" s="12"/>
      <c r="RC55" s="12"/>
      <c r="RD55" s="12"/>
      <c r="RE55" s="12"/>
      <c r="RF55" s="12"/>
      <c r="RG55" s="12"/>
      <c r="RH55" s="12"/>
      <c r="RI55" s="12"/>
      <c r="RJ55" s="12"/>
      <c r="RK55" s="12"/>
      <c r="RL55" s="12"/>
      <c r="RM55" s="12"/>
      <c r="RN55" s="12"/>
      <c r="RO55" s="12"/>
      <c r="RP55" s="12"/>
      <c r="RQ55" s="12"/>
      <c r="RR55" s="12"/>
      <c r="RS55" s="12"/>
      <c r="RT55" s="12"/>
      <c r="RU55" s="12"/>
      <c r="RV55" s="12"/>
      <c r="RW55" s="12"/>
      <c r="RX55" s="12"/>
      <c r="RY55" s="12"/>
      <c r="RZ55" s="12"/>
      <c r="SA55" s="12"/>
      <c r="SB55" s="12"/>
      <c r="SC55" s="12"/>
      <c r="SD55" s="12"/>
    </row>
    <row r="56" spans="1:498" s="10" customFormat="1" hidden="1">
      <c r="A56" s="87"/>
      <c r="B56" s="90" t="s">
        <v>10</v>
      </c>
      <c r="C56" s="90"/>
      <c r="D56" s="90"/>
      <c r="E56" s="102"/>
      <c r="F56" s="103">
        <v>3960</v>
      </c>
      <c r="G56" s="103">
        <f>F56*1.0258</f>
        <v>4062.1680000000001</v>
      </c>
      <c r="H56" s="103">
        <f t="shared" ref="H56:AI56" si="35">G56*1.0258</f>
        <v>4166.9719344000005</v>
      </c>
      <c r="I56" s="103">
        <f t="shared" si="35"/>
        <v>4274.4798103075209</v>
      </c>
      <c r="J56" s="103">
        <f t="shared" si="35"/>
        <v>4384.7613894134547</v>
      </c>
      <c r="K56" s="103">
        <f t="shared" si="35"/>
        <v>4497.8882332603216</v>
      </c>
      <c r="L56" s="103">
        <f t="shared" si="35"/>
        <v>4613.9337496784383</v>
      </c>
      <c r="M56" s="103">
        <f t="shared" si="35"/>
        <v>4732.9732404201422</v>
      </c>
      <c r="N56" s="103">
        <f t="shared" si="35"/>
        <v>4855.0839500229822</v>
      </c>
      <c r="O56" s="103">
        <f t="shared" si="35"/>
        <v>4980.3451159335755</v>
      </c>
      <c r="P56" s="103">
        <f t="shared" si="35"/>
        <v>5108.8380199246621</v>
      </c>
      <c r="Q56" s="103">
        <f t="shared" si="35"/>
        <v>5240.6460408387184</v>
      </c>
      <c r="R56" s="103">
        <f t="shared" si="35"/>
        <v>5375.8547086923572</v>
      </c>
      <c r="S56" s="103">
        <f t="shared" si="35"/>
        <v>5514.5517601766205</v>
      </c>
      <c r="T56" s="103">
        <f t="shared" si="35"/>
        <v>5656.8271955891778</v>
      </c>
      <c r="U56" s="103">
        <f t="shared" si="35"/>
        <v>5802.7733372353787</v>
      </c>
      <c r="V56" s="103">
        <f t="shared" si="35"/>
        <v>5952.4848893360513</v>
      </c>
      <c r="W56" s="103">
        <f t="shared" si="35"/>
        <v>6106.0589994809216</v>
      </c>
      <c r="X56" s="103">
        <f t="shared" si="35"/>
        <v>6263.5953216675298</v>
      </c>
      <c r="Y56" s="103">
        <f t="shared" si="35"/>
        <v>6425.1960809665525</v>
      </c>
      <c r="Z56" s="103">
        <f t="shared" si="35"/>
        <v>6590.9661398554899</v>
      </c>
      <c r="AA56" s="103">
        <f t="shared" si="35"/>
        <v>6761.0130662637621</v>
      </c>
      <c r="AB56" s="103">
        <f t="shared" si="35"/>
        <v>6935.4472033733673</v>
      </c>
      <c r="AC56" s="103">
        <f t="shared" si="35"/>
        <v>7114.3817412204007</v>
      </c>
      <c r="AD56" s="103">
        <f t="shared" si="35"/>
        <v>7297.9327901438874</v>
      </c>
      <c r="AE56" s="103">
        <f t="shared" si="35"/>
        <v>7486.2194561296001</v>
      </c>
      <c r="AF56" s="103">
        <f t="shared" si="35"/>
        <v>7679.3639180977443</v>
      </c>
      <c r="AG56" s="103">
        <f t="shared" si="35"/>
        <v>7877.4915071846663</v>
      </c>
      <c r="AH56" s="103">
        <f t="shared" si="35"/>
        <v>8080.7307880700309</v>
      </c>
      <c r="AI56" s="103">
        <f t="shared" si="35"/>
        <v>8289.2136424022374</v>
      </c>
      <c r="AJ56" s="87"/>
      <c r="AK56" s="87"/>
      <c r="AL56" s="87"/>
      <c r="AM56" s="87"/>
      <c r="AN56" s="87"/>
      <c r="AO56" s="87"/>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c r="IW56" s="12"/>
      <c r="IX56" s="12"/>
      <c r="IY56" s="12"/>
      <c r="IZ56" s="12"/>
      <c r="JA56" s="12"/>
      <c r="JB56" s="12"/>
      <c r="JC56" s="12"/>
      <c r="JD56" s="12"/>
      <c r="JE56" s="12"/>
      <c r="JF56" s="12"/>
      <c r="JG56" s="12"/>
      <c r="JH56" s="12"/>
      <c r="JI56" s="12"/>
      <c r="JJ56" s="12"/>
      <c r="JK56" s="12"/>
      <c r="JL56" s="12"/>
      <c r="JM56" s="12"/>
      <c r="JN56" s="12"/>
      <c r="JO56" s="12"/>
      <c r="JP56" s="12"/>
      <c r="JQ56" s="12"/>
      <c r="JR56" s="12"/>
      <c r="JS56" s="12"/>
      <c r="JT56" s="12"/>
      <c r="JU56" s="12"/>
      <c r="JV56" s="12"/>
      <c r="JW56" s="12"/>
      <c r="JX56" s="12"/>
      <c r="JY56" s="12"/>
      <c r="JZ56" s="12"/>
      <c r="KA56" s="12"/>
      <c r="KB56" s="12"/>
      <c r="KC56" s="12"/>
      <c r="KD56" s="12"/>
      <c r="KE56" s="12"/>
      <c r="KF56" s="12"/>
      <c r="KG56" s="12"/>
      <c r="KH56" s="12"/>
      <c r="KI56" s="12"/>
      <c r="KJ56" s="12"/>
      <c r="KK56" s="12"/>
      <c r="KL56" s="12"/>
      <c r="KM56" s="12"/>
      <c r="KN56" s="12"/>
      <c r="KO56" s="12"/>
      <c r="KP56" s="12"/>
      <c r="KQ56" s="12"/>
      <c r="KR56" s="12"/>
      <c r="KS56" s="12"/>
      <c r="KT56" s="12"/>
      <c r="KU56" s="12"/>
      <c r="KV56" s="12"/>
      <c r="KW56" s="12"/>
      <c r="KX56" s="12"/>
      <c r="KY56" s="12"/>
      <c r="KZ56" s="12"/>
      <c r="LA56" s="12"/>
      <c r="LB56" s="12"/>
      <c r="LC56" s="12"/>
      <c r="LD56" s="12"/>
      <c r="LE56" s="12"/>
      <c r="LF56" s="12"/>
      <c r="LG56" s="12"/>
      <c r="LH56" s="12"/>
      <c r="LI56" s="12"/>
      <c r="LJ56" s="12"/>
      <c r="LK56" s="12"/>
      <c r="LL56" s="12"/>
      <c r="LM56" s="12"/>
      <c r="LN56" s="12"/>
      <c r="LO56" s="12"/>
      <c r="LP56" s="12"/>
      <c r="LQ56" s="12"/>
      <c r="LR56" s="12"/>
      <c r="LS56" s="12"/>
      <c r="LT56" s="12"/>
      <c r="LU56" s="12"/>
      <c r="LV56" s="12"/>
      <c r="LW56" s="12"/>
      <c r="LX56" s="12"/>
      <c r="LY56" s="12"/>
      <c r="LZ56" s="12"/>
      <c r="MA56" s="12"/>
      <c r="MB56" s="12"/>
      <c r="MC56" s="12"/>
      <c r="MD56" s="12"/>
      <c r="ME56" s="12"/>
      <c r="MF56" s="12"/>
      <c r="MG56" s="12"/>
      <c r="MH56" s="12"/>
      <c r="MI56" s="12"/>
      <c r="MJ56" s="12"/>
      <c r="MK56" s="12"/>
      <c r="ML56" s="12"/>
      <c r="MM56" s="12"/>
      <c r="MN56" s="12"/>
      <c r="MO56" s="12"/>
      <c r="MP56" s="12"/>
      <c r="MQ56" s="12"/>
      <c r="MR56" s="12"/>
      <c r="MS56" s="12"/>
      <c r="MT56" s="12"/>
      <c r="MU56" s="12"/>
      <c r="MV56" s="12"/>
      <c r="MW56" s="12"/>
      <c r="MX56" s="12"/>
      <c r="MY56" s="12"/>
      <c r="MZ56" s="12"/>
      <c r="NA56" s="12"/>
      <c r="NB56" s="12"/>
      <c r="NC56" s="12"/>
      <c r="ND56" s="12"/>
      <c r="NE56" s="12"/>
      <c r="NF56" s="12"/>
      <c r="NG56" s="12"/>
      <c r="NH56" s="12"/>
      <c r="NI56" s="12"/>
      <c r="NJ56" s="12"/>
      <c r="NK56" s="12"/>
      <c r="NL56" s="12"/>
      <c r="NM56" s="12"/>
      <c r="NN56" s="12"/>
      <c r="NO56" s="12"/>
      <c r="NP56" s="12"/>
      <c r="NQ56" s="12"/>
      <c r="NR56" s="12"/>
      <c r="NS56" s="12"/>
      <c r="NT56" s="12"/>
      <c r="NU56" s="12"/>
      <c r="NV56" s="12"/>
      <c r="NW56" s="12"/>
      <c r="NX56" s="12"/>
      <c r="NY56" s="12"/>
      <c r="NZ56" s="12"/>
      <c r="OA56" s="12"/>
      <c r="OB56" s="12"/>
      <c r="OC56" s="12"/>
      <c r="OD56" s="12"/>
      <c r="OE56" s="12"/>
      <c r="OF56" s="12"/>
      <c r="OG56" s="12"/>
      <c r="OH56" s="12"/>
      <c r="OI56" s="12"/>
      <c r="OJ56" s="12"/>
      <c r="OK56" s="12"/>
      <c r="OL56" s="12"/>
      <c r="OM56" s="12"/>
      <c r="ON56" s="12"/>
      <c r="OO56" s="12"/>
      <c r="OP56" s="12"/>
      <c r="OQ56" s="12"/>
      <c r="OR56" s="12"/>
      <c r="OS56" s="12"/>
      <c r="OT56" s="12"/>
      <c r="OU56" s="12"/>
      <c r="OV56" s="12"/>
      <c r="OW56" s="12"/>
      <c r="OX56" s="12"/>
      <c r="OY56" s="12"/>
      <c r="OZ56" s="12"/>
      <c r="PA56" s="12"/>
      <c r="PB56" s="12"/>
      <c r="PC56" s="12"/>
      <c r="PD56" s="12"/>
      <c r="PE56" s="12"/>
      <c r="PF56" s="12"/>
      <c r="PG56" s="12"/>
      <c r="PH56" s="12"/>
      <c r="PI56" s="12"/>
      <c r="PJ56" s="12"/>
      <c r="PK56" s="12"/>
      <c r="PL56" s="12"/>
      <c r="PM56" s="12"/>
      <c r="PN56" s="12"/>
      <c r="PO56" s="12"/>
      <c r="PP56" s="12"/>
      <c r="PQ56" s="12"/>
      <c r="PR56" s="12"/>
      <c r="PS56" s="12"/>
      <c r="PT56" s="12"/>
      <c r="PU56" s="12"/>
      <c r="PV56" s="12"/>
      <c r="PW56" s="12"/>
      <c r="PX56" s="12"/>
      <c r="PY56" s="12"/>
      <c r="PZ56" s="12"/>
      <c r="QA56" s="12"/>
      <c r="QB56" s="12"/>
      <c r="QC56" s="12"/>
      <c r="QD56" s="12"/>
      <c r="QE56" s="12"/>
      <c r="QF56" s="12"/>
      <c r="QG56" s="12"/>
      <c r="QH56" s="12"/>
      <c r="QI56" s="12"/>
      <c r="QJ56" s="12"/>
      <c r="QK56" s="12"/>
      <c r="QL56" s="12"/>
      <c r="QM56" s="12"/>
      <c r="QN56" s="12"/>
      <c r="QO56" s="12"/>
      <c r="QP56" s="12"/>
      <c r="QQ56" s="12"/>
      <c r="QR56" s="12"/>
      <c r="QS56" s="12"/>
      <c r="QT56" s="12"/>
      <c r="QU56" s="12"/>
      <c r="QV56" s="12"/>
      <c r="QW56" s="12"/>
      <c r="QX56" s="12"/>
      <c r="QY56" s="12"/>
      <c r="QZ56" s="12"/>
      <c r="RA56" s="12"/>
      <c r="RB56" s="12"/>
      <c r="RC56" s="12"/>
      <c r="RD56" s="12"/>
      <c r="RE56" s="12"/>
      <c r="RF56" s="12"/>
      <c r="RG56" s="12"/>
      <c r="RH56" s="12"/>
      <c r="RI56" s="12"/>
      <c r="RJ56" s="12"/>
      <c r="RK56" s="12"/>
      <c r="RL56" s="12"/>
      <c r="RM56" s="12"/>
      <c r="RN56" s="12"/>
      <c r="RO56" s="12"/>
      <c r="RP56" s="12"/>
      <c r="RQ56" s="12"/>
      <c r="RR56" s="12"/>
      <c r="RS56" s="12"/>
      <c r="RT56" s="12"/>
      <c r="RU56" s="12"/>
      <c r="RV56" s="12"/>
      <c r="RW56" s="12"/>
      <c r="RX56" s="12"/>
      <c r="RY56" s="12"/>
      <c r="RZ56" s="12"/>
      <c r="SA56" s="12"/>
      <c r="SB56" s="12"/>
      <c r="SC56" s="12"/>
      <c r="SD56" s="12"/>
    </row>
    <row r="57" spans="1:498" s="10" customFormat="1" hidden="1">
      <c r="A57" s="87"/>
      <c r="B57" s="90" t="s">
        <v>11</v>
      </c>
      <c r="C57" s="90"/>
      <c r="D57" s="104">
        <f>C11</f>
        <v>6.8750000000000006E-2</v>
      </c>
      <c r="E57" s="105"/>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92"/>
      <c r="AF57" s="92"/>
      <c r="AG57" s="92"/>
      <c r="AH57" s="92"/>
      <c r="AI57" s="92"/>
      <c r="AJ57" s="87"/>
      <c r="AK57" s="87"/>
      <c r="AL57" s="87"/>
      <c r="AM57" s="87"/>
      <c r="AN57" s="87"/>
      <c r="AO57" s="87"/>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c r="IV57" s="12"/>
      <c r="IW57" s="12"/>
      <c r="IX57" s="12"/>
      <c r="IY57" s="12"/>
      <c r="IZ57" s="12"/>
      <c r="JA57" s="12"/>
      <c r="JB57" s="12"/>
      <c r="JC57" s="12"/>
      <c r="JD57" s="12"/>
      <c r="JE57" s="12"/>
      <c r="JF57" s="12"/>
      <c r="JG57" s="12"/>
      <c r="JH57" s="12"/>
      <c r="JI57" s="12"/>
      <c r="JJ57" s="12"/>
      <c r="JK57" s="12"/>
      <c r="JL57" s="12"/>
      <c r="JM57" s="12"/>
      <c r="JN57" s="12"/>
      <c r="JO57" s="12"/>
      <c r="JP57" s="12"/>
      <c r="JQ57" s="12"/>
      <c r="JR57" s="12"/>
      <c r="JS57" s="12"/>
      <c r="JT57" s="12"/>
      <c r="JU57" s="12"/>
      <c r="JV57" s="12"/>
      <c r="JW57" s="12"/>
      <c r="JX57" s="12"/>
      <c r="JY57" s="12"/>
      <c r="JZ57" s="12"/>
      <c r="KA57" s="12"/>
      <c r="KB57" s="12"/>
      <c r="KC57" s="12"/>
      <c r="KD57" s="12"/>
      <c r="KE57" s="12"/>
      <c r="KF57" s="12"/>
      <c r="KG57" s="12"/>
      <c r="KH57" s="12"/>
      <c r="KI57" s="12"/>
      <c r="KJ57" s="12"/>
      <c r="KK57" s="12"/>
      <c r="KL57" s="12"/>
      <c r="KM57" s="12"/>
      <c r="KN57" s="12"/>
      <c r="KO57" s="12"/>
      <c r="KP57" s="12"/>
      <c r="KQ57" s="12"/>
      <c r="KR57" s="12"/>
      <c r="KS57" s="12"/>
      <c r="KT57" s="12"/>
      <c r="KU57" s="12"/>
      <c r="KV57" s="12"/>
      <c r="KW57" s="12"/>
      <c r="KX57" s="12"/>
      <c r="KY57" s="12"/>
      <c r="KZ57" s="12"/>
      <c r="LA57" s="12"/>
      <c r="LB57" s="12"/>
      <c r="LC57" s="12"/>
      <c r="LD57" s="12"/>
      <c r="LE57" s="12"/>
      <c r="LF57" s="12"/>
      <c r="LG57" s="12"/>
      <c r="LH57" s="12"/>
      <c r="LI57" s="12"/>
      <c r="LJ57" s="12"/>
      <c r="LK57" s="12"/>
      <c r="LL57" s="12"/>
      <c r="LM57" s="12"/>
      <c r="LN57" s="12"/>
      <c r="LO57" s="12"/>
      <c r="LP57" s="12"/>
      <c r="LQ57" s="12"/>
      <c r="LR57" s="12"/>
      <c r="LS57" s="12"/>
      <c r="LT57" s="12"/>
      <c r="LU57" s="12"/>
      <c r="LV57" s="12"/>
      <c r="LW57" s="12"/>
      <c r="LX57" s="12"/>
      <c r="LY57" s="12"/>
      <c r="LZ57" s="12"/>
      <c r="MA57" s="12"/>
      <c r="MB57" s="12"/>
      <c r="MC57" s="12"/>
      <c r="MD57" s="12"/>
      <c r="ME57" s="12"/>
      <c r="MF57" s="12"/>
      <c r="MG57" s="12"/>
      <c r="MH57" s="12"/>
      <c r="MI57" s="12"/>
      <c r="MJ57" s="12"/>
      <c r="MK57" s="12"/>
      <c r="ML57" s="12"/>
      <c r="MM57" s="12"/>
      <c r="MN57" s="12"/>
      <c r="MO57" s="12"/>
      <c r="MP57" s="12"/>
      <c r="MQ57" s="12"/>
      <c r="MR57" s="12"/>
      <c r="MS57" s="12"/>
      <c r="MT57" s="12"/>
      <c r="MU57" s="12"/>
      <c r="MV57" s="12"/>
      <c r="MW57" s="12"/>
      <c r="MX57" s="12"/>
      <c r="MY57" s="12"/>
      <c r="MZ57" s="12"/>
      <c r="NA57" s="12"/>
      <c r="NB57" s="12"/>
      <c r="NC57" s="12"/>
      <c r="ND57" s="12"/>
      <c r="NE57" s="12"/>
      <c r="NF57" s="12"/>
      <c r="NG57" s="12"/>
      <c r="NH57" s="12"/>
      <c r="NI57" s="12"/>
      <c r="NJ57" s="12"/>
      <c r="NK57" s="12"/>
      <c r="NL57" s="12"/>
      <c r="NM57" s="12"/>
      <c r="NN57" s="12"/>
      <c r="NO57" s="12"/>
      <c r="NP57" s="12"/>
      <c r="NQ57" s="12"/>
      <c r="NR57" s="12"/>
      <c r="NS57" s="12"/>
      <c r="NT57" s="12"/>
      <c r="NU57" s="12"/>
      <c r="NV57" s="12"/>
      <c r="NW57" s="12"/>
      <c r="NX57" s="12"/>
      <c r="NY57" s="12"/>
      <c r="NZ57" s="12"/>
      <c r="OA57" s="12"/>
      <c r="OB57" s="12"/>
      <c r="OC57" s="12"/>
      <c r="OD57" s="12"/>
      <c r="OE57" s="12"/>
      <c r="OF57" s="12"/>
      <c r="OG57" s="12"/>
      <c r="OH57" s="12"/>
      <c r="OI57" s="12"/>
      <c r="OJ57" s="12"/>
      <c r="OK57" s="12"/>
      <c r="OL57" s="12"/>
      <c r="OM57" s="12"/>
      <c r="ON57" s="12"/>
      <c r="OO57" s="12"/>
      <c r="OP57" s="12"/>
      <c r="OQ57" s="12"/>
      <c r="OR57" s="12"/>
      <c r="OS57" s="12"/>
      <c r="OT57" s="12"/>
      <c r="OU57" s="12"/>
      <c r="OV57" s="12"/>
      <c r="OW57" s="12"/>
      <c r="OX57" s="12"/>
      <c r="OY57" s="12"/>
      <c r="OZ57" s="12"/>
      <c r="PA57" s="12"/>
      <c r="PB57" s="12"/>
      <c r="PC57" s="12"/>
      <c r="PD57" s="12"/>
      <c r="PE57" s="12"/>
      <c r="PF57" s="12"/>
      <c r="PG57" s="12"/>
      <c r="PH57" s="12"/>
      <c r="PI57" s="12"/>
      <c r="PJ57" s="12"/>
      <c r="PK57" s="12"/>
      <c r="PL57" s="12"/>
      <c r="PM57" s="12"/>
      <c r="PN57" s="12"/>
      <c r="PO57" s="12"/>
      <c r="PP57" s="12"/>
      <c r="PQ57" s="12"/>
      <c r="PR57" s="12"/>
      <c r="PS57" s="12"/>
      <c r="PT57" s="12"/>
      <c r="PU57" s="12"/>
      <c r="PV57" s="12"/>
      <c r="PW57" s="12"/>
      <c r="PX57" s="12"/>
      <c r="PY57" s="12"/>
      <c r="PZ57" s="12"/>
      <c r="QA57" s="12"/>
      <c r="QB57" s="12"/>
      <c r="QC57" s="12"/>
      <c r="QD57" s="12"/>
      <c r="QE57" s="12"/>
      <c r="QF57" s="12"/>
      <c r="QG57" s="12"/>
      <c r="QH57" s="12"/>
      <c r="QI57" s="12"/>
      <c r="QJ57" s="12"/>
      <c r="QK57" s="12"/>
      <c r="QL57" s="12"/>
      <c r="QM57" s="12"/>
      <c r="QN57" s="12"/>
      <c r="QO57" s="12"/>
      <c r="QP57" s="12"/>
      <c r="QQ57" s="12"/>
      <c r="QR57" s="12"/>
      <c r="QS57" s="12"/>
      <c r="QT57" s="12"/>
      <c r="QU57" s="12"/>
      <c r="QV57" s="12"/>
      <c r="QW57" s="12"/>
      <c r="QX57" s="12"/>
      <c r="QY57" s="12"/>
      <c r="QZ57" s="12"/>
      <c r="RA57" s="12"/>
      <c r="RB57" s="12"/>
      <c r="RC57" s="12"/>
      <c r="RD57" s="12"/>
      <c r="RE57" s="12"/>
      <c r="RF57" s="12"/>
      <c r="RG57" s="12"/>
      <c r="RH57" s="12"/>
      <c r="RI57" s="12"/>
      <c r="RJ57" s="12"/>
      <c r="RK57" s="12"/>
      <c r="RL57" s="12"/>
      <c r="RM57" s="12"/>
      <c r="RN57" s="12"/>
      <c r="RO57" s="12"/>
      <c r="RP57" s="12"/>
      <c r="RQ57" s="12"/>
      <c r="RR57" s="12"/>
      <c r="RS57" s="12"/>
      <c r="RT57" s="12"/>
      <c r="RU57" s="12"/>
      <c r="RV57" s="12"/>
      <c r="RW57" s="12"/>
      <c r="RX57" s="12"/>
      <c r="RY57" s="12"/>
      <c r="RZ57" s="12"/>
      <c r="SA57" s="12"/>
      <c r="SB57" s="12"/>
      <c r="SC57" s="12"/>
      <c r="SD57" s="12"/>
    </row>
    <row r="58" spans="1:498" s="10" customFormat="1" hidden="1">
      <c r="A58" s="87"/>
      <c r="B58" s="90" t="s">
        <v>12</v>
      </c>
      <c r="C58" s="90"/>
      <c r="D58" s="106">
        <f>F84*12</f>
        <v>20090.95702943403</v>
      </c>
      <c r="E58" s="107"/>
      <c r="F58" s="92"/>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92"/>
      <c r="AF58" s="92"/>
      <c r="AG58" s="92"/>
      <c r="AH58" s="92"/>
      <c r="AI58" s="92"/>
      <c r="AJ58" s="87"/>
      <c r="AK58" s="87"/>
      <c r="AL58" s="87"/>
      <c r="AM58" s="87"/>
      <c r="AN58" s="87"/>
      <c r="AO58" s="87"/>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c r="IW58" s="12"/>
      <c r="IX58" s="12"/>
      <c r="IY58" s="12"/>
      <c r="IZ58" s="12"/>
      <c r="JA58" s="12"/>
      <c r="JB58" s="12"/>
      <c r="JC58" s="12"/>
      <c r="JD58" s="12"/>
      <c r="JE58" s="12"/>
      <c r="JF58" s="12"/>
      <c r="JG58" s="12"/>
      <c r="JH58" s="12"/>
      <c r="JI58" s="12"/>
      <c r="JJ58" s="12"/>
      <c r="JK58" s="12"/>
      <c r="JL58" s="12"/>
      <c r="JM58" s="12"/>
      <c r="JN58" s="12"/>
      <c r="JO58" s="12"/>
      <c r="JP58" s="12"/>
      <c r="JQ58" s="12"/>
      <c r="JR58" s="12"/>
      <c r="JS58" s="12"/>
      <c r="JT58" s="12"/>
      <c r="JU58" s="12"/>
      <c r="JV58" s="12"/>
      <c r="JW58" s="12"/>
      <c r="JX58" s="12"/>
      <c r="JY58" s="12"/>
      <c r="JZ58" s="12"/>
      <c r="KA58" s="12"/>
      <c r="KB58" s="12"/>
      <c r="KC58" s="12"/>
      <c r="KD58" s="12"/>
      <c r="KE58" s="12"/>
      <c r="KF58" s="12"/>
      <c r="KG58" s="12"/>
      <c r="KH58" s="12"/>
      <c r="KI58" s="12"/>
      <c r="KJ58" s="12"/>
      <c r="KK58" s="12"/>
      <c r="KL58" s="12"/>
      <c r="KM58" s="12"/>
      <c r="KN58" s="12"/>
      <c r="KO58" s="12"/>
      <c r="KP58" s="12"/>
      <c r="KQ58" s="12"/>
      <c r="KR58" s="12"/>
      <c r="KS58" s="12"/>
      <c r="KT58" s="12"/>
      <c r="KU58" s="12"/>
      <c r="KV58" s="12"/>
      <c r="KW58" s="12"/>
      <c r="KX58" s="12"/>
      <c r="KY58" s="12"/>
      <c r="KZ58" s="12"/>
      <c r="LA58" s="12"/>
      <c r="LB58" s="12"/>
      <c r="LC58" s="12"/>
      <c r="LD58" s="12"/>
      <c r="LE58" s="12"/>
      <c r="LF58" s="12"/>
      <c r="LG58" s="12"/>
      <c r="LH58" s="12"/>
      <c r="LI58" s="12"/>
      <c r="LJ58" s="12"/>
      <c r="LK58" s="12"/>
      <c r="LL58" s="12"/>
      <c r="LM58" s="12"/>
      <c r="LN58" s="12"/>
      <c r="LO58" s="12"/>
      <c r="LP58" s="12"/>
      <c r="LQ58" s="12"/>
      <c r="LR58" s="12"/>
      <c r="LS58" s="12"/>
      <c r="LT58" s="12"/>
      <c r="LU58" s="12"/>
      <c r="LV58" s="12"/>
      <c r="LW58" s="12"/>
      <c r="LX58" s="12"/>
      <c r="LY58" s="12"/>
      <c r="LZ58" s="12"/>
      <c r="MA58" s="12"/>
      <c r="MB58" s="12"/>
      <c r="MC58" s="12"/>
      <c r="MD58" s="12"/>
      <c r="ME58" s="12"/>
      <c r="MF58" s="12"/>
      <c r="MG58" s="12"/>
      <c r="MH58" s="12"/>
      <c r="MI58" s="12"/>
      <c r="MJ58" s="12"/>
      <c r="MK58" s="12"/>
      <c r="ML58" s="12"/>
      <c r="MM58" s="12"/>
      <c r="MN58" s="12"/>
      <c r="MO58" s="12"/>
      <c r="MP58" s="12"/>
      <c r="MQ58" s="12"/>
      <c r="MR58" s="12"/>
      <c r="MS58" s="12"/>
      <c r="MT58" s="12"/>
      <c r="MU58" s="12"/>
      <c r="MV58" s="12"/>
      <c r="MW58" s="12"/>
      <c r="MX58" s="12"/>
      <c r="MY58" s="12"/>
      <c r="MZ58" s="12"/>
      <c r="NA58" s="12"/>
      <c r="NB58" s="12"/>
      <c r="NC58" s="12"/>
      <c r="ND58" s="12"/>
      <c r="NE58" s="12"/>
      <c r="NF58" s="12"/>
      <c r="NG58" s="12"/>
      <c r="NH58" s="12"/>
      <c r="NI58" s="12"/>
      <c r="NJ58" s="12"/>
      <c r="NK58" s="12"/>
      <c r="NL58" s="12"/>
      <c r="NM58" s="12"/>
      <c r="NN58" s="12"/>
      <c r="NO58" s="12"/>
      <c r="NP58" s="12"/>
      <c r="NQ58" s="12"/>
      <c r="NR58" s="12"/>
      <c r="NS58" s="12"/>
      <c r="NT58" s="12"/>
      <c r="NU58" s="12"/>
      <c r="NV58" s="12"/>
      <c r="NW58" s="12"/>
      <c r="NX58" s="12"/>
      <c r="NY58" s="12"/>
      <c r="NZ58" s="12"/>
      <c r="OA58" s="12"/>
      <c r="OB58" s="12"/>
      <c r="OC58" s="12"/>
      <c r="OD58" s="12"/>
      <c r="OE58" s="12"/>
      <c r="OF58" s="12"/>
      <c r="OG58" s="12"/>
      <c r="OH58" s="12"/>
      <c r="OI58" s="12"/>
      <c r="OJ58" s="12"/>
      <c r="OK58" s="12"/>
      <c r="OL58" s="12"/>
      <c r="OM58" s="12"/>
      <c r="ON58" s="12"/>
      <c r="OO58" s="12"/>
      <c r="OP58" s="12"/>
      <c r="OQ58" s="12"/>
      <c r="OR58" s="12"/>
      <c r="OS58" s="12"/>
      <c r="OT58" s="12"/>
      <c r="OU58" s="12"/>
      <c r="OV58" s="12"/>
      <c r="OW58" s="12"/>
      <c r="OX58" s="12"/>
      <c r="OY58" s="12"/>
      <c r="OZ58" s="12"/>
      <c r="PA58" s="12"/>
      <c r="PB58" s="12"/>
      <c r="PC58" s="12"/>
      <c r="PD58" s="12"/>
      <c r="PE58" s="12"/>
      <c r="PF58" s="12"/>
      <c r="PG58" s="12"/>
      <c r="PH58" s="12"/>
      <c r="PI58" s="12"/>
      <c r="PJ58" s="12"/>
      <c r="PK58" s="12"/>
      <c r="PL58" s="12"/>
      <c r="PM58" s="12"/>
      <c r="PN58" s="12"/>
      <c r="PO58" s="12"/>
      <c r="PP58" s="12"/>
      <c r="PQ58" s="12"/>
      <c r="PR58" s="12"/>
      <c r="PS58" s="12"/>
      <c r="PT58" s="12"/>
      <c r="PU58" s="12"/>
      <c r="PV58" s="12"/>
      <c r="PW58" s="12"/>
      <c r="PX58" s="12"/>
      <c r="PY58" s="12"/>
      <c r="PZ58" s="12"/>
      <c r="QA58" s="12"/>
      <c r="QB58" s="12"/>
      <c r="QC58" s="12"/>
      <c r="QD58" s="12"/>
      <c r="QE58" s="12"/>
      <c r="QF58" s="12"/>
      <c r="QG58" s="12"/>
      <c r="QH58" s="12"/>
      <c r="QI58" s="12"/>
      <c r="QJ58" s="12"/>
      <c r="QK58" s="12"/>
      <c r="QL58" s="12"/>
      <c r="QM58" s="12"/>
      <c r="QN58" s="12"/>
      <c r="QO58" s="12"/>
      <c r="QP58" s="12"/>
      <c r="QQ58" s="12"/>
      <c r="QR58" s="12"/>
      <c r="QS58" s="12"/>
      <c r="QT58" s="12"/>
      <c r="QU58" s="12"/>
      <c r="QV58" s="12"/>
      <c r="QW58" s="12"/>
      <c r="QX58" s="12"/>
      <c r="QY58" s="12"/>
      <c r="QZ58" s="12"/>
      <c r="RA58" s="12"/>
      <c r="RB58" s="12"/>
      <c r="RC58" s="12"/>
      <c r="RD58" s="12"/>
      <c r="RE58" s="12"/>
      <c r="RF58" s="12"/>
      <c r="RG58" s="12"/>
      <c r="RH58" s="12"/>
      <c r="RI58" s="12"/>
      <c r="RJ58" s="12"/>
      <c r="RK58" s="12"/>
      <c r="RL58" s="12"/>
      <c r="RM58" s="12"/>
      <c r="RN58" s="12"/>
      <c r="RO58" s="12"/>
      <c r="RP58" s="12"/>
      <c r="RQ58" s="12"/>
      <c r="RR58" s="12"/>
      <c r="RS58" s="12"/>
      <c r="RT58" s="12"/>
      <c r="RU58" s="12"/>
      <c r="RV58" s="12"/>
      <c r="RW58" s="12"/>
      <c r="RX58" s="12"/>
      <c r="RY58" s="12"/>
      <c r="RZ58" s="12"/>
      <c r="SA58" s="12"/>
      <c r="SB58" s="12"/>
      <c r="SC58" s="12"/>
      <c r="SD58" s="12"/>
    </row>
    <row r="59" spans="1:498" s="10" customFormat="1" hidden="1">
      <c r="A59" s="87"/>
      <c r="B59" s="90" t="s">
        <v>13</v>
      </c>
      <c r="C59" s="90"/>
      <c r="D59" s="90"/>
      <c r="E59" s="108"/>
      <c r="F59" s="109">
        <f>F73*12</f>
        <v>8736.75</v>
      </c>
      <c r="G59" s="109">
        <f>IF(
F62=0+N("If the preceding year's loan balance is zero then"),
0+N("the current IBR payment is zero")+N("If the condition is not met then"),
IF(
AND(
G62=0+N("If this year's loan balance will be zero AND"),
I62=0+N("two year's from now it will be zero, then")),
F62+N("this is the last year of payment, and therefore the total payment made this year will simply be the remaining loan balance from last year")+N("If not then"),
G73*12+N("The monthly IBR payment multiplied by twelve")))</f>
        <v>9011.1674249999996</v>
      </c>
      <c r="H59" s="109">
        <f>IF(
G62=0+N("If the preceding year's loan balance is zero then"),
0+N("the current IBR payment is zero")+N("If the condition is not met then"),
IF(
AND(
H62=0+N("If this year's loan balance will be zero AND"),
J62=0+N("two year's from now it will be zero, then")),
G62+N("this is the last year of payment, and therefore the total payment made this year will simply be the remaining loan balance from last year")+N("If not then"),
H73*12+N("The monthly IBR payment multiplied by twelve")))</f>
        <v>9294.1264773674993</v>
      </c>
      <c r="I59" s="109">
        <f>IF(
H62=0+N("If the preceding year's loan balance is zero then"),
0+N("the current IBR payment is zero")+N("If the condition is not met then"),
IF(
AND(
I62=0+N("If this year's loan balance will be zero AND"),
K62=0+N("two year's from now it will be zero, then")),
H62+N("this is the last year of payment, and therefore the total payment made this year will simply be the remaining loan balance from last year")+N("If not then"),
I73*12+N("The monthly IBR payment multiplied by twelve")))</f>
        <v>9585.8911644494256</v>
      </c>
      <c r="J59" s="109">
        <f t="shared" ref="J59:Y59" si="36">IF(
I62=0+N("If the preceding year's loan balance is zero then"),
0+N("the current IBR payment is zero")+N("If the condition is not met then"),
IF(
AND(
J62=0+N("If this year's loan balance will be zero AND"),
L62=0+N("two year's from now it will be zero, then")),
I62+N("this is the last year of payment, and therefore the total payment made this year will simply be the remaining loan balance from last year")+N("If not then"),
J73*12+N("The monthly IBR payment multiplied by twelve")))</f>
        <v>9886.7336085521074</v>
      </c>
      <c r="K59" s="109">
        <f t="shared" si="36"/>
        <v>10196.934295278015</v>
      </c>
      <c r="L59" s="109">
        <f t="shared" si="36"/>
        <v>10516.78232943528</v>
      </c>
      <c r="M59" s="109">
        <f t="shared" si="36"/>
        <v>19510.49471272048</v>
      </c>
      <c r="N59" s="109">
        <f t="shared" si="36"/>
        <v>20090.95702943403</v>
      </c>
      <c r="O59" s="109">
        <f t="shared" si="36"/>
        <v>20090.95702943403</v>
      </c>
      <c r="P59" s="109">
        <f t="shared" si="36"/>
        <v>20090.95702943403</v>
      </c>
      <c r="Q59" s="109">
        <f t="shared" si="36"/>
        <v>20090.95702943403</v>
      </c>
      <c r="R59" s="109">
        <f t="shared" si="36"/>
        <v>20090.95702943403</v>
      </c>
      <c r="S59" s="109">
        <f t="shared" si="36"/>
        <v>20090.95702943403</v>
      </c>
      <c r="T59" s="109">
        <f t="shared" si="36"/>
        <v>20090.95702943403</v>
      </c>
      <c r="U59" s="109">
        <f t="shared" si="36"/>
        <v>20090.95702943403</v>
      </c>
      <c r="V59" s="109">
        <f t="shared" si="36"/>
        <v>20090.95702943403</v>
      </c>
      <c r="W59" s="109">
        <f t="shared" si="36"/>
        <v>11670.253580110402</v>
      </c>
      <c r="X59" s="109">
        <f t="shared" si="36"/>
        <v>0</v>
      </c>
      <c r="Y59" s="109">
        <f t="shared" si="36"/>
        <v>0</v>
      </c>
      <c r="Z59" s="109">
        <f>IF(
$C$15=0.1+N("If the interest rate is ten percent, THEN"),
0+N("The annual IBR payment is zero because the loan have been forgiven")+N("If that condition is not met THEN"),
IF(
Y62=0+N("If the preceding year's loan balance is zero then"),
0+N("the current IBR payment is zero")+N("If the condition is not met then"),
IF(
AND(
Z62=0+N("If this year's loan balance will be zero AND"),
AB62=0+N("two year's from now it will be zero, then")),
Y62+N("this is the last year of payment, and therefore the total payment made this year will simply be the remaining loan balance from last year")+N("If not then"),
Z73*12+N("The monthly IBR payment multiplied by twelve"))))</f>
        <v>0</v>
      </c>
      <c r="AA59" s="109">
        <f t="shared" ref="AA59:AC59" si="37">IF(
$C$15=0.1+N("If the interest rate is ten percent, THEN"),
0+N("The annual IBR payment is zero because the loan have been forgiven")+N("If that condition is not met THEN"),
IF(
Z62=0+N("If the preceding year's loan balance is zero then"),
0+N("the current IBR payment is zero")+N("If the condition is not met then"),
IF(
AND(
AA62=0+N("If this year's loan balance will be zero AND"),
AC62=0+N("two year's from now it will be zero, then")),
Z62+N("this is the last year of payment, and therefore the total payment made this year will simply be the remaining loan balance from last year")+N("If not then"),
AA73*12+N("The monthly IBR payment multiplied by twelve"))))</f>
        <v>0</v>
      </c>
      <c r="AB59" s="109">
        <f t="shared" si="37"/>
        <v>0</v>
      </c>
      <c r="AC59" s="109">
        <f t="shared" si="37"/>
        <v>0</v>
      </c>
      <c r="AD59" s="109">
        <f>IF($C$15=0.1,0,IF(AC62=0,0,IF(AND(AD62=0,AF62=0),AC62,AD73*12)))</f>
        <v>0</v>
      </c>
      <c r="AE59" s="110"/>
      <c r="AF59" s="110"/>
      <c r="AG59" s="110"/>
      <c r="AH59" s="110"/>
      <c r="AI59" s="110"/>
      <c r="AJ59" s="87"/>
      <c r="AK59" s="87"/>
      <c r="AL59" s="87"/>
      <c r="AM59" s="87"/>
      <c r="AN59" s="87"/>
      <c r="AO59" s="87"/>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c r="IW59" s="12"/>
      <c r="IX59" s="12"/>
      <c r="IY59" s="12"/>
      <c r="IZ59" s="12"/>
      <c r="JA59" s="12"/>
      <c r="JB59" s="12"/>
      <c r="JC59" s="12"/>
      <c r="JD59" s="12"/>
      <c r="JE59" s="12"/>
      <c r="JF59" s="12"/>
      <c r="JG59" s="12"/>
      <c r="JH59" s="12"/>
      <c r="JI59" s="12"/>
      <c r="JJ59" s="12"/>
      <c r="JK59" s="12"/>
      <c r="JL59" s="12"/>
      <c r="JM59" s="12"/>
      <c r="JN59" s="12"/>
      <c r="JO59" s="12"/>
      <c r="JP59" s="12"/>
      <c r="JQ59" s="12"/>
      <c r="JR59" s="12"/>
      <c r="JS59" s="12"/>
      <c r="JT59" s="12"/>
      <c r="JU59" s="12"/>
      <c r="JV59" s="12"/>
      <c r="JW59" s="12"/>
      <c r="JX59" s="12"/>
      <c r="JY59" s="12"/>
      <c r="JZ59" s="12"/>
      <c r="KA59" s="12"/>
      <c r="KB59" s="12"/>
      <c r="KC59" s="12"/>
      <c r="KD59" s="12"/>
      <c r="KE59" s="12"/>
      <c r="KF59" s="12"/>
      <c r="KG59" s="12"/>
      <c r="KH59" s="12"/>
      <c r="KI59" s="12"/>
      <c r="KJ59" s="12"/>
      <c r="KK59" s="12"/>
      <c r="KL59" s="12"/>
      <c r="KM59" s="12"/>
      <c r="KN59" s="12"/>
      <c r="KO59" s="12"/>
      <c r="KP59" s="12"/>
      <c r="KQ59" s="12"/>
      <c r="KR59" s="12"/>
      <c r="KS59" s="12"/>
      <c r="KT59" s="12"/>
      <c r="KU59" s="12"/>
      <c r="KV59" s="12"/>
      <c r="KW59" s="12"/>
      <c r="KX59" s="12"/>
      <c r="KY59" s="12"/>
      <c r="KZ59" s="12"/>
      <c r="LA59" s="12"/>
      <c r="LB59" s="12"/>
      <c r="LC59" s="12"/>
      <c r="LD59" s="12"/>
      <c r="LE59" s="12"/>
      <c r="LF59" s="12"/>
      <c r="LG59" s="12"/>
      <c r="LH59" s="12"/>
      <c r="LI59" s="12"/>
      <c r="LJ59" s="12"/>
      <c r="LK59" s="12"/>
      <c r="LL59" s="12"/>
      <c r="LM59" s="12"/>
      <c r="LN59" s="12"/>
      <c r="LO59" s="12"/>
      <c r="LP59" s="12"/>
      <c r="LQ59" s="12"/>
      <c r="LR59" s="12"/>
      <c r="LS59" s="12"/>
      <c r="LT59" s="12"/>
      <c r="LU59" s="12"/>
      <c r="LV59" s="12"/>
      <c r="LW59" s="12"/>
      <c r="LX59" s="12"/>
      <c r="LY59" s="12"/>
      <c r="LZ59" s="12"/>
      <c r="MA59" s="12"/>
      <c r="MB59" s="12"/>
      <c r="MC59" s="12"/>
      <c r="MD59" s="12"/>
      <c r="ME59" s="12"/>
      <c r="MF59" s="12"/>
      <c r="MG59" s="12"/>
      <c r="MH59" s="12"/>
      <c r="MI59" s="12"/>
      <c r="MJ59" s="12"/>
      <c r="MK59" s="12"/>
      <c r="ML59" s="12"/>
      <c r="MM59" s="12"/>
      <c r="MN59" s="12"/>
      <c r="MO59" s="12"/>
      <c r="MP59" s="12"/>
      <c r="MQ59" s="12"/>
      <c r="MR59" s="12"/>
      <c r="MS59" s="12"/>
      <c r="MT59" s="12"/>
      <c r="MU59" s="12"/>
      <c r="MV59" s="12"/>
      <c r="MW59" s="12"/>
      <c r="MX59" s="12"/>
      <c r="MY59" s="12"/>
      <c r="MZ59" s="12"/>
      <c r="NA59" s="12"/>
      <c r="NB59" s="12"/>
      <c r="NC59" s="12"/>
      <c r="ND59" s="12"/>
      <c r="NE59" s="12"/>
      <c r="NF59" s="12"/>
      <c r="NG59" s="12"/>
      <c r="NH59" s="12"/>
      <c r="NI59" s="12"/>
      <c r="NJ59" s="12"/>
      <c r="NK59" s="12"/>
      <c r="NL59" s="12"/>
      <c r="NM59" s="12"/>
      <c r="NN59" s="12"/>
      <c r="NO59" s="12"/>
      <c r="NP59" s="12"/>
      <c r="NQ59" s="12"/>
      <c r="NR59" s="12"/>
      <c r="NS59" s="12"/>
      <c r="NT59" s="12"/>
      <c r="NU59" s="12"/>
      <c r="NV59" s="12"/>
      <c r="NW59" s="12"/>
      <c r="NX59" s="12"/>
      <c r="NY59" s="12"/>
      <c r="NZ59" s="12"/>
      <c r="OA59" s="12"/>
      <c r="OB59" s="12"/>
      <c r="OC59" s="12"/>
      <c r="OD59" s="12"/>
      <c r="OE59" s="12"/>
      <c r="OF59" s="12"/>
      <c r="OG59" s="12"/>
      <c r="OH59" s="12"/>
      <c r="OI59" s="12"/>
      <c r="OJ59" s="12"/>
      <c r="OK59" s="12"/>
      <c r="OL59" s="12"/>
      <c r="OM59" s="12"/>
      <c r="ON59" s="12"/>
      <c r="OO59" s="12"/>
      <c r="OP59" s="12"/>
      <c r="OQ59" s="12"/>
      <c r="OR59" s="12"/>
      <c r="OS59" s="12"/>
      <c r="OT59" s="12"/>
      <c r="OU59" s="12"/>
      <c r="OV59" s="12"/>
      <c r="OW59" s="12"/>
      <c r="OX59" s="12"/>
      <c r="OY59" s="12"/>
      <c r="OZ59" s="12"/>
      <c r="PA59" s="12"/>
      <c r="PB59" s="12"/>
      <c r="PC59" s="12"/>
      <c r="PD59" s="12"/>
      <c r="PE59" s="12"/>
      <c r="PF59" s="12"/>
      <c r="PG59" s="12"/>
      <c r="PH59" s="12"/>
      <c r="PI59" s="12"/>
      <c r="PJ59" s="12"/>
      <c r="PK59" s="12"/>
      <c r="PL59" s="12"/>
      <c r="PM59" s="12"/>
      <c r="PN59" s="12"/>
      <c r="PO59" s="12"/>
      <c r="PP59" s="12"/>
      <c r="PQ59" s="12"/>
      <c r="PR59" s="12"/>
      <c r="PS59" s="12"/>
      <c r="PT59" s="12"/>
      <c r="PU59" s="12"/>
      <c r="PV59" s="12"/>
      <c r="PW59" s="12"/>
      <c r="PX59" s="12"/>
      <c r="PY59" s="12"/>
      <c r="PZ59" s="12"/>
      <c r="QA59" s="12"/>
      <c r="QB59" s="12"/>
      <c r="QC59" s="12"/>
      <c r="QD59" s="12"/>
      <c r="QE59" s="12"/>
      <c r="QF59" s="12"/>
      <c r="QG59" s="12"/>
      <c r="QH59" s="12"/>
      <c r="QI59" s="12"/>
      <c r="QJ59" s="12"/>
      <c r="QK59" s="12"/>
      <c r="QL59" s="12"/>
      <c r="QM59" s="12"/>
      <c r="QN59" s="12"/>
      <c r="QO59" s="12"/>
      <c r="QP59" s="12"/>
      <c r="QQ59" s="12"/>
      <c r="QR59" s="12"/>
      <c r="QS59" s="12"/>
      <c r="QT59" s="12"/>
      <c r="QU59" s="12"/>
      <c r="QV59" s="12"/>
      <c r="QW59" s="12"/>
      <c r="QX59" s="12"/>
      <c r="QY59" s="12"/>
      <c r="QZ59" s="12"/>
      <c r="RA59" s="12"/>
      <c r="RB59" s="12"/>
      <c r="RC59" s="12"/>
      <c r="RD59" s="12"/>
      <c r="RE59" s="12"/>
      <c r="RF59" s="12"/>
      <c r="RG59" s="12"/>
      <c r="RH59" s="12"/>
      <c r="RI59" s="12"/>
      <c r="RJ59" s="12"/>
      <c r="RK59" s="12"/>
      <c r="RL59" s="12"/>
      <c r="RM59" s="12"/>
      <c r="RN59" s="12"/>
      <c r="RO59" s="12"/>
      <c r="RP59" s="12"/>
      <c r="RQ59" s="12"/>
      <c r="RR59" s="12"/>
      <c r="RS59" s="12"/>
      <c r="RT59" s="12"/>
      <c r="RU59" s="12"/>
      <c r="RV59" s="12"/>
      <c r="RW59" s="12"/>
      <c r="RX59" s="12"/>
      <c r="RY59" s="12"/>
      <c r="RZ59" s="12"/>
      <c r="SA59" s="12"/>
      <c r="SB59" s="12"/>
      <c r="SC59" s="12"/>
      <c r="SD59" s="12"/>
    </row>
    <row r="60" spans="1:498" s="10" customFormat="1" hidden="1">
      <c r="A60" s="87"/>
      <c r="B60" s="90" t="s">
        <v>14</v>
      </c>
      <c r="C60" s="90"/>
      <c r="D60" s="90"/>
      <c r="E60" s="111"/>
      <c r="F60" s="109">
        <f>D62*C11</f>
        <v>9968.75</v>
      </c>
      <c r="G60" s="109">
        <f t="shared" ref="G60:AD60" si="38">IF(
F73=$F$84+N("If the IBR monthly payment equals the standard monhtly payment, then"),
F62*$C$11+N("The annual interest rate is the previous year's loan principal multiplied by the interest rate")+N("If the condition was not met then..."),
IF(
F61&gt;0+N("IF the student negatively amortized the previous year, then"),
$D$62*$C$11+N("Annual interest is the original loan balance multiplied by the interest rate")+N("If they made a principal payment in the previous year then..."),
F62*$C$11+N("Since the previous year's loan balance must be lower tahn the original loan balance, the annual interest is the previous year's loan balance multiplied by the interest rate")))</f>
        <v>9968.75</v>
      </c>
      <c r="H60" s="112">
        <f t="shared" si="38"/>
        <v>9968.75</v>
      </c>
      <c r="I60" s="112">
        <f t="shared" si="38"/>
        <v>9968.75</v>
      </c>
      <c r="J60" s="112">
        <f t="shared" si="38"/>
        <v>9968.75</v>
      </c>
      <c r="K60" s="112">
        <f t="shared" si="38"/>
        <v>9968.75</v>
      </c>
      <c r="L60" s="112">
        <f t="shared" si="38"/>
        <v>9968.75</v>
      </c>
      <c r="M60" s="112">
        <f t="shared" si="38"/>
        <v>9968.75</v>
      </c>
      <c r="N60" s="112">
        <f t="shared" si="38"/>
        <v>9488.2644991198085</v>
      </c>
      <c r="O60" s="112">
        <f t="shared" si="38"/>
        <v>8759.3293876607058</v>
      </c>
      <c r="P60" s="112">
        <f t="shared" si="38"/>
        <v>7980.2799872887908</v>
      </c>
      <c r="Q60" s="112">
        <f t="shared" si="38"/>
        <v>7147.6709406413065</v>
      </c>
      <c r="R60" s="112">
        <f t="shared" si="38"/>
        <v>6257.8200220368062</v>
      </c>
      <c r="S60" s="112">
        <f t="shared" si="38"/>
        <v>5306.7918527782476</v>
      </c>
      <c r="T60" s="112">
        <f t="shared" si="38"/>
        <v>4290.3804968831628</v>
      </c>
      <c r="U60" s="112">
        <f t="shared" si="38"/>
        <v>3204.0908602702916</v>
      </c>
      <c r="V60" s="112">
        <f t="shared" si="38"/>
        <v>2043.1188111402851</v>
      </c>
      <c r="W60" s="112">
        <f t="shared" si="38"/>
        <v>802.32993363259027</v>
      </c>
      <c r="X60" s="112">
        <f t="shared" si="38"/>
        <v>0</v>
      </c>
      <c r="Y60" s="112">
        <f t="shared" si="38"/>
        <v>0</v>
      </c>
      <c r="Z60" s="112">
        <f t="shared" si="38"/>
        <v>0</v>
      </c>
      <c r="AA60" s="112">
        <f t="shared" si="38"/>
        <v>0</v>
      </c>
      <c r="AB60" s="112">
        <f t="shared" si="38"/>
        <v>0</v>
      </c>
      <c r="AC60" s="112">
        <f t="shared" si="38"/>
        <v>0</v>
      </c>
      <c r="AD60" s="112">
        <f t="shared" si="38"/>
        <v>0</v>
      </c>
      <c r="AE60" s="113"/>
      <c r="AF60" s="113"/>
      <c r="AG60" s="113"/>
      <c r="AH60" s="113"/>
      <c r="AI60" s="113"/>
      <c r="AJ60" s="87"/>
      <c r="AK60" s="87"/>
      <c r="AL60" s="87"/>
      <c r="AM60" s="87"/>
      <c r="AN60" s="87"/>
      <c r="AO60" s="87"/>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c r="HS60" s="12"/>
      <c r="HT60" s="12"/>
      <c r="HU60" s="12"/>
      <c r="HV60" s="12"/>
      <c r="HW60" s="12"/>
      <c r="HX60" s="12"/>
      <c r="HY60" s="12"/>
      <c r="HZ60" s="12"/>
      <c r="IA60" s="12"/>
      <c r="IB60" s="12"/>
      <c r="IC60" s="12"/>
      <c r="ID60" s="12"/>
      <c r="IE60" s="12"/>
      <c r="IF60" s="12"/>
      <c r="IG60" s="12"/>
      <c r="IH60" s="12"/>
      <c r="II60" s="12"/>
      <c r="IJ60" s="12"/>
      <c r="IK60" s="12"/>
      <c r="IL60" s="12"/>
      <c r="IM60" s="12"/>
      <c r="IN60" s="12"/>
      <c r="IO60" s="12"/>
      <c r="IP60" s="12"/>
      <c r="IQ60" s="12"/>
      <c r="IR60" s="12"/>
      <c r="IS60" s="12"/>
      <c r="IT60" s="12"/>
      <c r="IU60" s="12"/>
      <c r="IV60" s="12"/>
      <c r="IW60" s="12"/>
      <c r="IX60" s="12"/>
      <c r="IY60" s="12"/>
      <c r="IZ60" s="12"/>
      <c r="JA60" s="12"/>
      <c r="JB60" s="12"/>
      <c r="JC60" s="12"/>
      <c r="JD60" s="12"/>
      <c r="JE60" s="12"/>
      <c r="JF60" s="12"/>
      <c r="JG60" s="12"/>
      <c r="JH60" s="12"/>
      <c r="JI60" s="12"/>
      <c r="JJ60" s="12"/>
      <c r="JK60" s="12"/>
      <c r="JL60" s="12"/>
      <c r="JM60" s="12"/>
      <c r="JN60" s="12"/>
      <c r="JO60" s="12"/>
      <c r="JP60" s="12"/>
      <c r="JQ60" s="12"/>
      <c r="JR60" s="12"/>
      <c r="JS60" s="12"/>
      <c r="JT60" s="12"/>
      <c r="JU60" s="12"/>
      <c r="JV60" s="12"/>
      <c r="JW60" s="12"/>
      <c r="JX60" s="12"/>
      <c r="JY60" s="12"/>
      <c r="JZ60" s="12"/>
      <c r="KA60" s="12"/>
      <c r="KB60" s="12"/>
      <c r="KC60" s="12"/>
      <c r="KD60" s="12"/>
      <c r="KE60" s="12"/>
      <c r="KF60" s="12"/>
      <c r="KG60" s="12"/>
      <c r="KH60" s="12"/>
      <c r="KI60" s="12"/>
      <c r="KJ60" s="12"/>
      <c r="KK60" s="12"/>
      <c r="KL60" s="12"/>
      <c r="KM60" s="12"/>
      <c r="KN60" s="12"/>
      <c r="KO60" s="12"/>
      <c r="KP60" s="12"/>
      <c r="KQ60" s="12"/>
      <c r="KR60" s="12"/>
      <c r="KS60" s="12"/>
      <c r="KT60" s="12"/>
      <c r="KU60" s="12"/>
      <c r="KV60" s="12"/>
      <c r="KW60" s="12"/>
      <c r="KX60" s="12"/>
      <c r="KY60" s="12"/>
      <c r="KZ60" s="12"/>
      <c r="LA60" s="12"/>
      <c r="LB60" s="12"/>
      <c r="LC60" s="12"/>
      <c r="LD60" s="12"/>
      <c r="LE60" s="12"/>
      <c r="LF60" s="12"/>
      <c r="LG60" s="12"/>
      <c r="LH60" s="12"/>
      <c r="LI60" s="12"/>
      <c r="LJ60" s="12"/>
      <c r="LK60" s="12"/>
      <c r="LL60" s="12"/>
      <c r="LM60" s="12"/>
      <c r="LN60" s="12"/>
      <c r="LO60" s="12"/>
      <c r="LP60" s="12"/>
      <c r="LQ60" s="12"/>
      <c r="LR60" s="12"/>
      <c r="LS60" s="12"/>
      <c r="LT60" s="12"/>
      <c r="LU60" s="12"/>
      <c r="LV60" s="12"/>
      <c r="LW60" s="12"/>
      <c r="LX60" s="12"/>
      <c r="LY60" s="12"/>
      <c r="LZ60" s="12"/>
      <c r="MA60" s="12"/>
      <c r="MB60" s="12"/>
      <c r="MC60" s="12"/>
      <c r="MD60" s="12"/>
      <c r="ME60" s="12"/>
      <c r="MF60" s="12"/>
      <c r="MG60" s="12"/>
      <c r="MH60" s="12"/>
      <c r="MI60" s="12"/>
      <c r="MJ60" s="12"/>
      <c r="MK60" s="12"/>
      <c r="ML60" s="12"/>
      <c r="MM60" s="12"/>
      <c r="MN60" s="12"/>
      <c r="MO60" s="12"/>
      <c r="MP60" s="12"/>
      <c r="MQ60" s="12"/>
      <c r="MR60" s="12"/>
      <c r="MS60" s="12"/>
      <c r="MT60" s="12"/>
      <c r="MU60" s="12"/>
      <c r="MV60" s="12"/>
      <c r="MW60" s="12"/>
      <c r="MX60" s="12"/>
      <c r="MY60" s="12"/>
      <c r="MZ60" s="12"/>
      <c r="NA60" s="12"/>
      <c r="NB60" s="12"/>
      <c r="NC60" s="12"/>
      <c r="ND60" s="12"/>
      <c r="NE60" s="12"/>
      <c r="NF60" s="12"/>
      <c r="NG60" s="12"/>
      <c r="NH60" s="12"/>
      <c r="NI60" s="12"/>
      <c r="NJ60" s="12"/>
      <c r="NK60" s="12"/>
      <c r="NL60" s="12"/>
      <c r="NM60" s="12"/>
      <c r="NN60" s="12"/>
      <c r="NO60" s="12"/>
      <c r="NP60" s="12"/>
      <c r="NQ60" s="12"/>
      <c r="NR60" s="12"/>
      <c r="NS60" s="12"/>
      <c r="NT60" s="12"/>
      <c r="NU60" s="12"/>
      <c r="NV60" s="12"/>
      <c r="NW60" s="12"/>
      <c r="NX60" s="12"/>
      <c r="NY60" s="12"/>
      <c r="NZ60" s="12"/>
      <c r="OA60" s="12"/>
      <c r="OB60" s="12"/>
      <c r="OC60" s="12"/>
      <c r="OD60" s="12"/>
      <c r="OE60" s="12"/>
      <c r="OF60" s="12"/>
      <c r="OG60" s="12"/>
      <c r="OH60" s="12"/>
      <c r="OI60" s="12"/>
      <c r="OJ60" s="12"/>
      <c r="OK60" s="12"/>
      <c r="OL60" s="12"/>
      <c r="OM60" s="12"/>
      <c r="ON60" s="12"/>
      <c r="OO60" s="12"/>
      <c r="OP60" s="12"/>
      <c r="OQ60" s="12"/>
      <c r="OR60" s="12"/>
      <c r="OS60" s="12"/>
      <c r="OT60" s="12"/>
      <c r="OU60" s="12"/>
      <c r="OV60" s="12"/>
      <c r="OW60" s="12"/>
      <c r="OX60" s="12"/>
      <c r="OY60" s="12"/>
      <c r="OZ60" s="12"/>
      <c r="PA60" s="12"/>
      <c r="PB60" s="12"/>
      <c r="PC60" s="12"/>
      <c r="PD60" s="12"/>
      <c r="PE60" s="12"/>
      <c r="PF60" s="12"/>
      <c r="PG60" s="12"/>
      <c r="PH60" s="12"/>
      <c r="PI60" s="12"/>
      <c r="PJ60" s="12"/>
      <c r="PK60" s="12"/>
      <c r="PL60" s="12"/>
      <c r="PM60" s="12"/>
      <c r="PN60" s="12"/>
      <c r="PO60" s="12"/>
      <c r="PP60" s="12"/>
      <c r="PQ60" s="12"/>
      <c r="PR60" s="12"/>
      <c r="PS60" s="12"/>
      <c r="PT60" s="12"/>
      <c r="PU60" s="12"/>
      <c r="PV60" s="12"/>
      <c r="PW60" s="12"/>
      <c r="PX60" s="12"/>
      <c r="PY60" s="12"/>
      <c r="PZ60" s="12"/>
      <c r="QA60" s="12"/>
      <c r="QB60" s="12"/>
      <c r="QC60" s="12"/>
      <c r="QD60" s="12"/>
      <c r="QE60" s="12"/>
      <c r="QF60" s="12"/>
      <c r="QG60" s="12"/>
      <c r="QH60" s="12"/>
      <c r="QI60" s="12"/>
      <c r="QJ60" s="12"/>
      <c r="QK60" s="12"/>
      <c r="QL60" s="12"/>
      <c r="QM60" s="12"/>
      <c r="QN60" s="12"/>
      <c r="QO60" s="12"/>
      <c r="QP60" s="12"/>
      <c r="QQ60" s="12"/>
      <c r="QR60" s="12"/>
      <c r="QS60" s="12"/>
      <c r="QT60" s="12"/>
      <c r="QU60" s="12"/>
      <c r="QV60" s="12"/>
      <c r="QW60" s="12"/>
      <c r="QX60" s="12"/>
      <c r="QY60" s="12"/>
      <c r="QZ60" s="12"/>
      <c r="RA60" s="12"/>
      <c r="RB60" s="12"/>
      <c r="RC60" s="12"/>
      <c r="RD60" s="12"/>
      <c r="RE60" s="12"/>
      <c r="RF60" s="12"/>
      <c r="RG60" s="12"/>
      <c r="RH60" s="12"/>
      <c r="RI60" s="12"/>
      <c r="RJ60" s="12"/>
      <c r="RK60" s="12"/>
      <c r="RL60" s="12"/>
      <c r="RM60" s="12"/>
      <c r="RN60" s="12"/>
      <c r="RO60" s="12"/>
      <c r="RP60" s="12"/>
      <c r="RQ60" s="12"/>
      <c r="RR60" s="12"/>
      <c r="RS60" s="12"/>
      <c r="RT60" s="12"/>
      <c r="RU60" s="12"/>
      <c r="RV60" s="12"/>
      <c r="RW60" s="12"/>
      <c r="RX60" s="12"/>
      <c r="RY60" s="12"/>
      <c r="RZ60" s="12"/>
      <c r="SA60" s="12"/>
      <c r="SB60" s="12"/>
      <c r="SC60" s="12"/>
      <c r="SD60" s="12"/>
    </row>
    <row r="61" spans="1:498" s="10" customFormat="1" hidden="1">
      <c r="A61" s="87"/>
      <c r="B61" s="90" t="s">
        <v>15</v>
      </c>
      <c r="C61" s="90"/>
      <c r="D61" s="90"/>
      <c r="E61" s="111"/>
      <c r="F61" s="114">
        <f>($C$26*$C$11)-((F73*12)*C32)+N("CNAPP equals the annual interest on unsubs minus the the percentage of the annual IBR payment that would be put towards unsubs")</f>
        <v>1232</v>
      </c>
      <c r="G61" s="114">
        <f>IF(
F61=-$C$10+N("IF the principal payment from the previous year equals the original loan balance then"),
0+N("The CAN/PP euals zero, because you have paid of the loan")+N("if CAN/PP does not equal the original loan balance, then..."),
IF(
$C$11=0+N("If the interest rate is zero, then"),
(-(G73*12))+F61+N("CNAPP equals the last year's CNAPP minus whatever the annual IBR payment was")+N("If the interest rate is not zero, then..."),
IF(
G60=0+N("If the annual interest paid equals zero, then..."),
0+N("CNAPP equals zero")+N("If the annual interest rate does not equal zero, then..."),
(($C$26*$C$11)-((G73*12)*$C$32))+F61+N("CNAPP equals the previous CNAPP plus the annual interest on unsubs minus the the percentage of the annual IBR payment that would be put towards unsubs"))))</f>
        <v>2189.5825750000004</v>
      </c>
      <c r="H61" s="115">
        <f>IF(
G61=-$C$10+N("IF the principal payment from the previous year equals the original loan balance then"),
0+N("The CAN/PP euals zero, because you have paid of the loan")+N("if CAN/PP does not equal the original loan balance, then..."),
IF(
$C$11=0+N("If the interest rate is zero, then"),
(-(H73*12))+G61+N("CNAPP equals the last year's CNAPP minus whatever the annual IBR payment was")+N("If the interest rate is not zero, then..."),
IF(
H60=0+N("If the annual interest paid equals zero, then..."),
0+N("CNAPP equals zero")+N("If the annual interest rate does not equal zero, then..."),
(($C$26*$C$11)-((H73*12)*$C$32))+G61+N("CNAPP equals the previous CNAPP plus the annual interest on unsubs minus the the percentage of the annual IBR payment that would be put towards unsubs"))))</f>
        <v>2864.206097632501</v>
      </c>
      <c r="I61" s="115">
        <f t="shared" ref="I61:AD61" si="39">IF(
H61=-$C10+N("IF the principal payment from the previous year equals the original loan balance then"),
0+N("The CAN/PP euals zero, because you have paid of the loan")+N("if CAN/PP does not equal the original loan balance, then..."),
IF(
$C11=0+N("If the interest rate is zero, then"),
(-(I73*12))+H61+N("CNAPP equals the last year's CNAPP minus whatever the annual IBR payment was")+N("If the interest rate is not zero, then..."),
IF(
I60=0+N("If the annual interest paid equals zero, then..."),
0+N("CNAPP equals zero")+N("If the annual interest rate does not equal zero, then..."),
I60-(I73*12)+H61+N("CNAPP equals the previous CNAPP plus the annual interest minus the annual IBR payment"))))</f>
        <v>3247.0649331830755</v>
      </c>
      <c r="J61" s="115">
        <f t="shared" si="39"/>
        <v>3329.0813246309681</v>
      </c>
      <c r="K61" s="115">
        <f t="shared" si="39"/>
        <v>3100.8970293529528</v>
      </c>
      <c r="L61" s="115">
        <f t="shared" si="39"/>
        <v>2552.8646999176726</v>
      </c>
      <c r="M61" s="115">
        <f t="shared" si="39"/>
        <v>-6988.880012802807</v>
      </c>
      <c r="N61" s="115">
        <f t="shared" si="39"/>
        <v>-17591.572543117029</v>
      </c>
      <c r="O61" s="115">
        <f t="shared" si="39"/>
        <v>-28923.200184890353</v>
      </c>
      <c r="P61" s="115">
        <f t="shared" si="39"/>
        <v>-41033.877227035591</v>
      </c>
      <c r="Q61" s="115">
        <f t="shared" si="39"/>
        <v>-53977.163315828315</v>
      </c>
      <c r="R61" s="115">
        <f t="shared" si="39"/>
        <v>-67810.300323225543</v>
      </c>
      <c r="S61" s="115">
        <f t="shared" si="39"/>
        <v>-82594.46549988132</v>
      </c>
      <c r="T61" s="115">
        <f t="shared" si="39"/>
        <v>-98395.042032432189</v>
      </c>
      <c r="U61" s="115">
        <f t="shared" si="39"/>
        <v>-115281.90820159593</v>
      </c>
      <c r="V61" s="115">
        <f t="shared" si="39"/>
        <v>-133329.74641988968</v>
      </c>
      <c r="W61" s="115">
        <f t="shared" si="39"/>
        <v>-152618.37351569111</v>
      </c>
      <c r="X61" s="115">
        <f t="shared" si="39"/>
        <v>0</v>
      </c>
      <c r="Y61" s="115">
        <f t="shared" si="39"/>
        <v>0</v>
      </c>
      <c r="Z61" s="115">
        <f t="shared" si="39"/>
        <v>0</v>
      </c>
      <c r="AA61" s="115">
        <f t="shared" si="39"/>
        <v>0</v>
      </c>
      <c r="AB61" s="115">
        <f t="shared" si="39"/>
        <v>0</v>
      </c>
      <c r="AC61" s="115">
        <f t="shared" si="39"/>
        <v>0</v>
      </c>
      <c r="AD61" s="115">
        <f t="shared" si="39"/>
        <v>0</v>
      </c>
      <c r="AE61" s="116"/>
      <c r="AF61" s="116"/>
      <c r="AG61" s="116"/>
      <c r="AH61" s="116"/>
      <c r="AI61" s="116"/>
      <c r="AJ61" s="87"/>
      <c r="AK61" s="87"/>
      <c r="AL61" s="87"/>
      <c r="AM61" s="87"/>
      <c r="AN61" s="87"/>
      <c r="AO61" s="87"/>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c r="HS61" s="12"/>
      <c r="HT61" s="12"/>
      <c r="HU61" s="12"/>
      <c r="HV61" s="12"/>
      <c r="HW61" s="12"/>
      <c r="HX61" s="12"/>
      <c r="HY61" s="12"/>
      <c r="HZ61" s="12"/>
      <c r="IA61" s="12"/>
      <c r="IB61" s="12"/>
      <c r="IC61" s="12"/>
      <c r="ID61" s="12"/>
      <c r="IE61" s="12"/>
      <c r="IF61" s="12"/>
      <c r="IG61" s="12"/>
      <c r="IH61" s="12"/>
      <c r="II61" s="12"/>
      <c r="IJ61" s="12"/>
      <c r="IK61" s="12"/>
      <c r="IL61" s="12"/>
      <c r="IM61" s="12"/>
      <c r="IN61" s="12"/>
      <c r="IO61" s="12"/>
      <c r="IP61" s="12"/>
      <c r="IQ61" s="12"/>
      <c r="IR61" s="12"/>
      <c r="IS61" s="12"/>
      <c r="IT61" s="12"/>
      <c r="IU61" s="12"/>
      <c r="IV61" s="12"/>
      <c r="IW61" s="12"/>
      <c r="IX61" s="12"/>
      <c r="IY61" s="12"/>
      <c r="IZ61" s="12"/>
      <c r="JA61" s="12"/>
      <c r="JB61" s="12"/>
      <c r="JC61" s="12"/>
      <c r="JD61" s="12"/>
      <c r="JE61" s="12"/>
      <c r="JF61" s="12"/>
      <c r="JG61" s="12"/>
      <c r="JH61" s="12"/>
      <c r="JI61" s="12"/>
      <c r="JJ61" s="12"/>
      <c r="JK61" s="12"/>
      <c r="JL61" s="12"/>
      <c r="JM61" s="12"/>
      <c r="JN61" s="12"/>
      <c r="JO61" s="12"/>
      <c r="JP61" s="12"/>
      <c r="JQ61" s="12"/>
      <c r="JR61" s="12"/>
      <c r="JS61" s="12"/>
      <c r="JT61" s="12"/>
      <c r="JU61" s="12"/>
      <c r="JV61" s="12"/>
      <c r="JW61" s="12"/>
      <c r="JX61" s="12"/>
      <c r="JY61" s="12"/>
      <c r="JZ61" s="12"/>
      <c r="KA61" s="12"/>
      <c r="KB61" s="12"/>
      <c r="KC61" s="12"/>
      <c r="KD61" s="12"/>
      <c r="KE61" s="12"/>
      <c r="KF61" s="12"/>
      <c r="KG61" s="12"/>
      <c r="KH61" s="12"/>
      <c r="KI61" s="12"/>
      <c r="KJ61" s="12"/>
      <c r="KK61" s="12"/>
      <c r="KL61" s="12"/>
      <c r="KM61" s="12"/>
      <c r="KN61" s="12"/>
      <c r="KO61" s="12"/>
      <c r="KP61" s="12"/>
      <c r="KQ61" s="12"/>
      <c r="KR61" s="12"/>
      <c r="KS61" s="12"/>
      <c r="KT61" s="12"/>
      <c r="KU61" s="12"/>
      <c r="KV61" s="12"/>
      <c r="KW61" s="12"/>
      <c r="KX61" s="12"/>
      <c r="KY61" s="12"/>
      <c r="KZ61" s="12"/>
      <c r="LA61" s="12"/>
      <c r="LB61" s="12"/>
      <c r="LC61" s="12"/>
      <c r="LD61" s="12"/>
      <c r="LE61" s="12"/>
      <c r="LF61" s="12"/>
      <c r="LG61" s="12"/>
      <c r="LH61" s="12"/>
      <c r="LI61" s="12"/>
      <c r="LJ61" s="12"/>
      <c r="LK61" s="12"/>
      <c r="LL61" s="12"/>
      <c r="LM61" s="12"/>
      <c r="LN61" s="12"/>
      <c r="LO61" s="12"/>
      <c r="LP61" s="12"/>
      <c r="LQ61" s="12"/>
      <c r="LR61" s="12"/>
      <c r="LS61" s="12"/>
      <c r="LT61" s="12"/>
      <c r="LU61" s="12"/>
      <c r="LV61" s="12"/>
      <c r="LW61" s="12"/>
      <c r="LX61" s="12"/>
      <c r="LY61" s="12"/>
      <c r="LZ61" s="12"/>
      <c r="MA61" s="12"/>
      <c r="MB61" s="12"/>
      <c r="MC61" s="12"/>
      <c r="MD61" s="12"/>
      <c r="ME61" s="12"/>
      <c r="MF61" s="12"/>
      <c r="MG61" s="12"/>
      <c r="MH61" s="12"/>
      <c r="MI61" s="12"/>
      <c r="MJ61" s="12"/>
      <c r="MK61" s="12"/>
      <c r="ML61" s="12"/>
      <c r="MM61" s="12"/>
      <c r="MN61" s="12"/>
      <c r="MO61" s="12"/>
      <c r="MP61" s="12"/>
      <c r="MQ61" s="12"/>
      <c r="MR61" s="12"/>
      <c r="MS61" s="12"/>
      <c r="MT61" s="12"/>
      <c r="MU61" s="12"/>
      <c r="MV61" s="12"/>
      <c r="MW61" s="12"/>
      <c r="MX61" s="12"/>
      <c r="MY61" s="12"/>
      <c r="MZ61" s="12"/>
      <c r="NA61" s="12"/>
      <c r="NB61" s="12"/>
      <c r="NC61" s="12"/>
      <c r="ND61" s="12"/>
      <c r="NE61" s="12"/>
      <c r="NF61" s="12"/>
      <c r="NG61" s="12"/>
      <c r="NH61" s="12"/>
      <c r="NI61" s="12"/>
      <c r="NJ61" s="12"/>
      <c r="NK61" s="12"/>
      <c r="NL61" s="12"/>
      <c r="NM61" s="12"/>
      <c r="NN61" s="12"/>
      <c r="NO61" s="12"/>
      <c r="NP61" s="12"/>
      <c r="NQ61" s="12"/>
      <c r="NR61" s="12"/>
      <c r="NS61" s="12"/>
      <c r="NT61" s="12"/>
      <c r="NU61" s="12"/>
      <c r="NV61" s="12"/>
      <c r="NW61" s="12"/>
      <c r="NX61" s="12"/>
      <c r="NY61" s="12"/>
      <c r="NZ61" s="12"/>
      <c r="OA61" s="12"/>
      <c r="OB61" s="12"/>
      <c r="OC61" s="12"/>
      <c r="OD61" s="12"/>
      <c r="OE61" s="12"/>
      <c r="OF61" s="12"/>
      <c r="OG61" s="12"/>
      <c r="OH61" s="12"/>
      <c r="OI61" s="12"/>
      <c r="OJ61" s="12"/>
      <c r="OK61" s="12"/>
      <c r="OL61" s="12"/>
      <c r="OM61" s="12"/>
      <c r="ON61" s="12"/>
      <c r="OO61" s="12"/>
      <c r="OP61" s="12"/>
      <c r="OQ61" s="12"/>
      <c r="OR61" s="12"/>
      <c r="OS61" s="12"/>
      <c r="OT61" s="12"/>
      <c r="OU61" s="12"/>
      <c r="OV61" s="12"/>
      <c r="OW61" s="12"/>
      <c r="OX61" s="12"/>
      <c r="OY61" s="12"/>
      <c r="OZ61" s="12"/>
      <c r="PA61" s="12"/>
      <c r="PB61" s="12"/>
      <c r="PC61" s="12"/>
      <c r="PD61" s="12"/>
      <c r="PE61" s="12"/>
      <c r="PF61" s="12"/>
      <c r="PG61" s="12"/>
      <c r="PH61" s="12"/>
      <c r="PI61" s="12"/>
      <c r="PJ61" s="12"/>
      <c r="PK61" s="12"/>
      <c r="PL61" s="12"/>
      <c r="PM61" s="12"/>
      <c r="PN61" s="12"/>
      <c r="PO61" s="12"/>
      <c r="PP61" s="12"/>
      <c r="PQ61" s="12"/>
      <c r="PR61" s="12"/>
      <c r="PS61" s="12"/>
      <c r="PT61" s="12"/>
      <c r="PU61" s="12"/>
      <c r="PV61" s="12"/>
      <c r="PW61" s="12"/>
      <c r="PX61" s="12"/>
      <c r="PY61" s="12"/>
      <c r="PZ61" s="12"/>
      <c r="QA61" s="12"/>
      <c r="QB61" s="12"/>
      <c r="QC61" s="12"/>
      <c r="QD61" s="12"/>
      <c r="QE61" s="12"/>
      <c r="QF61" s="12"/>
      <c r="QG61" s="12"/>
      <c r="QH61" s="12"/>
      <c r="QI61" s="12"/>
      <c r="QJ61" s="12"/>
      <c r="QK61" s="12"/>
      <c r="QL61" s="12"/>
      <c r="QM61" s="12"/>
      <c r="QN61" s="12"/>
      <c r="QO61" s="12"/>
      <c r="QP61" s="12"/>
      <c r="QQ61" s="12"/>
      <c r="QR61" s="12"/>
      <c r="QS61" s="12"/>
      <c r="QT61" s="12"/>
      <c r="QU61" s="12"/>
      <c r="QV61" s="12"/>
      <c r="QW61" s="12"/>
      <c r="QX61" s="12"/>
      <c r="QY61" s="12"/>
      <c r="QZ61" s="12"/>
      <c r="RA61" s="12"/>
      <c r="RB61" s="12"/>
      <c r="RC61" s="12"/>
      <c r="RD61" s="12"/>
      <c r="RE61" s="12"/>
      <c r="RF61" s="12"/>
      <c r="RG61" s="12"/>
      <c r="RH61" s="12"/>
      <c r="RI61" s="12"/>
      <c r="RJ61" s="12"/>
      <c r="RK61" s="12"/>
      <c r="RL61" s="12"/>
      <c r="RM61" s="12"/>
      <c r="RN61" s="12"/>
      <c r="RO61" s="12"/>
      <c r="RP61" s="12"/>
      <c r="RQ61" s="12"/>
      <c r="RR61" s="12"/>
      <c r="RS61" s="12"/>
      <c r="RT61" s="12"/>
      <c r="RU61" s="12"/>
      <c r="RV61" s="12"/>
      <c r="RW61" s="12"/>
      <c r="RX61" s="12"/>
      <c r="RY61" s="12"/>
      <c r="RZ61" s="12"/>
      <c r="SA61" s="12"/>
      <c r="SB61" s="12"/>
      <c r="SC61" s="12"/>
      <c r="SD61" s="12"/>
    </row>
    <row r="62" spans="1:498" s="10" customFormat="1" hidden="1">
      <c r="A62" s="87"/>
      <c r="B62" s="90" t="s">
        <v>16</v>
      </c>
      <c r="C62" s="90"/>
      <c r="D62" s="117">
        <f>C10</f>
        <v>145000</v>
      </c>
      <c r="E62" s="118"/>
      <c r="F62" s="114">
        <f>$C$10+F61</f>
        <v>146232</v>
      </c>
      <c r="G62" s="114">
        <f t="shared" ref="G62:X62" si="40">IF(
OR(
F62&lt;=0+N("If either the loan balance from the preceding year is less than or equal to zero OR"),
AND(
$C11=0+N("if the interest rate is zero AND"),
(F62-(F73*12))&lt;0+N("The loan balance is less than the annual IBR payment then"))),
0+N("the loan balance equals zero, if these conditions were not satisfied then"),
IF(
($C10+G61)&lt;0+N("If the principal payment is greaterthan the original loan balance then"),
0+N("the loan balance is zero")+N("If not, then"),
IF(
(G96*$C$15)/12&gt;=$C$84+N("If the IBR payment is greater than or equal to the standard payment then"),
(F62*(1+$C$11))-(G73*12)+N("the previous loan balance plus interest minus the annual IBR payment is the new loan balance")+N("If the condition is false then"),
($C10+G61)+N("the new loan balance is the original minus the principal or plus the negative amortization (the plus sign is in the formula because negative amortization is postitive and principal payment is negative in the spreadsheet"))))</f>
        <v>147189.58257500001</v>
      </c>
      <c r="H62" s="114">
        <f t="shared" si="40"/>
        <v>147864.2060976325</v>
      </c>
      <c r="I62" s="114">
        <f t="shared" si="40"/>
        <v>148247.06493318308</v>
      </c>
      <c r="J62" s="114">
        <f t="shared" si="40"/>
        <v>148329.08132463097</v>
      </c>
      <c r="K62" s="114">
        <f t="shared" si="40"/>
        <v>148100.89702935296</v>
      </c>
      <c r="L62" s="114">
        <f t="shared" si="40"/>
        <v>147552.86469991767</v>
      </c>
      <c r="M62" s="114">
        <f t="shared" si="40"/>
        <v>138011.11998719719</v>
      </c>
      <c r="N62" s="114">
        <f t="shared" si="40"/>
        <v>127408.42745688299</v>
      </c>
      <c r="O62" s="114">
        <f t="shared" si="40"/>
        <v>116076.79981510967</v>
      </c>
      <c r="P62" s="114">
        <f t="shared" si="40"/>
        <v>103966.12277296445</v>
      </c>
      <c r="Q62" s="114">
        <f t="shared" si="40"/>
        <v>91022.836684171722</v>
      </c>
      <c r="R62" s="114">
        <f t="shared" si="40"/>
        <v>77189.6996767745</v>
      </c>
      <c r="S62" s="114">
        <f t="shared" si="40"/>
        <v>62405.534500118731</v>
      </c>
      <c r="T62" s="114">
        <f t="shared" si="40"/>
        <v>46604.957967567876</v>
      </c>
      <c r="U62" s="114">
        <f t="shared" si="40"/>
        <v>29718.091798404144</v>
      </c>
      <c r="V62" s="114">
        <f t="shared" si="40"/>
        <v>11670.253580110402</v>
      </c>
      <c r="W62" s="114">
        <f t="shared" si="40"/>
        <v>0</v>
      </c>
      <c r="X62" s="114">
        <f t="shared" si="40"/>
        <v>0</v>
      </c>
      <c r="Y62" s="114">
        <f t="shared" ref="Y62:AD62" si="41">IF(
OR(
X62&lt;=0+N("If either the loan balance from the preceding year is less than or equal to zero OR"),
AND(
Y50&gt;20+N("IT is later than teh 20th year AND"),
$C$15=0.1+N("Percentage as share is 10 percent OR")),
AND(
$C11=0+N("if the interest rate is zero AND"),
(X62-(X73*12))&lt;0+N("The loan balance is less than the annual IBR payment then"))),
0+N("the loan balance equals zero, if these conditions were not satisfied then"),
IF(
($C10+Y61)&lt;0+N("If the principal payment is greaterthan the original loan balance then"),
0+N("the loan balance is zero")+N("If not, then"),
IF(
(Y96*$C$15)/12&gt;=$C$84+N("If the IBR payment is greater than or equal to the standard payment then"),
(X62*(1+$C$11))-(Y73*12)+N("the previous loan balance plus interest minus the annual IBR payment is the new loan balance")+N("If the condition is false then"),
($C10+Y61)+N("the new loan balance is the original minus the principal or plus the negative amortization (the plus sign is in the formula because negative amortization is postitive and principal payment is negative in the spreadsheet"))))</f>
        <v>0</v>
      </c>
      <c r="Z62" s="114">
        <f t="shared" si="41"/>
        <v>0</v>
      </c>
      <c r="AA62" s="114">
        <f t="shared" si="41"/>
        <v>0</v>
      </c>
      <c r="AB62" s="114">
        <f t="shared" si="41"/>
        <v>0</v>
      </c>
      <c r="AC62" s="114">
        <f t="shared" si="41"/>
        <v>0</v>
      </c>
      <c r="AD62" s="114">
        <f t="shared" si="41"/>
        <v>0</v>
      </c>
      <c r="AE62" s="116"/>
      <c r="AF62" s="116"/>
      <c r="AG62" s="116"/>
      <c r="AH62" s="116"/>
      <c r="AI62" s="116"/>
      <c r="AJ62" s="87"/>
      <c r="AK62" s="87"/>
      <c r="AL62" s="87"/>
      <c r="AM62" s="87"/>
      <c r="AN62" s="87"/>
      <c r="AO62" s="87"/>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c r="HG62" s="12"/>
      <c r="HH62" s="12"/>
      <c r="HI62" s="12"/>
      <c r="HJ62" s="12"/>
      <c r="HK62" s="12"/>
      <c r="HL62" s="12"/>
      <c r="HM62" s="12"/>
      <c r="HN62" s="12"/>
      <c r="HO62" s="12"/>
      <c r="HP62" s="12"/>
      <c r="HQ62" s="12"/>
      <c r="HR62" s="12"/>
      <c r="HS62" s="12"/>
      <c r="HT62" s="12"/>
      <c r="HU62" s="12"/>
      <c r="HV62" s="12"/>
      <c r="HW62" s="12"/>
      <c r="HX62" s="12"/>
      <c r="HY62" s="12"/>
      <c r="HZ62" s="12"/>
      <c r="IA62" s="12"/>
      <c r="IB62" s="12"/>
      <c r="IC62" s="12"/>
      <c r="ID62" s="12"/>
      <c r="IE62" s="12"/>
      <c r="IF62" s="12"/>
      <c r="IG62" s="12"/>
      <c r="IH62" s="12"/>
      <c r="II62" s="12"/>
      <c r="IJ62" s="12"/>
      <c r="IK62" s="12"/>
      <c r="IL62" s="12"/>
      <c r="IM62" s="12"/>
      <c r="IN62" s="12"/>
      <c r="IO62" s="12"/>
      <c r="IP62" s="12"/>
      <c r="IQ62" s="12"/>
      <c r="IR62" s="12"/>
      <c r="IS62" s="12"/>
      <c r="IT62" s="12"/>
      <c r="IU62" s="12"/>
      <c r="IV62" s="12"/>
      <c r="IW62" s="12"/>
      <c r="IX62" s="12"/>
      <c r="IY62" s="12"/>
      <c r="IZ62" s="12"/>
      <c r="JA62" s="12"/>
      <c r="JB62" s="12"/>
      <c r="JC62" s="12"/>
      <c r="JD62" s="12"/>
      <c r="JE62" s="12"/>
      <c r="JF62" s="12"/>
      <c r="JG62" s="12"/>
      <c r="JH62" s="12"/>
      <c r="JI62" s="12"/>
      <c r="JJ62" s="12"/>
      <c r="JK62" s="12"/>
      <c r="JL62" s="12"/>
      <c r="JM62" s="12"/>
      <c r="JN62" s="12"/>
      <c r="JO62" s="12"/>
      <c r="JP62" s="12"/>
      <c r="JQ62" s="12"/>
      <c r="JR62" s="12"/>
      <c r="JS62" s="12"/>
      <c r="JT62" s="12"/>
      <c r="JU62" s="12"/>
      <c r="JV62" s="12"/>
      <c r="JW62" s="12"/>
      <c r="JX62" s="12"/>
      <c r="JY62" s="12"/>
      <c r="JZ62" s="12"/>
      <c r="KA62" s="12"/>
      <c r="KB62" s="12"/>
      <c r="KC62" s="12"/>
      <c r="KD62" s="12"/>
      <c r="KE62" s="12"/>
      <c r="KF62" s="12"/>
      <c r="KG62" s="12"/>
      <c r="KH62" s="12"/>
      <c r="KI62" s="12"/>
      <c r="KJ62" s="12"/>
      <c r="KK62" s="12"/>
      <c r="KL62" s="12"/>
      <c r="KM62" s="12"/>
      <c r="KN62" s="12"/>
      <c r="KO62" s="12"/>
      <c r="KP62" s="12"/>
      <c r="KQ62" s="12"/>
      <c r="KR62" s="12"/>
      <c r="KS62" s="12"/>
      <c r="KT62" s="12"/>
      <c r="KU62" s="12"/>
      <c r="KV62" s="12"/>
      <c r="KW62" s="12"/>
      <c r="KX62" s="12"/>
      <c r="KY62" s="12"/>
      <c r="KZ62" s="12"/>
      <c r="LA62" s="12"/>
      <c r="LB62" s="12"/>
      <c r="LC62" s="12"/>
      <c r="LD62" s="12"/>
      <c r="LE62" s="12"/>
      <c r="LF62" s="12"/>
      <c r="LG62" s="12"/>
      <c r="LH62" s="12"/>
      <c r="LI62" s="12"/>
      <c r="LJ62" s="12"/>
      <c r="LK62" s="12"/>
      <c r="LL62" s="12"/>
      <c r="LM62" s="12"/>
      <c r="LN62" s="12"/>
      <c r="LO62" s="12"/>
      <c r="LP62" s="12"/>
      <c r="LQ62" s="12"/>
      <c r="LR62" s="12"/>
      <c r="LS62" s="12"/>
      <c r="LT62" s="12"/>
      <c r="LU62" s="12"/>
      <c r="LV62" s="12"/>
      <c r="LW62" s="12"/>
      <c r="LX62" s="12"/>
      <c r="LY62" s="12"/>
      <c r="LZ62" s="12"/>
      <c r="MA62" s="12"/>
      <c r="MB62" s="12"/>
      <c r="MC62" s="12"/>
      <c r="MD62" s="12"/>
      <c r="ME62" s="12"/>
      <c r="MF62" s="12"/>
      <c r="MG62" s="12"/>
      <c r="MH62" s="12"/>
      <c r="MI62" s="12"/>
      <c r="MJ62" s="12"/>
      <c r="MK62" s="12"/>
      <c r="ML62" s="12"/>
      <c r="MM62" s="12"/>
      <c r="MN62" s="12"/>
      <c r="MO62" s="12"/>
      <c r="MP62" s="12"/>
      <c r="MQ62" s="12"/>
      <c r="MR62" s="12"/>
      <c r="MS62" s="12"/>
      <c r="MT62" s="12"/>
      <c r="MU62" s="12"/>
      <c r="MV62" s="12"/>
      <c r="MW62" s="12"/>
      <c r="MX62" s="12"/>
      <c r="MY62" s="12"/>
      <c r="MZ62" s="12"/>
      <c r="NA62" s="12"/>
      <c r="NB62" s="12"/>
      <c r="NC62" s="12"/>
      <c r="ND62" s="12"/>
      <c r="NE62" s="12"/>
      <c r="NF62" s="12"/>
      <c r="NG62" s="12"/>
      <c r="NH62" s="12"/>
      <c r="NI62" s="12"/>
      <c r="NJ62" s="12"/>
      <c r="NK62" s="12"/>
      <c r="NL62" s="12"/>
      <c r="NM62" s="12"/>
      <c r="NN62" s="12"/>
      <c r="NO62" s="12"/>
      <c r="NP62" s="12"/>
      <c r="NQ62" s="12"/>
      <c r="NR62" s="12"/>
      <c r="NS62" s="12"/>
      <c r="NT62" s="12"/>
      <c r="NU62" s="12"/>
      <c r="NV62" s="12"/>
      <c r="NW62" s="12"/>
      <c r="NX62" s="12"/>
      <c r="NY62" s="12"/>
      <c r="NZ62" s="12"/>
      <c r="OA62" s="12"/>
      <c r="OB62" s="12"/>
      <c r="OC62" s="12"/>
      <c r="OD62" s="12"/>
      <c r="OE62" s="12"/>
      <c r="OF62" s="12"/>
      <c r="OG62" s="12"/>
      <c r="OH62" s="12"/>
      <c r="OI62" s="12"/>
      <c r="OJ62" s="12"/>
      <c r="OK62" s="12"/>
      <c r="OL62" s="12"/>
      <c r="OM62" s="12"/>
      <c r="ON62" s="12"/>
      <c r="OO62" s="12"/>
      <c r="OP62" s="12"/>
      <c r="OQ62" s="12"/>
      <c r="OR62" s="12"/>
      <c r="OS62" s="12"/>
      <c r="OT62" s="12"/>
      <c r="OU62" s="12"/>
      <c r="OV62" s="12"/>
      <c r="OW62" s="12"/>
      <c r="OX62" s="12"/>
      <c r="OY62" s="12"/>
      <c r="OZ62" s="12"/>
      <c r="PA62" s="12"/>
      <c r="PB62" s="12"/>
      <c r="PC62" s="12"/>
      <c r="PD62" s="12"/>
      <c r="PE62" s="12"/>
      <c r="PF62" s="12"/>
      <c r="PG62" s="12"/>
      <c r="PH62" s="12"/>
      <c r="PI62" s="12"/>
      <c r="PJ62" s="12"/>
      <c r="PK62" s="12"/>
      <c r="PL62" s="12"/>
      <c r="PM62" s="12"/>
      <c r="PN62" s="12"/>
      <c r="PO62" s="12"/>
      <c r="PP62" s="12"/>
      <c r="PQ62" s="12"/>
      <c r="PR62" s="12"/>
      <c r="PS62" s="12"/>
      <c r="PT62" s="12"/>
      <c r="PU62" s="12"/>
      <c r="PV62" s="12"/>
      <c r="PW62" s="12"/>
      <c r="PX62" s="12"/>
      <c r="PY62" s="12"/>
      <c r="PZ62" s="12"/>
      <c r="QA62" s="12"/>
      <c r="QB62" s="12"/>
      <c r="QC62" s="12"/>
      <c r="QD62" s="12"/>
      <c r="QE62" s="12"/>
      <c r="QF62" s="12"/>
      <c r="QG62" s="12"/>
      <c r="QH62" s="12"/>
      <c r="QI62" s="12"/>
      <c r="QJ62" s="12"/>
      <c r="QK62" s="12"/>
      <c r="QL62" s="12"/>
      <c r="QM62" s="12"/>
      <c r="QN62" s="12"/>
      <c r="QO62" s="12"/>
      <c r="QP62" s="12"/>
      <c r="QQ62" s="12"/>
      <c r="QR62" s="12"/>
      <c r="QS62" s="12"/>
      <c r="QT62" s="12"/>
      <c r="QU62" s="12"/>
      <c r="QV62" s="12"/>
      <c r="QW62" s="12"/>
      <c r="QX62" s="12"/>
      <c r="QY62" s="12"/>
      <c r="QZ62" s="12"/>
      <c r="RA62" s="12"/>
      <c r="RB62" s="12"/>
      <c r="RC62" s="12"/>
      <c r="RD62" s="12"/>
      <c r="RE62" s="12"/>
      <c r="RF62" s="12"/>
      <c r="RG62" s="12"/>
      <c r="RH62" s="12"/>
      <c r="RI62" s="12"/>
      <c r="RJ62" s="12"/>
      <c r="RK62" s="12"/>
      <c r="RL62" s="12"/>
      <c r="RM62" s="12"/>
      <c r="RN62" s="12"/>
      <c r="RO62" s="12"/>
      <c r="RP62" s="12"/>
      <c r="RQ62" s="12"/>
      <c r="RR62" s="12"/>
      <c r="RS62" s="12"/>
      <c r="RT62" s="12"/>
      <c r="RU62" s="12"/>
      <c r="RV62" s="12"/>
      <c r="RW62" s="12"/>
      <c r="RX62" s="12"/>
      <c r="RY62" s="12"/>
      <c r="RZ62" s="12"/>
      <c r="SA62" s="12"/>
      <c r="SB62" s="12"/>
      <c r="SC62" s="12"/>
      <c r="SD62" s="12"/>
    </row>
    <row r="63" spans="1:498" s="10" customFormat="1" hidden="1">
      <c r="A63" s="87"/>
      <c r="B63" s="88"/>
      <c r="C63" s="90"/>
      <c r="D63" s="119"/>
      <c r="E63" s="119"/>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52"/>
      <c r="AF63" s="87"/>
      <c r="AG63" s="87"/>
      <c r="AH63" s="87"/>
      <c r="AI63" s="87"/>
      <c r="AJ63" s="87"/>
      <c r="AK63" s="87"/>
      <c r="AL63" s="87"/>
      <c r="AM63" s="87"/>
      <c r="AN63" s="87"/>
      <c r="AO63" s="87"/>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c r="HG63" s="12"/>
      <c r="HH63" s="12"/>
      <c r="HI63" s="12"/>
      <c r="HJ63" s="12"/>
      <c r="HK63" s="12"/>
      <c r="HL63" s="12"/>
      <c r="HM63" s="12"/>
      <c r="HN63" s="12"/>
      <c r="HO63" s="12"/>
      <c r="HP63" s="12"/>
      <c r="HQ63" s="12"/>
      <c r="HR63" s="12"/>
      <c r="HS63" s="12"/>
      <c r="HT63" s="12"/>
      <c r="HU63" s="12"/>
      <c r="HV63" s="12"/>
      <c r="HW63" s="12"/>
      <c r="HX63" s="12"/>
      <c r="HY63" s="12"/>
      <c r="HZ63" s="12"/>
      <c r="IA63" s="12"/>
      <c r="IB63" s="12"/>
      <c r="IC63" s="12"/>
      <c r="ID63" s="12"/>
      <c r="IE63" s="12"/>
      <c r="IF63" s="12"/>
      <c r="IG63" s="12"/>
      <c r="IH63" s="12"/>
      <c r="II63" s="12"/>
      <c r="IJ63" s="12"/>
      <c r="IK63" s="12"/>
      <c r="IL63" s="12"/>
      <c r="IM63" s="12"/>
      <c r="IN63" s="12"/>
      <c r="IO63" s="12"/>
      <c r="IP63" s="12"/>
      <c r="IQ63" s="12"/>
      <c r="IR63" s="12"/>
      <c r="IS63" s="12"/>
      <c r="IT63" s="12"/>
      <c r="IU63" s="12"/>
      <c r="IV63" s="12"/>
      <c r="IW63" s="12"/>
      <c r="IX63" s="12"/>
      <c r="IY63" s="12"/>
      <c r="IZ63" s="12"/>
      <c r="JA63" s="12"/>
      <c r="JB63" s="12"/>
      <c r="JC63" s="12"/>
      <c r="JD63" s="12"/>
      <c r="JE63" s="12"/>
      <c r="JF63" s="12"/>
      <c r="JG63" s="12"/>
      <c r="JH63" s="12"/>
      <c r="JI63" s="12"/>
      <c r="JJ63" s="12"/>
      <c r="JK63" s="12"/>
      <c r="JL63" s="12"/>
      <c r="JM63" s="12"/>
      <c r="JN63" s="12"/>
      <c r="JO63" s="12"/>
      <c r="JP63" s="12"/>
      <c r="JQ63" s="12"/>
      <c r="JR63" s="12"/>
      <c r="JS63" s="12"/>
      <c r="JT63" s="12"/>
      <c r="JU63" s="12"/>
      <c r="JV63" s="12"/>
      <c r="JW63" s="12"/>
      <c r="JX63" s="12"/>
      <c r="JY63" s="12"/>
      <c r="JZ63" s="12"/>
      <c r="KA63" s="12"/>
      <c r="KB63" s="12"/>
      <c r="KC63" s="12"/>
      <c r="KD63" s="12"/>
      <c r="KE63" s="12"/>
      <c r="KF63" s="12"/>
      <c r="KG63" s="12"/>
      <c r="KH63" s="12"/>
      <c r="KI63" s="12"/>
      <c r="KJ63" s="12"/>
      <c r="KK63" s="12"/>
      <c r="KL63" s="12"/>
      <c r="KM63" s="12"/>
      <c r="KN63" s="12"/>
      <c r="KO63" s="12"/>
      <c r="KP63" s="12"/>
      <c r="KQ63" s="12"/>
      <c r="KR63" s="12"/>
      <c r="KS63" s="12"/>
      <c r="KT63" s="12"/>
      <c r="KU63" s="12"/>
      <c r="KV63" s="12"/>
      <c r="KW63" s="12"/>
      <c r="KX63" s="12"/>
      <c r="KY63" s="12"/>
      <c r="KZ63" s="12"/>
      <c r="LA63" s="12"/>
      <c r="LB63" s="12"/>
      <c r="LC63" s="12"/>
      <c r="LD63" s="12"/>
      <c r="LE63" s="12"/>
      <c r="LF63" s="12"/>
      <c r="LG63" s="12"/>
      <c r="LH63" s="12"/>
      <c r="LI63" s="12"/>
      <c r="LJ63" s="12"/>
      <c r="LK63" s="12"/>
      <c r="LL63" s="12"/>
      <c r="LM63" s="12"/>
      <c r="LN63" s="12"/>
      <c r="LO63" s="12"/>
      <c r="LP63" s="12"/>
      <c r="LQ63" s="12"/>
      <c r="LR63" s="12"/>
      <c r="LS63" s="12"/>
      <c r="LT63" s="12"/>
      <c r="LU63" s="12"/>
      <c r="LV63" s="12"/>
      <c r="LW63" s="12"/>
      <c r="LX63" s="12"/>
      <c r="LY63" s="12"/>
      <c r="LZ63" s="12"/>
      <c r="MA63" s="12"/>
      <c r="MB63" s="12"/>
      <c r="MC63" s="12"/>
      <c r="MD63" s="12"/>
      <c r="ME63" s="12"/>
      <c r="MF63" s="12"/>
      <c r="MG63" s="12"/>
      <c r="MH63" s="12"/>
      <c r="MI63" s="12"/>
      <c r="MJ63" s="12"/>
      <c r="MK63" s="12"/>
      <c r="ML63" s="12"/>
      <c r="MM63" s="12"/>
      <c r="MN63" s="12"/>
      <c r="MO63" s="12"/>
      <c r="MP63" s="12"/>
      <c r="MQ63" s="12"/>
      <c r="MR63" s="12"/>
      <c r="MS63" s="12"/>
      <c r="MT63" s="12"/>
      <c r="MU63" s="12"/>
      <c r="MV63" s="12"/>
      <c r="MW63" s="12"/>
      <c r="MX63" s="12"/>
      <c r="MY63" s="12"/>
      <c r="MZ63" s="12"/>
      <c r="NA63" s="12"/>
      <c r="NB63" s="12"/>
      <c r="NC63" s="12"/>
      <c r="ND63" s="12"/>
      <c r="NE63" s="12"/>
      <c r="NF63" s="12"/>
      <c r="NG63" s="12"/>
      <c r="NH63" s="12"/>
      <c r="NI63" s="12"/>
      <c r="NJ63" s="12"/>
      <c r="NK63" s="12"/>
      <c r="NL63" s="12"/>
      <c r="NM63" s="12"/>
      <c r="NN63" s="12"/>
      <c r="NO63" s="12"/>
      <c r="NP63" s="12"/>
      <c r="NQ63" s="12"/>
      <c r="NR63" s="12"/>
      <c r="NS63" s="12"/>
      <c r="NT63" s="12"/>
      <c r="NU63" s="12"/>
      <c r="NV63" s="12"/>
      <c r="NW63" s="12"/>
      <c r="NX63" s="12"/>
      <c r="NY63" s="12"/>
      <c r="NZ63" s="12"/>
      <c r="OA63" s="12"/>
      <c r="OB63" s="12"/>
      <c r="OC63" s="12"/>
      <c r="OD63" s="12"/>
      <c r="OE63" s="12"/>
      <c r="OF63" s="12"/>
      <c r="OG63" s="12"/>
      <c r="OH63" s="12"/>
      <c r="OI63" s="12"/>
      <c r="OJ63" s="12"/>
      <c r="OK63" s="12"/>
      <c r="OL63" s="12"/>
      <c r="OM63" s="12"/>
      <c r="ON63" s="12"/>
      <c r="OO63" s="12"/>
      <c r="OP63" s="12"/>
      <c r="OQ63" s="12"/>
      <c r="OR63" s="12"/>
      <c r="OS63" s="12"/>
      <c r="OT63" s="12"/>
      <c r="OU63" s="12"/>
      <c r="OV63" s="12"/>
      <c r="OW63" s="12"/>
      <c r="OX63" s="12"/>
      <c r="OY63" s="12"/>
      <c r="OZ63" s="12"/>
      <c r="PA63" s="12"/>
      <c r="PB63" s="12"/>
      <c r="PC63" s="12"/>
      <c r="PD63" s="12"/>
      <c r="PE63" s="12"/>
      <c r="PF63" s="12"/>
      <c r="PG63" s="12"/>
      <c r="PH63" s="12"/>
      <c r="PI63" s="12"/>
      <c r="PJ63" s="12"/>
      <c r="PK63" s="12"/>
      <c r="PL63" s="12"/>
      <c r="PM63" s="12"/>
      <c r="PN63" s="12"/>
      <c r="PO63" s="12"/>
      <c r="PP63" s="12"/>
      <c r="PQ63" s="12"/>
      <c r="PR63" s="12"/>
      <c r="PS63" s="12"/>
      <c r="PT63" s="12"/>
      <c r="PU63" s="12"/>
      <c r="PV63" s="12"/>
      <c r="PW63" s="12"/>
      <c r="PX63" s="12"/>
      <c r="PY63" s="12"/>
      <c r="PZ63" s="12"/>
      <c r="QA63" s="12"/>
      <c r="QB63" s="12"/>
      <c r="QC63" s="12"/>
      <c r="QD63" s="12"/>
      <c r="QE63" s="12"/>
      <c r="QF63" s="12"/>
      <c r="QG63" s="12"/>
      <c r="QH63" s="12"/>
      <c r="QI63" s="12"/>
      <c r="QJ63" s="12"/>
      <c r="QK63" s="12"/>
      <c r="QL63" s="12"/>
      <c r="QM63" s="12"/>
      <c r="QN63" s="12"/>
      <c r="QO63" s="12"/>
      <c r="QP63" s="12"/>
      <c r="QQ63" s="12"/>
      <c r="QR63" s="12"/>
      <c r="QS63" s="12"/>
      <c r="QT63" s="12"/>
      <c r="QU63" s="12"/>
      <c r="QV63" s="12"/>
      <c r="QW63" s="12"/>
      <c r="QX63" s="12"/>
      <c r="QY63" s="12"/>
      <c r="QZ63" s="12"/>
      <c r="RA63" s="12"/>
      <c r="RB63" s="12"/>
      <c r="RC63" s="12"/>
      <c r="RD63" s="12"/>
      <c r="RE63" s="12"/>
      <c r="RF63" s="12"/>
      <c r="RG63" s="12"/>
      <c r="RH63" s="12"/>
      <c r="RI63" s="12"/>
      <c r="RJ63" s="12"/>
      <c r="RK63" s="12"/>
      <c r="RL63" s="12"/>
      <c r="RM63" s="12"/>
      <c r="RN63" s="12"/>
      <c r="RO63" s="12"/>
      <c r="RP63" s="12"/>
      <c r="RQ63" s="12"/>
      <c r="RR63" s="12"/>
      <c r="RS63" s="12"/>
      <c r="RT63" s="12"/>
      <c r="RU63" s="12"/>
      <c r="RV63" s="12"/>
      <c r="RW63" s="12"/>
      <c r="RX63" s="12"/>
      <c r="RY63" s="12"/>
      <c r="RZ63" s="12"/>
      <c r="SA63" s="12"/>
      <c r="SB63" s="12"/>
      <c r="SC63" s="12"/>
      <c r="SD63" s="12"/>
    </row>
    <row r="64" spans="1:498" s="10" customFormat="1" hidden="1">
      <c r="A64" s="87"/>
      <c r="B64" s="88"/>
      <c r="C64" s="120">
        <f>SUM(F64:Y64)</f>
        <v>248892.14019427795</v>
      </c>
      <c r="D64" s="119"/>
      <c r="E64" s="119"/>
      <c r="F64" s="121">
        <f>F69*12</f>
        <v>5824.5</v>
      </c>
      <c r="G64" s="121">
        <f>IF(
F67=0+N("If the preceding year's loan balance is zero then"),
0+N("the current IBR payment is zero")+N("If the condition is not met then"),
IF(
AND(
G67=0+N("If this year's loan balance will be zero AND"),
I67=0+N("two year's from now it will be zero, then")),
F67+N("this is the last year of payment, and therefore the total payment made this year will simply be the remaining loan balance from last year")+N("If not then"),
G69*12+N("The monthly IBR payment multiplied by twelve")))</f>
        <v>6007.444950000001</v>
      </c>
      <c r="H64" s="121">
        <f>IF(
G67=0+N("If the preceding year's loan balance is zero then"),
0+N("the current IBR payment is zero")+N("If the condition is not met then"),
IF(
AND(
H67=0+N("If this year's loan balance will be zero AND"),
J67=0+N("two year's from now it will be zero, then")),
G67+N("this is the last year of payment, and therefore the total payment made this year will simply be the remaining loan balance from last year")+N("If not then"),
H69*12+N("The monthly IBR payment multiplied by twelve")))</f>
        <v>6196.0843182450008</v>
      </c>
      <c r="I64" s="121">
        <f>IF(
H67=0+N("If the preceding year's loan balance is zero then"),
0+N("the current IBR payment is zero")+N("If the condition is not met then"),
IF(
AND(
I67=0+N("If this year's loan balance will be zero AND"),
K67=0+N("two year's from now it will be zero, then")),
H67+N("this is the last year of payment, and therefore the total payment made this year will simply be the remaining loan balance from last year")+N("If not then"),
I69*12+N("The monthly IBR payment multiplied by twelve")))</f>
        <v>6390.5941096329516</v>
      </c>
      <c r="J64" s="121">
        <f t="shared" ref="J64:AD64" si="42">IF(
I67=0+N("If the preceding year's loan balance is zero then"),
0+N("the current IBR payment is zero")+N("If the condition is not met then"),
IF(
AND(
J67=0+N("If this year's loan balance will be zero AND"),
L67=0+N("two year's from now it will be zero, then")),
I67+N("this is the last year of payment, and therefore the total payment made this year will simply be the remaining loan balance from last year")+N("If not then"),
J69*12+N("The monthly IBR payment multiplied by twelve")))</f>
        <v>6591.1557390347389</v>
      </c>
      <c r="K64" s="121">
        <f t="shared" si="42"/>
        <v>6797.956196852012</v>
      </c>
      <c r="L64" s="121">
        <f t="shared" si="42"/>
        <v>7011.1882196235201</v>
      </c>
      <c r="M64" s="121">
        <f t="shared" si="42"/>
        <v>13006.996475146985</v>
      </c>
      <c r="N64" s="121">
        <f t="shared" si="42"/>
        <v>13406.972086673179</v>
      </c>
      <c r="O64" s="121">
        <f t="shared" si="42"/>
        <v>13819.192086048672</v>
      </c>
      <c r="P64" s="121">
        <f t="shared" si="42"/>
        <v>14244.029957408497</v>
      </c>
      <c r="Q64" s="121">
        <f t="shared" si="42"/>
        <v>14681.870543839454</v>
      </c>
      <c r="R64" s="121">
        <f t="shared" si="42"/>
        <v>15133.110392024822</v>
      </c>
      <c r="S64" s="121">
        <f t="shared" si="42"/>
        <v>15598.158107325697</v>
      </c>
      <c r="T64" s="121">
        <f t="shared" si="42"/>
        <v>16077.434719614452</v>
      </c>
      <c r="U64" s="121">
        <f t="shared" si="42"/>
        <v>16571.374060185502</v>
      </c>
      <c r="V64" s="121">
        <f t="shared" si="42"/>
        <v>17080.42315007815</v>
      </c>
      <c r="W64" s="121">
        <f t="shared" si="42"/>
        <v>17605.042600156561</v>
      </c>
      <c r="X64" s="121">
        <f t="shared" si="42"/>
        <v>18145.707023302286</v>
      </c>
      <c r="Y64" s="121">
        <f t="shared" si="42"/>
        <v>18702.905459085421</v>
      </c>
      <c r="Z64" s="121">
        <f t="shared" si="42"/>
        <v>0</v>
      </c>
      <c r="AA64" s="121">
        <f t="shared" si="42"/>
        <v>0</v>
      </c>
      <c r="AB64" s="121">
        <f t="shared" si="42"/>
        <v>0</v>
      </c>
      <c r="AC64" s="121">
        <f t="shared" si="42"/>
        <v>0</v>
      </c>
      <c r="AD64" s="121">
        <f t="shared" si="42"/>
        <v>0</v>
      </c>
      <c r="AE64" s="52"/>
      <c r="AF64" s="87"/>
      <c r="AG64" s="87"/>
      <c r="AH64" s="87"/>
      <c r="AI64" s="87"/>
      <c r="AJ64" s="87"/>
      <c r="AK64" s="87"/>
      <c r="AL64" s="87"/>
      <c r="AM64" s="87"/>
      <c r="AN64" s="87"/>
      <c r="AO64" s="87"/>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12"/>
      <c r="GW64" s="12"/>
      <c r="GX64" s="12"/>
      <c r="GY64" s="12"/>
      <c r="GZ64" s="12"/>
      <c r="HA64" s="12"/>
      <c r="HB64" s="12"/>
      <c r="HC64" s="12"/>
      <c r="HD64" s="12"/>
      <c r="HE64" s="12"/>
      <c r="HF64" s="12"/>
      <c r="HG64" s="12"/>
      <c r="HH64" s="12"/>
      <c r="HI64" s="12"/>
      <c r="HJ64" s="12"/>
      <c r="HK64" s="12"/>
      <c r="HL64" s="12"/>
      <c r="HM64" s="12"/>
      <c r="HN64" s="12"/>
      <c r="HO64" s="12"/>
      <c r="HP64" s="12"/>
      <c r="HQ64" s="12"/>
      <c r="HR64" s="12"/>
      <c r="HS64" s="12"/>
      <c r="HT64" s="12"/>
      <c r="HU64" s="12"/>
      <c r="HV64" s="12"/>
      <c r="HW64" s="12"/>
      <c r="HX64" s="12"/>
      <c r="HY64" s="12"/>
      <c r="HZ64" s="12"/>
      <c r="IA64" s="12"/>
      <c r="IB64" s="12"/>
      <c r="IC64" s="12"/>
      <c r="ID64" s="12"/>
      <c r="IE64" s="12"/>
      <c r="IF64" s="12"/>
      <c r="IG64" s="12"/>
      <c r="IH64" s="12"/>
      <c r="II64" s="12"/>
      <c r="IJ64" s="12"/>
      <c r="IK64" s="12"/>
      <c r="IL64" s="12"/>
      <c r="IM64" s="12"/>
      <c r="IN64" s="12"/>
      <c r="IO64" s="12"/>
      <c r="IP64" s="12"/>
      <c r="IQ64" s="12"/>
      <c r="IR64" s="12"/>
      <c r="IS64" s="12"/>
      <c r="IT64" s="12"/>
      <c r="IU64" s="12"/>
      <c r="IV64" s="12"/>
      <c r="IW64" s="12"/>
      <c r="IX64" s="12"/>
      <c r="IY64" s="12"/>
      <c r="IZ64" s="12"/>
      <c r="JA64" s="12"/>
      <c r="JB64" s="12"/>
      <c r="JC64" s="12"/>
      <c r="JD64" s="12"/>
      <c r="JE64" s="12"/>
      <c r="JF64" s="12"/>
      <c r="JG64" s="12"/>
      <c r="JH64" s="12"/>
      <c r="JI64" s="12"/>
      <c r="JJ64" s="12"/>
      <c r="JK64" s="12"/>
      <c r="JL64" s="12"/>
      <c r="JM64" s="12"/>
      <c r="JN64" s="12"/>
      <c r="JO64" s="12"/>
      <c r="JP64" s="12"/>
      <c r="JQ64" s="12"/>
      <c r="JR64" s="12"/>
      <c r="JS64" s="12"/>
      <c r="JT64" s="12"/>
      <c r="JU64" s="12"/>
      <c r="JV64" s="12"/>
      <c r="JW64" s="12"/>
      <c r="JX64" s="12"/>
      <c r="JY64" s="12"/>
      <c r="JZ64" s="12"/>
      <c r="KA64" s="12"/>
      <c r="KB64" s="12"/>
      <c r="KC64" s="12"/>
      <c r="KD64" s="12"/>
      <c r="KE64" s="12"/>
      <c r="KF64" s="12"/>
      <c r="KG64" s="12"/>
      <c r="KH64" s="12"/>
      <c r="KI64" s="12"/>
      <c r="KJ64" s="12"/>
      <c r="KK64" s="12"/>
      <c r="KL64" s="12"/>
      <c r="KM64" s="12"/>
      <c r="KN64" s="12"/>
      <c r="KO64" s="12"/>
      <c r="KP64" s="12"/>
      <c r="KQ64" s="12"/>
      <c r="KR64" s="12"/>
      <c r="KS64" s="12"/>
      <c r="KT64" s="12"/>
      <c r="KU64" s="12"/>
      <c r="KV64" s="12"/>
      <c r="KW64" s="12"/>
      <c r="KX64" s="12"/>
      <c r="KY64" s="12"/>
      <c r="KZ64" s="12"/>
      <c r="LA64" s="12"/>
      <c r="LB64" s="12"/>
      <c r="LC64" s="12"/>
      <c r="LD64" s="12"/>
      <c r="LE64" s="12"/>
      <c r="LF64" s="12"/>
      <c r="LG64" s="12"/>
      <c r="LH64" s="12"/>
      <c r="LI64" s="12"/>
      <c r="LJ64" s="12"/>
      <c r="LK64" s="12"/>
      <c r="LL64" s="12"/>
      <c r="LM64" s="12"/>
      <c r="LN64" s="12"/>
      <c r="LO64" s="12"/>
      <c r="LP64" s="12"/>
      <c r="LQ64" s="12"/>
      <c r="LR64" s="12"/>
      <c r="LS64" s="12"/>
      <c r="LT64" s="12"/>
      <c r="LU64" s="12"/>
      <c r="LV64" s="12"/>
      <c r="LW64" s="12"/>
      <c r="LX64" s="12"/>
      <c r="LY64" s="12"/>
      <c r="LZ64" s="12"/>
      <c r="MA64" s="12"/>
      <c r="MB64" s="12"/>
      <c r="MC64" s="12"/>
      <c r="MD64" s="12"/>
      <c r="ME64" s="12"/>
      <c r="MF64" s="12"/>
      <c r="MG64" s="12"/>
      <c r="MH64" s="12"/>
      <c r="MI64" s="12"/>
      <c r="MJ64" s="12"/>
      <c r="MK64" s="12"/>
      <c r="ML64" s="12"/>
      <c r="MM64" s="12"/>
      <c r="MN64" s="12"/>
      <c r="MO64" s="12"/>
      <c r="MP64" s="12"/>
      <c r="MQ64" s="12"/>
      <c r="MR64" s="12"/>
      <c r="MS64" s="12"/>
      <c r="MT64" s="12"/>
      <c r="MU64" s="12"/>
      <c r="MV64" s="12"/>
      <c r="MW64" s="12"/>
      <c r="MX64" s="12"/>
      <c r="MY64" s="12"/>
      <c r="MZ64" s="12"/>
      <c r="NA64" s="12"/>
      <c r="NB64" s="12"/>
      <c r="NC64" s="12"/>
      <c r="ND64" s="12"/>
      <c r="NE64" s="12"/>
      <c r="NF64" s="12"/>
      <c r="NG64" s="12"/>
      <c r="NH64" s="12"/>
      <c r="NI64" s="12"/>
      <c r="NJ64" s="12"/>
      <c r="NK64" s="12"/>
      <c r="NL64" s="12"/>
      <c r="NM64" s="12"/>
      <c r="NN64" s="12"/>
      <c r="NO64" s="12"/>
      <c r="NP64" s="12"/>
      <c r="NQ64" s="12"/>
      <c r="NR64" s="12"/>
      <c r="NS64" s="12"/>
      <c r="NT64" s="12"/>
      <c r="NU64" s="12"/>
      <c r="NV64" s="12"/>
      <c r="NW64" s="12"/>
      <c r="NX64" s="12"/>
      <c r="NY64" s="12"/>
      <c r="NZ64" s="12"/>
      <c r="OA64" s="12"/>
      <c r="OB64" s="12"/>
      <c r="OC64" s="12"/>
      <c r="OD64" s="12"/>
      <c r="OE64" s="12"/>
      <c r="OF64" s="12"/>
      <c r="OG64" s="12"/>
      <c r="OH64" s="12"/>
      <c r="OI64" s="12"/>
      <c r="OJ64" s="12"/>
      <c r="OK64" s="12"/>
      <c r="OL64" s="12"/>
      <c r="OM64" s="12"/>
      <c r="ON64" s="12"/>
      <c r="OO64" s="12"/>
      <c r="OP64" s="12"/>
      <c r="OQ64" s="12"/>
      <c r="OR64" s="12"/>
      <c r="OS64" s="12"/>
      <c r="OT64" s="12"/>
      <c r="OU64" s="12"/>
      <c r="OV64" s="12"/>
      <c r="OW64" s="12"/>
      <c r="OX64" s="12"/>
      <c r="OY64" s="12"/>
      <c r="OZ64" s="12"/>
      <c r="PA64" s="12"/>
      <c r="PB64" s="12"/>
      <c r="PC64" s="12"/>
      <c r="PD64" s="12"/>
      <c r="PE64" s="12"/>
      <c r="PF64" s="12"/>
      <c r="PG64" s="12"/>
      <c r="PH64" s="12"/>
      <c r="PI64" s="12"/>
      <c r="PJ64" s="12"/>
      <c r="PK64" s="12"/>
      <c r="PL64" s="12"/>
      <c r="PM64" s="12"/>
      <c r="PN64" s="12"/>
      <c r="PO64" s="12"/>
      <c r="PP64" s="12"/>
      <c r="PQ64" s="12"/>
      <c r="PR64" s="12"/>
      <c r="PS64" s="12"/>
      <c r="PT64" s="12"/>
      <c r="PU64" s="12"/>
      <c r="PV64" s="12"/>
      <c r="PW64" s="12"/>
      <c r="PX64" s="12"/>
      <c r="PY64" s="12"/>
      <c r="PZ64" s="12"/>
      <c r="QA64" s="12"/>
      <c r="QB64" s="12"/>
      <c r="QC64" s="12"/>
      <c r="QD64" s="12"/>
      <c r="QE64" s="12"/>
      <c r="QF64" s="12"/>
      <c r="QG64" s="12"/>
      <c r="QH64" s="12"/>
      <c r="QI64" s="12"/>
      <c r="QJ64" s="12"/>
      <c r="QK64" s="12"/>
      <c r="QL64" s="12"/>
      <c r="QM64" s="12"/>
      <c r="QN64" s="12"/>
      <c r="QO64" s="12"/>
      <c r="QP64" s="12"/>
      <c r="QQ64" s="12"/>
      <c r="QR64" s="12"/>
      <c r="QS64" s="12"/>
      <c r="QT64" s="12"/>
      <c r="QU64" s="12"/>
      <c r="QV64" s="12"/>
      <c r="QW64" s="12"/>
      <c r="QX64" s="12"/>
      <c r="QY64" s="12"/>
      <c r="QZ64" s="12"/>
      <c r="RA64" s="12"/>
      <c r="RB64" s="12"/>
      <c r="RC64" s="12"/>
      <c r="RD64" s="12"/>
      <c r="RE64" s="12"/>
      <c r="RF64" s="12"/>
      <c r="RG64" s="12"/>
      <c r="RH64" s="12"/>
      <c r="RI64" s="12"/>
      <c r="RJ64" s="12"/>
      <c r="RK64" s="12"/>
      <c r="RL64" s="12"/>
      <c r="RM64" s="12"/>
      <c r="RN64" s="12"/>
      <c r="RO64" s="12"/>
      <c r="RP64" s="12"/>
      <c r="RQ64" s="12"/>
      <c r="RR64" s="12"/>
      <c r="RS64" s="12"/>
      <c r="RT64" s="12"/>
      <c r="RU64" s="12"/>
      <c r="RV64" s="12"/>
      <c r="RW64" s="12"/>
      <c r="RX64" s="12"/>
      <c r="RY64" s="12"/>
      <c r="RZ64" s="12"/>
      <c r="SA64" s="12"/>
      <c r="SB64" s="12"/>
      <c r="SC64" s="12"/>
      <c r="SD64" s="12"/>
    </row>
    <row r="65" spans="1:498" s="10" customFormat="1" hidden="1">
      <c r="A65" s="87"/>
      <c r="B65" s="88"/>
      <c r="C65" s="90"/>
      <c r="D65" s="119"/>
      <c r="E65" s="119"/>
      <c r="F65" s="121">
        <f>D62*C11</f>
        <v>9968.75</v>
      </c>
      <c r="G65" s="121">
        <f>IF(
F69=$F$84+N("If the IBR monthly payment equals the standard monhtly payment, then"),
F67*$C$11+N("The annual interest rate is the previous year's loan principal multiplied by the interest rate")+N("If the condition was not met then..."),
IF(
F66&gt;0+N("IF the student negatively amortized the previous year, then"),
$D$62*$C$11+N("Annual interest is the original loan balance multiplied by the interest rate")+N("If they made a principal payment in the previous year then..."),
F67*$C$11+N("Since the previous year's loan balance must be lower tahn the original loan balance, the annual interest is the previous year's loan balance multiplied by the interest rate")))</f>
        <v>9968.75</v>
      </c>
      <c r="H65" s="121">
        <f>IF(
G69=$F$84+N("If the IBR monthly payment equals the standard monhtly payment, then"),
G67*$C$11+N("The annual interest rate is the previous year's loan principal multiplied by the interest rate")+N("If the condition was not met then..."),
IF(
G66&gt;0+N("IF the student negatively amortized the previous year, then"),
$D$62*$C$11+N("Annual interest is the original loan balance multiplied by the interest rate")+N("If they made a principal payment in the previous year then..."),
G67*$C$11+N("Since the previous year's loan balance must be lower tahn the original loan balance, the annual interest is the previous year's loan balance multiplied by the interest rate")))</f>
        <v>9968.75</v>
      </c>
      <c r="I65" s="121">
        <f>IF(
H69=$F$84+N("If the IBR monthly payment equals the standard monhtly payment, then"),
H67*$C$11+N("The annual interest rate is the previous year's loan principal multiplied by the interest rate")+N("If the condition was not met then..."),
IF(
H66&gt;0+N("IF the student negatively amortized the previous year, then"),
$D$62*$C$11+N("Annual interest is the original loan balance multiplied by the interest rate")+N("If they made a principal payment in the previous year then..."),
H67*$C$11+N("Since the previous year's loan balance must be lower tahn the original loan balance, the annual interest is the previous year's loan balance multiplied by the interest rate")))</f>
        <v>9968.75</v>
      </c>
      <c r="J65" s="121">
        <f t="shared" ref="J65:AD65" si="43">IF(
I69=$F$84+N("If the IBR monthly payment equals the standard monhtly payment, then"),
I67*$C$11+N("The annual interest rate is the previous year's loan principal multiplied by the interest rate")+N("If the condition was not met then..."),
IF(
I66&gt;0+N("IF the student negatively amortized the previous year, then"),
$D$62*$C$11+N("Annual interest is the original loan balance multiplied by the interest rate")+N("If they made a principal payment in the previous year then..."),
I67*$C$11+N("Since the previous year's loan balance must be lower tahn the original loan balance, the annual interest is the previous year's loan balance multiplied by the interest rate")))</f>
        <v>9968.75</v>
      </c>
      <c r="K65" s="121">
        <f t="shared" si="43"/>
        <v>9968.75</v>
      </c>
      <c r="L65" s="121">
        <f t="shared" si="43"/>
        <v>9968.75</v>
      </c>
      <c r="M65" s="121">
        <f t="shared" si="43"/>
        <v>9968.75</v>
      </c>
      <c r="N65" s="121">
        <f t="shared" si="43"/>
        <v>9968.75</v>
      </c>
      <c r="O65" s="121">
        <f t="shared" si="43"/>
        <v>9968.75</v>
      </c>
      <c r="P65" s="121">
        <f t="shared" si="43"/>
        <v>9968.75</v>
      </c>
      <c r="Q65" s="121">
        <f t="shared" si="43"/>
        <v>9968.75</v>
      </c>
      <c r="R65" s="121">
        <f t="shared" si="43"/>
        <v>9968.75</v>
      </c>
      <c r="S65" s="121">
        <f t="shared" si="43"/>
        <v>9968.75</v>
      </c>
      <c r="T65" s="121">
        <f t="shared" si="43"/>
        <v>10044.585485258138</v>
      </c>
      <c r="U65" s="121">
        <f t="shared" si="43"/>
        <v>9629.8271003961418</v>
      </c>
      <c r="V65" s="121">
        <f t="shared" si="43"/>
        <v>9152.5957469106233</v>
      </c>
      <c r="W65" s="121">
        <f t="shared" si="43"/>
        <v>8607.5576129428573</v>
      </c>
      <c r="X65" s="121">
        <f t="shared" si="43"/>
        <v>7988.9805200719156</v>
      </c>
      <c r="Y65" s="121">
        <f t="shared" si="43"/>
        <v>7290.705572974829</v>
      </c>
      <c r="Z65" s="121">
        <f t="shared" si="43"/>
        <v>6506.1168308047263</v>
      </c>
      <c r="AA65" s="121">
        <f t="shared" si="43"/>
        <v>6953.4123629225514</v>
      </c>
      <c r="AB65" s="121">
        <f t="shared" si="43"/>
        <v>7431.4594628734785</v>
      </c>
      <c r="AC65" s="121">
        <f t="shared" si="43"/>
        <v>7942.3723009460309</v>
      </c>
      <c r="AD65" s="121">
        <f t="shared" si="43"/>
        <v>8488.4103966360708</v>
      </c>
      <c r="AE65" s="52"/>
      <c r="AF65" s="87"/>
      <c r="AG65" s="87"/>
      <c r="AH65" s="87"/>
      <c r="AI65" s="87"/>
      <c r="AJ65" s="87"/>
      <c r="AK65" s="87"/>
      <c r="AL65" s="87"/>
      <c r="AM65" s="87"/>
      <c r="AN65" s="87"/>
      <c r="AO65" s="87"/>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c r="GU65" s="12"/>
      <c r="GV65" s="12"/>
      <c r="GW65" s="12"/>
      <c r="GX65" s="12"/>
      <c r="GY65" s="12"/>
      <c r="GZ65" s="12"/>
      <c r="HA65" s="12"/>
      <c r="HB65" s="12"/>
      <c r="HC65" s="12"/>
      <c r="HD65" s="12"/>
      <c r="HE65" s="12"/>
      <c r="HF65" s="12"/>
      <c r="HG65" s="12"/>
      <c r="HH65" s="12"/>
      <c r="HI65" s="12"/>
      <c r="HJ65" s="12"/>
      <c r="HK65" s="12"/>
      <c r="HL65" s="12"/>
      <c r="HM65" s="12"/>
      <c r="HN65" s="12"/>
      <c r="HO65" s="12"/>
      <c r="HP65" s="12"/>
      <c r="HQ65" s="12"/>
      <c r="HR65" s="12"/>
      <c r="HS65" s="12"/>
      <c r="HT65" s="12"/>
      <c r="HU65" s="12"/>
      <c r="HV65" s="12"/>
      <c r="HW65" s="12"/>
      <c r="HX65" s="12"/>
      <c r="HY65" s="12"/>
      <c r="HZ65" s="12"/>
      <c r="IA65" s="12"/>
      <c r="IB65" s="12"/>
      <c r="IC65" s="12"/>
      <c r="ID65" s="12"/>
      <c r="IE65" s="12"/>
      <c r="IF65" s="12"/>
      <c r="IG65" s="12"/>
      <c r="IH65" s="12"/>
      <c r="II65" s="12"/>
      <c r="IJ65" s="12"/>
      <c r="IK65" s="12"/>
      <c r="IL65" s="12"/>
      <c r="IM65" s="12"/>
      <c r="IN65" s="12"/>
      <c r="IO65" s="12"/>
      <c r="IP65" s="12"/>
      <c r="IQ65" s="12"/>
      <c r="IR65" s="12"/>
      <c r="IS65" s="12"/>
      <c r="IT65" s="12"/>
      <c r="IU65" s="12"/>
      <c r="IV65" s="12"/>
      <c r="IW65" s="12"/>
      <c r="IX65" s="12"/>
      <c r="IY65" s="12"/>
      <c r="IZ65" s="12"/>
      <c r="JA65" s="12"/>
      <c r="JB65" s="12"/>
      <c r="JC65" s="12"/>
      <c r="JD65" s="12"/>
      <c r="JE65" s="12"/>
      <c r="JF65" s="12"/>
      <c r="JG65" s="12"/>
      <c r="JH65" s="12"/>
      <c r="JI65" s="12"/>
      <c r="JJ65" s="12"/>
      <c r="JK65" s="12"/>
      <c r="JL65" s="12"/>
      <c r="JM65" s="12"/>
      <c r="JN65" s="12"/>
      <c r="JO65" s="12"/>
      <c r="JP65" s="12"/>
      <c r="JQ65" s="12"/>
      <c r="JR65" s="12"/>
      <c r="JS65" s="12"/>
      <c r="JT65" s="12"/>
      <c r="JU65" s="12"/>
      <c r="JV65" s="12"/>
      <c r="JW65" s="12"/>
      <c r="JX65" s="12"/>
      <c r="JY65" s="12"/>
      <c r="JZ65" s="12"/>
      <c r="KA65" s="12"/>
      <c r="KB65" s="12"/>
      <c r="KC65" s="12"/>
      <c r="KD65" s="12"/>
      <c r="KE65" s="12"/>
      <c r="KF65" s="12"/>
      <c r="KG65" s="12"/>
      <c r="KH65" s="12"/>
      <c r="KI65" s="12"/>
      <c r="KJ65" s="12"/>
      <c r="KK65" s="12"/>
      <c r="KL65" s="12"/>
      <c r="KM65" s="12"/>
      <c r="KN65" s="12"/>
      <c r="KO65" s="12"/>
      <c r="KP65" s="12"/>
      <c r="KQ65" s="12"/>
      <c r="KR65" s="12"/>
      <c r="KS65" s="12"/>
      <c r="KT65" s="12"/>
      <c r="KU65" s="12"/>
      <c r="KV65" s="12"/>
      <c r="KW65" s="12"/>
      <c r="KX65" s="12"/>
      <c r="KY65" s="12"/>
      <c r="KZ65" s="12"/>
      <c r="LA65" s="12"/>
      <c r="LB65" s="12"/>
      <c r="LC65" s="12"/>
      <c r="LD65" s="12"/>
      <c r="LE65" s="12"/>
      <c r="LF65" s="12"/>
      <c r="LG65" s="12"/>
      <c r="LH65" s="12"/>
      <c r="LI65" s="12"/>
      <c r="LJ65" s="12"/>
      <c r="LK65" s="12"/>
      <c r="LL65" s="12"/>
      <c r="LM65" s="12"/>
      <c r="LN65" s="12"/>
      <c r="LO65" s="12"/>
      <c r="LP65" s="12"/>
      <c r="LQ65" s="12"/>
      <c r="LR65" s="12"/>
      <c r="LS65" s="12"/>
      <c r="LT65" s="12"/>
      <c r="LU65" s="12"/>
      <c r="LV65" s="12"/>
      <c r="LW65" s="12"/>
      <c r="LX65" s="12"/>
      <c r="LY65" s="12"/>
      <c r="LZ65" s="12"/>
      <c r="MA65" s="12"/>
      <c r="MB65" s="12"/>
      <c r="MC65" s="12"/>
      <c r="MD65" s="12"/>
      <c r="ME65" s="12"/>
      <c r="MF65" s="12"/>
      <c r="MG65" s="12"/>
      <c r="MH65" s="12"/>
      <c r="MI65" s="12"/>
      <c r="MJ65" s="12"/>
      <c r="MK65" s="12"/>
      <c r="ML65" s="12"/>
      <c r="MM65" s="12"/>
      <c r="MN65" s="12"/>
      <c r="MO65" s="12"/>
      <c r="MP65" s="12"/>
      <c r="MQ65" s="12"/>
      <c r="MR65" s="12"/>
      <c r="MS65" s="12"/>
      <c r="MT65" s="12"/>
      <c r="MU65" s="12"/>
      <c r="MV65" s="12"/>
      <c r="MW65" s="12"/>
      <c r="MX65" s="12"/>
      <c r="MY65" s="12"/>
      <c r="MZ65" s="12"/>
      <c r="NA65" s="12"/>
      <c r="NB65" s="12"/>
      <c r="NC65" s="12"/>
      <c r="ND65" s="12"/>
      <c r="NE65" s="12"/>
      <c r="NF65" s="12"/>
      <c r="NG65" s="12"/>
      <c r="NH65" s="12"/>
      <c r="NI65" s="12"/>
      <c r="NJ65" s="12"/>
      <c r="NK65" s="12"/>
      <c r="NL65" s="12"/>
      <c r="NM65" s="12"/>
      <c r="NN65" s="12"/>
      <c r="NO65" s="12"/>
      <c r="NP65" s="12"/>
      <c r="NQ65" s="12"/>
      <c r="NR65" s="12"/>
      <c r="NS65" s="12"/>
      <c r="NT65" s="12"/>
      <c r="NU65" s="12"/>
      <c r="NV65" s="12"/>
      <c r="NW65" s="12"/>
      <c r="NX65" s="12"/>
      <c r="NY65" s="12"/>
      <c r="NZ65" s="12"/>
      <c r="OA65" s="12"/>
      <c r="OB65" s="12"/>
      <c r="OC65" s="12"/>
      <c r="OD65" s="12"/>
      <c r="OE65" s="12"/>
      <c r="OF65" s="12"/>
      <c r="OG65" s="12"/>
      <c r="OH65" s="12"/>
      <c r="OI65" s="12"/>
      <c r="OJ65" s="12"/>
      <c r="OK65" s="12"/>
      <c r="OL65" s="12"/>
      <c r="OM65" s="12"/>
      <c r="ON65" s="12"/>
      <c r="OO65" s="12"/>
      <c r="OP65" s="12"/>
      <c r="OQ65" s="12"/>
      <c r="OR65" s="12"/>
      <c r="OS65" s="12"/>
      <c r="OT65" s="12"/>
      <c r="OU65" s="12"/>
      <c r="OV65" s="12"/>
      <c r="OW65" s="12"/>
      <c r="OX65" s="12"/>
      <c r="OY65" s="12"/>
      <c r="OZ65" s="12"/>
      <c r="PA65" s="12"/>
      <c r="PB65" s="12"/>
      <c r="PC65" s="12"/>
      <c r="PD65" s="12"/>
      <c r="PE65" s="12"/>
      <c r="PF65" s="12"/>
      <c r="PG65" s="12"/>
      <c r="PH65" s="12"/>
      <c r="PI65" s="12"/>
      <c r="PJ65" s="12"/>
      <c r="PK65" s="12"/>
      <c r="PL65" s="12"/>
      <c r="PM65" s="12"/>
      <c r="PN65" s="12"/>
      <c r="PO65" s="12"/>
      <c r="PP65" s="12"/>
      <c r="PQ65" s="12"/>
      <c r="PR65" s="12"/>
      <c r="PS65" s="12"/>
      <c r="PT65" s="12"/>
      <c r="PU65" s="12"/>
      <c r="PV65" s="12"/>
      <c r="PW65" s="12"/>
      <c r="PX65" s="12"/>
      <c r="PY65" s="12"/>
      <c r="PZ65" s="12"/>
      <c r="QA65" s="12"/>
      <c r="QB65" s="12"/>
      <c r="QC65" s="12"/>
      <c r="QD65" s="12"/>
      <c r="QE65" s="12"/>
      <c r="QF65" s="12"/>
      <c r="QG65" s="12"/>
      <c r="QH65" s="12"/>
      <c r="QI65" s="12"/>
      <c r="QJ65" s="12"/>
      <c r="QK65" s="12"/>
      <c r="QL65" s="12"/>
      <c r="QM65" s="12"/>
      <c r="QN65" s="12"/>
      <c r="QO65" s="12"/>
      <c r="QP65" s="12"/>
      <c r="QQ65" s="12"/>
      <c r="QR65" s="12"/>
      <c r="QS65" s="12"/>
      <c r="QT65" s="12"/>
      <c r="QU65" s="12"/>
      <c r="QV65" s="12"/>
      <c r="QW65" s="12"/>
      <c r="QX65" s="12"/>
      <c r="QY65" s="12"/>
      <c r="QZ65" s="12"/>
      <c r="RA65" s="12"/>
      <c r="RB65" s="12"/>
      <c r="RC65" s="12"/>
      <c r="RD65" s="12"/>
      <c r="RE65" s="12"/>
      <c r="RF65" s="12"/>
      <c r="RG65" s="12"/>
      <c r="RH65" s="12"/>
      <c r="RI65" s="12"/>
      <c r="RJ65" s="12"/>
      <c r="RK65" s="12"/>
      <c r="RL65" s="12"/>
      <c r="RM65" s="12"/>
      <c r="RN65" s="12"/>
      <c r="RO65" s="12"/>
      <c r="RP65" s="12"/>
      <c r="RQ65" s="12"/>
      <c r="RR65" s="12"/>
      <c r="RS65" s="12"/>
      <c r="RT65" s="12"/>
      <c r="RU65" s="12"/>
      <c r="RV65" s="12"/>
      <c r="RW65" s="12"/>
      <c r="RX65" s="12"/>
      <c r="RY65" s="12"/>
      <c r="RZ65" s="12"/>
      <c r="SA65" s="12"/>
      <c r="SB65" s="12"/>
      <c r="SC65" s="12"/>
      <c r="SD65" s="12"/>
    </row>
    <row r="66" spans="1:498" s="10" customFormat="1" hidden="1">
      <c r="A66" s="87"/>
      <c r="B66" s="88"/>
      <c r="C66" s="90"/>
      <c r="D66" s="119"/>
      <c r="E66" s="119"/>
      <c r="F66" s="121">
        <f>($C$26*$C$11)-((F69*12)*C32)+N("CNAPP equals the annual interest on unsubs minus the the percentage of the annual IBR payment that would be put towards unsubs")</f>
        <v>4144.25</v>
      </c>
      <c r="G66" s="121">
        <f>IF(
F66=-$C$10+N("IF the principal payment from the previous year equals the original loan balance then"),
0+N("The CAN/PP euals zero, because you have paid of the loan")+N("if CAN/PP does not equal the original loan balance, then..."),
IF(
$C$11=0+N("If the interest rate is zero, then"),
(-(G69*12))+F66+N("CNAPP equals the last year's CNAPP minus whatever the annual IBR payment was")+N("If the interest rate is not zero, then..."),
IF(
G65=0+N("If the annual interest paid equals zero, then..."),
0+N("CNAPP equals zero")+N("If the annual interest rate does not equal zero, then..."),
(($C$26*$C$11)-((G69*12)*$C$32))+F66+N("CNAPP equals the previous CNAPP plus the annual interest on unsubs minus the the percentage of the annual IBR payment that would be put towards unsubs"))))</f>
        <v>8105.555049999999</v>
      </c>
      <c r="H66" s="121">
        <f>IF(
G66=-$C$10+N("IF the principal payment from the previous year equals the original loan balance then"),
0+N("The CAN/PP euals zero, because you have paid of the loan")+N("if CAN/PP does not equal the original loan balance, then..."),
IF(
$C$11=0+N("If the interest rate is zero, then"),
(-(H69*12))+G66+N("CNAPP equals the last year's CNAPP minus whatever the annual IBR payment was")+N("If the interest rate is not zero, then..."),
IF(
H65=0+N("If the annual interest paid equals zero, then..."),
0+N("CNAPP equals zero")+N("If the annual interest rate does not equal zero, then..."),
(($C$26*$C$11)-((H69*12)*$C$32))+G66+N("CNAPP equals the previous CNAPP plus the annual interest on unsubs minus the the percentage of the annual IBR payment that would be put towards unsubs"))))</f>
        <v>11878.220731754998</v>
      </c>
      <c r="I66" s="121">
        <f>IF(
H66=-$C10+N("IF the principal payment from the previous year equals the original loan balance then"),
0+N("The CAN/PP euals zero, because you have paid of the loan")+N("if CAN/PP does not equal the original loan balance, then..."),
IF(
$C11=0+N("If the interest rate is zero, then"),
(-(I69*12))+H66+N("CNAPP equals the last year's CNAPP minus whatever the annual IBR payment was")+N("If the interest rate is not zero, then..."),
IF(
I65=0+N("If the annual interest paid equals zero, then..."),
0+N("CNAPP equals zero")+N("If the annual interest rate does not equal zero, then..."),
I65-(I69*12)+H66+N("CNAPP equals the previous CNAPP plus the annual interest minus the annual IBR payment"))))</f>
        <v>15456.376622122047</v>
      </c>
      <c r="J66" s="121">
        <f t="shared" ref="J66:AD66" si="44">IF(
I66=-$C10+N("IF the principal payment from the previous year equals the original loan balance then"),
0+N("The CAN/PP euals zero, because you have paid of the loan")+N("if CAN/PP does not equal the original loan balance, then..."),
IF(
$C11=0+N("If the interest rate is zero, then"),
(-(J69*12))+I66+N("CNAPP equals the last year's CNAPP minus whatever the annual IBR payment was")+N("If the interest rate is not zero, then..."),
IF(
J65=0+N("If the annual interest paid equals zero, then..."),
0+N("CNAPP equals zero")+N("If the annual interest rate does not equal zero, then..."),
J65-(J69*12)+I66+N("CNAPP equals the previous CNAPP plus the annual interest minus the annual IBR payment"))))</f>
        <v>18833.970883087306</v>
      </c>
      <c r="K66" s="121">
        <f t="shared" si="44"/>
        <v>22004.764686235292</v>
      </c>
      <c r="L66" s="121">
        <f t="shared" si="44"/>
        <v>24962.326466611772</v>
      </c>
      <c r="M66" s="121">
        <f t="shared" si="44"/>
        <v>21924.079991464787</v>
      </c>
      <c r="N66" s="121">
        <f t="shared" si="44"/>
        <v>18485.857904791606</v>
      </c>
      <c r="O66" s="121">
        <f t="shared" si="44"/>
        <v>14635.415818742935</v>
      </c>
      <c r="P66" s="121">
        <f t="shared" si="44"/>
        <v>10360.135861334438</v>
      </c>
      <c r="Q66" s="121">
        <f t="shared" si="44"/>
        <v>5647.0153174949846</v>
      </c>
      <c r="R66" s="121">
        <f t="shared" si="44"/>
        <v>482.6549254701622</v>
      </c>
      <c r="S66" s="121">
        <f t="shared" si="44"/>
        <v>-5146.7531818555344</v>
      </c>
      <c r="T66" s="121">
        <f t="shared" si="44"/>
        <v>-11179.602416211848</v>
      </c>
      <c r="U66" s="121">
        <f t="shared" si="44"/>
        <v>-18121.149376001209</v>
      </c>
      <c r="V66" s="121">
        <f t="shared" si="44"/>
        <v>-26048.976779168734</v>
      </c>
      <c r="W66" s="121">
        <f t="shared" si="44"/>
        <v>-35046.461766382439</v>
      </c>
      <c r="X66" s="121">
        <f t="shared" si="44"/>
        <v>-45203.188269612809</v>
      </c>
      <c r="Y66" s="121">
        <f t="shared" si="44"/>
        <v>-56615.388155723398</v>
      </c>
      <c r="Z66" s="121">
        <f t="shared" si="44"/>
        <v>-50109.271324918671</v>
      </c>
      <c r="AA66" s="121">
        <f t="shared" si="44"/>
        <v>-43155.85896199612</v>
      </c>
      <c r="AB66" s="121">
        <f t="shared" si="44"/>
        <v>-35724.399499122643</v>
      </c>
      <c r="AC66" s="121">
        <f t="shared" si="44"/>
        <v>-27782.027198176613</v>
      </c>
      <c r="AD66" s="121">
        <f t="shared" si="44"/>
        <v>-19293.616801540542</v>
      </c>
      <c r="AE66" s="52"/>
      <c r="AF66" s="87"/>
      <c r="AG66" s="87"/>
      <c r="AH66" s="87"/>
      <c r="AI66" s="87"/>
      <c r="AJ66" s="87"/>
      <c r="AK66" s="87"/>
      <c r="AL66" s="87"/>
      <c r="AM66" s="87"/>
      <c r="AN66" s="87"/>
      <c r="AO66" s="87"/>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c r="HG66" s="12"/>
      <c r="HH66" s="12"/>
      <c r="HI66" s="12"/>
      <c r="HJ66" s="12"/>
      <c r="HK66" s="12"/>
      <c r="HL66" s="12"/>
      <c r="HM66" s="12"/>
      <c r="HN66" s="12"/>
      <c r="HO66" s="12"/>
      <c r="HP66" s="12"/>
      <c r="HQ66" s="12"/>
      <c r="HR66" s="12"/>
      <c r="HS66" s="12"/>
      <c r="HT66" s="12"/>
      <c r="HU66" s="12"/>
      <c r="HV66" s="12"/>
      <c r="HW66" s="12"/>
      <c r="HX66" s="12"/>
      <c r="HY66" s="12"/>
      <c r="HZ66" s="12"/>
      <c r="IA66" s="12"/>
      <c r="IB66" s="12"/>
      <c r="IC66" s="12"/>
      <c r="ID66" s="12"/>
      <c r="IE66" s="12"/>
      <c r="IF66" s="12"/>
      <c r="IG66" s="12"/>
      <c r="IH66" s="12"/>
      <c r="II66" s="12"/>
      <c r="IJ66" s="12"/>
      <c r="IK66" s="12"/>
      <c r="IL66" s="12"/>
      <c r="IM66" s="12"/>
      <c r="IN66" s="12"/>
      <c r="IO66" s="12"/>
      <c r="IP66" s="12"/>
      <c r="IQ66" s="12"/>
      <c r="IR66" s="12"/>
      <c r="IS66" s="12"/>
      <c r="IT66" s="12"/>
      <c r="IU66" s="12"/>
      <c r="IV66" s="12"/>
      <c r="IW66" s="12"/>
      <c r="IX66" s="12"/>
      <c r="IY66" s="12"/>
      <c r="IZ66" s="12"/>
      <c r="JA66" s="12"/>
      <c r="JB66" s="12"/>
      <c r="JC66" s="12"/>
      <c r="JD66" s="12"/>
      <c r="JE66" s="12"/>
      <c r="JF66" s="12"/>
      <c r="JG66" s="12"/>
      <c r="JH66" s="12"/>
      <c r="JI66" s="12"/>
      <c r="JJ66" s="12"/>
      <c r="JK66" s="12"/>
      <c r="JL66" s="12"/>
      <c r="JM66" s="12"/>
      <c r="JN66" s="12"/>
      <c r="JO66" s="12"/>
      <c r="JP66" s="12"/>
      <c r="JQ66" s="12"/>
      <c r="JR66" s="12"/>
      <c r="JS66" s="12"/>
      <c r="JT66" s="12"/>
      <c r="JU66" s="12"/>
      <c r="JV66" s="12"/>
      <c r="JW66" s="12"/>
      <c r="JX66" s="12"/>
      <c r="JY66" s="12"/>
      <c r="JZ66" s="12"/>
      <c r="KA66" s="12"/>
      <c r="KB66" s="12"/>
      <c r="KC66" s="12"/>
      <c r="KD66" s="12"/>
      <c r="KE66" s="12"/>
      <c r="KF66" s="12"/>
      <c r="KG66" s="12"/>
      <c r="KH66" s="12"/>
      <c r="KI66" s="12"/>
      <c r="KJ66" s="12"/>
      <c r="KK66" s="12"/>
      <c r="KL66" s="12"/>
      <c r="KM66" s="12"/>
      <c r="KN66" s="12"/>
      <c r="KO66" s="12"/>
      <c r="KP66" s="12"/>
      <c r="KQ66" s="12"/>
      <c r="KR66" s="12"/>
      <c r="KS66" s="12"/>
      <c r="KT66" s="12"/>
      <c r="KU66" s="12"/>
      <c r="KV66" s="12"/>
      <c r="KW66" s="12"/>
      <c r="KX66" s="12"/>
      <c r="KY66" s="12"/>
      <c r="KZ66" s="12"/>
      <c r="LA66" s="12"/>
      <c r="LB66" s="12"/>
      <c r="LC66" s="12"/>
      <c r="LD66" s="12"/>
      <c r="LE66" s="12"/>
      <c r="LF66" s="12"/>
      <c r="LG66" s="12"/>
      <c r="LH66" s="12"/>
      <c r="LI66" s="12"/>
      <c r="LJ66" s="12"/>
      <c r="LK66" s="12"/>
      <c r="LL66" s="12"/>
      <c r="LM66" s="12"/>
      <c r="LN66" s="12"/>
      <c r="LO66" s="12"/>
      <c r="LP66" s="12"/>
      <c r="LQ66" s="12"/>
      <c r="LR66" s="12"/>
      <c r="LS66" s="12"/>
      <c r="LT66" s="12"/>
      <c r="LU66" s="12"/>
      <c r="LV66" s="12"/>
      <c r="LW66" s="12"/>
      <c r="LX66" s="12"/>
      <c r="LY66" s="12"/>
      <c r="LZ66" s="12"/>
      <c r="MA66" s="12"/>
      <c r="MB66" s="12"/>
      <c r="MC66" s="12"/>
      <c r="MD66" s="12"/>
      <c r="ME66" s="12"/>
      <c r="MF66" s="12"/>
      <c r="MG66" s="12"/>
      <c r="MH66" s="12"/>
      <c r="MI66" s="12"/>
      <c r="MJ66" s="12"/>
      <c r="MK66" s="12"/>
      <c r="ML66" s="12"/>
      <c r="MM66" s="12"/>
      <c r="MN66" s="12"/>
      <c r="MO66" s="12"/>
      <c r="MP66" s="12"/>
      <c r="MQ66" s="12"/>
      <c r="MR66" s="12"/>
      <c r="MS66" s="12"/>
      <c r="MT66" s="12"/>
      <c r="MU66" s="12"/>
      <c r="MV66" s="12"/>
      <c r="MW66" s="12"/>
      <c r="MX66" s="12"/>
      <c r="MY66" s="12"/>
      <c r="MZ66" s="12"/>
      <c r="NA66" s="12"/>
      <c r="NB66" s="12"/>
      <c r="NC66" s="12"/>
      <c r="ND66" s="12"/>
      <c r="NE66" s="12"/>
      <c r="NF66" s="12"/>
      <c r="NG66" s="12"/>
      <c r="NH66" s="12"/>
      <c r="NI66" s="12"/>
      <c r="NJ66" s="12"/>
      <c r="NK66" s="12"/>
      <c r="NL66" s="12"/>
      <c r="NM66" s="12"/>
      <c r="NN66" s="12"/>
      <c r="NO66" s="12"/>
      <c r="NP66" s="12"/>
      <c r="NQ66" s="12"/>
      <c r="NR66" s="12"/>
      <c r="NS66" s="12"/>
      <c r="NT66" s="12"/>
      <c r="NU66" s="12"/>
      <c r="NV66" s="12"/>
      <c r="NW66" s="12"/>
      <c r="NX66" s="12"/>
      <c r="NY66" s="12"/>
      <c r="NZ66" s="12"/>
      <c r="OA66" s="12"/>
      <c r="OB66" s="12"/>
      <c r="OC66" s="12"/>
      <c r="OD66" s="12"/>
      <c r="OE66" s="12"/>
      <c r="OF66" s="12"/>
      <c r="OG66" s="12"/>
      <c r="OH66" s="12"/>
      <c r="OI66" s="12"/>
      <c r="OJ66" s="12"/>
      <c r="OK66" s="12"/>
      <c r="OL66" s="12"/>
      <c r="OM66" s="12"/>
      <c r="ON66" s="12"/>
      <c r="OO66" s="12"/>
      <c r="OP66" s="12"/>
      <c r="OQ66" s="12"/>
      <c r="OR66" s="12"/>
      <c r="OS66" s="12"/>
      <c r="OT66" s="12"/>
      <c r="OU66" s="12"/>
      <c r="OV66" s="12"/>
      <c r="OW66" s="12"/>
      <c r="OX66" s="12"/>
      <c r="OY66" s="12"/>
      <c r="OZ66" s="12"/>
      <c r="PA66" s="12"/>
      <c r="PB66" s="12"/>
      <c r="PC66" s="12"/>
      <c r="PD66" s="12"/>
      <c r="PE66" s="12"/>
      <c r="PF66" s="12"/>
      <c r="PG66" s="12"/>
      <c r="PH66" s="12"/>
      <c r="PI66" s="12"/>
      <c r="PJ66" s="12"/>
      <c r="PK66" s="12"/>
      <c r="PL66" s="12"/>
      <c r="PM66" s="12"/>
      <c r="PN66" s="12"/>
      <c r="PO66" s="12"/>
      <c r="PP66" s="12"/>
      <c r="PQ66" s="12"/>
      <c r="PR66" s="12"/>
      <c r="PS66" s="12"/>
      <c r="PT66" s="12"/>
      <c r="PU66" s="12"/>
      <c r="PV66" s="12"/>
      <c r="PW66" s="12"/>
      <c r="PX66" s="12"/>
      <c r="PY66" s="12"/>
      <c r="PZ66" s="12"/>
      <c r="QA66" s="12"/>
      <c r="QB66" s="12"/>
      <c r="QC66" s="12"/>
      <c r="QD66" s="12"/>
      <c r="QE66" s="12"/>
      <c r="QF66" s="12"/>
      <c r="QG66" s="12"/>
      <c r="QH66" s="12"/>
      <c r="QI66" s="12"/>
      <c r="QJ66" s="12"/>
      <c r="QK66" s="12"/>
      <c r="QL66" s="12"/>
      <c r="QM66" s="12"/>
      <c r="QN66" s="12"/>
      <c r="QO66" s="12"/>
      <c r="QP66" s="12"/>
      <c r="QQ66" s="12"/>
      <c r="QR66" s="12"/>
      <c r="QS66" s="12"/>
      <c r="QT66" s="12"/>
      <c r="QU66" s="12"/>
      <c r="QV66" s="12"/>
      <c r="QW66" s="12"/>
      <c r="QX66" s="12"/>
      <c r="QY66" s="12"/>
      <c r="QZ66" s="12"/>
      <c r="RA66" s="12"/>
      <c r="RB66" s="12"/>
      <c r="RC66" s="12"/>
      <c r="RD66" s="12"/>
      <c r="RE66" s="12"/>
      <c r="RF66" s="12"/>
      <c r="RG66" s="12"/>
      <c r="RH66" s="12"/>
      <c r="RI66" s="12"/>
      <c r="RJ66" s="12"/>
      <c r="RK66" s="12"/>
      <c r="RL66" s="12"/>
      <c r="RM66" s="12"/>
      <c r="RN66" s="12"/>
      <c r="RO66" s="12"/>
      <c r="RP66" s="12"/>
      <c r="RQ66" s="12"/>
      <c r="RR66" s="12"/>
      <c r="RS66" s="12"/>
      <c r="RT66" s="12"/>
      <c r="RU66" s="12"/>
      <c r="RV66" s="12"/>
      <c r="RW66" s="12"/>
      <c r="RX66" s="12"/>
      <c r="RY66" s="12"/>
      <c r="RZ66" s="12"/>
      <c r="SA66" s="12"/>
      <c r="SB66" s="12"/>
      <c r="SC66" s="12"/>
      <c r="SD66" s="12"/>
    </row>
    <row r="67" spans="1:498" s="10" customFormat="1" hidden="1">
      <c r="A67" s="87"/>
      <c r="B67" s="88"/>
      <c r="C67" s="90"/>
      <c r="D67" s="119"/>
      <c r="E67" s="119"/>
      <c r="F67" s="121">
        <f>$C$10+F66</f>
        <v>149144.25</v>
      </c>
      <c r="G67" s="121">
        <f>IF(
OR(
F67&lt;=0+N("If either the loan balance from the preceding year is less than or equal to zero OR"),
AND(
$C11=0+N("if the interest rate is zero AND"),
(F67-(F69*12))&lt;0+N("The loan balance is less than the annual IBR payment then"))),
0+N("the loan balance equals zero, if these conditions were not satisfied then"),
IF(
($C10+G66)&lt;0+N("If the principal payment is greaterthan the original loan balance then"),
0+N("the loan balance is zero")+N("If not, then"),
IF(
(G96*$C$15)/12&gt;=$C$84+N("If the IBR payment is greater than or equal to the standard payment then"),
(F67*(1+$C$11))-(G69*12)+N("the previous loan balance plus interest minus the annual IBR payment is the new loan balance")+N("If the condition is false then"),
($C10+G66)+N("the new loan balance is the original minus the principal or plus the negative amortization (the plus sign is in the formula because negative amortization is postitive and principal payment is negative in the spreadsheet"))))</f>
        <v>153105.55505</v>
      </c>
      <c r="H67" s="121">
        <f>IF(
OR(
G67&lt;=0+N("If either the loan balance from the preceding year is less than or equal to zero OR"),
AND(
$C11=0+N("if the interest rate is zero AND"),
(G67-(G69*12))&lt;0+N("The loan balance is less than the annual IBR payment then"))),
0+N("the loan balance equals zero, if these conditions were not satisfied then"),
IF(
($C10+H66)&lt;0+N("If the principal payment is greaterthan the original loan balance then"),
0+N("the loan balance is zero")+N("If not, then"),
IF(
(H96*$C$15)/12&gt;=$C$84+N("If the IBR payment is greater than or equal to the standard payment then"),
(G67*(1+$C$11))-(H69*12)+N("the previous loan balance plus interest minus the annual IBR payment is the new loan balance")+N("If the condition is false then"),
($C10+H66)+N("the new loan balance is the original minus the principal or plus the negative amortization (the plus sign is in the formula because negative amortization is postitive and principal payment is negative in the spreadsheet"))))</f>
        <v>156878.22073175499</v>
      </c>
      <c r="I67" s="121">
        <f t="shared" ref="I67:AD67" si="45">IF(
OR(
H67&lt;=0+N("If either the loan balance from the preceding year is less than or equal to zero OR"),
AND(
$C11=0+N("if the interest rate is zero AND"),
(H67-(H69*12))&lt;0+N("The loan balance is less than the annual IBR payment then"))),
0+N("the loan balance equals zero, if these conditions were not satisfied then"),
IF(
($C10+I66)&lt;0+N("If the principal payment is greaterthan the original loan balance then"),
0+N("the loan balance is zero")+N("If not, then"),
IF(
(I96*$C$15)/12&gt;=$C$84+N("If the IBR payment is greater than or equal to the standard payment then"),
(H67*(1+$C$11))-(I69*12)+N("the previous loan balance plus interest minus the annual IBR payment is the new loan balance")+N("If the condition is false then"),
($C10+I66)+N("the new loan balance is the original minus the principal or plus the negative amortization (the plus sign is in the formula because negative amortization is postitive and principal payment is negative in the spreadsheet"))))</f>
        <v>160456.37662212204</v>
      </c>
      <c r="J67" s="121">
        <f t="shared" si="45"/>
        <v>163833.97088308731</v>
      </c>
      <c r="K67" s="121">
        <f t="shared" si="45"/>
        <v>167004.76468623528</v>
      </c>
      <c r="L67" s="121">
        <f t="shared" si="45"/>
        <v>169962.32646661176</v>
      </c>
      <c r="M67" s="121">
        <f t="shared" si="45"/>
        <v>166924.07999146479</v>
      </c>
      <c r="N67" s="121">
        <f t="shared" si="45"/>
        <v>164993.13840420486</v>
      </c>
      <c r="O67" s="121">
        <f t="shared" si="45"/>
        <v>162517.22458344529</v>
      </c>
      <c r="P67" s="121">
        <f t="shared" si="45"/>
        <v>159446.25381614867</v>
      </c>
      <c r="Q67" s="121">
        <f t="shared" si="45"/>
        <v>155726.31322216947</v>
      </c>
      <c r="R67" s="121">
        <f t="shared" si="45"/>
        <v>151299.3868641688</v>
      </c>
      <c r="S67" s="121">
        <f t="shared" si="45"/>
        <v>146103.06160375473</v>
      </c>
      <c r="T67" s="121">
        <f t="shared" si="45"/>
        <v>140070.21236939842</v>
      </c>
      <c r="U67" s="121">
        <f t="shared" si="45"/>
        <v>133128.66540960906</v>
      </c>
      <c r="V67" s="121">
        <f t="shared" si="45"/>
        <v>125200.83800644155</v>
      </c>
      <c r="W67" s="121">
        <f t="shared" si="45"/>
        <v>116203.35301922786</v>
      </c>
      <c r="X67" s="121">
        <f t="shared" si="45"/>
        <v>106046.6265159975</v>
      </c>
      <c r="Y67" s="121">
        <f t="shared" si="45"/>
        <v>94634.426629886919</v>
      </c>
      <c r="Z67" s="121">
        <f t="shared" si="45"/>
        <v>101140.54346069165</v>
      </c>
      <c r="AA67" s="121">
        <f t="shared" si="45"/>
        <v>108093.95582361422</v>
      </c>
      <c r="AB67" s="121">
        <f t="shared" si="45"/>
        <v>115525.41528648771</v>
      </c>
      <c r="AC67" s="121">
        <f t="shared" si="45"/>
        <v>123467.78758743375</v>
      </c>
      <c r="AD67" s="121">
        <f t="shared" si="45"/>
        <v>131956.19798406982</v>
      </c>
      <c r="AE67" s="52"/>
      <c r="AF67" s="87"/>
      <c r="AG67" s="87"/>
      <c r="AH67" s="87"/>
      <c r="AI67" s="87"/>
      <c r="AJ67" s="87"/>
      <c r="AK67" s="87"/>
      <c r="AL67" s="87"/>
      <c r="AM67" s="87"/>
      <c r="AN67" s="87"/>
      <c r="AO67" s="87"/>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c r="HK67" s="12"/>
      <c r="HL67" s="12"/>
      <c r="HM67" s="12"/>
      <c r="HN67" s="12"/>
      <c r="HO67" s="12"/>
      <c r="HP67" s="12"/>
      <c r="HQ67" s="12"/>
      <c r="HR67" s="12"/>
      <c r="HS67" s="12"/>
      <c r="HT67" s="12"/>
      <c r="HU67" s="12"/>
      <c r="HV67" s="12"/>
      <c r="HW67" s="12"/>
      <c r="HX67" s="12"/>
      <c r="HY67" s="12"/>
      <c r="HZ67" s="12"/>
      <c r="IA67" s="12"/>
      <c r="IB67" s="12"/>
      <c r="IC67" s="12"/>
      <c r="ID67" s="12"/>
      <c r="IE67" s="12"/>
      <c r="IF67" s="12"/>
      <c r="IG67" s="12"/>
      <c r="IH67" s="12"/>
      <c r="II67" s="12"/>
      <c r="IJ67" s="12"/>
      <c r="IK67" s="12"/>
      <c r="IL67" s="12"/>
      <c r="IM67" s="12"/>
      <c r="IN67" s="12"/>
      <c r="IO67" s="12"/>
      <c r="IP67" s="12"/>
      <c r="IQ67" s="12"/>
      <c r="IR67" s="12"/>
      <c r="IS67" s="12"/>
      <c r="IT67" s="12"/>
      <c r="IU67" s="12"/>
      <c r="IV67" s="12"/>
      <c r="IW67" s="12"/>
      <c r="IX67" s="12"/>
      <c r="IY67" s="12"/>
      <c r="IZ67" s="12"/>
      <c r="JA67" s="12"/>
      <c r="JB67" s="12"/>
      <c r="JC67" s="12"/>
      <c r="JD67" s="12"/>
      <c r="JE67" s="12"/>
      <c r="JF67" s="12"/>
      <c r="JG67" s="12"/>
      <c r="JH67" s="12"/>
      <c r="JI67" s="12"/>
      <c r="JJ67" s="12"/>
      <c r="JK67" s="12"/>
      <c r="JL67" s="12"/>
      <c r="JM67" s="12"/>
      <c r="JN67" s="12"/>
      <c r="JO67" s="12"/>
      <c r="JP67" s="12"/>
      <c r="JQ67" s="12"/>
      <c r="JR67" s="12"/>
      <c r="JS67" s="12"/>
      <c r="JT67" s="12"/>
      <c r="JU67" s="12"/>
      <c r="JV67" s="12"/>
      <c r="JW67" s="12"/>
      <c r="JX67" s="12"/>
      <c r="JY67" s="12"/>
      <c r="JZ67" s="12"/>
      <c r="KA67" s="12"/>
      <c r="KB67" s="12"/>
      <c r="KC67" s="12"/>
      <c r="KD67" s="12"/>
      <c r="KE67" s="12"/>
      <c r="KF67" s="12"/>
      <c r="KG67" s="12"/>
      <c r="KH67" s="12"/>
      <c r="KI67" s="12"/>
      <c r="KJ67" s="12"/>
      <c r="KK67" s="12"/>
      <c r="KL67" s="12"/>
      <c r="KM67" s="12"/>
      <c r="KN67" s="12"/>
      <c r="KO67" s="12"/>
      <c r="KP67" s="12"/>
      <c r="KQ67" s="12"/>
      <c r="KR67" s="12"/>
      <c r="KS67" s="12"/>
      <c r="KT67" s="12"/>
      <c r="KU67" s="12"/>
      <c r="KV67" s="12"/>
      <c r="KW67" s="12"/>
      <c r="KX67" s="12"/>
      <c r="KY67" s="12"/>
      <c r="KZ67" s="12"/>
      <c r="LA67" s="12"/>
      <c r="LB67" s="12"/>
      <c r="LC67" s="12"/>
      <c r="LD67" s="12"/>
      <c r="LE67" s="12"/>
      <c r="LF67" s="12"/>
      <c r="LG67" s="12"/>
      <c r="LH67" s="12"/>
      <c r="LI67" s="12"/>
      <c r="LJ67" s="12"/>
      <c r="LK67" s="12"/>
      <c r="LL67" s="12"/>
      <c r="LM67" s="12"/>
      <c r="LN67" s="12"/>
      <c r="LO67" s="12"/>
      <c r="LP67" s="12"/>
      <c r="LQ67" s="12"/>
      <c r="LR67" s="12"/>
      <c r="LS67" s="12"/>
      <c r="LT67" s="12"/>
      <c r="LU67" s="12"/>
      <c r="LV67" s="12"/>
      <c r="LW67" s="12"/>
      <c r="LX67" s="12"/>
      <c r="LY67" s="12"/>
      <c r="LZ67" s="12"/>
      <c r="MA67" s="12"/>
      <c r="MB67" s="12"/>
      <c r="MC67" s="12"/>
      <c r="MD67" s="12"/>
      <c r="ME67" s="12"/>
      <c r="MF67" s="12"/>
      <c r="MG67" s="12"/>
      <c r="MH67" s="12"/>
      <c r="MI67" s="12"/>
      <c r="MJ67" s="12"/>
      <c r="MK67" s="12"/>
      <c r="ML67" s="12"/>
      <c r="MM67" s="12"/>
      <c r="MN67" s="12"/>
      <c r="MO67" s="12"/>
      <c r="MP67" s="12"/>
      <c r="MQ67" s="12"/>
      <c r="MR67" s="12"/>
      <c r="MS67" s="12"/>
      <c r="MT67" s="12"/>
      <c r="MU67" s="12"/>
      <c r="MV67" s="12"/>
      <c r="MW67" s="12"/>
      <c r="MX67" s="12"/>
      <c r="MY67" s="12"/>
      <c r="MZ67" s="12"/>
      <c r="NA67" s="12"/>
      <c r="NB67" s="12"/>
      <c r="NC67" s="12"/>
      <c r="ND67" s="12"/>
      <c r="NE67" s="12"/>
      <c r="NF67" s="12"/>
      <c r="NG67" s="12"/>
      <c r="NH67" s="12"/>
      <c r="NI67" s="12"/>
      <c r="NJ67" s="12"/>
      <c r="NK67" s="12"/>
      <c r="NL67" s="12"/>
      <c r="NM67" s="12"/>
      <c r="NN67" s="12"/>
      <c r="NO67" s="12"/>
      <c r="NP67" s="12"/>
      <c r="NQ67" s="12"/>
      <c r="NR67" s="12"/>
      <c r="NS67" s="12"/>
      <c r="NT67" s="12"/>
      <c r="NU67" s="12"/>
      <c r="NV67" s="12"/>
      <c r="NW67" s="12"/>
      <c r="NX67" s="12"/>
      <c r="NY67" s="12"/>
      <c r="NZ67" s="12"/>
      <c r="OA67" s="12"/>
      <c r="OB67" s="12"/>
      <c r="OC67" s="12"/>
      <c r="OD67" s="12"/>
      <c r="OE67" s="12"/>
      <c r="OF67" s="12"/>
      <c r="OG67" s="12"/>
      <c r="OH67" s="12"/>
      <c r="OI67" s="12"/>
      <c r="OJ67" s="12"/>
      <c r="OK67" s="12"/>
      <c r="OL67" s="12"/>
      <c r="OM67" s="12"/>
      <c r="ON67" s="12"/>
      <c r="OO67" s="12"/>
      <c r="OP67" s="12"/>
      <c r="OQ67" s="12"/>
      <c r="OR67" s="12"/>
      <c r="OS67" s="12"/>
      <c r="OT67" s="12"/>
      <c r="OU67" s="12"/>
      <c r="OV67" s="12"/>
      <c r="OW67" s="12"/>
      <c r="OX67" s="12"/>
      <c r="OY67" s="12"/>
      <c r="OZ67" s="12"/>
      <c r="PA67" s="12"/>
      <c r="PB67" s="12"/>
      <c r="PC67" s="12"/>
      <c r="PD67" s="12"/>
      <c r="PE67" s="12"/>
      <c r="PF67" s="12"/>
      <c r="PG67" s="12"/>
      <c r="PH67" s="12"/>
      <c r="PI67" s="12"/>
      <c r="PJ67" s="12"/>
      <c r="PK67" s="12"/>
      <c r="PL67" s="12"/>
      <c r="PM67" s="12"/>
      <c r="PN67" s="12"/>
      <c r="PO67" s="12"/>
      <c r="PP67" s="12"/>
      <c r="PQ67" s="12"/>
      <c r="PR67" s="12"/>
      <c r="PS67" s="12"/>
      <c r="PT67" s="12"/>
      <c r="PU67" s="12"/>
      <c r="PV67" s="12"/>
      <c r="PW67" s="12"/>
      <c r="PX67" s="12"/>
      <c r="PY67" s="12"/>
      <c r="PZ67" s="12"/>
      <c r="QA67" s="12"/>
      <c r="QB67" s="12"/>
      <c r="QC67" s="12"/>
      <c r="QD67" s="12"/>
      <c r="QE67" s="12"/>
      <c r="QF67" s="12"/>
      <c r="QG67" s="12"/>
      <c r="QH67" s="12"/>
      <c r="QI67" s="12"/>
      <c r="QJ67" s="12"/>
      <c r="QK67" s="12"/>
      <c r="QL67" s="12"/>
      <c r="QM67" s="12"/>
      <c r="QN67" s="12"/>
      <c r="QO67" s="12"/>
      <c r="QP67" s="12"/>
      <c r="QQ67" s="12"/>
      <c r="QR67" s="12"/>
      <c r="QS67" s="12"/>
      <c r="QT67" s="12"/>
      <c r="QU67" s="12"/>
      <c r="QV67" s="12"/>
      <c r="QW67" s="12"/>
      <c r="QX67" s="12"/>
      <c r="QY67" s="12"/>
      <c r="QZ67" s="12"/>
      <c r="RA67" s="12"/>
      <c r="RB67" s="12"/>
      <c r="RC67" s="12"/>
      <c r="RD67" s="12"/>
      <c r="RE67" s="12"/>
      <c r="RF67" s="12"/>
      <c r="RG67" s="12"/>
      <c r="RH67" s="12"/>
      <c r="RI67" s="12"/>
      <c r="RJ67" s="12"/>
      <c r="RK67" s="12"/>
      <c r="RL67" s="12"/>
      <c r="RM67" s="12"/>
      <c r="RN67" s="12"/>
      <c r="RO67" s="12"/>
      <c r="RP67" s="12"/>
      <c r="RQ67" s="12"/>
      <c r="RR67" s="12"/>
      <c r="RS67" s="12"/>
      <c r="RT67" s="12"/>
      <c r="RU67" s="12"/>
      <c r="RV67" s="12"/>
      <c r="RW67" s="12"/>
      <c r="RX67" s="12"/>
      <c r="RY67" s="12"/>
      <c r="RZ67" s="12"/>
      <c r="SA67" s="12"/>
      <c r="SB67" s="12"/>
      <c r="SC67" s="12"/>
      <c r="SD67" s="12"/>
    </row>
    <row r="68" spans="1:498" s="10" customFormat="1" hidden="1">
      <c r="A68" s="87"/>
      <c r="B68" s="88"/>
      <c r="C68" s="90"/>
      <c r="D68" s="119"/>
      <c r="E68" s="119"/>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52"/>
      <c r="AF68" s="87"/>
      <c r="AG68" s="87"/>
      <c r="AH68" s="87"/>
      <c r="AI68" s="87"/>
      <c r="AJ68" s="87"/>
      <c r="AK68" s="87"/>
      <c r="AL68" s="87"/>
      <c r="AM68" s="87"/>
      <c r="AN68" s="87"/>
      <c r="AO68" s="87"/>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c r="HG68" s="12"/>
      <c r="HH68" s="12"/>
      <c r="HI68" s="12"/>
      <c r="HJ68" s="12"/>
      <c r="HK68" s="12"/>
      <c r="HL68" s="12"/>
      <c r="HM68" s="12"/>
      <c r="HN68" s="12"/>
      <c r="HO68" s="12"/>
      <c r="HP68" s="12"/>
      <c r="HQ68" s="12"/>
      <c r="HR68" s="12"/>
      <c r="HS68" s="12"/>
      <c r="HT68" s="12"/>
      <c r="HU68" s="12"/>
      <c r="HV68" s="12"/>
      <c r="HW68" s="12"/>
      <c r="HX68" s="12"/>
      <c r="HY68" s="12"/>
      <c r="HZ68" s="12"/>
      <c r="IA68" s="12"/>
      <c r="IB68" s="12"/>
      <c r="IC68" s="12"/>
      <c r="ID68" s="12"/>
      <c r="IE68" s="12"/>
      <c r="IF68" s="12"/>
      <c r="IG68" s="12"/>
      <c r="IH68" s="12"/>
      <c r="II68" s="12"/>
      <c r="IJ68" s="12"/>
      <c r="IK68" s="12"/>
      <c r="IL68" s="12"/>
      <c r="IM68" s="12"/>
      <c r="IN68" s="12"/>
      <c r="IO68" s="12"/>
      <c r="IP68" s="12"/>
      <c r="IQ68" s="12"/>
      <c r="IR68" s="12"/>
      <c r="IS68" s="12"/>
      <c r="IT68" s="12"/>
      <c r="IU68" s="12"/>
      <c r="IV68" s="12"/>
      <c r="IW68" s="12"/>
      <c r="IX68" s="12"/>
      <c r="IY68" s="12"/>
      <c r="IZ68" s="12"/>
      <c r="JA68" s="12"/>
      <c r="JB68" s="12"/>
      <c r="JC68" s="12"/>
      <c r="JD68" s="12"/>
      <c r="JE68" s="12"/>
      <c r="JF68" s="12"/>
      <c r="JG68" s="12"/>
      <c r="JH68" s="12"/>
      <c r="JI68" s="12"/>
      <c r="JJ68" s="12"/>
      <c r="JK68" s="12"/>
      <c r="JL68" s="12"/>
      <c r="JM68" s="12"/>
      <c r="JN68" s="12"/>
      <c r="JO68" s="12"/>
      <c r="JP68" s="12"/>
      <c r="JQ68" s="12"/>
      <c r="JR68" s="12"/>
      <c r="JS68" s="12"/>
      <c r="JT68" s="12"/>
      <c r="JU68" s="12"/>
      <c r="JV68" s="12"/>
      <c r="JW68" s="12"/>
      <c r="JX68" s="12"/>
      <c r="JY68" s="12"/>
      <c r="JZ68" s="12"/>
      <c r="KA68" s="12"/>
      <c r="KB68" s="12"/>
      <c r="KC68" s="12"/>
      <c r="KD68" s="12"/>
      <c r="KE68" s="12"/>
      <c r="KF68" s="12"/>
      <c r="KG68" s="12"/>
      <c r="KH68" s="12"/>
      <c r="KI68" s="12"/>
      <c r="KJ68" s="12"/>
      <c r="KK68" s="12"/>
      <c r="KL68" s="12"/>
      <c r="KM68" s="12"/>
      <c r="KN68" s="12"/>
      <c r="KO68" s="12"/>
      <c r="KP68" s="12"/>
      <c r="KQ68" s="12"/>
      <c r="KR68" s="12"/>
      <c r="KS68" s="12"/>
      <c r="KT68" s="12"/>
      <c r="KU68" s="12"/>
      <c r="KV68" s="12"/>
      <c r="KW68" s="12"/>
      <c r="KX68" s="12"/>
      <c r="KY68" s="12"/>
      <c r="KZ68" s="12"/>
      <c r="LA68" s="12"/>
      <c r="LB68" s="12"/>
      <c r="LC68" s="12"/>
      <c r="LD68" s="12"/>
      <c r="LE68" s="12"/>
      <c r="LF68" s="12"/>
      <c r="LG68" s="12"/>
      <c r="LH68" s="12"/>
      <c r="LI68" s="12"/>
      <c r="LJ68" s="12"/>
      <c r="LK68" s="12"/>
      <c r="LL68" s="12"/>
      <c r="LM68" s="12"/>
      <c r="LN68" s="12"/>
      <c r="LO68" s="12"/>
      <c r="LP68" s="12"/>
      <c r="LQ68" s="12"/>
      <c r="LR68" s="12"/>
      <c r="LS68" s="12"/>
      <c r="LT68" s="12"/>
      <c r="LU68" s="12"/>
      <c r="LV68" s="12"/>
      <c r="LW68" s="12"/>
      <c r="LX68" s="12"/>
      <c r="LY68" s="12"/>
      <c r="LZ68" s="12"/>
      <c r="MA68" s="12"/>
      <c r="MB68" s="12"/>
      <c r="MC68" s="12"/>
      <c r="MD68" s="12"/>
      <c r="ME68" s="12"/>
      <c r="MF68" s="12"/>
      <c r="MG68" s="12"/>
      <c r="MH68" s="12"/>
      <c r="MI68" s="12"/>
      <c r="MJ68" s="12"/>
      <c r="MK68" s="12"/>
      <c r="ML68" s="12"/>
      <c r="MM68" s="12"/>
      <c r="MN68" s="12"/>
      <c r="MO68" s="12"/>
      <c r="MP68" s="12"/>
      <c r="MQ68" s="12"/>
      <c r="MR68" s="12"/>
      <c r="MS68" s="12"/>
      <c r="MT68" s="12"/>
      <c r="MU68" s="12"/>
      <c r="MV68" s="12"/>
      <c r="MW68" s="12"/>
      <c r="MX68" s="12"/>
      <c r="MY68" s="12"/>
      <c r="MZ68" s="12"/>
      <c r="NA68" s="12"/>
      <c r="NB68" s="12"/>
      <c r="NC68" s="12"/>
      <c r="ND68" s="12"/>
      <c r="NE68" s="12"/>
      <c r="NF68" s="12"/>
      <c r="NG68" s="12"/>
      <c r="NH68" s="12"/>
      <c r="NI68" s="12"/>
      <c r="NJ68" s="12"/>
      <c r="NK68" s="12"/>
      <c r="NL68" s="12"/>
      <c r="NM68" s="12"/>
      <c r="NN68" s="12"/>
      <c r="NO68" s="12"/>
      <c r="NP68" s="12"/>
      <c r="NQ68" s="12"/>
      <c r="NR68" s="12"/>
      <c r="NS68" s="12"/>
      <c r="NT68" s="12"/>
      <c r="NU68" s="12"/>
      <c r="NV68" s="12"/>
      <c r="NW68" s="12"/>
      <c r="NX68" s="12"/>
      <c r="NY68" s="12"/>
      <c r="NZ68" s="12"/>
      <c r="OA68" s="12"/>
      <c r="OB68" s="12"/>
      <c r="OC68" s="12"/>
      <c r="OD68" s="12"/>
      <c r="OE68" s="12"/>
      <c r="OF68" s="12"/>
      <c r="OG68" s="12"/>
      <c r="OH68" s="12"/>
      <c r="OI68" s="12"/>
      <c r="OJ68" s="12"/>
      <c r="OK68" s="12"/>
      <c r="OL68" s="12"/>
      <c r="OM68" s="12"/>
      <c r="ON68" s="12"/>
      <c r="OO68" s="12"/>
      <c r="OP68" s="12"/>
      <c r="OQ68" s="12"/>
      <c r="OR68" s="12"/>
      <c r="OS68" s="12"/>
      <c r="OT68" s="12"/>
      <c r="OU68" s="12"/>
      <c r="OV68" s="12"/>
      <c r="OW68" s="12"/>
      <c r="OX68" s="12"/>
      <c r="OY68" s="12"/>
      <c r="OZ68" s="12"/>
      <c r="PA68" s="12"/>
      <c r="PB68" s="12"/>
      <c r="PC68" s="12"/>
      <c r="PD68" s="12"/>
      <c r="PE68" s="12"/>
      <c r="PF68" s="12"/>
      <c r="PG68" s="12"/>
      <c r="PH68" s="12"/>
      <c r="PI68" s="12"/>
      <c r="PJ68" s="12"/>
      <c r="PK68" s="12"/>
      <c r="PL68" s="12"/>
      <c r="PM68" s="12"/>
      <c r="PN68" s="12"/>
      <c r="PO68" s="12"/>
      <c r="PP68" s="12"/>
      <c r="PQ68" s="12"/>
      <c r="PR68" s="12"/>
      <c r="PS68" s="12"/>
      <c r="PT68" s="12"/>
      <c r="PU68" s="12"/>
      <c r="PV68" s="12"/>
      <c r="PW68" s="12"/>
      <c r="PX68" s="12"/>
      <c r="PY68" s="12"/>
      <c r="PZ68" s="12"/>
      <c r="QA68" s="12"/>
      <c r="QB68" s="12"/>
      <c r="QC68" s="12"/>
      <c r="QD68" s="12"/>
      <c r="QE68" s="12"/>
      <c r="QF68" s="12"/>
      <c r="QG68" s="12"/>
      <c r="QH68" s="12"/>
      <c r="QI68" s="12"/>
      <c r="QJ68" s="12"/>
      <c r="QK68" s="12"/>
      <c r="QL68" s="12"/>
      <c r="QM68" s="12"/>
      <c r="QN68" s="12"/>
      <c r="QO68" s="12"/>
      <c r="QP68" s="12"/>
      <c r="QQ68" s="12"/>
      <c r="QR68" s="12"/>
      <c r="QS68" s="12"/>
      <c r="QT68" s="12"/>
      <c r="QU68" s="12"/>
      <c r="QV68" s="12"/>
      <c r="QW68" s="12"/>
      <c r="QX68" s="12"/>
      <c r="QY68" s="12"/>
      <c r="QZ68" s="12"/>
      <c r="RA68" s="12"/>
      <c r="RB68" s="12"/>
      <c r="RC68" s="12"/>
      <c r="RD68" s="12"/>
      <c r="RE68" s="12"/>
      <c r="RF68" s="12"/>
      <c r="RG68" s="12"/>
      <c r="RH68" s="12"/>
      <c r="RI68" s="12"/>
      <c r="RJ68" s="12"/>
      <c r="RK68" s="12"/>
      <c r="RL68" s="12"/>
      <c r="RM68" s="12"/>
      <c r="RN68" s="12"/>
      <c r="RO68" s="12"/>
      <c r="RP68" s="12"/>
      <c r="RQ68" s="12"/>
      <c r="RR68" s="12"/>
      <c r="RS68" s="12"/>
      <c r="RT68" s="12"/>
      <c r="RU68" s="12"/>
      <c r="RV68" s="12"/>
      <c r="RW68" s="12"/>
      <c r="RX68" s="12"/>
      <c r="RY68" s="12"/>
      <c r="RZ68" s="12"/>
      <c r="SA68" s="12"/>
      <c r="SB68" s="12"/>
      <c r="SC68" s="12"/>
      <c r="SD68" s="12"/>
    </row>
    <row r="69" spans="1:498" s="10" customFormat="1" hidden="1">
      <c r="A69" s="87"/>
      <c r="B69" s="88"/>
      <c r="C69" s="90"/>
      <c r="D69" s="119"/>
      <c r="E69" s="119"/>
      <c r="F69" s="121">
        <f>IF((F96*0.1)/12&lt;=0,0,IF(((F96*0.1)/12)&lt;($D$58/12),((F96*0.1)/12),"Ineligible"))</f>
        <v>485.375</v>
      </c>
      <c r="G69" s="121">
        <f>IF($F$69="Ineligible","",
IF($C$10=0,"",
IF(
G50&gt;20+N("IT is later than teh 20th year"),
0,
IF(
F67=0,
0+N("If loan balance from the preceding year is zero then IBR payment is zero, if not then"),
IF(
(G96*0.1)/12&lt;0,
0+N(""),
IF(
((G96*0.1)/12)&lt;($D$58/12)+N("If the IBR payment is less than the standard"),
((G96*0.1)/12)+N("Then the IBR payment"),
$F$84+N("If IBR is greater or equal to teh standard, then the standard plan")))))))</f>
        <v>500.6204125000001</v>
      </c>
      <c r="H69" s="121">
        <f>IF($F$69="Ineligible","",
IF($C$10=0,"",
IF(
H50&gt;20+N("IT is later than teh 20th year"),
0,
IF(
G67=0,
0+N("If loan balance from the preceding year is zero then IBR payment is zero, if not then"),
IF(
(H96*0.1)/12&lt;0,
0+N(""),
IF(
((H96*0.1)/12)&lt;($D$58/12)+N("If the IBR payment is less than the standard"),
((H96*0.1)/12)+N("Then the IBR payment"),
$F$84+N("If IBR is greater or equal to teh standard, then the standard plan")))))))</f>
        <v>516.3403598537501</v>
      </c>
      <c r="I69" s="121">
        <f>IF($F$69="Ineligible","",
IF($C$10=0,"",
IF(
I50&gt;20+N("IT is later than teh 20th year"),
0,
IF(
H67=0,
0+N("If loan balance from the preceding year is zero then IBR payment is zero, if not then"),
IF(
(I96*0.1)/12&lt;0,
0+N(""),
IF(
((I96*0.1)/12)&lt;($D$58/12)+N("If the IBR payment is less than the standard"),
((I96*0.1)/12)+N("Then the IBR payment"),
$F$84+N("If IBR is greater or equal to teh standard, then the standard plan")))))))</f>
        <v>532.54950913607934</v>
      </c>
      <c r="J69" s="121">
        <f t="shared" ref="J69:AD69" si="46">IF($F$69="Ineligible","",
IF($C$10=0,"",
IF(
J50&gt;20+N("IT is later than teh 20th year"),
0,
IF(
I67=0,
0+N("If loan balance from the preceding year is zero then IBR payment is zero, if not then"),
IF(
(J96*0.1)/12&lt;0,
0+N(""),
IF(
((J96*0.1)/12)&lt;($D$58/12)+N("If the IBR payment is less than the standard"),
((J96*0.1)/12)+N("Then the IBR payment"),
$F$84+N("If IBR is greater or equal to teh standard, then the standard plan")))))))</f>
        <v>549.26297825289487</v>
      </c>
      <c r="K69" s="121">
        <f t="shared" si="46"/>
        <v>566.49634973766763</v>
      </c>
      <c r="L69" s="121">
        <f t="shared" si="46"/>
        <v>584.26568496862672</v>
      </c>
      <c r="M69" s="121">
        <f t="shared" si="46"/>
        <v>1083.9163729289155</v>
      </c>
      <c r="N69" s="121">
        <f t="shared" si="46"/>
        <v>1117.2476738894316</v>
      </c>
      <c r="O69" s="121">
        <f t="shared" si="46"/>
        <v>1151.599340504056</v>
      </c>
      <c r="P69" s="121">
        <f t="shared" si="46"/>
        <v>1187.0024964507081</v>
      </c>
      <c r="Q69" s="121">
        <f t="shared" si="46"/>
        <v>1223.4892119866211</v>
      </c>
      <c r="R69" s="121">
        <f t="shared" si="46"/>
        <v>1261.0925326687352</v>
      </c>
      <c r="S69" s="121">
        <f t="shared" si="46"/>
        <v>1299.846508943808</v>
      </c>
      <c r="T69" s="121">
        <f t="shared" si="46"/>
        <v>1339.7862266345376</v>
      </c>
      <c r="U69" s="121">
        <f t="shared" si="46"/>
        <v>1380.9478383487919</v>
      </c>
      <c r="V69" s="121">
        <f t="shared" si="46"/>
        <v>1423.3685958398457</v>
      </c>
      <c r="W69" s="121">
        <f t="shared" si="46"/>
        <v>1467.0868833463801</v>
      </c>
      <c r="X69" s="121">
        <f t="shared" si="46"/>
        <v>1512.1422519418572</v>
      </c>
      <c r="Y69" s="121">
        <f t="shared" si="46"/>
        <v>1558.5754549237852</v>
      </c>
      <c r="Z69" s="121">
        <f t="shared" si="46"/>
        <v>0</v>
      </c>
      <c r="AA69" s="121">
        <f t="shared" si="46"/>
        <v>0</v>
      </c>
      <c r="AB69" s="121">
        <f t="shared" si="46"/>
        <v>0</v>
      </c>
      <c r="AC69" s="121">
        <f t="shared" si="46"/>
        <v>0</v>
      </c>
      <c r="AD69" s="121">
        <f t="shared" si="46"/>
        <v>0</v>
      </c>
      <c r="AE69" s="52"/>
      <c r="AF69" s="87"/>
      <c r="AG69" s="87"/>
      <c r="AH69" s="87"/>
      <c r="AI69" s="87"/>
      <c r="AJ69" s="87"/>
      <c r="AK69" s="87"/>
      <c r="AL69" s="87"/>
      <c r="AM69" s="87"/>
      <c r="AN69" s="87"/>
      <c r="AO69" s="87"/>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12"/>
      <c r="GW69" s="12"/>
      <c r="GX69" s="12"/>
      <c r="GY69" s="12"/>
      <c r="GZ69" s="12"/>
      <c r="HA69" s="12"/>
      <c r="HB69" s="12"/>
      <c r="HC69" s="12"/>
      <c r="HD69" s="12"/>
      <c r="HE69" s="12"/>
      <c r="HF69" s="12"/>
      <c r="HG69" s="12"/>
      <c r="HH69" s="12"/>
      <c r="HI69" s="12"/>
      <c r="HJ69" s="12"/>
      <c r="HK69" s="12"/>
      <c r="HL69" s="12"/>
      <c r="HM69" s="12"/>
      <c r="HN69" s="12"/>
      <c r="HO69" s="12"/>
      <c r="HP69" s="12"/>
      <c r="HQ69" s="12"/>
      <c r="HR69" s="12"/>
      <c r="HS69" s="12"/>
      <c r="HT69" s="12"/>
      <c r="HU69" s="12"/>
      <c r="HV69" s="12"/>
      <c r="HW69" s="12"/>
      <c r="HX69" s="12"/>
      <c r="HY69" s="12"/>
      <c r="HZ69" s="12"/>
      <c r="IA69" s="12"/>
      <c r="IB69" s="12"/>
      <c r="IC69" s="12"/>
      <c r="ID69" s="12"/>
      <c r="IE69" s="12"/>
      <c r="IF69" s="12"/>
      <c r="IG69" s="12"/>
      <c r="IH69" s="12"/>
      <c r="II69" s="12"/>
      <c r="IJ69" s="12"/>
      <c r="IK69" s="12"/>
      <c r="IL69" s="12"/>
      <c r="IM69" s="12"/>
      <c r="IN69" s="12"/>
      <c r="IO69" s="12"/>
      <c r="IP69" s="12"/>
      <c r="IQ69" s="12"/>
      <c r="IR69" s="12"/>
      <c r="IS69" s="12"/>
      <c r="IT69" s="12"/>
      <c r="IU69" s="12"/>
      <c r="IV69" s="12"/>
      <c r="IW69" s="12"/>
      <c r="IX69" s="12"/>
      <c r="IY69" s="12"/>
      <c r="IZ69" s="12"/>
      <c r="JA69" s="12"/>
      <c r="JB69" s="12"/>
      <c r="JC69" s="12"/>
      <c r="JD69" s="12"/>
      <c r="JE69" s="12"/>
      <c r="JF69" s="12"/>
      <c r="JG69" s="12"/>
      <c r="JH69" s="12"/>
      <c r="JI69" s="12"/>
      <c r="JJ69" s="12"/>
      <c r="JK69" s="12"/>
      <c r="JL69" s="12"/>
      <c r="JM69" s="12"/>
      <c r="JN69" s="12"/>
      <c r="JO69" s="12"/>
      <c r="JP69" s="12"/>
      <c r="JQ69" s="12"/>
      <c r="JR69" s="12"/>
      <c r="JS69" s="12"/>
      <c r="JT69" s="12"/>
      <c r="JU69" s="12"/>
      <c r="JV69" s="12"/>
      <c r="JW69" s="12"/>
      <c r="JX69" s="12"/>
      <c r="JY69" s="12"/>
      <c r="JZ69" s="12"/>
      <c r="KA69" s="12"/>
      <c r="KB69" s="12"/>
      <c r="KC69" s="12"/>
      <c r="KD69" s="12"/>
      <c r="KE69" s="12"/>
      <c r="KF69" s="12"/>
      <c r="KG69" s="12"/>
      <c r="KH69" s="12"/>
      <c r="KI69" s="12"/>
      <c r="KJ69" s="12"/>
      <c r="KK69" s="12"/>
      <c r="KL69" s="12"/>
      <c r="KM69" s="12"/>
      <c r="KN69" s="12"/>
      <c r="KO69" s="12"/>
      <c r="KP69" s="12"/>
      <c r="KQ69" s="12"/>
      <c r="KR69" s="12"/>
      <c r="KS69" s="12"/>
      <c r="KT69" s="12"/>
      <c r="KU69" s="12"/>
      <c r="KV69" s="12"/>
      <c r="KW69" s="12"/>
      <c r="KX69" s="12"/>
      <c r="KY69" s="12"/>
      <c r="KZ69" s="12"/>
      <c r="LA69" s="12"/>
      <c r="LB69" s="12"/>
      <c r="LC69" s="12"/>
      <c r="LD69" s="12"/>
      <c r="LE69" s="12"/>
      <c r="LF69" s="12"/>
      <c r="LG69" s="12"/>
      <c r="LH69" s="12"/>
      <c r="LI69" s="12"/>
      <c r="LJ69" s="12"/>
      <c r="LK69" s="12"/>
      <c r="LL69" s="12"/>
      <c r="LM69" s="12"/>
      <c r="LN69" s="12"/>
      <c r="LO69" s="12"/>
      <c r="LP69" s="12"/>
      <c r="LQ69" s="12"/>
      <c r="LR69" s="12"/>
      <c r="LS69" s="12"/>
      <c r="LT69" s="12"/>
      <c r="LU69" s="12"/>
      <c r="LV69" s="12"/>
      <c r="LW69" s="12"/>
      <c r="LX69" s="12"/>
      <c r="LY69" s="12"/>
      <c r="LZ69" s="12"/>
      <c r="MA69" s="12"/>
      <c r="MB69" s="12"/>
      <c r="MC69" s="12"/>
      <c r="MD69" s="12"/>
      <c r="ME69" s="12"/>
      <c r="MF69" s="12"/>
      <c r="MG69" s="12"/>
      <c r="MH69" s="12"/>
      <c r="MI69" s="12"/>
      <c r="MJ69" s="12"/>
      <c r="MK69" s="12"/>
      <c r="ML69" s="12"/>
      <c r="MM69" s="12"/>
      <c r="MN69" s="12"/>
      <c r="MO69" s="12"/>
      <c r="MP69" s="12"/>
      <c r="MQ69" s="12"/>
      <c r="MR69" s="12"/>
      <c r="MS69" s="12"/>
      <c r="MT69" s="12"/>
      <c r="MU69" s="12"/>
      <c r="MV69" s="12"/>
      <c r="MW69" s="12"/>
      <c r="MX69" s="12"/>
      <c r="MY69" s="12"/>
      <c r="MZ69" s="12"/>
      <c r="NA69" s="12"/>
      <c r="NB69" s="12"/>
      <c r="NC69" s="12"/>
      <c r="ND69" s="12"/>
      <c r="NE69" s="12"/>
      <c r="NF69" s="12"/>
      <c r="NG69" s="12"/>
      <c r="NH69" s="12"/>
      <c r="NI69" s="12"/>
      <c r="NJ69" s="12"/>
      <c r="NK69" s="12"/>
      <c r="NL69" s="12"/>
      <c r="NM69" s="12"/>
      <c r="NN69" s="12"/>
      <c r="NO69" s="12"/>
      <c r="NP69" s="12"/>
      <c r="NQ69" s="12"/>
      <c r="NR69" s="12"/>
      <c r="NS69" s="12"/>
      <c r="NT69" s="12"/>
      <c r="NU69" s="12"/>
      <c r="NV69" s="12"/>
      <c r="NW69" s="12"/>
      <c r="NX69" s="12"/>
      <c r="NY69" s="12"/>
      <c r="NZ69" s="12"/>
      <c r="OA69" s="12"/>
      <c r="OB69" s="12"/>
      <c r="OC69" s="12"/>
      <c r="OD69" s="12"/>
      <c r="OE69" s="12"/>
      <c r="OF69" s="12"/>
      <c r="OG69" s="12"/>
      <c r="OH69" s="12"/>
      <c r="OI69" s="12"/>
      <c r="OJ69" s="12"/>
      <c r="OK69" s="12"/>
      <c r="OL69" s="12"/>
      <c r="OM69" s="12"/>
      <c r="ON69" s="12"/>
      <c r="OO69" s="12"/>
      <c r="OP69" s="12"/>
      <c r="OQ69" s="12"/>
      <c r="OR69" s="12"/>
      <c r="OS69" s="12"/>
      <c r="OT69" s="12"/>
      <c r="OU69" s="12"/>
      <c r="OV69" s="12"/>
      <c r="OW69" s="12"/>
      <c r="OX69" s="12"/>
      <c r="OY69" s="12"/>
      <c r="OZ69" s="12"/>
      <c r="PA69" s="12"/>
      <c r="PB69" s="12"/>
      <c r="PC69" s="12"/>
      <c r="PD69" s="12"/>
      <c r="PE69" s="12"/>
      <c r="PF69" s="12"/>
      <c r="PG69" s="12"/>
      <c r="PH69" s="12"/>
      <c r="PI69" s="12"/>
      <c r="PJ69" s="12"/>
      <c r="PK69" s="12"/>
      <c r="PL69" s="12"/>
      <c r="PM69" s="12"/>
      <c r="PN69" s="12"/>
      <c r="PO69" s="12"/>
      <c r="PP69" s="12"/>
      <c r="PQ69" s="12"/>
      <c r="PR69" s="12"/>
      <c r="PS69" s="12"/>
      <c r="PT69" s="12"/>
      <c r="PU69" s="12"/>
      <c r="PV69" s="12"/>
      <c r="PW69" s="12"/>
      <c r="PX69" s="12"/>
      <c r="PY69" s="12"/>
      <c r="PZ69" s="12"/>
      <c r="QA69" s="12"/>
      <c r="QB69" s="12"/>
      <c r="QC69" s="12"/>
      <c r="QD69" s="12"/>
      <c r="QE69" s="12"/>
      <c r="QF69" s="12"/>
      <c r="QG69" s="12"/>
      <c r="QH69" s="12"/>
      <c r="QI69" s="12"/>
      <c r="QJ69" s="12"/>
      <c r="QK69" s="12"/>
      <c r="QL69" s="12"/>
      <c r="QM69" s="12"/>
      <c r="QN69" s="12"/>
      <c r="QO69" s="12"/>
      <c r="QP69" s="12"/>
      <c r="QQ69" s="12"/>
      <c r="QR69" s="12"/>
      <c r="QS69" s="12"/>
      <c r="QT69" s="12"/>
      <c r="QU69" s="12"/>
      <c r="QV69" s="12"/>
      <c r="QW69" s="12"/>
      <c r="QX69" s="12"/>
      <c r="QY69" s="12"/>
      <c r="QZ69" s="12"/>
      <c r="RA69" s="12"/>
      <c r="RB69" s="12"/>
      <c r="RC69" s="12"/>
      <c r="RD69" s="12"/>
      <c r="RE69" s="12"/>
      <c r="RF69" s="12"/>
      <c r="RG69" s="12"/>
      <c r="RH69" s="12"/>
      <c r="RI69" s="12"/>
      <c r="RJ69" s="12"/>
      <c r="RK69" s="12"/>
      <c r="RL69" s="12"/>
      <c r="RM69" s="12"/>
      <c r="RN69" s="12"/>
      <c r="RO69" s="12"/>
      <c r="RP69" s="12"/>
      <c r="RQ69" s="12"/>
      <c r="RR69" s="12"/>
      <c r="RS69" s="12"/>
      <c r="RT69" s="12"/>
      <c r="RU69" s="12"/>
      <c r="RV69" s="12"/>
      <c r="RW69" s="12"/>
      <c r="RX69" s="12"/>
      <c r="RY69" s="12"/>
      <c r="RZ69" s="12"/>
      <c r="SA69" s="12"/>
      <c r="SB69" s="12"/>
      <c r="SC69" s="12"/>
      <c r="SD69" s="12"/>
    </row>
    <row r="70" spans="1:498" s="10" customFormat="1" hidden="1">
      <c r="A70" s="87"/>
      <c r="B70" s="88"/>
      <c r="C70" s="90"/>
      <c r="D70" s="119"/>
      <c r="E70" s="119"/>
      <c r="F70" s="121">
        <f>IF($F$69="Ineligible","",IF($C$10=0,"",F67))</f>
        <v>149144.25</v>
      </c>
      <c r="G70" s="121">
        <f>IF($F$69="Ineligible","",IF($C$10=0,"",G67))</f>
        <v>153105.55505</v>
      </c>
      <c r="H70" s="121">
        <f>IF($F$69="Ineligible","",IF($C$10=0,"",H67))</f>
        <v>156878.22073175499</v>
      </c>
      <c r="I70" s="121">
        <f>IF($F$69="Ineligible","",IF($C$10=0,"",I67))</f>
        <v>160456.37662212204</v>
      </c>
      <c r="J70" s="121">
        <f t="shared" ref="J70:AD70" si="47">IF($F$69="Ineligible","",IF($C$10=0,"",J67))</f>
        <v>163833.97088308731</v>
      </c>
      <c r="K70" s="121">
        <f t="shared" si="47"/>
        <v>167004.76468623528</v>
      </c>
      <c r="L70" s="121">
        <f t="shared" si="47"/>
        <v>169962.32646661176</v>
      </c>
      <c r="M70" s="121">
        <f t="shared" si="47"/>
        <v>166924.07999146479</v>
      </c>
      <c r="N70" s="121">
        <f t="shared" si="47"/>
        <v>164993.13840420486</v>
      </c>
      <c r="O70" s="121">
        <f t="shared" si="47"/>
        <v>162517.22458344529</v>
      </c>
      <c r="P70" s="121">
        <f t="shared" si="47"/>
        <v>159446.25381614867</v>
      </c>
      <c r="Q70" s="121">
        <f t="shared" si="47"/>
        <v>155726.31322216947</v>
      </c>
      <c r="R70" s="121">
        <f t="shared" si="47"/>
        <v>151299.3868641688</v>
      </c>
      <c r="S70" s="121">
        <f t="shared" si="47"/>
        <v>146103.06160375473</v>
      </c>
      <c r="T70" s="121">
        <f t="shared" si="47"/>
        <v>140070.21236939842</v>
      </c>
      <c r="U70" s="121">
        <f t="shared" si="47"/>
        <v>133128.66540960906</v>
      </c>
      <c r="V70" s="121">
        <f t="shared" si="47"/>
        <v>125200.83800644155</v>
      </c>
      <c r="W70" s="121">
        <f t="shared" si="47"/>
        <v>116203.35301922786</v>
      </c>
      <c r="X70" s="121">
        <f t="shared" si="47"/>
        <v>106046.6265159975</v>
      </c>
      <c r="Y70" s="121">
        <f t="shared" si="47"/>
        <v>94634.426629886919</v>
      </c>
      <c r="Z70" s="121">
        <f t="shared" si="47"/>
        <v>101140.54346069165</v>
      </c>
      <c r="AA70" s="121">
        <f t="shared" si="47"/>
        <v>108093.95582361422</v>
      </c>
      <c r="AB70" s="121">
        <f t="shared" si="47"/>
        <v>115525.41528648771</v>
      </c>
      <c r="AC70" s="121">
        <f t="shared" si="47"/>
        <v>123467.78758743375</v>
      </c>
      <c r="AD70" s="121">
        <f t="shared" si="47"/>
        <v>131956.19798406982</v>
      </c>
      <c r="AE70" s="52"/>
      <c r="AF70" s="87"/>
      <c r="AG70" s="87"/>
      <c r="AH70" s="87"/>
      <c r="AI70" s="87"/>
      <c r="AJ70" s="87"/>
      <c r="AK70" s="87"/>
      <c r="AL70" s="87"/>
      <c r="AM70" s="87"/>
      <c r="AN70" s="87"/>
      <c r="AO70" s="87"/>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c r="HS70" s="12"/>
      <c r="HT70" s="12"/>
      <c r="HU70" s="12"/>
      <c r="HV70" s="12"/>
      <c r="HW70" s="12"/>
      <c r="HX70" s="12"/>
      <c r="HY70" s="12"/>
      <c r="HZ70" s="12"/>
      <c r="IA70" s="12"/>
      <c r="IB70" s="12"/>
      <c r="IC70" s="12"/>
      <c r="ID70" s="12"/>
      <c r="IE70" s="12"/>
      <c r="IF70" s="12"/>
      <c r="IG70" s="12"/>
      <c r="IH70" s="12"/>
      <c r="II70" s="12"/>
      <c r="IJ70" s="12"/>
      <c r="IK70" s="12"/>
      <c r="IL70" s="12"/>
      <c r="IM70" s="12"/>
      <c r="IN70" s="12"/>
      <c r="IO70" s="12"/>
      <c r="IP70" s="12"/>
      <c r="IQ70" s="12"/>
      <c r="IR70" s="12"/>
      <c r="IS70" s="12"/>
      <c r="IT70" s="12"/>
      <c r="IU70" s="12"/>
      <c r="IV70" s="12"/>
      <c r="IW70" s="12"/>
      <c r="IX70" s="12"/>
      <c r="IY70" s="12"/>
      <c r="IZ70" s="12"/>
      <c r="JA70" s="12"/>
      <c r="JB70" s="12"/>
      <c r="JC70" s="12"/>
      <c r="JD70" s="12"/>
      <c r="JE70" s="12"/>
      <c r="JF70" s="12"/>
      <c r="JG70" s="12"/>
      <c r="JH70" s="12"/>
      <c r="JI70" s="12"/>
      <c r="JJ70" s="12"/>
      <c r="JK70" s="12"/>
      <c r="JL70" s="12"/>
      <c r="JM70" s="12"/>
      <c r="JN70" s="12"/>
      <c r="JO70" s="12"/>
      <c r="JP70" s="12"/>
      <c r="JQ70" s="12"/>
      <c r="JR70" s="12"/>
      <c r="JS70" s="12"/>
      <c r="JT70" s="12"/>
      <c r="JU70" s="12"/>
      <c r="JV70" s="12"/>
      <c r="JW70" s="12"/>
      <c r="JX70" s="12"/>
      <c r="JY70" s="12"/>
      <c r="JZ70" s="12"/>
      <c r="KA70" s="12"/>
      <c r="KB70" s="12"/>
      <c r="KC70" s="12"/>
      <c r="KD70" s="12"/>
      <c r="KE70" s="12"/>
      <c r="KF70" s="12"/>
      <c r="KG70" s="12"/>
      <c r="KH70" s="12"/>
      <c r="KI70" s="12"/>
      <c r="KJ70" s="12"/>
      <c r="KK70" s="12"/>
      <c r="KL70" s="12"/>
      <c r="KM70" s="12"/>
      <c r="KN70" s="12"/>
      <c r="KO70" s="12"/>
      <c r="KP70" s="12"/>
      <c r="KQ70" s="12"/>
      <c r="KR70" s="12"/>
      <c r="KS70" s="12"/>
      <c r="KT70" s="12"/>
      <c r="KU70" s="12"/>
      <c r="KV70" s="12"/>
      <c r="KW70" s="12"/>
      <c r="KX70" s="12"/>
      <c r="KY70" s="12"/>
      <c r="KZ70" s="12"/>
      <c r="LA70" s="12"/>
      <c r="LB70" s="12"/>
      <c r="LC70" s="12"/>
      <c r="LD70" s="12"/>
      <c r="LE70" s="12"/>
      <c r="LF70" s="12"/>
      <c r="LG70" s="12"/>
      <c r="LH70" s="12"/>
      <c r="LI70" s="12"/>
      <c r="LJ70" s="12"/>
      <c r="LK70" s="12"/>
      <c r="LL70" s="12"/>
      <c r="LM70" s="12"/>
      <c r="LN70" s="12"/>
      <c r="LO70" s="12"/>
      <c r="LP70" s="12"/>
      <c r="LQ70" s="12"/>
      <c r="LR70" s="12"/>
      <c r="LS70" s="12"/>
      <c r="LT70" s="12"/>
      <c r="LU70" s="12"/>
      <c r="LV70" s="12"/>
      <c r="LW70" s="12"/>
      <c r="LX70" s="12"/>
      <c r="LY70" s="12"/>
      <c r="LZ70" s="12"/>
      <c r="MA70" s="12"/>
      <c r="MB70" s="12"/>
      <c r="MC70" s="12"/>
      <c r="MD70" s="12"/>
      <c r="ME70" s="12"/>
      <c r="MF70" s="12"/>
      <c r="MG70" s="12"/>
      <c r="MH70" s="12"/>
      <c r="MI70" s="12"/>
      <c r="MJ70" s="12"/>
      <c r="MK70" s="12"/>
      <c r="ML70" s="12"/>
      <c r="MM70" s="12"/>
      <c r="MN70" s="12"/>
      <c r="MO70" s="12"/>
      <c r="MP70" s="12"/>
      <c r="MQ70" s="12"/>
      <c r="MR70" s="12"/>
      <c r="MS70" s="12"/>
      <c r="MT70" s="12"/>
      <c r="MU70" s="12"/>
      <c r="MV70" s="12"/>
      <c r="MW70" s="12"/>
      <c r="MX70" s="12"/>
      <c r="MY70" s="12"/>
      <c r="MZ70" s="12"/>
      <c r="NA70" s="12"/>
      <c r="NB70" s="12"/>
      <c r="NC70" s="12"/>
      <c r="ND70" s="12"/>
      <c r="NE70" s="12"/>
      <c r="NF70" s="12"/>
      <c r="NG70" s="12"/>
      <c r="NH70" s="12"/>
      <c r="NI70" s="12"/>
      <c r="NJ70" s="12"/>
      <c r="NK70" s="12"/>
      <c r="NL70" s="12"/>
      <c r="NM70" s="12"/>
      <c r="NN70" s="12"/>
      <c r="NO70" s="12"/>
      <c r="NP70" s="12"/>
      <c r="NQ70" s="12"/>
      <c r="NR70" s="12"/>
      <c r="NS70" s="12"/>
      <c r="NT70" s="12"/>
      <c r="NU70" s="12"/>
      <c r="NV70" s="12"/>
      <c r="NW70" s="12"/>
      <c r="NX70" s="12"/>
      <c r="NY70" s="12"/>
      <c r="NZ70" s="12"/>
      <c r="OA70" s="12"/>
      <c r="OB70" s="12"/>
      <c r="OC70" s="12"/>
      <c r="OD70" s="12"/>
      <c r="OE70" s="12"/>
      <c r="OF70" s="12"/>
      <c r="OG70" s="12"/>
      <c r="OH70" s="12"/>
      <c r="OI70" s="12"/>
      <c r="OJ70" s="12"/>
      <c r="OK70" s="12"/>
      <c r="OL70" s="12"/>
      <c r="OM70" s="12"/>
      <c r="ON70" s="12"/>
      <c r="OO70" s="12"/>
      <c r="OP70" s="12"/>
      <c r="OQ70" s="12"/>
      <c r="OR70" s="12"/>
      <c r="OS70" s="12"/>
      <c r="OT70" s="12"/>
      <c r="OU70" s="12"/>
      <c r="OV70" s="12"/>
      <c r="OW70" s="12"/>
      <c r="OX70" s="12"/>
      <c r="OY70" s="12"/>
      <c r="OZ70" s="12"/>
      <c r="PA70" s="12"/>
      <c r="PB70" s="12"/>
      <c r="PC70" s="12"/>
      <c r="PD70" s="12"/>
      <c r="PE70" s="12"/>
      <c r="PF70" s="12"/>
      <c r="PG70" s="12"/>
      <c r="PH70" s="12"/>
      <c r="PI70" s="12"/>
      <c r="PJ70" s="12"/>
      <c r="PK70" s="12"/>
      <c r="PL70" s="12"/>
      <c r="PM70" s="12"/>
      <c r="PN70" s="12"/>
      <c r="PO70" s="12"/>
      <c r="PP70" s="12"/>
      <c r="PQ70" s="12"/>
      <c r="PR70" s="12"/>
      <c r="PS70" s="12"/>
      <c r="PT70" s="12"/>
      <c r="PU70" s="12"/>
      <c r="PV70" s="12"/>
      <c r="PW70" s="12"/>
      <c r="PX70" s="12"/>
      <c r="PY70" s="12"/>
      <c r="PZ70" s="12"/>
      <c r="QA70" s="12"/>
      <c r="QB70" s="12"/>
      <c r="QC70" s="12"/>
      <c r="QD70" s="12"/>
      <c r="QE70" s="12"/>
      <c r="QF70" s="12"/>
      <c r="QG70" s="12"/>
      <c r="QH70" s="12"/>
      <c r="QI70" s="12"/>
      <c r="QJ70" s="12"/>
      <c r="QK70" s="12"/>
      <c r="QL70" s="12"/>
      <c r="QM70" s="12"/>
      <c r="QN70" s="12"/>
      <c r="QO70" s="12"/>
      <c r="QP70" s="12"/>
      <c r="QQ70" s="12"/>
      <c r="QR70" s="12"/>
      <c r="QS70" s="12"/>
      <c r="QT70" s="12"/>
      <c r="QU70" s="12"/>
      <c r="QV70" s="12"/>
      <c r="QW70" s="12"/>
      <c r="QX70" s="12"/>
      <c r="QY70" s="12"/>
      <c r="QZ70" s="12"/>
      <c r="RA70" s="12"/>
      <c r="RB70" s="12"/>
      <c r="RC70" s="12"/>
      <c r="RD70" s="12"/>
      <c r="RE70" s="12"/>
      <c r="RF70" s="12"/>
      <c r="RG70" s="12"/>
      <c r="RH70" s="12"/>
      <c r="RI70" s="12"/>
      <c r="RJ70" s="12"/>
      <c r="RK70" s="12"/>
      <c r="RL70" s="12"/>
      <c r="RM70" s="12"/>
      <c r="RN70" s="12"/>
      <c r="RO70" s="12"/>
      <c r="RP70" s="12"/>
      <c r="RQ70" s="12"/>
      <c r="RR70" s="12"/>
      <c r="RS70" s="12"/>
      <c r="RT70" s="12"/>
      <c r="RU70" s="12"/>
      <c r="RV70" s="12"/>
      <c r="RW70" s="12"/>
      <c r="RX70" s="12"/>
      <c r="RY70" s="12"/>
      <c r="RZ70" s="12"/>
      <c r="SA70" s="12"/>
      <c r="SB70" s="12"/>
      <c r="SC70" s="12"/>
      <c r="SD70" s="12"/>
    </row>
    <row r="71" spans="1:498" s="10" customFormat="1">
      <c r="A71" s="87"/>
      <c r="B71" s="88"/>
      <c r="C71" s="90"/>
      <c r="D71" s="119"/>
      <c r="E71" s="119"/>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52"/>
      <c r="AF71" s="87"/>
      <c r="AG71" s="87"/>
      <c r="AH71" s="87"/>
      <c r="AI71" s="87"/>
      <c r="AJ71" s="87"/>
      <c r="AK71" s="87"/>
      <c r="AL71" s="87"/>
      <c r="AM71" s="87"/>
      <c r="AN71" s="87"/>
      <c r="AO71" s="87"/>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c r="HR71" s="12"/>
      <c r="HS71" s="12"/>
      <c r="HT71" s="12"/>
      <c r="HU71" s="12"/>
      <c r="HV71" s="12"/>
      <c r="HW71" s="12"/>
      <c r="HX71" s="12"/>
      <c r="HY71" s="12"/>
      <c r="HZ71" s="12"/>
      <c r="IA71" s="12"/>
      <c r="IB71" s="12"/>
      <c r="IC71" s="12"/>
      <c r="ID71" s="12"/>
      <c r="IE71" s="12"/>
      <c r="IF71" s="12"/>
      <c r="IG71" s="12"/>
      <c r="IH71" s="12"/>
      <c r="II71" s="12"/>
      <c r="IJ71" s="12"/>
      <c r="IK71" s="12"/>
      <c r="IL71" s="12"/>
      <c r="IM71" s="12"/>
      <c r="IN71" s="12"/>
      <c r="IO71" s="12"/>
      <c r="IP71" s="12"/>
      <c r="IQ71" s="12"/>
      <c r="IR71" s="12"/>
      <c r="IS71" s="12"/>
      <c r="IT71" s="12"/>
      <c r="IU71" s="12"/>
      <c r="IV71" s="12"/>
      <c r="IW71" s="12"/>
      <c r="IX71" s="12"/>
      <c r="IY71" s="12"/>
      <c r="IZ71" s="12"/>
      <c r="JA71" s="12"/>
      <c r="JB71" s="12"/>
      <c r="JC71" s="12"/>
      <c r="JD71" s="12"/>
      <c r="JE71" s="12"/>
      <c r="JF71" s="12"/>
      <c r="JG71" s="12"/>
      <c r="JH71" s="12"/>
      <c r="JI71" s="12"/>
      <c r="JJ71" s="12"/>
      <c r="JK71" s="12"/>
      <c r="JL71" s="12"/>
      <c r="JM71" s="12"/>
      <c r="JN71" s="12"/>
      <c r="JO71" s="12"/>
      <c r="JP71" s="12"/>
      <c r="JQ71" s="12"/>
      <c r="JR71" s="12"/>
      <c r="JS71" s="12"/>
      <c r="JT71" s="12"/>
      <c r="JU71" s="12"/>
      <c r="JV71" s="12"/>
      <c r="JW71" s="12"/>
      <c r="JX71" s="12"/>
      <c r="JY71" s="12"/>
      <c r="JZ71" s="12"/>
      <c r="KA71" s="12"/>
      <c r="KB71" s="12"/>
      <c r="KC71" s="12"/>
      <c r="KD71" s="12"/>
      <c r="KE71" s="12"/>
      <c r="KF71" s="12"/>
      <c r="KG71" s="12"/>
      <c r="KH71" s="12"/>
      <c r="KI71" s="12"/>
      <c r="KJ71" s="12"/>
      <c r="KK71" s="12"/>
      <c r="KL71" s="12"/>
      <c r="KM71" s="12"/>
      <c r="KN71" s="12"/>
      <c r="KO71" s="12"/>
      <c r="KP71" s="12"/>
      <c r="KQ71" s="12"/>
      <c r="KR71" s="12"/>
      <c r="KS71" s="12"/>
      <c r="KT71" s="12"/>
      <c r="KU71" s="12"/>
      <c r="KV71" s="12"/>
      <c r="KW71" s="12"/>
      <c r="KX71" s="12"/>
      <c r="KY71" s="12"/>
      <c r="KZ71" s="12"/>
      <c r="LA71" s="12"/>
      <c r="LB71" s="12"/>
      <c r="LC71" s="12"/>
      <c r="LD71" s="12"/>
      <c r="LE71" s="12"/>
      <c r="LF71" s="12"/>
      <c r="LG71" s="12"/>
      <c r="LH71" s="12"/>
      <c r="LI71" s="12"/>
      <c r="LJ71" s="12"/>
      <c r="LK71" s="12"/>
      <c r="LL71" s="12"/>
      <c r="LM71" s="12"/>
      <c r="LN71" s="12"/>
      <c r="LO71" s="12"/>
      <c r="LP71" s="12"/>
      <c r="LQ71" s="12"/>
      <c r="LR71" s="12"/>
      <c r="LS71" s="12"/>
      <c r="LT71" s="12"/>
      <c r="LU71" s="12"/>
      <c r="LV71" s="12"/>
      <c r="LW71" s="12"/>
      <c r="LX71" s="12"/>
      <c r="LY71" s="12"/>
      <c r="LZ71" s="12"/>
      <c r="MA71" s="12"/>
      <c r="MB71" s="12"/>
      <c r="MC71" s="12"/>
      <c r="MD71" s="12"/>
      <c r="ME71" s="12"/>
      <c r="MF71" s="12"/>
      <c r="MG71" s="12"/>
      <c r="MH71" s="12"/>
      <c r="MI71" s="12"/>
      <c r="MJ71" s="12"/>
      <c r="MK71" s="12"/>
      <c r="ML71" s="12"/>
      <c r="MM71" s="12"/>
      <c r="MN71" s="12"/>
      <c r="MO71" s="12"/>
      <c r="MP71" s="12"/>
      <c r="MQ71" s="12"/>
      <c r="MR71" s="12"/>
      <c r="MS71" s="12"/>
      <c r="MT71" s="12"/>
      <c r="MU71" s="12"/>
      <c r="MV71" s="12"/>
      <c r="MW71" s="12"/>
      <c r="MX71" s="12"/>
      <c r="MY71" s="12"/>
      <c r="MZ71" s="12"/>
      <c r="NA71" s="12"/>
      <c r="NB71" s="12"/>
      <c r="NC71" s="12"/>
      <c r="ND71" s="12"/>
      <c r="NE71" s="12"/>
      <c r="NF71" s="12"/>
      <c r="NG71" s="12"/>
      <c r="NH71" s="12"/>
      <c r="NI71" s="12"/>
      <c r="NJ71" s="12"/>
      <c r="NK71" s="12"/>
      <c r="NL71" s="12"/>
      <c r="NM71" s="12"/>
      <c r="NN71" s="12"/>
      <c r="NO71" s="12"/>
      <c r="NP71" s="12"/>
      <c r="NQ71" s="12"/>
      <c r="NR71" s="12"/>
      <c r="NS71" s="12"/>
      <c r="NT71" s="12"/>
      <c r="NU71" s="12"/>
      <c r="NV71" s="12"/>
      <c r="NW71" s="12"/>
      <c r="NX71" s="12"/>
      <c r="NY71" s="12"/>
      <c r="NZ71" s="12"/>
      <c r="OA71" s="12"/>
      <c r="OB71" s="12"/>
      <c r="OC71" s="12"/>
      <c r="OD71" s="12"/>
      <c r="OE71" s="12"/>
      <c r="OF71" s="12"/>
      <c r="OG71" s="12"/>
      <c r="OH71" s="12"/>
      <c r="OI71" s="12"/>
      <c r="OJ71" s="12"/>
      <c r="OK71" s="12"/>
      <c r="OL71" s="12"/>
      <c r="OM71" s="12"/>
      <c r="ON71" s="12"/>
      <c r="OO71" s="12"/>
      <c r="OP71" s="12"/>
      <c r="OQ71" s="12"/>
      <c r="OR71" s="12"/>
      <c r="OS71" s="12"/>
      <c r="OT71" s="12"/>
      <c r="OU71" s="12"/>
      <c r="OV71" s="12"/>
      <c r="OW71" s="12"/>
      <c r="OX71" s="12"/>
      <c r="OY71" s="12"/>
      <c r="OZ71" s="12"/>
      <c r="PA71" s="12"/>
      <c r="PB71" s="12"/>
      <c r="PC71" s="12"/>
      <c r="PD71" s="12"/>
      <c r="PE71" s="12"/>
      <c r="PF71" s="12"/>
      <c r="PG71" s="12"/>
      <c r="PH71" s="12"/>
      <c r="PI71" s="12"/>
      <c r="PJ71" s="12"/>
      <c r="PK71" s="12"/>
      <c r="PL71" s="12"/>
      <c r="PM71" s="12"/>
      <c r="PN71" s="12"/>
      <c r="PO71" s="12"/>
      <c r="PP71" s="12"/>
      <c r="PQ71" s="12"/>
      <c r="PR71" s="12"/>
      <c r="PS71" s="12"/>
      <c r="PT71" s="12"/>
      <c r="PU71" s="12"/>
      <c r="PV71" s="12"/>
      <c r="PW71" s="12"/>
      <c r="PX71" s="12"/>
      <c r="PY71" s="12"/>
      <c r="PZ71" s="12"/>
      <c r="QA71" s="12"/>
      <c r="QB71" s="12"/>
      <c r="QC71" s="12"/>
      <c r="QD71" s="12"/>
      <c r="QE71" s="12"/>
      <c r="QF71" s="12"/>
      <c r="QG71" s="12"/>
      <c r="QH71" s="12"/>
      <c r="QI71" s="12"/>
      <c r="QJ71" s="12"/>
      <c r="QK71" s="12"/>
      <c r="QL71" s="12"/>
      <c r="QM71" s="12"/>
      <c r="QN71" s="12"/>
      <c r="QO71" s="12"/>
      <c r="QP71" s="12"/>
      <c r="QQ71" s="12"/>
      <c r="QR71" s="12"/>
      <c r="QS71" s="12"/>
      <c r="QT71" s="12"/>
      <c r="QU71" s="12"/>
      <c r="QV71" s="12"/>
      <c r="QW71" s="12"/>
      <c r="QX71" s="12"/>
      <c r="QY71" s="12"/>
      <c r="QZ71" s="12"/>
      <c r="RA71" s="12"/>
      <c r="RB71" s="12"/>
      <c r="RC71" s="12"/>
      <c r="RD71" s="12"/>
      <c r="RE71" s="12"/>
      <c r="RF71" s="12"/>
      <c r="RG71" s="12"/>
      <c r="RH71" s="12"/>
      <c r="RI71" s="12"/>
      <c r="RJ71" s="12"/>
      <c r="RK71" s="12"/>
      <c r="RL71" s="12"/>
      <c r="RM71" s="12"/>
      <c r="RN71" s="12"/>
      <c r="RO71" s="12"/>
      <c r="RP71" s="12"/>
      <c r="RQ71" s="12"/>
      <c r="RR71" s="12"/>
      <c r="RS71" s="12"/>
      <c r="RT71" s="12"/>
      <c r="RU71" s="12"/>
      <c r="RV71" s="12"/>
      <c r="RW71" s="12"/>
      <c r="RX71" s="12"/>
      <c r="RY71" s="12"/>
      <c r="RZ71" s="12"/>
      <c r="SA71" s="12"/>
      <c r="SB71" s="12"/>
      <c r="SC71" s="12"/>
      <c r="SD71" s="12"/>
    </row>
    <row r="72" spans="1:498" s="10" customFormat="1">
      <c r="A72" s="87"/>
      <c r="B72" s="88"/>
      <c r="C72" s="90"/>
      <c r="D72" s="119"/>
      <c r="E72" s="119"/>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52"/>
      <c r="AF72" s="87"/>
      <c r="AG72" s="87"/>
      <c r="AH72" s="87"/>
      <c r="AI72" s="87"/>
      <c r="AJ72" s="87"/>
      <c r="AK72" s="87"/>
      <c r="AL72" s="87"/>
      <c r="AM72" s="87"/>
      <c r="AN72" s="87"/>
      <c r="AO72" s="87"/>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c r="HK72" s="12"/>
      <c r="HL72" s="12"/>
      <c r="HM72" s="12"/>
      <c r="HN72" s="12"/>
      <c r="HO72" s="12"/>
      <c r="HP72" s="12"/>
      <c r="HQ72" s="12"/>
      <c r="HR72" s="12"/>
      <c r="HS72" s="12"/>
      <c r="HT72" s="12"/>
      <c r="HU72" s="12"/>
      <c r="HV72" s="12"/>
      <c r="HW72" s="12"/>
      <c r="HX72" s="12"/>
      <c r="HY72" s="12"/>
      <c r="HZ72" s="12"/>
      <c r="IA72" s="12"/>
      <c r="IB72" s="12"/>
      <c r="IC72" s="12"/>
      <c r="ID72" s="12"/>
      <c r="IE72" s="12"/>
      <c r="IF72" s="12"/>
      <c r="IG72" s="12"/>
      <c r="IH72" s="12"/>
      <c r="II72" s="12"/>
      <c r="IJ72" s="12"/>
      <c r="IK72" s="12"/>
      <c r="IL72" s="12"/>
      <c r="IM72" s="12"/>
      <c r="IN72" s="12"/>
      <c r="IO72" s="12"/>
      <c r="IP72" s="12"/>
      <c r="IQ72" s="12"/>
      <c r="IR72" s="12"/>
      <c r="IS72" s="12"/>
      <c r="IT72" s="12"/>
      <c r="IU72" s="12"/>
      <c r="IV72" s="12"/>
      <c r="IW72" s="12"/>
      <c r="IX72" s="12"/>
      <c r="IY72" s="12"/>
      <c r="IZ72" s="12"/>
      <c r="JA72" s="12"/>
      <c r="JB72" s="12"/>
      <c r="JC72" s="12"/>
      <c r="JD72" s="12"/>
      <c r="JE72" s="12"/>
      <c r="JF72" s="12"/>
      <c r="JG72" s="12"/>
      <c r="JH72" s="12"/>
      <c r="JI72" s="12"/>
      <c r="JJ72" s="12"/>
      <c r="JK72" s="12"/>
      <c r="JL72" s="12"/>
      <c r="JM72" s="12"/>
      <c r="JN72" s="12"/>
      <c r="JO72" s="12"/>
      <c r="JP72" s="12"/>
      <c r="JQ72" s="12"/>
      <c r="JR72" s="12"/>
      <c r="JS72" s="12"/>
      <c r="JT72" s="12"/>
      <c r="JU72" s="12"/>
      <c r="JV72" s="12"/>
      <c r="JW72" s="12"/>
      <c r="JX72" s="12"/>
      <c r="JY72" s="12"/>
      <c r="JZ72" s="12"/>
      <c r="KA72" s="12"/>
      <c r="KB72" s="12"/>
      <c r="KC72" s="12"/>
      <c r="KD72" s="12"/>
      <c r="KE72" s="12"/>
      <c r="KF72" s="12"/>
      <c r="KG72" s="12"/>
      <c r="KH72" s="12"/>
      <c r="KI72" s="12"/>
      <c r="KJ72" s="12"/>
      <c r="KK72" s="12"/>
      <c r="KL72" s="12"/>
      <c r="KM72" s="12"/>
      <c r="KN72" s="12"/>
      <c r="KO72" s="12"/>
      <c r="KP72" s="12"/>
      <c r="KQ72" s="12"/>
      <c r="KR72" s="12"/>
      <c r="KS72" s="12"/>
      <c r="KT72" s="12"/>
      <c r="KU72" s="12"/>
      <c r="KV72" s="12"/>
      <c r="KW72" s="12"/>
      <c r="KX72" s="12"/>
      <c r="KY72" s="12"/>
      <c r="KZ72" s="12"/>
      <c r="LA72" s="12"/>
      <c r="LB72" s="12"/>
      <c r="LC72" s="12"/>
      <c r="LD72" s="12"/>
      <c r="LE72" s="12"/>
      <c r="LF72" s="12"/>
      <c r="LG72" s="12"/>
      <c r="LH72" s="12"/>
      <c r="LI72" s="12"/>
      <c r="LJ72" s="12"/>
      <c r="LK72" s="12"/>
      <c r="LL72" s="12"/>
      <c r="LM72" s="12"/>
      <c r="LN72" s="12"/>
      <c r="LO72" s="12"/>
      <c r="LP72" s="12"/>
      <c r="LQ72" s="12"/>
      <c r="LR72" s="12"/>
      <c r="LS72" s="12"/>
      <c r="LT72" s="12"/>
      <c r="LU72" s="12"/>
      <c r="LV72" s="12"/>
      <c r="LW72" s="12"/>
      <c r="LX72" s="12"/>
      <c r="LY72" s="12"/>
      <c r="LZ72" s="12"/>
      <c r="MA72" s="12"/>
      <c r="MB72" s="12"/>
      <c r="MC72" s="12"/>
      <c r="MD72" s="12"/>
      <c r="ME72" s="12"/>
      <c r="MF72" s="12"/>
      <c r="MG72" s="12"/>
      <c r="MH72" s="12"/>
      <c r="MI72" s="12"/>
      <c r="MJ72" s="12"/>
      <c r="MK72" s="12"/>
      <c r="ML72" s="12"/>
      <c r="MM72" s="12"/>
      <c r="MN72" s="12"/>
      <c r="MO72" s="12"/>
      <c r="MP72" s="12"/>
      <c r="MQ72" s="12"/>
      <c r="MR72" s="12"/>
      <c r="MS72" s="12"/>
      <c r="MT72" s="12"/>
      <c r="MU72" s="12"/>
      <c r="MV72" s="12"/>
      <c r="MW72" s="12"/>
      <c r="MX72" s="12"/>
      <c r="MY72" s="12"/>
      <c r="MZ72" s="12"/>
      <c r="NA72" s="12"/>
      <c r="NB72" s="12"/>
      <c r="NC72" s="12"/>
      <c r="ND72" s="12"/>
      <c r="NE72" s="12"/>
      <c r="NF72" s="12"/>
      <c r="NG72" s="12"/>
      <c r="NH72" s="12"/>
      <c r="NI72" s="12"/>
      <c r="NJ72" s="12"/>
      <c r="NK72" s="12"/>
      <c r="NL72" s="12"/>
      <c r="NM72" s="12"/>
      <c r="NN72" s="12"/>
      <c r="NO72" s="12"/>
      <c r="NP72" s="12"/>
      <c r="NQ72" s="12"/>
      <c r="NR72" s="12"/>
      <c r="NS72" s="12"/>
      <c r="NT72" s="12"/>
      <c r="NU72" s="12"/>
      <c r="NV72" s="12"/>
      <c r="NW72" s="12"/>
      <c r="NX72" s="12"/>
      <c r="NY72" s="12"/>
      <c r="NZ72" s="12"/>
      <c r="OA72" s="12"/>
      <c r="OB72" s="12"/>
      <c r="OC72" s="12"/>
      <c r="OD72" s="12"/>
      <c r="OE72" s="12"/>
      <c r="OF72" s="12"/>
      <c r="OG72" s="12"/>
      <c r="OH72" s="12"/>
      <c r="OI72" s="12"/>
      <c r="OJ72" s="12"/>
      <c r="OK72" s="12"/>
      <c r="OL72" s="12"/>
      <c r="OM72" s="12"/>
      <c r="ON72" s="12"/>
      <c r="OO72" s="12"/>
      <c r="OP72" s="12"/>
      <c r="OQ72" s="12"/>
      <c r="OR72" s="12"/>
      <c r="OS72" s="12"/>
      <c r="OT72" s="12"/>
      <c r="OU72" s="12"/>
      <c r="OV72" s="12"/>
      <c r="OW72" s="12"/>
      <c r="OX72" s="12"/>
      <c r="OY72" s="12"/>
      <c r="OZ72" s="12"/>
      <c r="PA72" s="12"/>
      <c r="PB72" s="12"/>
      <c r="PC72" s="12"/>
      <c r="PD72" s="12"/>
      <c r="PE72" s="12"/>
      <c r="PF72" s="12"/>
      <c r="PG72" s="12"/>
      <c r="PH72" s="12"/>
      <c r="PI72" s="12"/>
      <c r="PJ72" s="12"/>
      <c r="PK72" s="12"/>
      <c r="PL72" s="12"/>
      <c r="PM72" s="12"/>
      <c r="PN72" s="12"/>
      <c r="PO72" s="12"/>
      <c r="PP72" s="12"/>
      <c r="PQ72" s="12"/>
      <c r="PR72" s="12"/>
      <c r="PS72" s="12"/>
      <c r="PT72" s="12"/>
      <c r="PU72" s="12"/>
      <c r="PV72" s="12"/>
      <c r="PW72" s="12"/>
      <c r="PX72" s="12"/>
      <c r="PY72" s="12"/>
      <c r="PZ72" s="12"/>
      <c r="QA72" s="12"/>
      <c r="QB72" s="12"/>
      <c r="QC72" s="12"/>
      <c r="QD72" s="12"/>
      <c r="QE72" s="12"/>
      <c r="QF72" s="12"/>
      <c r="QG72" s="12"/>
      <c r="QH72" s="12"/>
      <c r="QI72" s="12"/>
      <c r="QJ72" s="12"/>
      <c r="QK72" s="12"/>
      <c r="QL72" s="12"/>
      <c r="QM72" s="12"/>
      <c r="QN72" s="12"/>
      <c r="QO72" s="12"/>
      <c r="QP72" s="12"/>
      <c r="QQ72" s="12"/>
      <c r="QR72" s="12"/>
      <c r="QS72" s="12"/>
      <c r="QT72" s="12"/>
      <c r="QU72" s="12"/>
      <c r="QV72" s="12"/>
      <c r="QW72" s="12"/>
      <c r="QX72" s="12"/>
      <c r="QY72" s="12"/>
      <c r="QZ72" s="12"/>
      <c r="RA72" s="12"/>
      <c r="RB72" s="12"/>
      <c r="RC72" s="12"/>
      <c r="RD72" s="12"/>
      <c r="RE72" s="12"/>
      <c r="RF72" s="12"/>
      <c r="RG72" s="12"/>
      <c r="RH72" s="12"/>
      <c r="RI72" s="12"/>
      <c r="RJ72" s="12"/>
      <c r="RK72" s="12"/>
      <c r="RL72" s="12"/>
      <c r="RM72" s="12"/>
      <c r="RN72" s="12"/>
      <c r="RO72" s="12"/>
      <c r="RP72" s="12"/>
      <c r="RQ72" s="12"/>
      <c r="RR72" s="12"/>
      <c r="RS72" s="12"/>
      <c r="RT72" s="12"/>
      <c r="RU72" s="12"/>
      <c r="RV72" s="12"/>
      <c r="RW72" s="12"/>
      <c r="RX72" s="12"/>
      <c r="RY72" s="12"/>
      <c r="RZ72" s="12"/>
      <c r="SA72" s="12"/>
      <c r="SB72" s="12"/>
      <c r="SC72" s="12"/>
      <c r="SD72" s="12"/>
    </row>
    <row r="73" spans="1:498" s="13" customFormat="1">
      <c r="A73" s="87"/>
      <c r="B73" s="122">
        <v>4</v>
      </c>
      <c r="C73" s="202" t="s">
        <v>57</v>
      </c>
      <c r="D73" s="202"/>
      <c r="E73" s="202"/>
      <c r="F73" s="123">
        <f>IF((F96*$C$15)/12&lt;=0,0,IF(((F96*$C$15)/12)&lt;($D$58/12),((F96*$C$15)/12),"Ineligible"))</f>
        <v>728.0625</v>
      </c>
      <c r="G73" s="124">
        <f t="shared" ref="G73:V73" si="48">IF($F$73="Ineligible","",
IF($C$10=0,"",
IF(
AND(
G50&gt;20+N("IT is later than teh 20th year AND"),
$C$15=0.1+N("Percentage as share is 10 percent THEN")),
0,
IF(
F62=0,
0+N("If loan balance from the preceding year is zero then IBR payment is zero, if not then"),
IF(
(G96*$C$15)/12&lt;0,
0+N(""),
IF(
((G96*$C$15)/12)&lt;($D$58/12)+N("If the IBR payment is less than the standard"),
((G96*$C$15)/12)+N("Then the IBR payment"),
$F$84+N("If IBR is greater or equal to teh standard, then the standard plan")))))))</f>
        <v>750.93061875000001</v>
      </c>
      <c r="H73" s="124">
        <f t="shared" si="48"/>
        <v>774.51053978062498</v>
      </c>
      <c r="I73" s="124">
        <f t="shared" si="48"/>
        <v>798.82426370411883</v>
      </c>
      <c r="J73" s="124">
        <f t="shared" si="48"/>
        <v>823.89446737934225</v>
      </c>
      <c r="K73" s="124">
        <f t="shared" si="48"/>
        <v>849.74452460650127</v>
      </c>
      <c r="L73" s="124">
        <f t="shared" si="48"/>
        <v>876.39852745294002</v>
      </c>
      <c r="M73" s="124">
        <f t="shared" si="48"/>
        <v>1625.8745593933734</v>
      </c>
      <c r="N73" s="124">
        <f t="shared" si="48"/>
        <v>1674.2464191195027</v>
      </c>
      <c r="O73" s="124">
        <f t="shared" si="48"/>
        <v>1674.2464191195027</v>
      </c>
      <c r="P73" s="124">
        <f t="shared" si="48"/>
        <v>1674.2464191195027</v>
      </c>
      <c r="Q73" s="124">
        <f t="shared" si="48"/>
        <v>1674.2464191195027</v>
      </c>
      <c r="R73" s="124">
        <f t="shared" si="48"/>
        <v>1674.2464191195027</v>
      </c>
      <c r="S73" s="124">
        <f t="shared" si="48"/>
        <v>1674.2464191195027</v>
      </c>
      <c r="T73" s="124">
        <f t="shared" si="48"/>
        <v>1674.2464191195027</v>
      </c>
      <c r="U73" s="124">
        <f t="shared" si="48"/>
        <v>1674.2464191195027</v>
      </c>
      <c r="V73" s="124">
        <f t="shared" si="48"/>
        <v>1674.2464191195027</v>
      </c>
      <c r="W73" s="124">
        <f t="shared" ref="W73:X73" si="49">IF($F$73="Ineligible","",
IF($C$10=0,"",
IF(
AND(
W50&gt;20+N("IT is later than teh 20th year AND"),
$C$15=0.1+N("Percentage as share is 10 percent THEN")),
0,
IF(
V62=0,
0+N("If loan balance from the preceding year is zero then IBR payment is zero, if not then"),
IF(
(W96*$C$15)/12&lt;0,
0+N(""),
IF(
((W96*$C$15)/12)&lt;($D$58/12)+N("If the IBR payment is less than the standard"),
((W96*$C$15)/12)+N("Then the IBR payment"),
$F$84+N("If IBR is greater or equal to teh standard, then the standard plan")))))))</f>
        <v>1674.2464191195027</v>
      </c>
      <c r="X73" s="124">
        <f t="shared" si="49"/>
        <v>0</v>
      </c>
      <c r="Y73" s="124">
        <f>IF($F$73="Ineligible","",
IF($C$10=0,"",
IF(
AND(
Y50&gt;20+N("IT is later than teh 20th year AND"),
$C$15=0.1+N("Percentage as share is 10 percent THEN")),
0,
IF(
X62=0,
0+N("If loan balance from the preceding year is zero then IBR payment is zero, if not then"),
IF(
(Y96*$C$15)/12&lt;0,
0+N(""),
IF(
((Y96*$C$15)/12)&lt;($D$58/12)+N("If the IBR payment is less than the standard"),
((Y96*$C$15)/12)+N("Then the IBR payment"),
$F$84+N("If IBR is greater or equal to teh standard, then the standard plan")))))))</f>
        <v>0</v>
      </c>
      <c r="Z73" s="124">
        <f t="shared" ref="Z73:AD73" si="50">IF($F$73="Ineligible","",
IF($C$10=0,"",
IF(
AND(
Z50&gt;20+N("IT is later than teh 20th year AND"),
$C$15=0.1+N("Percentage as share is 10 percent THEN")),
0,
IF(
Y62=0,
0+N("If loan balance from the preceding year is zero then IBR payment is zero, if not then"),
IF(
(Z96*$C$15)/12&lt;0,
0+N(""),
IF(
((Z96*$C$15)/12)&lt;($D$58/12)+N("If the IBR payment is less than the standard"),
((Z96*$C$15)/12)+N("Then the IBR payment"),
$F$84+N("If IBR is greater or equal to teh standard, then the standard plan")))))))</f>
        <v>0</v>
      </c>
      <c r="AA73" s="124">
        <f t="shared" si="50"/>
        <v>0</v>
      </c>
      <c r="AB73" s="124">
        <f t="shared" si="50"/>
        <v>0</v>
      </c>
      <c r="AC73" s="124">
        <f t="shared" si="50"/>
        <v>0</v>
      </c>
      <c r="AD73" s="124">
        <f t="shared" si="50"/>
        <v>0</v>
      </c>
      <c r="AE73" s="125"/>
      <c r="AF73" s="126"/>
      <c r="AG73" s="126"/>
      <c r="AH73" s="126"/>
      <c r="AI73" s="127"/>
      <c r="AJ73" s="87"/>
      <c r="AK73" s="87"/>
      <c r="AL73" s="87"/>
      <c r="AM73" s="87"/>
      <c r="AN73" s="87"/>
      <c r="AO73" s="87"/>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c r="HR73" s="12"/>
      <c r="HS73" s="12"/>
      <c r="HT73" s="12"/>
      <c r="HU73" s="12"/>
      <c r="HV73" s="12"/>
      <c r="HW73" s="12"/>
      <c r="HX73" s="12"/>
      <c r="HY73" s="12"/>
      <c r="HZ73" s="12"/>
      <c r="IA73" s="12"/>
      <c r="IB73" s="12"/>
      <c r="IC73" s="12"/>
      <c r="ID73" s="12"/>
      <c r="IE73" s="12"/>
      <c r="IF73" s="12"/>
      <c r="IG73" s="12"/>
      <c r="IH73" s="12"/>
      <c r="II73" s="12"/>
      <c r="IJ73" s="12"/>
      <c r="IK73" s="12"/>
      <c r="IL73" s="12"/>
      <c r="IM73" s="12"/>
      <c r="IN73" s="12"/>
      <c r="IO73" s="12"/>
      <c r="IP73" s="12"/>
      <c r="IQ73" s="12"/>
      <c r="IR73" s="12"/>
      <c r="IS73" s="12"/>
      <c r="IT73" s="12"/>
      <c r="IU73" s="12"/>
      <c r="IV73" s="12"/>
      <c r="IW73" s="12"/>
      <c r="IX73" s="12"/>
      <c r="IY73" s="12"/>
      <c r="IZ73" s="12"/>
      <c r="JA73" s="12"/>
      <c r="JB73" s="12"/>
      <c r="JC73" s="12"/>
      <c r="JD73" s="12"/>
      <c r="JE73" s="12"/>
      <c r="JF73" s="12"/>
      <c r="JG73" s="12"/>
      <c r="JH73" s="12"/>
      <c r="JI73" s="12"/>
      <c r="JJ73" s="12"/>
      <c r="JK73" s="12"/>
      <c r="JL73" s="12"/>
      <c r="JM73" s="12"/>
      <c r="JN73" s="12"/>
      <c r="JO73" s="12"/>
      <c r="JP73" s="12"/>
      <c r="JQ73" s="12"/>
      <c r="JR73" s="12"/>
      <c r="JS73" s="12"/>
      <c r="JT73" s="12"/>
      <c r="JU73" s="12"/>
      <c r="JV73" s="12"/>
      <c r="JW73" s="12"/>
      <c r="JX73" s="12"/>
      <c r="JY73" s="12"/>
      <c r="JZ73" s="12"/>
      <c r="KA73" s="12"/>
      <c r="KB73" s="12"/>
      <c r="KC73" s="12"/>
      <c r="KD73" s="12"/>
      <c r="KE73" s="12"/>
      <c r="KF73" s="12"/>
      <c r="KG73" s="12"/>
      <c r="KH73" s="12"/>
      <c r="KI73" s="12"/>
      <c r="KJ73" s="12"/>
      <c r="KK73" s="12"/>
      <c r="KL73" s="12"/>
      <c r="KM73" s="12"/>
      <c r="KN73" s="12"/>
      <c r="KO73" s="12"/>
      <c r="KP73" s="12"/>
      <c r="KQ73" s="12"/>
      <c r="KR73" s="12"/>
      <c r="KS73" s="12"/>
      <c r="KT73" s="12"/>
      <c r="KU73" s="12"/>
      <c r="KV73" s="12"/>
      <c r="KW73" s="12"/>
      <c r="KX73" s="12"/>
      <c r="KY73" s="12"/>
      <c r="KZ73" s="12"/>
      <c r="LA73" s="12"/>
      <c r="LB73" s="12"/>
      <c r="LC73" s="12"/>
      <c r="LD73" s="12"/>
      <c r="LE73" s="12"/>
      <c r="LF73" s="12"/>
      <c r="LG73" s="12"/>
      <c r="LH73" s="12"/>
      <c r="LI73" s="12"/>
      <c r="LJ73" s="12"/>
      <c r="LK73" s="12"/>
      <c r="LL73" s="12"/>
      <c r="LM73" s="12"/>
      <c r="LN73" s="12"/>
      <c r="LO73" s="12"/>
      <c r="LP73" s="12"/>
      <c r="LQ73" s="12"/>
      <c r="LR73" s="12"/>
      <c r="LS73" s="12"/>
      <c r="LT73" s="12"/>
      <c r="LU73" s="12"/>
      <c r="LV73" s="12"/>
      <c r="LW73" s="12"/>
      <c r="LX73" s="12"/>
      <c r="LY73" s="12"/>
      <c r="LZ73" s="12"/>
      <c r="MA73" s="12"/>
      <c r="MB73" s="12"/>
      <c r="MC73" s="12"/>
      <c r="MD73" s="12"/>
      <c r="ME73" s="12"/>
      <c r="MF73" s="12"/>
      <c r="MG73" s="12"/>
      <c r="MH73" s="12"/>
      <c r="MI73" s="12"/>
      <c r="MJ73" s="12"/>
      <c r="MK73" s="12"/>
      <c r="ML73" s="12"/>
      <c r="MM73" s="12"/>
      <c r="MN73" s="12"/>
      <c r="MO73" s="12"/>
      <c r="MP73" s="12"/>
      <c r="MQ73" s="12"/>
      <c r="MR73" s="12"/>
      <c r="MS73" s="12"/>
      <c r="MT73" s="12"/>
      <c r="MU73" s="12"/>
      <c r="MV73" s="12"/>
      <c r="MW73" s="12"/>
      <c r="MX73" s="12"/>
      <c r="MY73" s="12"/>
      <c r="MZ73" s="12"/>
      <c r="NA73" s="12"/>
      <c r="NB73" s="12"/>
      <c r="NC73" s="12"/>
      <c r="ND73" s="12"/>
      <c r="NE73" s="12"/>
      <c r="NF73" s="12"/>
      <c r="NG73" s="12"/>
      <c r="NH73" s="12"/>
      <c r="NI73" s="12"/>
      <c r="NJ73" s="12"/>
      <c r="NK73" s="12"/>
      <c r="NL73" s="12"/>
      <c r="NM73" s="12"/>
      <c r="NN73" s="12"/>
      <c r="NO73" s="12"/>
      <c r="NP73" s="12"/>
      <c r="NQ73" s="12"/>
      <c r="NR73" s="12"/>
      <c r="NS73" s="12"/>
      <c r="NT73" s="12"/>
      <c r="NU73" s="12"/>
      <c r="NV73" s="12"/>
      <c r="NW73" s="12"/>
      <c r="NX73" s="12"/>
      <c r="NY73" s="12"/>
      <c r="NZ73" s="12"/>
      <c r="OA73" s="12"/>
      <c r="OB73" s="12"/>
      <c r="OC73" s="12"/>
      <c r="OD73" s="12"/>
      <c r="OE73" s="12"/>
      <c r="OF73" s="12"/>
      <c r="OG73" s="12"/>
      <c r="OH73" s="12"/>
      <c r="OI73" s="12"/>
      <c r="OJ73" s="12"/>
      <c r="OK73" s="12"/>
      <c r="OL73" s="12"/>
      <c r="OM73" s="12"/>
      <c r="ON73" s="12"/>
      <c r="OO73" s="12"/>
      <c r="OP73" s="12"/>
      <c r="OQ73" s="12"/>
      <c r="OR73" s="12"/>
      <c r="OS73" s="12"/>
      <c r="OT73" s="12"/>
      <c r="OU73" s="12"/>
      <c r="OV73" s="12"/>
      <c r="OW73" s="12"/>
      <c r="OX73" s="12"/>
      <c r="OY73" s="12"/>
      <c r="OZ73" s="12"/>
      <c r="PA73" s="12"/>
      <c r="PB73" s="12"/>
      <c r="PC73" s="12"/>
      <c r="PD73" s="12"/>
      <c r="PE73" s="12"/>
      <c r="PF73" s="12"/>
      <c r="PG73" s="12"/>
      <c r="PH73" s="12"/>
      <c r="PI73" s="12"/>
      <c r="PJ73" s="12"/>
      <c r="PK73" s="12"/>
      <c r="PL73" s="12"/>
      <c r="PM73" s="12"/>
      <c r="PN73" s="12"/>
      <c r="PO73" s="12"/>
      <c r="PP73" s="12"/>
      <c r="PQ73" s="12"/>
      <c r="PR73" s="12"/>
      <c r="PS73" s="12"/>
      <c r="PT73" s="12"/>
      <c r="PU73" s="12"/>
      <c r="PV73" s="12"/>
      <c r="PW73" s="12"/>
      <c r="PX73" s="12"/>
      <c r="PY73" s="12"/>
      <c r="PZ73" s="12"/>
      <c r="QA73" s="12"/>
      <c r="QB73" s="12"/>
      <c r="QC73" s="12"/>
      <c r="QD73" s="12"/>
      <c r="QE73" s="12"/>
      <c r="QF73" s="12"/>
      <c r="QG73" s="12"/>
      <c r="QH73" s="12"/>
      <c r="QI73" s="12"/>
      <c r="QJ73" s="12"/>
      <c r="QK73" s="12"/>
      <c r="QL73" s="12"/>
      <c r="QM73" s="12"/>
      <c r="QN73" s="12"/>
      <c r="QO73" s="12"/>
      <c r="QP73" s="12"/>
      <c r="QQ73" s="12"/>
      <c r="QR73" s="12"/>
      <c r="QS73" s="12"/>
      <c r="QT73" s="12"/>
      <c r="QU73" s="12"/>
      <c r="QV73" s="12"/>
      <c r="QW73" s="12"/>
      <c r="QX73" s="12"/>
      <c r="QY73" s="12"/>
      <c r="QZ73" s="12"/>
      <c r="RA73" s="12"/>
      <c r="RB73" s="12"/>
      <c r="RC73" s="12"/>
      <c r="RD73" s="12"/>
      <c r="RE73" s="12"/>
      <c r="RF73" s="12"/>
      <c r="RG73" s="12"/>
      <c r="RH73" s="12"/>
      <c r="RI73" s="12"/>
      <c r="RJ73" s="12"/>
      <c r="RK73" s="12"/>
      <c r="RL73" s="12"/>
      <c r="RM73" s="12"/>
      <c r="RN73" s="12"/>
      <c r="RO73" s="12"/>
      <c r="RP73" s="12"/>
      <c r="RQ73" s="12"/>
      <c r="RR73" s="12"/>
      <c r="RS73" s="12"/>
      <c r="RT73" s="12"/>
      <c r="RU73" s="12"/>
      <c r="RV73" s="12"/>
      <c r="RW73" s="12"/>
      <c r="RX73" s="12"/>
      <c r="RY73" s="12"/>
      <c r="RZ73" s="12"/>
      <c r="SA73" s="12"/>
      <c r="SB73" s="12"/>
      <c r="SC73" s="12"/>
      <c r="SD73" s="12"/>
    </row>
    <row r="74" spans="1:498" s="10" customFormat="1">
      <c r="A74" s="90"/>
      <c r="B74" s="88"/>
      <c r="C74" s="203" t="s">
        <v>44</v>
      </c>
      <c r="D74" s="203"/>
      <c r="E74" s="203"/>
      <c r="F74" s="128">
        <f>IF($F$73="Ineligible","",IF($C$10=0,"",F62))</f>
        <v>146232</v>
      </c>
      <c r="G74" s="128">
        <f t="shared" ref="G74:AD74" si="51">IF($F$73="Ineligible","",IF($C$10=0,"",G62))</f>
        <v>147189.58257500001</v>
      </c>
      <c r="H74" s="128">
        <f t="shared" si="51"/>
        <v>147864.2060976325</v>
      </c>
      <c r="I74" s="128">
        <f t="shared" si="51"/>
        <v>148247.06493318308</v>
      </c>
      <c r="J74" s="128">
        <f t="shared" si="51"/>
        <v>148329.08132463097</v>
      </c>
      <c r="K74" s="128">
        <f t="shared" si="51"/>
        <v>148100.89702935296</v>
      </c>
      <c r="L74" s="128">
        <f t="shared" si="51"/>
        <v>147552.86469991767</v>
      </c>
      <c r="M74" s="128">
        <f t="shared" si="51"/>
        <v>138011.11998719719</v>
      </c>
      <c r="N74" s="128">
        <f t="shared" si="51"/>
        <v>127408.42745688299</v>
      </c>
      <c r="O74" s="128">
        <f t="shared" si="51"/>
        <v>116076.79981510967</v>
      </c>
      <c r="P74" s="128">
        <f t="shared" si="51"/>
        <v>103966.12277296445</v>
      </c>
      <c r="Q74" s="128">
        <f t="shared" si="51"/>
        <v>91022.836684171722</v>
      </c>
      <c r="R74" s="128">
        <f t="shared" si="51"/>
        <v>77189.6996767745</v>
      </c>
      <c r="S74" s="128">
        <f t="shared" si="51"/>
        <v>62405.534500118731</v>
      </c>
      <c r="T74" s="128">
        <f t="shared" si="51"/>
        <v>46604.957967567876</v>
      </c>
      <c r="U74" s="128">
        <f t="shared" si="51"/>
        <v>29718.091798404144</v>
      </c>
      <c r="V74" s="128">
        <f t="shared" si="51"/>
        <v>11670.253580110402</v>
      </c>
      <c r="W74" s="128">
        <f t="shared" si="51"/>
        <v>0</v>
      </c>
      <c r="X74" s="128">
        <f t="shared" si="51"/>
        <v>0</v>
      </c>
      <c r="Y74" s="128">
        <f t="shared" si="51"/>
        <v>0</v>
      </c>
      <c r="Z74" s="128">
        <f t="shared" si="51"/>
        <v>0</v>
      </c>
      <c r="AA74" s="128">
        <f t="shared" si="51"/>
        <v>0</v>
      </c>
      <c r="AB74" s="128">
        <f t="shared" si="51"/>
        <v>0</v>
      </c>
      <c r="AC74" s="128">
        <f t="shared" si="51"/>
        <v>0</v>
      </c>
      <c r="AD74" s="128">
        <f t="shared" si="51"/>
        <v>0</v>
      </c>
      <c r="AE74" s="129"/>
      <c r="AF74" s="130"/>
      <c r="AG74" s="130"/>
      <c r="AH74" s="130"/>
      <c r="AI74" s="131"/>
      <c r="AJ74" s="90"/>
      <c r="AK74" s="90"/>
      <c r="AL74" s="90"/>
      <c r="AM74" s="90"/>
      <c r="AN74" s="90"/>
      <c r="AO74" s="90"/>
      <c r="AP74" s="11"/>
      <c r="AQ74" s="11"/>
      <c r="AR74" s="11"/>
      <c r="AS74" s="11"/>
      <c r="AT74" s="11"/>
      <c r="AU74" s="11"/>
      <c r="AV74" s="11"/>
      <c r="AW74" s="11"/>
      <c r="AX74" s="11"/>
      <c r="AY74" s="11"/>
      <c r="AZ74" s="11"/>
      <c r="BA74" s="11"/>
      <c r="BB74" s="11"/>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c r="HG74" s="12"/>
      <c r="HH74" s="12"/>
      <c r="HI74" s="12"/>
      <c r="HJ74" s="12"/>
      <c r="HK74" s="12"/>
      <c r="HL74" s="12"/>
      <c r="HM74" s="12"/>
      <c r="HN74" s="12"/>
      <c r="HO74" s="12"/>
      <c r="HP74" s="12"/>
      <c r="HQ74" s="12"/>
      <c r="HR74" s="12"/>
      <c r="HS74" s="12"/>
      <c r="HT74" s="12"/>
      <c r="HU74" s="12"/>
      <c r="HV74" s="12"/>
      <c r="HW74" s="12"/>
      <c r="HX74" s="12"/>
      <c r="HY74" s="12"/>
      <c r="HZ74" s="12"/>
      <c r="IA74" s="12"/>
      <c r="IB74" s="12"/>
      <c r="IC74" s="12"/>
      <c r="ID74" s="12"/>
      <c r="IE74" s="12"/>
      <c r="IF74" s="12"/>
      <c r="IG74" s="12"/>
      <c r="IH74" s="12"/>
      <c r="II74" s="12"/>
      <c r="IJ74" s="12"/>
      <c r="IK74" s="12"/>
      <c r="IL74" s="12"/>
      <c r="IM74" s="12"/>
      <c r="IN74" s="12"/>
      <c r="IO74" s="12"/>
      <c r="IP74" s="12"/>
      <c r="IQ74" s="12"/>
      <c r="IR74" s="12"/>
      <c r="IS74" s="12"/>
      <c r="IT74" s="12"/>
      <c r="IU74" s="12"/>
      <c r="IV74" s="12"/>
      <c r="IW74" s="12"/>
      <c r="IX74" s="12"/>
      <c r="IY74" s="12"/>
      <c r="IZ74" s="12"/>
      <c r="JA74" s="12"/>
      <c r="JB74" s="12"/>
      <c r="JC74" s="12"/>
      <c r="JD74" s="12"/>
      <c r="JE74" s="12"/>
      <c r="JF74" s="12"/>
      <c r="JG74" s="12"/>
      <c r="JH74" s="12"/>
      <c r="JI74" s="12"/>
      <c r="JJ74" s="12"/>
      <c r="JK74" s="12"/>
      <c r="JL74" s="12"/>
      <c r="JM74" s="12"/>
      <c r="JN74" s="12"/>
      <c r="JO74" s="12"/>
      <c r="JP74" s="12"/>
      <c r="JQ74" s="12"/>
      <c r="JR74" s="12"/>
      <c r="JS74" s="12"/>
      <c r="JT74" s="12"/>
      <c r="JU74" s="12"/>
      <c r="JV74" s="12"/>
      <c r="JW74" s="12"/>
      <c r="JX74" s="12"/>
      <c r="JY74" s="12"/>
      <c r="JZ74" s="12"/>
      <c r="KA74" s="12"/>
      <c r="KB74" s="12"/>
      <c r="KC74" s="12"/>
      <c r="KD74" s="12"/>
      <c r="KE74" s="12"/>
      <c r="KF74" s="12"/>
      <c r="KG74" s="12"/>
      <c r="KH74" s="12"/>
      <c r="KI74" s="12"/>
      <c r="KJ74" s="12"/>
      <c r="KK74" s="12"/>
      <c r="KL74" s="12"/>
      <c r="KM74" s="12"/>
      <c r="KN74" s="12"/>
      <c r="KO74" s="12"/>
      <c r="KP74" s="12"/>
      <c r="KQ74" s="12"/>
      <c r="KR74" s="12"/>
      <c r="KS74" s="12"/>
      <c r="KT74" s="12"/>
      <c r="KU74" s="12"/>
      <c r="KV74" s="12"/>
      <c r="KW74" s="12"/>
      <c r="KX74" s="12"/>
      <c r="KY74" s="12"/>
      <c r="KZ74" s="12"/>
      <c r="LA74" s="12"/>
      <c r="LB74" s="12"/>
      <c r="LC74" s="12"/>
      <c r="LD74" s="12"/>
      <c r="LE74" s="12"/>
      <c r="LF74" s="12"/>
      <c r="LG74" s="12"/>
      <c r="LH74" s="12"/>
      <c r="LI74" s="12"/>
      <c r="LJ74" s="12"/>
      <c r="LK74" s="12"/>
      <c r="LL74" s="12"/>
      <c r="LM74" s="12"/>
      <c r="LN74" s="12"/>
      <c r="LO74" s="12"/>
      <c r="LP74" s="12"/>
      <c r="LQ74" s="12"/>
      <c r="LR74" s="12"/>
      <c r="LS74" s="12"/>
      <c r="LT74" s="12"/>
      <c r="LU74" s="12"/>
      <c r="LV74" s="12"/>
      <c r="LW74" s="12"/>
      <c r="LX74" s="12"/>
      <c r="LY74" s="12"/>
      <c r="LZ74" s="12"/>
      <c r="MA74" s="12"/>
      <c r="MB74" s="12"/>
      <c r="MC74" s="12"/>
      <c r="MD74" s="12"/>
      <c r="ME74" s="12"/>
      <c r="MF74" s="12"/>
      <c r="MG74" s="12"/>
      <c r="MH74" s="12"/>
      <c r="MI74" s="12"/>
      <c r="MJ74" s="12"/>
      <c r="MK74" s="12"/>
      <c r="ML74" s="12"/>
      <c r="MM74" s="12"/>
      <c r="MN74" s="12"/>
      <c r="MO74" s="12"/>
      <c r="MP74" s="12"/>
      <c r="MQ74" s="12"/>
      <c r="MR74" s="12"/>
      <c r="MS74" s="12"/>
      <c r="MT74" s="12"/>
      <c r="MU74" s="12"/>
      <c r="MV74" s="12"/>
      <c r="MW74" s="12"/>
      <c r="MX74" s="12"/>
      <c r="MY74" s="12"/>
      <c r="MZ74" s="12"/>
      <c r="NA74" s="12"/>
      <c r="NB74" s="12"/>
      <c r="NC74" s="12"/>
      <c r="ND74" s="12"/>
      <c r="NE74" s="12"/>
      <c r="NF74" s="12"/>
      <c r="NG74" s="12"/>
      <c r="NH74" s="12"/>
      <c r="NI74" s="12"/>
      <c r="NJ74" s="12"/>
      <c r="NK74" s="12"/>
      <c r="NL74" s="12"/>
      <c r="NM74" s="12"/>
      <c r="NN74" s="12"/>
      <c r="NO74" s="12"/>
      <c r="NP74" s="12"/>
      <c r="NQ74" s="12"/>
      <c r="NR74" s="12"/>
      <c r="NS74" s="12"/>
      <c r="NT74" s="12"/>
      <c r="NU74" s="12"/>
      <c r="NV74" s="12"/>
      <c r="NW74" s="12"/>
      <c r="NX74" s="12"/>
      <c r="NY74" s="12"/>
      <c r="NZ74" s="12"/>
      <c r="OA74" s="12"/>
      <c r="OB74" s="12"/>
      <c r="OC74" s="12"/>
      <c r="OD74" s="12"/>
      <c r="OE74" s="12"/>
      <c r="OF74" s="12"/>
      <c r="OG74" s="12"/>
      <c r="OH74" s="12"/>
      <c r="OI74" s="12"/>
      <c r="OJ74" s="12"/>
      <c r="OK74" s="12"/>
      <c r="OL74" s="12"/>
      <c r="OM74" s="12"/>
      <c r="ON74" s="12"/>
      <c r="OO74" s="12"/>
      <c r="OP74" s="12"/>
      <c r="OQ74" s="12"/>
      <c r="OR74" s="12"/>
      <c r="OS74" s="12"/>
      <c r="OT74" s="12"/>
      <c r="OU74" s="12"/>
      <c r="OV74" s="12"/>
      <c r="OW74" s="12"/>
      <c r="OX74" s="12"/>
      <c r="OY74" s="12"/>
      <c r="OZ74" s="12"/>
      <c r="PA74" s="12"/>
      <c r="PB74" s="12"/>
      <c r="PC74" s="12"/>
      <c r="PD74" s="12"/>
      <c r="PE74" s="12"/>
      <c r="PF74" s="12"/>
      <c r="PG74" s="12"/>
      <c r="PH74" s="12"/>
      <c r="PI74" s="12"/>
      <c r="PJ74" s="12"/>
      <c r="PK74" s="12"/>
      <c r="PL74" s="12"/>
      <c r="PM74" s="12"/>
      <c r="PN74" s="12"/>
      <c r="PO74" s="12"/>
      <c r="PP74" s="12"/>
      <c r="PQ74" s="12"/>
      <c r="PR74" s="12"/>
      <c r="PS74" s="12"/>
      <c r="PT74" s="12"/>
      <c r="PU74" s="12"/>
      <c r="PV74" s="12"/>
      <c r="PW74" s="12"/>
      <c r="PX74" s="12"/>
      <c r="PY74" s="12"/>
      <c r="PZ74" s="12"/>
      <c r="QA74" s="12"/>
      <c r="QB74" s="12"/>
      <c r="QC74" s="12"/>
      <c r="QD74" s="12"/>
      <c r="QE74" s="12"/>
      <c r="QF74" s="12"/>
      <c r="QG74" s="12"/>
      <c r="QH74" s="12"/>
      <c r="QI74" s="12"/>
      <c r="QJ74" s="12"/>
      <c r="QK74" s="12"/>
      <c r="QL74" s="12"/>
      <c r="QM74" s="12"/>
      <c r="QN74" s="12"/>
      <c r="QO74" s="12"/>
      <c r="QP74" s="12"/>
      <c r="QQ74" s="12"/>
      <c r="QR74" s="12"/>
      <c r="QS74" s="12"/>
      <c r="QT74" s="12"/>
      <c r="QU74" s="12"/>
      <c r="QV74" s="12"/>
      <c r="QW74" s="12"/>
      <c r="QX74" s="12"/>
      <c r="QY74" s="12"/>
      <c r="QZ74" s="12"/>
      <c r="RA74" s="12"/>
      <c r="RB74" s="12"/>
      <c r="RC74" s="12"/>
      <c r="RD74" s="12"/>
      <c r="RE74" s="12"/>
      <c r="RF74" s="12"/>
      <c r="RG74" s="12"/>
      <c r="RH74" s="12"/>
      <c r="RI74" s="12"/>
      <c r="RJ74" s="12"/>
      <c r="RK74" s="12"/>
      <c r="RL74" s="12"/>
      <c r="RM74" s="12"/>
      <c r="RN74" s="12"/>
      <c r="RO74" s="12"/>
      <c r="RP74" s="12"/>
      <c r="RQ74" s="12"/>
      <c r="RR74" s="12"/>
      <c r="RS74" s="12"/>
      <c r="RT74" s="12"/>
      <c r="RU74" s="12"/>
      <c r="RV74" s="12"/>
      <c r="RW74" s="12"/>
      <c r="RX74" s="12"/>
      <c r="RY74" s="12"/>
      <c r="RZ74" s="12"/>
      <c r="SA74" s="12"/>
      <c r="SB74" s="12"/>
      <c r="SC74" s="12"/>
      <c r="SD74" s="12"/>
    </row>
    <row r="75" spans="1:498" s="10" customFormat="1">
      <c r="A75" s="90"/>
      <c r="B75" s="88"/>
      <c r="C75" s="132"/>
      <c r="D75" s="132"/>
      <c r="E75" s="132"/>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20"/>
      <c r="AF75" s="120"/>
      <c r="AG75" s="120"/>
      <c r="AH75" s="120"/>
      <c r="AI75" s="120"/>
      <c r="AJ75" s="90"/>
      <c r="AK75" s="90"/>
      <c r="AL75" s="90"/>
      <c r="AM75" s="90"/>
      <c r="AN75" s="90"/>
      <c r="AO75" s="90"/>
      <c r="AP75" s="11"/>
      <c r="AQ75" s="11"/>
      <c r="AR75" s="11"/>
      <c r="AS75" s="11"/>
      <c r="AT75" s="11"/>
      <c r="AU75" s="11"/>
      <c r="AV75" s="11"/>
      <c r="AW75" s="11"/>
      <c r="AX75" s="11"/>
      <c r="AY75" s="11"/>
      <c r="AZ75" s="11"/>
      <c r="BA75" s="11"/>
      <c r="BB75" s="11"/>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c r="HG75" s="12"/>
      <c r="HH75" s="12"/>
      <c r="HI75" s="12"/>
      <c r="HJ75" s="12"/>
      <c r="HK75" s="12"/>
      <c r="HL75" s="12"/>
      <c r="HM75" s="12"/>
      <c r="HN75" s="12"/>
      <c r="HO75" s="12"/>
      <c r="HP75" s="12"/>
      <c r="HQ75" s="12"/>
      <c r="HR75" s="12"/>
      <c r="HS75" s="12"/>
      <c r="HT75" s="12"/>
      <c r="HU75" s="12"/>
      <c r="HV75" s="12"/>
      <c r="HW75" s="12"/>
      <c r="HX75" s="12"/>
      <c r="HY75" s="12"/>
      <c r="HZ75" s="12"/>
      <c r="IA75" s="12"/>
      <c r="IB75" s="12"/>
      <c r="IC75" s="12"/>
      <c r="ID75" s="12"/>
      <c r="IE75" s="12"/>
      <c r="IF75" s="12"/>
      <c r="IG75" s="12"/>
      <c r="IH75" s="12"/>
      <c r="II75" s="12"/>
      <c r="IJ75" s="12"/>
      <c r="IK75" s="12"/>
      <c r="IL75" s="12"/>
      <c r="IM75" s="12"/>
      <c r="IN75" s="12"/>
      <c r="IO75" s="12"/>
      <c r="IP75" s="12"/>
      <c r="IQ75" s="12"/>
      <c r="IR75" s="12"/>
      <c r="IS75" s="12"/>
      <c r="IT75" s="12"/>
      <c r="IU75" s="12"/>
      <c r="IV75" s="12"/>
      <c r="IW75" s="12"/>
      <c r="IX75" s="12"/>
      <c r="IY75" s="12"/>
      <c r="IZ75" s="12"/>
      <c r="JA75" s="12"/>
      <c r="JB75" s="12"/>
      <c r="JC75" s="12"/>
      <c r="JD75" s="12"/>
      <c r="JE75" s="12"/>
      <c r="JF75" s="12"/>
      <c r="JG75" s="12"/>
      <c r="JH75" s="12"/>
      <c r="JI75" s="12"/>
      <c r="JJ75" s="12"/>
      <c r="JK75" s="12"/>
      <c r="JL75" s="12"/>
      <c r="JM75" s="12"/>
      <c r="JN75" s="12"/>
      <c r="JO75" s="12"/>
      <c r="JP75" s="12"/>
      <c r="JQ75" s="12"/>
      <c r="JR75" s="12"/>
      <c r="JS75" s="12"/>
      <c r="JT75" s="12"/>
      <c r="JU75" s="12"/>
      <c r="JV75" s="12"/>
      <c r="JW75" s="12"/>
      <c r="JX75" s="12"/>
      <c r="JY75" s="12"/>
      <c r="JZ75" s="12"/>
      <c r="KA75" s="12"/>
      <c r="KB75" s="12"/>
      <c r="KC75" s="12"/>
      <c r="KD75" s="12"/>
      <c r="KE75" s="12"/>
      <c r="KF75" s="12"/>
      <c r="KG75" s="12"/>
      <c r="KH75" s="12"/>
      <c r="KI75" s="12"/>
      <c r="KJ75" s="12"/>
      <c r="KK75" s="12"/>
      <c r="KL75" s="12"/>
      <c r="KM75" s="12"/>
      <c r="KN75" s="12"/>
      <c r="KO75" s="12"/>
      <c r="KP75" s="12"/>
      <c r="KQ75" s="12"/>
      <c r="KR75" s="12"/>
      <c r="KS75" s="12"/>
      <c r="KT75" s="12"/>
      <c r="KU75" s="12"/>
      <c r="KV75" s="12"/>
      <c r="KW75" s="12"/>
      <c r="KX75" s="12"/>
      <c r="KY75" s="12"/>
      <c r="KZ75" s="12"/>
      <c r="LA75" s="12"/>
      <c r="LB75" s="12"/>
      <c r="LC75" s="12"/>
      <c r="LD75" s="12"/>
      <c r="LE75" s="12"/>
      <c r="LF75" s="12"/>
      <c r="LG75" s="12"/>
      <c r="LH75" s="12"/>
      <c r="LI75" s="12"/>
      <c r="LJ75" s="12"/>
      <c r="LK75" s="12"/>
      <c r="LL75" s="12"/>
      <c r="LM75" s="12"/>
      <c r="LN75" s="12"/>
      <c r="LO75" s="12"/>
      <c r="LP75" s="12"/>
      <c r="LQ75" s="12"/>
      <c r="LR75" s="12"/>
      <c r="LS75" s="12"/>
      <c r="LT75" s="12"/>
      <c r="LU75" s="12"/>
      <c r="LV75" s="12"/>
      <c r="LW75" s="12"/>
      <c r="LX75" s="12"/>
      <c r="LY75" s="12"/>
      <c r="LZ75" s="12"/>
      <c r="MA75" s="12"/>
      <c r="MB75" s="12"/>
      <c r="MC75" s="12"/>
      <c r="MD75" s="12"/>
      <c r="ME75" s="12"/>
      <c r="MF75" s="12"/>
      <c r="MG75" s="12"/>
      <c r="MH75" s="12"/>
      <c r="MI75" s="12"/>
      <c r="MJ75" s="12"/>
      <c r="MK75" s="12"/>
      <c r="ML75" s="12"/>
      <c r="MM75" s="12"/>
      <c r="MN75" s="12"/>
      <c r="MO75" s="12"/>
      <c r="MP75" s="12"/>
      <c r="MQ75" s="12"/>
      <c r="MR75" s="12"/>
      <c r="MS75" s="12"/>
      <c r="MT75" s="12"/>
      <c r="MU75" s="12"/>
      <c r="MV75" s="12"/>
      <c r="MW75" s="12"/>
      <c r="MX75" s="12"/>
      <c r="MY75" s="12"/>
      <c r="MZ75" s="12"/>
      <c r="NA75" s="12"/>
      <c r="NB75" s="12"/>
      <c r="NC75" s="12"/>
      <c r="ND75" s="12"/>
      <c r="NE75" s="12"/>
      <c r="NF75" s="12"/>
      <c r="NG75" s="12"/>
      <c r="NH75" s="12"/>
      <c r="NI75" s="12"/>
      <c r="NJ75" s="12"/>
      <c r="NK75" s="12"/>
      <c r="NL75" s="12"/>
      <c r="NM75" s="12"/>
      <c r="NN75" s="12"/>
      <c r="NO75" s="12"/>
      <c r="NP75" s="12"/>
      <c r="NQ75" s="12"/>
      <c r="NR75" s="12"/>
      <c r="NS75" s="12"/>
      <c r="NT75" s="12"/>
      <c r="NU75" s="12"/>
      <c r="NV75" s="12"/>
      <c r="NW75" s="12"/>
      <c r="NX75" s="12"/>
      <c r="NY75" s="12"/>
      <c r="NZ75" s="12"/>
      <c r="OA75" s="12"/>
      <c r="OB75" s="12"/>
      <c r="OC75" s="12"/>
      <c r="OD75" s="12"/>
      <c r="OE75" s="12"/>
      <c r="OF75" s="12"/>
      <c r="OG75" s="12"/>
      <c r="OH75" s="12"/>
      <c r="OI75" s="12"/>
      <c r="OJ75" s="12"/>
      <c r="OK75" s="12"/>
      <c r="OL75" s="12"/>
      <c r="OM75" s="12"/>
      <c r="ON75" s="12"/>
      <c r="OO75" s="12"/>
      <c r="OP75" s="12"/>
      <c r="OQ75" s="12"/>
      <c r="OR75" s="12"/>
      <c r="OS75" s="12"/>
      <c r="OT75" s="12"/>
      <c r="OU75" s="12"/>
      <c r="OV75" s="12"/>
      <c r="OW75" s="12"/>
      <c r="OX75" s="12"/>
      <c r="OY75" s="12"/>
      <c r="OZ75" s="12"/>
      <c r="PA75" s="12"/>
      <c r="PB75" s="12"/>
      <c r="PC75" s="12"/>
      <c r="PD75" s="12"/>
      <c r="PE75" s="12"/>
      <c r="PF75" s="12"/>
      <c r="PG75" s="12"/>
      <c r="PH75" s="12"/>
      <c r="PI75" s="12"/>
      <c r="PJ75" s="12"/>
      <c r="PK75" s="12"/>
      <c r="PL75" s="12"/>
      <c r="PM75" s="12"/>
      <c r="PN75" s="12"/>
      <c r="PO75" s="12"/>
      <c r="PP75" s="12"/>
      <c r="PQ75" s="12"/>
      <c r="PR75" s="12"/>
      <c r="PS75" s="12"/>
      <c r="PT75" s="12"/>
      <c r="PU75" s="12"/>
      <c r="PV75" s="12"/>
      <c r="PW75" s="12"/>
      <c r="PX75" s="12"/>
      <c r="PY75" s="12"/>
      <c r="PZ75" s="12"/>
      <c r="QA75" s="12"/>
      <c r="QB75" s="12"/>
      <c r="QC75" s="12"/>
      <c r="QD75" s="12"/>
      <c r="QE75" s="12"/>
      <c r="QF75" s="12"/>
      <c r="QG75" s="12"/>
      <c r="QH75" s="12"/>
      <c r="QI75" s="12"/>
      <c r="QJ75" s="12"/>
      <c r="QK75" s="12"/>
      <c r="QL75" s="12"/>
      <c r="QM75" s="12"/>
      <c r="QN75" s="12"/>
      <c r="QO75" s="12"/>
      <c r="QP75" s="12"/>
      <c r="QQ75" s="12"/>
      <c r="QR75" s="12"/>
      <c r="QS75" s="12"/>
      <c r="QT75" s="12"/>
      <c r="QU75" s="12"/>
      <c r="QV75" s="12"/>
      <c r="QW75" s="12"/>
      <c r="QX75" s="12"/>
      <c r="QY75" s="12"/>
      <c r="QZ75" s="12"/>
      <c r="RA75" s="12"/>
      <c r="RB75" s="12"/>
      <c r="RC75" s="12"/>
      <c r="RD75" s="12"/>
      <c r="RE75" s="12"/>
      <c r="RF75" s="12"/>
      <c r="RG75" s="12"/>
      <c r="RH75" s="12"/>
      <c r="RI75" s="12"/>
      <c r="RJ75" s="12"/>
      <c r="RK75" s="12"/>
      <c r="RL75" s="12"/>
      <c r="RM75" s="12"/>
      <c r="RN75" s="12"/>
      <c r="RO75" s="12"/>
      <c r="RP75" s="12"/>
      <c r="RQ75" s="12"/>
      <c r="RR75" s="12"/>
      <c r="RS75" s="12"/>
      <c r="RT75" s="12"/>
      <c r="RU75" s="12"/>
      <c r="RV75" s="12"/>
      <c r="RW75" s="12"/>
      <c r="RX75" s="12"/>
      <c r="RY75" s="12"/>
      <c r="RZ75" s="12"/>
      <c r="SA75" s="12"/>
      <c r="SB75" s="12"/>
      <c r="SC75" s="12"/>
      <c r="SD75" s="12"/>
    </row>
    <row r="76" spans="1:498" s="10" customFormat="1">
      <c r="A76" s="90"/>
      <c r="B76" s="93">
        <v>5</v>
      </c>
      <c r="C76" s="204" t="s">
        <v>58</v>
      </c>
      <c r="D76" s="204"/>
      <c r="E76" s="204"/>
      <c r="F76" s="134">
        <f>F69</f>
        <v>485.375</v>
      </c>
      <c r="G76" s="135">
        <f t="shared" ref="G76:Y76" si="52">G69</f>
        <v>500.6204125000001</v>
      </c>
      <c r="H76" s="135">
        <f t="shared" si="52"/>
        <v>516.3403598537501</v>
      </c>
      <c r="I76" s="135">
        <f t="shared" si="52"/>
        <v>532.54950913607934</v>
      </c>
      <c r="J76" s="135">
        <f t="shared" si="52"/>
        <v>549.26297825289487</v>
      </c>
      <c r="K76" s="135">
        <f t="shared" si="52"/>
        <v>566.49634973766763</v>
      </c>
      <c r="L76" s="135">
        <f t="shared" si="52"/>
        <v>584.26568496862672</v>
      </c>
      <c r="M76" s="135">
        <f t="shared" si="52"/>
        <v>1083.9163729289155</v>
      </c>
      <c r="N76" s="135">
        <f t="shared" si="52"/>
        <v>1117.2476738894316</v>
      </c>
      <c r="O76" s="135">
        <f t="shared" si="52"/>
        <v>1151.599340504056</v>
      </c>
      <c r="P76" s="135">
        <f t="shared" si="52"/>
        <v>1187.0024964507081</v>
      </c>
      <c r="Q76" s="135">
        <f t="shared" si="52"/>
        <v>1223.4892119866211</v>
      </c>
      <c r="R76" s="135">
        <f t="shared" si="52"/>
        <v>1261.0925326687352</v>
      </c>
      <c r="S76" s="135">
        <f t="shared" si="52"/>
        <v>1299.846508943808</v>
      </c>
      <c r="T76" s="135">
        <f t="shared" si="52"/>
        <v>1339.7862266345376</v>
      </c>
      <c r="U76" s="135">
        <f t="shared" si="52"/>
        <v>1380.9478383487919</v>
      </c>
      <c r="V76" s="135">
        <f t="shared" si="52"/>
        <v>1423.3685958398457</v>
      </c>
      <c r="W76" s="135">
        <f t="shared" si="52"/>
        <v>1467.0868833463801</v>
      </c>
      <c r="X76" s="135">
        <f t="shared" si="52"/>
        <v>1512.1422519418572</v>
      </c>
      <c r="Y76" s="136">
        <f t="shared" si="52"/>
        <v>1558.5754549237852</v>
      </c>
      <c r="Z76" s="125"/>
      <c r="AA76" s="126"/>
      <c r="AB76" s="126"/>
      <c r="AC76" s="126"/>
      <c r="AD76" s="126"/>
      <c r="AE76" s="126"/>
      <c r="AF76" s="126"/>
      <c r="AG76" s="126"/>
      <c r="AH76" s="126"/>
      <c r="AI76" s="127"/>
      <c r="AJ76" s="90"/>
      <c r="AK76" s="90"/>
      <c r="AL76" s="90"/>
      <c r="AM76" s="90"/>
      <c r="AN76" s="90"/>
      <c r="AO76" s="90"/>
      <c r="AP76" s="11"/>
      <c r="AQ76" s="11"/>
      <c r="AR76" s="11"/>
      <c r="AS76" s="11"/>
      <c r="AT76" s="11"/>
      <c r="AU76" s="11"/>
      <c r="AV76" s="11"/>
      <c r="AW76" s="11"/>
      <c r="AX76" s="11"/>
      <c r="AY76" s="11"/>
      <c r="AZ76" s="11"/>
      <c r="BA76" s="11"/>
      <c r="BB76" s="11"/>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c r="HM76" s="12"/>
      <c r="HN76" s="12"/>
      <c r="HO76" s="12"/>
      <c r="HP76" s="12"/>
      <c r="HQ76" s="12"/>
      <c r="HR76" s="12"/>
      <c r="HS76" s="12"/>
      <c r="HT76" s="12"/>
      <c r="HU76" s="12"/>
      <c r="HV76" s="12"/>
      <c r="HW76" s="12"/>
      <c r="HX76" s="12"/>
      <c r="HY76" s="12"/>
      <c r="HZ76" s="12"/>
      <c r="IA76" s="12"/>
      <c r="IB76" s="12"/>
      <c r="IC76" s="12"/>
      <c r="ID76" s="12"/>
      <c r="IE76" s="12"/>
      <c r="IF76" s="12"/>
      <c r="IG76" s="12"/>
      <c r="IH76" s="12"/>
      <c r="II76" s="12"/>
      <c r="IJ76" s="12"/>
      <c r="IK76" s="12"/>
      <c r="IL76" s="12"/>
      <c r="IM76" s="12"/>
      <c r="IN76" s="12"/>
      <c r="IO76" s="12"/>
      <c r="IP76" s="12"/>
      <c r="IQ76" s="12"/>
      <c r="IR76" s="12"/>
      <c r="IS76" s="12"/>
      <c r="IT76" s="12"/>
      <c r="IU76" s="12"/>
      <c r="IV76" s="12"/>
      <c r="IW76" s="12"/>
      <c r="IX76" s="12"/>
      <c r="IY76" s="12"/>
      <c r="IZ76" s="12"/>
      <c r="JA76" s="12"/>
      <c r="JB76" s="12"/>
      <c r="JC76" s="12"/>
      <c r="JD76" s="12"/>
      <c r="JE76" s="12"/>
      <c r="JF76" s="12"/>
      <c r="JG76" s="12"/>
      <c r="JH76" s="12"/>
      <c r="JI76" s="12"/>
      <c r="JJ76" s="12"/>
      <c r="JK76" s="12"/>
      <c r="JL76" s="12"/>
      <c r="JM76" s="12"/>
      <c r="JN76" s="12"/>
      <c r="JO76" s="12"/>
      <c r="JP76" s="12"/>
      <c r="JQ76" s="12"/>
      <c r="JR76" s="12"/>
      <c r="JS76" s="12"/>
      <c r="JT76" s="12"/>
      <c r="JU76" s="12"/>
      <c r="JV76" s="12"/>
      <c r="JW76" s="12"/>
      <c r="JX76" s="12"/>
      <c r="JY76" s="12"/>
      <c r="JZ76" s="12"/>
      <c r="KA76" s="12"/>
      <c r="KB76" s="12"/>
      <c r="KC76" s="12"/>
      <c r="KD76" s="12"/>
      <c r="KE76" s="12"/>
      <c r="KF76" s="12"/>
      <c r="KG76" s="12"/>
      <c r="KH76" s="12"/>
      <c r="KI76" s="12"/>
      <c r="KJ76" s="12"/>
      <c r="KK76" s="12"/>
      <c r="KL76" s="12"/>
      <c r="KM76" s="12"/>
      <c r="KN76" s="12"/>
      <c r="KO76" s="12"/>
      <c r="KP76" s="12"/>
      <c r="KQ76" s="12"/>
      <c r="KR76" s="12"/>
      <c r="KS76" s="12"/>
      <c r="KT76" s="12"/>
      <c r="KU76" s="12"/>
      <c r="KV76" s="12"/>
      <c r="KW76" s="12"/>
      <c r="KX76" s="12"/>
      <c r="KY76" s="12"/>
      <c r="KZ76" s="12"/>
      <c r="LA76" s="12"/>
      <c r="LB76" s="12"/>
      <c r="LC76" s="12"/>
      <c r="LD76" s="12"/>
      <c r="LE76" s="12"/>
      <c r="LF76" s="12"/>
      <c r="LG76" s="12"/>
      <c r="LH76" s="12"/>
      <c r="LI76" s="12"/>
      <c r="LJ76" s="12"/>
      <c r="LK76" s="12"/>
      <c r="LL76" s="12"/>
      <c r="LM76" s="12"/>
      <c r="LN76" s="12"/>
      <c r="LO76" s="12"/>
      <c r="LP76" s="12"/>
      <c r="LQ76" s="12"/>
      <c r="LR76" s="12"/>
      <c r="LS76" s="12"/>
      <c r="LT76" s="12"/>
      <c r="LU76" s="12"/>
      <c r="LV76" s="12"/>
      <c r="LW76" s="12"/>
      <c r="LX76" s="12"/>
      <c r="LY76" s="12"/>
      <c r="LZ76" s="12"/>
      <c r="MA76" s="12"/>
      <c r="MB76" s="12"/>
      <c r="MC76" s="12"/>
      <c r="MD76" s="12"/>
      <c r="ME76" s="12"/>
      <c r="MF76" s="12"/>
      <c r="MG76" s="12"/>
      <c r="MH76" s="12"/>
      <c r="MI76" s="12"/>
      <c r="MJ76" s="12"/>
      <c r="MK76" s="12"/>
      <c r="ML76" s="12"/>
      <c r="MM76" s="12"/>
      <c r="MN76" s="12"/>
      <c r="MO76" s="12"/>
      <c r="MP76" s="12"/>
      <c r="MQ76" s="12"/>
      <c r="MR76" s="12"/>
      <c r="MS76" s="12"/>
      <c r="MT76" s="12"/>
      <c r="MU76" s="12"/>
      <c r="MV76" s="12"/>
      <c r="MW76" s="12"/>
      <c r="MX76" s="12"/>
      <c r="MY76" s="12"/>
      <c r="MZ76" s="12"/>
      <c r="NA76" s="12"/>
      <c r="NB76" s="12"/>
      <c r="NC76" s="12"/>
      <c r="ND76" s="12"/>
      <c r="NE76" s="12"/>
      <c r="NF76" s="12"/>
      <c r="NG76" s="12"/>
      <c r="NH76" s="12"/>
      <c r="NI76" s="12"/>
      <c r="NJ76" s="12"/>
      <c r="NK76" s="12"/>
      <c r="NL76" s="12"/>
      <c r="NM76" s="12"/>
      <c r="NN76" s="12"/>
      <c r="NO76" s="12"/>
      <c r="NP76" s="12"/>
      <c r="NQ76" s="12"/>
      <c r="NR76" s="12"/>
      <c r="NS76" s="12"/>
      <c r="NT76" s="12"/>
      <c r="NU76" s="12"/>
      <c r="NV76" s="12"/>
      <c r="NW76" s="12"/>
      <c r="NX76" s="12"/>
      <c r="NY76" s="12"/>
      <c r="NZ76" s="12"/>
      <c r="OA76" s="12"/>
      <c r="OB76" s="12"/>
      <c r="OC76" s="12"/>
      <c r="OD76" s="12"/>
      <c r="OE76" s="12"/>
      <c r="OF76" s="12"/>
      <c r="OG76" s="12"/>
      <c r="OH76" s="12"/>
      <c r="OI76" s="12"/>
      <c r="OJ76" s="12"/>
      <c r="OK76" s="12"/>
      <c r="OL76" s="12"/>
      <c r="OM76" s="12"/>
      <c r="ON76" s="12"/>
      <c r="OO76" s="12"/>
      <c r="OP76" s="12"/>
      <c r="OQ76" s="12"/>
      <c r="OR76" s="12"/>
      <c r="OS76" s="12"/>
      <c r="OT76" s="12"/>
      <c r="OU76" s="12"/>
      <c r="OV76" s="12"/>
      <c r="OW76" s="12"/>
      <c r="OX76" s="12"/>
      <c r="OY76" s="12"/>
      <c r="OZ76" s="12"/>
      <c r="PA76" s="12"/>
      <c r="PB76" s="12"/>
      <c r="PC76" s="12"/>
      <c r="PD76" s="12"/>
      <c r="PE76" s="12"/>
      <c r="PF76" s="12"/>
      <c r="PG76" s="12"/>
      <c r="PH76" s="12"/>
      <c r="PI76" s="12"/>
      <c r="PJ76" s="12"/>
      <c r="PK76" s="12"/>
      <c r="PL76" s="12"/>
      <c r="PM76" s="12"/>
      <c r="PN76" s="12"/>
      <c r="PO76" s="12"/>
      <c r="PP76" s="12"/>
      <c r="PQ76" s="12"/>
      <c r="PR76" s="12"/>
      <c r="PS76" s="12"/>
      <c r="PT76" s="12"/>
      <c r="PU76" s="12"/>
      <c r="PV76" s="12"/>
      <c r="PW76" s="12"/>
      <c r="PX76" s="12"/>
      <c r="PY76" s="12"/>
      <c r="PZ76" s="12"/>
      <c r="QA76" s="12"/>
      <c r="QB76" s="12"/>
      <c r="QC76" s="12"/>
      <c r="QD76" s="12"/>
      <c r="QE76" s="12"/>
      <c r="QF76" s="12"/>
      <c r="QG76" s="12"/>
      <c r="QH76" s="12"/>
      <c r="QI76" s="12"/>
      <c r="QJ76" s="12"/>
      <c r="QK76" s="12"/>
      <c r="QL76" s="12"/>
      <c r="QM76" s="12"/>
      <c r="QN76" s="12"/>
      <c r="QO76" s="12"/>
      <c r="QP76" s="12"/>
      <c r="QQ76" s="12"/>
      <c r="QR76" s="12"/>
      <c r="QS76" s="12"/>
      <c r="QT76" s="12"/>
      <c r="QU76" s="12"/>
      <c r="QV76" s="12"/>
      <c r="QW76" s="12"/>
      <c r="QX76" s="12"/>
      <c r="QY76" s="12"/>
      <c r="QZ76" s="12"/>
      <c r="RA76" s="12"/>
      <c r="RB76" s="12"/>
      <c r="RC76" s="12"/>
      <c r="RD76" s="12"/>
      <c r="RE76" s="12"/>
      <c r="RF76" s="12"/>
      <c r="RG76" s="12"/>
      <c r="RH76" s="12"/>
      <c r="RI76" s="12"/>
      <c r="RJ76" s="12"/>
      <c r="RK76" s="12"/>
      <c r="RL76" s="12"/>
      <c r="RM76" s="12"/>
      <c r="RN76" s="12"/>
      <c r="RO76" s="12"/>
      <c r="RP76" s="12"/>
      <c r="RQ76" s="12"/>
      <c r="RR76" s="12"/>
      <c r="RS76" s="12"/>
      <c r="RT76" s="12"/>
      <c r="RU76" s="12"/>
      <c r="RV76" s="12"/>
      <c r="RW76" s="12"/>
      <c r="RX76" s="12"/>
      <c r="RY76" s="12"/>
      <c r="RZ76" s="12"/>
      <c r="SA76" s="12"/>
      <c r="SB76" s="12"/>
      <c r="SC76" s="12"/>
      <c r="SD76" s="12"/>
    </row>
    <row r="77" spans="1:498" s="10" customFormat="1">
      <c r="A77" s="90"/>
      <c r="B77" s="88"/>
      <c r="C77" s="203" t="s">
        <v>44</v>
      </c>
      <c r="D77" s="203"/>
      <c r="E77" s="203"/>
      <c r="F77" s="137">
        <f>F70</f>
        <v>149144.25</v>
      </c>
      <c r="G77" s="138">
        <f t="shared" ref="G77:Y77" si="53">G70</f>
        <v>153105.55505</v>
      </c>
      <c r="H77" s="138">
        <f t="shared" si="53"/>
        <v>156878.22073175499</v>
      </c>
      <c r="I77" s="138">
        <f t="shared" si="53"/>
        <v>160456.37662212204</v>
      </c>
      <c r="J77" s="138">
        <f t="shared" si="53"/>
        <v>163833.97088308731</v>
      </c>
      <c r="K77" s="138">
        <f t="shared" si="53"/>
        <v>167004.76468623528</v>
      </c>
      <c r="L77" s="138">
        <f t="shared" si="53"/>
        <v>169962.32646661176</v>
      </c>
      <c r="M77" s="138">
        <f t="shared" si="53"/>
        <v>166924.07999146479</v>
      </c>
      <c r="N77" s="138">
        <f t="shared" si="53"/>
        <v>164993.13840420486</v>
      </c>
      <c r="O77" s="138">
        <f t="shared" si="53"/>
        <v>162517.22458344529</v>
      </c>
      <c r="P77" s="138">
        <f t="shared" si="53"/>
        <v>159446.25381614867</v>
      </c>
      <c r="Q77" s="138">
        <f t="shared" si="53"/>
        <v>155726.31322216947</v>
      </c>
      <c r="R77" s="138">
        <f t="shared" si="53"/>
        <v>151299.3868641688</v>
      </c>
      <c r="S77" s="138">
        <f t="shared" si="53"/>
        <v>146103.06160375473</v>
      </c>
      <c r="T77" s="138">
        <f t="shared" si="53"/>
        <v>140070.21236939842</v>
      </c>
      <c r="U77" s="138">
        <f t="shared" si="53"/>
        <v>133128.66540960906</v>
      </c>
      <c r="V77" s="138">
        <f t="shared" si="53"/>
        <v>125200.83800644155</v>
      </c>
      <c r="W77" s="138">
        <f t="shared" si="53"/>
        <v>116203.35301922786</v>
      </c>
      <c r="X77" s="138">
        <f t="shared" si="53"/>
        <v>106046.6265159975</v>
      </c>
      <c r="Y77" s="139">
        <f t="shared" si="53"/>
        <v>94634.426629886919</v>
      </c>
      <c r="Z77" s="129"/>
      <c r="AA77" s="130"/>
      <c r="AB77" s="130"/>
      <c r="AC77" s="130"/>
      <c r="AD77" s="130"/>
      <c r="AE77" s="130"/>
      <c r="AF77" s="130"/>
      <c r="AG77" s="130"/>
      <c r="AH77" s="130"/>
      <c r="AI77" s="131"/>
      <c r="AJ77" s="90"/>
      <c r="AK77" s="90"/>
      <c r="AL77" s="90"/>
      <c r="AM77" s="90"/>
      <c r="AN77" s="90"/>
      <c r="AO77" s="90"/>
      <c r="AP77" s="11"/>
      <c r="AQ77" s="11"/>
      <c r="AR77" s="11"/>
      <c r="AS77" s="11"/>
      <c r="AT77" s="11"/>
      <c r="AU77" s="11"/>
      <c r="AV77" s="11"/>
      <c r="AW77" s="11"/>
      <c r="AX77" s="11"/>
      <c r="AY77" s="11"/>
      <c r="AZ77" s="11"/>
      <c r="BA77" s="11"/>
      <c r="BB77" s="11"/>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c r="HG77" s="12"/>
      <c r="HH77" s="12"/>
      <c r="HI77" s="12"/>
      <c r="HJ77" s="12"/>
      <c r="HK77" s="12"/>
      <c r="HL77" s="12"/>
      <c r="HM77" s="12"/>
      <c r="HN77" s="12"/>
      <c r="HO77" s="12"/>
      <c r="HP77" s="12"/>
      <c r="HQ77" s="12"/>
      <c r="HR77" s="12"/>
      <c r="HS77" s="12"/>
      <c r="HT77" s="12"/>
      <c r="HU77" s="12"/>
      <c r="HV77" s="12"/>
      <c r="HW77" s="12"/>
      <c r="HX77" s="12"/>
      <c r="HY77" s="12"/>
      <c r="HZ77" s="12"/>
      <c r="IA77" s="12"/>
      <c r="IB77" s="12"/>
      <c r="IC77" s="12"/>
      <c r="ID77" s="12"/>
      <c r="IE77" s="12"/>
      <c r="IF77" s="12"/>
      <c r="IG77" s="12"/>
      <c r="IH77" s="12"/>
      <c r="II77" s="12"/>
      <c r="IJ77" s="12"/>
      <c r="IK77" s="12"/>
      <c r="IL77" s="12"/>
      <c r="IM77" s="12"/>
      <c r="IN77" s="12"/>
      <c r="IO77" s="12"/>
      <c r="IP77" s="12"/>
      <c r="IQ77" s="12"/>
      <c r="IR77" s="12"/>
      <c r="IS77" s="12"/>
      <c r="IT77" s="12"/>
      <c r="IU77" s="12"/>
      <c r="IV77" s="12"/>
      <c r="IW77" s="12"/>
      <c r="IX77" s="12"/>
      <c r="IY77" s="12"/>
      <c r="IZ77" s="12"/>
      <c r="JA77" s="12"/>
      <c r="JB77" s="12"/>
      <c r="JC77" s="12"/>
      <c r="JD77" s="12"/>
      <c r="JE77" s="12"/>
      <c r="JF77" s="12"/>
      <c r="JG77" s="12"/>
      <c r="JH77" s="12"/>
      <c r="JI77" s="12"/>
      <c r="JJ77" s="12"/>
      <c r="JK77" s="12"/>
      <c r="JL77" s="12"/>
      <c r="JM77" s="12"/>
      <c r="JN77" s="12"/>
      <c r="JO77" s="12"/>
      <c r="JP77" s="12"/>
      <c r="JQ77" s="12"/>
      <c r="JR77" s="12"/>
      <c r="JS77" s="12"/>
      <c r="JT77" s="12"/>
      <c r="JU77" s="12"/>
      <c r="JV77" s="12"/>
      <c r="JW77" s="12"/>
      <c r="JX77" s="12"/>
      <c r="JY77" s="12"/>
      <c r="JZ77" s="12"/>
      <c r="KA77" s="12"/>
      <c r="KB77" s="12"/>
      <c r="KC77" s="12"/>
      <c r="KD77" s="12"/>
      <c r="KE77" s="12"/>
      <c r="KF77" s="12"/>
      <c r="KG77" s="12"/>
      <c r="KH77" s="12"/>
      <c r="KI77" s="12"/>
      <c r="KJ77" s="12"/>
      <c r="KK77" s="12"/>
      <c r="KL77" s="12"/>
      <c r="KM77" s="12"/>
      <c r="KN77" s="12"/>
      <c r="KO77" s="12"/>
      <c r="KP77" s="12"/>
      <c r="KQ77" s="12"/>
      <c r="KR77" s="12"/>
      <c r="KS77" s="12"/>
      <c r="KT77" s="12"/>
      <c r="KU77" s="12"/>
      <c r="KV77" s="12"/>
      <c r="KW77" s="12"/>
      <c r="KX77" s="12"/>
      <c r="KY77" s="12"/>
      <c r="KZ77" s="12"/>
      <c r="LA77" s="12"/>
      <c r="LB77" s="12"/>
      <c r="LC77" s="12"/>
      <c r="LD77" s="12"/>
      <c r="LE77" s="12"/>
      <c r="LF77" s="12"/>
      <c r="LG77" s="12"/>
      <c r="LH77" s="12"/>
      <c r="LI77" s="12"/>
      <c r="LJ77" s="12"/>
      <c r="LK77" s="12"/>
      <c r="LL77" s="12"/>
      <c r="LM77" s="12"/>
      <c r="LN77" s="12"/>
      <c r="LO77" s="12"/>
      <c r="LP77" s="12"/>
      <c r="LQ77" s="12"/>
      <c r="LR77" s="12"/>
      <c r="LS77" s="12"/>
      <c r="LT77" s="12"/>
      <c r="LU77" s="12"/>
      <c r="LV77" s="12"/>
      <c r="LW77" s="12"/>
      <c r="LX77" s="12"/>
      <c r="LY77" s="12"/>
      <c r="LZ77" s="12"/>
      <c r="MA77" s="12"/>
      <c r="MB77" s="12"/>
      <c r="MC77" s="12"/>
      <c r="MD77" s="12"/>
      <c r="ME77" s="12"/>
      <c r="MF77" s="12"/>
      <c r="MG77" s="12"/>
      <c r="MH77" s="12"/>
      <c r="MI77" s="12"/>
      <c r="MJ77" s="12"/>
      <c r="MK77" s="12"/>
      <c r="ML77" s="12"/>
      <c r="MM77" s="12"/>
      <c r="MN77" s="12"/>
      <c r="MO77" s="12"/>
      <c r="MP77" s="12"/>
      <c r="MQ77" s="12"/>
      <c r="MR77" s="12"/>
      <c r="MS77" s="12"/>
      <c r="MT77" s="12"/>
      <c r="MU77" s="12"/>
      <c r="MV77" s="12"/>
      <c r="MW77" s="12"/>
      <c r="MX77" s="12"/>
      <c r="MY77" s="12"/>
      <c r="MZ77" s="12"/>
      <c r="NA77" s="12"/>
      <c r="NB77" s="12"/>
      <c r="NC77" s="12"/>
      <c r="ND77" s="12"/>
      <c r="NE77" s="12"/>
      <c r="NF77" s="12"/>
      <c r="NG77" s="12"/>
      <c r="NH77" s="12"/>
      <c r="NI77" s="12"/>
      <c r="NJ77" s="12"/>
      <c r="NK77" s="12"/>
      <c r="NL77" s="12"/>
      <c r="NM77" s="12"/>
      <c r="NN77" s="12"/>
      <c r="NO77" s="12"/>
      <c r="NP77" s="12"/>
      <c r="NQ77" s="12"/>
      <c r="NR77" s="12"/>
      <c r="NS77" s="12"/>
      <c r="NT77" s="12"/>
      <c r="NU77" s="12"/>
      <c r="NV77" s="12"/>
      <c r="NW77" s="12"/>
      <c r="NX77" s="12"/>
      <c r="NY77" s="12"/>
      <c r="NZ77" s="12"/>
      <c r="OA77" s="12"/>
      <c r="OB77" s="12"/>
      <c r="OC77" s="12"/>
      <c r="OD77" s="12"/>
      <c r="OE77" s="12"/>
      <c r="OF77" s="12"/>
      <c r="OG77" s="12"/>
      <c r="OH77" s="12"/>
      <c r="OI77" s="12"/>
      <c r="OJ77" s="12"/>
      <c r="OK77" s="12"/>
      <c r="OL77" s="12"/>
      <c r="OM77" s="12"/>
      <c r="ON77" s="12"/>
      <c r="OO77" s="12"/>
      <c r="OP77" s="12"/>
      <c r="OQ77" s="12"/>
      <c r="OR77" s="12"/>
      <c r="OS77" s="12"/>
      <c r="OT77" s="12"/>
      <c r="OU77" s="12"/>
      <c r="OV77" s="12"/>
      <c r="OW77" s="12"/>
      <c r="OX77" s="12"/>
      <c r="OY77" s="12"/>
      <c r="OZ77" s="12"/>
      <c r="PA77" s="12"/>
      <c r="PB77" s="12"/>
      <c r="PC77" s="12"/>
      <c r="PD77" s="12"/>
      <c r="PE77" s="12"/>
      <c r="PF77" s="12"/>
      <c r="PG77" s="12"/>
      <c r="PH77" s="12"/>
      <c r="PI77" s="12"/>
      <c r="PJ77" s="12"/>
      <c r="PK77" s="12"/>
      <c r="PL77" s="12"/>
      <c r="PM77" s="12"/>
      <c r="PN77" s="12"/>
      <c r="PO77" s="12"/>
      <c r="PP77" s="12"/>
      <c r="PQ77" s="12"/>
      <c r="PR77" s="12"/>
      <c r="PS77" s="12"/>
      <c r="PT77" s="12"/>
      <c r="PU77" s="12"/>
      <c r="PV77" s="12"/>
      <c r="PW77" s="12"/>
      <c r="PX77" s="12"/>
      <c r="PY77" s="12"/>
      <c r="PZ77" s="12"/>
      <c r="QA77" s="12"/>
      <c r="QB77" s="12"/>
      <c r="QC77" s="12"/>
      <c r="QD77" s="12"/>
      <c r="QE77" s="12"/>
      <c r="QF77" s="12"/>
      <c r="QG77" s="12"/>
      <c r="QH77" s="12"/>
      <c r="QI77" s="12"/>
      <c r="QJ77" s="12"/>
      <c r="QK77" s="12"/>
      <c r="QL77" s="12"/>
      <c r="QM77" s="12"/>
      <c r="QN77" s="12"/>
      <c r="QO77" s="12"/>
      <c r="QP77" s="12"/>
      <c r="QQ77" s="12"/>
      <c r="QR77" s="12"/>
      <c r="QS77" s="12"/>
      <c r="QT77" s="12"/>
      <c r="QU77" s="12"/>
      <c r="QV77" s="12"/>
      <c r="QW77" s="12"/>
      <c r="QX77" s="12"/>
      <c r="QY77" s="12"/>
      <c r="QZ77" s="12"/>
      <c r="RA77" s="12"/>
      <c r="RB77" s="12"/>
      <c r="RC77" s="12"/>
      <c r="RD77" s="12"/>
      <c r="RE77" s="12"/>
      <c r="RF77" s="12"/>
      <c r="RG77" s="12"/>
      <c r="RH77" s="12"/>
      <c r="RI77" s="12"/>
      <c r="RJ77" s="12"/>
      <c r="RK77" s="12"/>
      <c r="RL77" s="12"/>
      <c r="RM77" s="12"/>
      <c r="RN77" s="12"/>
      <c r="RO77" s="12"/>
      <c r="RP77" s="12"/>
      <c r="RQ77" s="12"/>
      <c r="RR77" s="12"/>
      <c r="RS77" s="12"/>
      <c r="RT77" s="12"/>
      <c r="RU77" s="12"/>
      <c r="RV77" s="12"/>
      <c r="RW77" s="12"/>
      <c r="RX77" s="12"/>
      <c r="RY77" s="12"/>
      <c r="RZ77" s="12"/>
      <c r="SA77" s="12"/>
      <c r="SB77" s="12"/>
      <c r="SC77" s="12"/>
      <c r="SD77" s="12"/>
    </row>
    <row r="78" spans="1:498" s="17" customFormat="1" ht="25.5" customHeight="1">
      <c r="A78" s="90"/>
      <c r="B78" s="88"/>
      <c r="C78" s="90"/>
      <c r="D78" s="140"/>
      <c r="E78" s="141"/>
      <c r="F78" s="142"/>
      <c r="G78" s="142"/>
      <c r="H78" s="142"/>
      <c r="I78" s="142"/>
      <c r="J78" s="142"/>
      <c r="K78" s="142"/>
      <c r="L78" s="142"/>
      <c r="M78" s="142"/>
      <c r="N78" s="142"/>
      <c r="O78" s="142"/>
      <c r="P78" s="120"/>
      <c r="Q78" s="120"/>
      <c r="R78" s="120"/>
      <c r="S78" s="120"/>
      <c r="T78" s="120"/>
      <c r="U78" s="120"/>
      <c r="V78" s="120"/>
      <c r="W78" s="120"/>
      <c r="X78" s="120"/>
      <c r="Y78" s="120"/>
      <c r="Z78" s="120"/>
      <c r="AA78" s="120"/>
      <c r="AB78" s="120"/>
      <c r="AC78" s="120"/>
      <c r="AD78" s="120"/>
      <c r="AE78" s="120"/>
      <c r="AF78" s="120"/>
      <c r="AG78" s="120"/>
      <c r="AH78" s="120"/>
      <c r="AI78" s="120"/>
      <c r="AJ78" s="90"/>
      <c r="AK78" s="90"/>
      <c r="AL78" s="90"/>
      <c r="AM78" s="90"/>
      <c r="AN78" s="90"/>
      <c r="AO78" s="90"/>
      <c r="AP78" s="15"/>
      <c r="AQ78" s="15"/>
      <c r="AR78" s="15"/>
      <c r="AS78" s="15"/>
      <c r="AT78" s="15"/>
      <c r="AU78" s="15"/>
      <c r="AV78" s="15"/>
      <c r="AW78" s="15"/>
      <c r="AX78" s="15"/>
      <c r="AY78" s="15"/>
      <c r="AZ78" s="15"/>
      <c r="BA78" s="15"/>
      <c r="BB78" s="15"/>
    </row>
    <row r="79" spans="1:498" s="13" customFormat="1">
      <c r="A79" s="90"/>
      <c r="B79" s="122">
        <v>6</v>
      </c>
      <c r="C79" s="199" t="s">
        <v>45</v>
      </c>
      <c r="D79" s="199"/>
      <c r="E79" s="199"/>
      <c r="F79" s="143">
        <f>IF($C$10=0,"",F84)</f>
        <v>1674.2464191195027</v>
      </c>
      <c r="G79" s="143">
        <f t="shared" ref="G79:O79" si="54">IF($C$10=0,"",G84)</f>
        <v>1674.2464191195027</v>
      </c>
      <c r="H79" s="143">
        <f t="shared" si="54"/>
        <v>1674.2464191195027</v>
      </c>
      <c r="I79" s="143">
        <f t="shared" si="54"/>
        <v>1674.2464191195027</v>
      </c>
      <c r="J79" s="143">
        <f t="shared" si="54"/>
        <v>1674.2464191195027</v>
      </c>
      <c r="K79" s="143">
        <f t="shared" si="54"/>
        <v>1674.2464191195027</v>
      </c>
      <c r="L79" s="143">
        <f t="shared" si="54"/>
        <v>1674.2464191195027</v>
      </c>
      <c r="M79" s="143">
        <f t="shared" si="54"/>
        <v>1674.2464191195027</v>
      </c>
      <c r="N79" s="143">
        <f t="shared" si="54"/>
        <v>1674.2464191195027</v>
      </c>
      <c r="O79" s="143">
        <f t="shared" si="54"/>
        <v>1674.2464191195027</v>
      </c>
      <c r="P79" s="136"/>
      <c r="Q79" s="144"/>
      <c r="R79" s="144"/>
      <c r="S79" s="144"/>
      <c r="T79" s="144"/>
      <c r="U79" s="144"/>
      <c r="V79" s="144"/>
      <c r="W79" s="144"/>
      <c r="X79" s="144"/>
      <c r="Y79" s="144"/>
      <c r="Z79" s="144"/>
      <c r="AA79" s="144"/>
      <c r="AB79" s="144"/>
      <c r="AC79" s="144"/>
      <c r="AD79" s="144"/>
      <c r="AE79" s="144"/>
      <c r="AF79" s="144"/>
      <c r="AG79" s="144"/>
      <c r="AH79" s="144"/>
      <c r="AI79" s="134"/>
      <c r="AJ79" s="87"/>
      <c r="AK79" s="87"/>
      <c r="AL79" s="87"/>
      <c r="AM79" s="87"/>
      <c r="AN79" s="87"/>
      <c r="AO79" s="87"/>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c r="HM79" s="12"/>
      <c r="HN79" s="12"/>
      <c r="HO79" s="12"/>
      <c r="HP79" s="12"/>
      <c r="HQ79" s="12"/>
      <c r="HR79" s="12"/>
      <c r="HS79" s="12"/>
      <c r="HT79" s="12"/>
      <c r="HU79" s="12"/>
      <c r="HV79" s="12"/>
      <c r="HW79" s="12"/>
      <c r="HX79" s="12"/>
      <c r="HY79" s="12"/>
      <c r="HZ79" s="12"/>
      <c r="IA79" s="12"/>
      <c r="IB79" s="12"/>
      <c r="IC79" s="12"/>
      <c r="ID79" s="12"/>
      <c r="IE79" s="12"/>
      <c r="IF79" s="12"/>
      <c r="IG79" s="12"/>
      <c r="IH79" s="12"/>
      <c r="II79" s="12"/>
      <c r="IJ79" s="12"/>
      <c r="IK79" s="12"/>
      <c r="IL79" s="12"/>
      <c r="IM79" s="12"/>
      <c r="IN79" s="12"/>
      <c r="IO79" s="12"/>
      <c r="IP79" s="12"/>
      <c r="IQ79" s="12"/>
      <c r="IR79" s="12"/>
      <c r="IS79" s="12"/>
      <c r="IT79" s="12"/>
      <c r="IU79" s="12"/>
      <c r="IV79" s="12"/>
      <c r="IW79" s="12"/>
      <c r="IX79" s="12"/>
      <c r="IY79" s="12"/>
      <c r="IZ79" s="12"/>
      <c r="JA79" s="12"/>
      <c r="JB79" s="12"/>
      <c r="JC79" s="12"/>
      <c r="JD79" s="12"/>
      <c r="JE79" s="12"/>
      <c r="JF79" s="12"/>
      <c r="JG79" s="12"/>
      <c r="JH79" s="12"/>
      <c r="JI79" s="12"/>
      <c r="JJ79" s="12"/>
      <c r="JK79" s="12"/>
      <c r="JL79" s="12"/>
      <c r="JM79" s="12"/>
      <c r="JN79" s="12"/>
      <c r="JO79" s="12"/>
      <c r="JP79" s="12"/>
      <c r="JQ79" s="12"/>
      <c r="JR79" s="12"/>
      <c r="JS79" s="12"/>
      <c r="JT79" s="12"/>
      <c r="JU79" s="12"/>
      <c r="JV79" s="12"/>
      <c r="JW79" s="12"/>
      <c r="JX79" s="12"/>
      <c r="JY79" s="12"/>
      <c r="JZ79" s="12"/>
      <c r="KA79" s="12"/>
      <c r="KB79" s="12"/>
      <c r="KC79" s="12"/>
      <c r="KD79" s="12"/>
      <c r="KE79" s="12"/>
      <c r="KF79" s="12"/>
      <c r="KG79" s="12"/>
      <c r="KH79" s="12"/>
      <c r="KI79" s="12"/>
      <c r="KJ79" s="12"/>
      <c r="KK79" s="12"/>
      <c r="KL79" s="12"/>
      <c r="KM79" s="12"/>
      <c r="KN79" s="12"/>
      <c r="KO79" s="12"/>
      <c r="KP79" s="12"/>
      <c r="KQ79" s="12"/>
      <c r="KR79" s="12"/>
      <c r="KS79" s="12"/>
      <c r="KT79" s="12"/>
      <c r="KU79" s="12"/>
      <c r="KV79" s="12"/>
      <c r="KW79" s="12"/>
      <c r="KX79" s="12"/>
      <c r="KY79" s="12"/>
      <c r="KZ79" s="12"/>
      <c r="LA79" s="12"/>
      <c r="LB79" s="12"/>
      <c r="LC79" s="12"/>
      <c r="LD79" s="12"/>
      <c r="LE79" s="12"/>
      <c r="LF79" s="12"/>
      <c r="LG79" s="12"/>
      <c r="LH79" s="12"/>
      <c r="LI79" s="12"/>
      <c r="LJ79" s="12"/>
      <c r="LK79" s="12"/>
      <c r="LL79" s="12"/>
      <c r="LM79" s="12"/>
      <c r="LN79" s="12"/>
      <c r="LO79" s="12"/>
      <c r="LP79" s="12"/>
      <c r="LQ79" s="12"/>
      <c r="LR79" s="12"/>
      <c r="LS79" s="12"/>
      <c r="LT79" s="12"/>
      <c r="LU79" s="12"/>
      <c r="LV79" s="12"/>
      <c r="LW79" s="12"/>
      <c r="LX79" s="12"/>
      <c r="LY79" s="12"/>
      <c r="LZ79" s="12"/>
      <c r="MA79" s="12"/>
      <c r="MB79" s="12"/>
      <c r="MC79" s="12"/>
      <c r="MD79" s="12"/>
      <c r="ME79" s="12"/>
      <c r="MF79" s="12"/>
      <c r="MG79" s="12"/>
      <c r="MH79" s="12"/>
      <c r="MI79" s="12"/>
      <c r="MJ79" s="12"/>
      <c r="MK79" s="12"/>
      <c r="ML79" s="12"/>
      <c r="MM79" s="12"/>
      <c r="MN79" s="12"/>
      <c r="MO79" s="12"/>
      <c r="MP79" s="12"/>
      <c r="MQ79" s="12"/>
      <c r="MR79" s="12"/>
      <c r="MS79" s="12"/>
      <c r="MT79" s="12"/>
      <c r="MU79" s="12"/>
      <c r="MV79" s="12"/>
      <c r="MW79" s="12"/>
      <c r="MX79" s="12"/>
      <c r="MY79" s="12"/>
      <c r="MZ79" s="12"/>
      <c r="NA79" s="12"/>
      <c r="NB79" s="12"/>
      <c r="NC79" s="12"/>
      <c r="ND79" s="12"/>
      <c r="NE79" s="12"/>
      <c r="NF79" s="12"/>
      <c r="NG79" s="12"/>
      <c r="NH79" s="12"/>
      <c r="NI79" s="12"/>
      <c r="NJ79" s="12"/>
      <c r="NK79" s="12"/>
      <c r="NL79" s="12"/>
      <c r="NM79" s="12"/>
      <c r="NN79" s="12"/>
      <c r="NO79" s="12"/>
      <c r="NP79" s="12"/>
      <c r="NQ79" s="12"/>
      <c r="NR79" s="12"/>
      <c r="NS79" s="12"/>
      <c r="NT79" s="12"/>
      <c r="NU79" s="12"/>
      <c r="NV79" s="12"/>
      <c r="NW79" s="12"/>
      <c r="NX79" s="12"/>
      <c r="NY79" s="12"/>
      <c r="NZ79" s="12"/>
      <c r="OA79" s="12"/>
      <c r="OB79" s="12"/>
      <c r="OC79" s="12"/>
      <c r="OD79" s="12"/>
      <c r="OE79" s="12"/>
      <c r="OF79" s="12"/>
      <c r="OG79" s="12"/>
      <c r="OH79" s="12"/>
      <c r="OI79" s="12"/>
      <c r="OJ79" s="12"/>
      <c r="OK79" s="12"/>
      <c r="OL79" s="12"/>
      <c r="OM79" s="12"/>
      <c r="ON79" s="12"/>
      <c r="OO79" s="12"/>
      <c r="OP79" s="12"/>
      <c r="OQ79" s="12"/>
      <c r="OR79" s="12"/>
      <c r="OS79" s="12"/>
      <c r="OT79" s="12"/>
      <c r="OU79" s="12"/>
      <c r="OV79" s="12"/>
      <c r="OW79" s="12"/>
      <c r="OX79" s="12"/>
      <c r="OY79" s="12"/>
      <c r="OZ79" s="12"/>
      <c r="PA79" s="12"/>
      <c r="PB79" s="12"/>
      <c r="PC79" s="12"/>
      <c r="PD79" s="12"/>
      <c r="PE79" s="12"/>
      <c r="PF79" s="12"/>
      <c r="PG79" s="12"/>
      <c r="PH79" s="12"/>
      <c r="PI79" s="12"/>
      <c r="PJ79" s="12"/>
      <c r="PK79" s="12"/>
      <c r="PL79" s="12"/>
      <c r="PM79" s="12"/>
      <c r="PN79" s="12"/>
      <c r="PO79" s="12"/>
      <c r="PP79" s="12"/>
      <c r="PQ79" s="12"/>
      <c r="PR79" s="12"/>
      <c r="PS79" s="12"/>
      <c r="PT79" s="12"/>
      <c r="PU79" s="12"/>
      <c r="PV79" s="12"/>
      <c r="PW79" s="12"/>
      <c r="PX79" s="12"/>
      <c r="PY79" s="12"/>
      <c r="PZ79" s="12"/>
      <c r="QA79" s="12"/>
      <c r="QB79" s="12"/>
      <c r="QC79" s="12"/>
      <c r="QD79" s="12"/>
      <c r="QE79" s="12"/>
      <c r="QF79" s="12"/>
      <c r="QG79" s="12"/>
      <c r="QH79" s="12"/>
      <c r="QI79" s="12"/>
      <c r="QJ79" s="12"/>
      <c r="QK79" s="12"/>
      <c r="QL79" s="12"/>
      <c r="QM79" s="12"/>
      <c r="QN79" s="12"/>
      <c r="QO79" s="12"/>
      <c r="QP79" s="12"/>
      <c r="QQ79" s="12"/>
      <c r="QR79" s="12"/>
      <c r="QS79" s="12"/>
      <c r="QT79" s="12"/>
      <c r="QU79" s="12"/>
      <c r="QV79" s="12"/>
      <c r="QW79" s="12"/>
      <c r="QX79" s="12"/>
      <c r="QY79" s="12"/>
      <c r="QZ79" s="12"/>
      <c r="RA79" s="12"/>
      <c r="RB79" s="12"/>
      <c r="RC79" s="12"/>
      <c r="RD79" s="12"/>
      <c r="RE79" s="12"/>
      <c r="RF79" s="12"/>
      <c r="RG79" s="12"/>
      <c r="RH79" s="12"/>
      <c r="RI79" s="12"/>
      <c r="RJ79" s="12"/>
      <c r="RK79" s="12"/>
      <c r="RL79" s="12"/>
      <c r="RM79" s="12"/>
      <c r="RN79" s="12"/>
      <c r="RO79" s="12"/>
      <c r="RP79" s="12"/>
      <c r="RQ79" s="12"/>
      <c r="RR79" s="12"/>
      <c r="RS79" s="12"/>
      <c r="RT79" s="12"/>
      <c r="RU79" s="12"/>
      <c r="RV79" s="12"/>
      <c r="RW79" s="12"/>
      <c r="RX79" s="12"/>
      <c r="RY79" s="12"/>
      <c r="RZ79" s="12"/>
      <c r="SA79" s="12"/>
      <c r="SB79" s="12"/>
      <c r="SC79" s="12"/>
      <c r="SD79" s="12"/>
    </row>
    <row r="80" spans="1:498" s="13" customFormat="1">
      <c r="A80" s="90"/>
      <c r="B80" s="90"/>
      <c r="C80" s="199" t="s">
        <v>46</v>
      </c>
      <c r="D80" s="199"/>
      <c r="E80" s="199"/>
      <c r="F80" s="143">
        <f>IF($C$10=0,"",F82)</f>
        <v>952.54677982949511</v>
      </c>
      <c r="G80" s="143">
        <f t="shared" ref="G80:AI80" si="55">IF($C$10=0,"",G82)</f>
        <v>952.54677982949511</v>
      </c>
      <c r="H80" s="143">
        <f t="shared" si="55"/>
        <v>952.54677982949511</v>
      </c>
      <c r="I80" s="143">
        <f t="shared" si="55"/>
        <v>952.54677982949511</v>
      </c>
      <c r="J80" s="143">
        <f t="shared" si="55"/>
        <v>952.54677982949511</v>
      </c>
      <c r="K80" s="143">
        <f t="shared" si="55"/>
        <v>952.54677982949511</v>
      </c>
      <c r="L80" s="143">
        <f t="shared" si="55"/>
        <v>952.54677982949511</v>
      </c>
      <c r="M80" s="143">
        <f t="shared" si="55"/>
        <v>952.54677982949511</v>
      </c>
      <c r="N80" s="143">
        <f t="shared" si="55"/>
        <v>952.54677982949511</v>
      </c>
      <c r="O80" s="143">
        <f t="shared" si="55"/>
        <v>952.54677982949511</v>
      </c>
      <c r="P80" s="143">
        <f t="shared" si="55"/>
        <v>952.54677982949511</v>
      </c>
      <c r="Q80" s="143">
        <f t="shared" si="55"/>
        <v>952.54677982949511</v>
      </c>
      <c r="R80" s="143">
        <f t="shared" si="55"/>
        <v>952.54677982949511</v>
      </c>
      <c r="S80" s="143">
        <f t="shared" si="55"/>
        <v>952.54677982949511</v>
      </c>
      <c r="T80" s="143">
        <f t="shared" si="55"/>
        <v>952.54677982949511</v>
      </c>
      <c r="U80" s="143">
        <f t="shared" si="55"/>
        <v>952.54677982949511</v>
      </c>
      <c r="V80" s="143">
        <f t="shared" si="55"/>
        <v>952.54677982949511</v>
      </c>
      <c r="W80" s="143">
        <f t="shared" si="55"/>
        <v>952.54677982949511</v>
      </c>
      <c r="X80" s="143">
        <f t="shared" si="55"/>
        <v>952.54677982949511</v>
      </c>
      <c r="Y80" s="143">
        <f t="shared" si="55"/>
        <v>952.54677982949511</v>
      </c>
      <c r="Z80" s="143">
        <f t="shared" si="55"/>
        <v>952.54677982949511</v>
      </c>
      <c r="AA80" s="143">
        <f t="shared" si="55"/>
        <v>952.54677982949511</v>
      </c>
      <c r="AB80" s="143">
        <f t="shared" si="55"/>
        <v>952.54677982949511</v>
      </c>
      <c r="AC80" s="143">
        <f t="shared" si="55"/>
        <v>952.54677982949511</v>
      </c>
      <c r="AD80" s="143">
        <f t="shared" si="55"/>
        <v>952.54677982949511</v>
      </c>
      <c r="AE80" s="143">
        <f t="shared" si="55"/>
        <v>952.54677982949511</v>
      </c>
      <c r="AF80" s="143">
        <f t="shared" si="55"/>
        <v>952.54677982949511</v>
      </c>
      <c r="AG80" s="143">
        <f t="shared" si="55"/>
        <v>952.54677982949511</v>
      </c>
      <c r="AH80" s="143">
        <f t="shared" si="55"/>
        <v>952.54677982949511</v>
      </c>
      <c r="AI80" s="143">
        <f t="shared" si="55"/>
        <v>952.54677982949511</v>
      </c>
      <c r="AJ80" s="87"/>
      <c r="AK80" s="87"/>
      <c r="AL80" s="87"/>
      <c r="AM80" s="87"/>
      <c r="AN80" s="87"/>
      <c r="AO80" s="87"/>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c r="GM80" s="12"/>
      <c r="GN80" s="12"/>
      <c r="GO80" s="12"/>
      <c r="GP80" s="12"/>
      <c r="GQ80" s="12"/>
      <c r="GR80" s="12"/>
      <c r="GS80" s="12"/>
      <c r="GT80" s="12"/>
      <c r="GU80" s="12"/>
      <c r="GV80" s="12"/>
      <c r="GW80" s="12"/>
      <c r="GX80" s="12"/>
      <c r="GY80" s="12"/>
      <c r="GZ80" s="12"/>
      <c r="HA80" s="12"/>
      <c r="HB80" s="12"/>
      <c r="HC80" s="12"/>
      <c r="HD80" s="12"/>
      <c r="HE80" s="12"/>
      <c r="HF80" s="12"/>
      <c r="HG80" s="12"/>
      <c r="HH80" s="12"/>
      <c r="HI80" s="12"/>
      <c r="HJ80" s="12"/>
      <c r="HK80" s="12"/>
      <c r="HL80" s="12"/>
      <c r="HM80" s="12"/>
      <c r="HN80" s="12"/>
      <c r="HO80" s="12"/>
      <c r="HP80" s="12"/>
      <c r="HQ80" s="12"/>
      <c r="HR80" s="12"/>
      <c r="HS80" s="12"/>
      <c r="HT80" s="12"/>
      <c r="HU80" s="12"/>
      <c r="HV80" s="12"/>
      <c r="HW80" s="12"/>
      <c r="HX80" s="12"/>
      <c r="HY80" s="12"/>
      <c r="HZ80" s="12"/>
      <c r="IA80" s="12"/>
      <c r="IB80" s="12"/>
      <c r="IC80" s="12"/>
      <c r="ID80" s="12"/>
      <c r="IE80" s="12"/>
      <c r="IF80" s="12"/>
      <c r="IG80" s="12"/>
      <c r="IH80" s="12"/>
      <c r="II80" s="12"/>
      <c r="IJ80" s="12"/>
      <c r="IK80" s="12"/>
      <c r="IL80" s="12"/>
      <c r="IM80" s="12"/>
      <c r="IN80" s="12"/>
      <c r="IO80" s="12"/>
      <c r="IP80" s="12"/>
      <c r="IQ80" s="12"/>
      <c r="IR80" s="12"/>
      <c r="IS80" s="12"/>
      <c r="IT80" s="12"/>
      <c r="IU80" s="12"/>
      <c r="IV80" s="12"/>
      <c r="IW80" s="12"/>
      <c r="IX80" s="12"/>
      <c r="IY80" s="12"/>
      <c r="IZ80" s="12"/>
      <c r="JA80" s="12"/>
      <c r="JB80" s="12"/>
      <c r="JC80" s="12"/>
      <c r="JD80" s="12"/>
      <c r="JE80" s="12"/>
      <c r="JF80" s="12"/>
      <c r="JG80" s="12"/>
      <c r="JH80" s="12"/>
      <c r="JI80" s="12"/>
      <c r="JJ80" s="12"/>
      <c r="JK80" s="12"/>
      <c r="JL80" s="12"/>
      <c r="JM80" s="12"/>
      <c r="JN80" s="12"/>
      <c r="JO80" s="12"/>
      <c r="JP80" s="12"/>
      <c r="JQ80" s="12"/>
      <c r="JR80" s="12"/>
      <c r="JS80" s="12"/>
      <c r="JT80" s="12"/>
      <c r="JU80" s="12"/>
      <c r="JV80" s="12"/>
      <c r="JW80" s="12"/>
      <c r="JX80" s="12"/>
      <c r="JY80" s="12"/>
      <c r="JZ80" s="12"/>
      <c r="KA80" s="12"/>
      <c r="KB80" s="12"/>
      <c r="KC80" s="12"/>
      <c r="KD80" s="12"/>
      <c r="KE80" s="12"/>
      <c r="KF80" s="12"/>
      <c r="KG80" s="12"/>
      <c r="KH80" s="12"/>
      <c r="KI80" s="12"/>
      <c r="KJ80" s="12"/>
      <c r="KK80" s="12"/>
      <c r="KL80" s="12"/>
      <c r="KM80" s="12"/>
      <c r="KN80" s="12"/>
      <c r="KO80" s="12"/>
      <c r="KP80" s="12"/>
      <c r="KQ80" s="12"/>
      <c r="KR80" s="12"/>
      <c r="KS80" s="12"/>
      <c r="KT80" s="12"/>
      <c r="KU80" s="12"/>
      <c r="KV80" s="12"/>
      <c r="KW80" s="12"/>
      <c r="KX80" s="12"/>
      <c r="KY80" s="12"/>
      <c r="KZ80" s="12"/>
      <c r="LA80" s="12"/>
      <c r="LB80" s="12"/>
      <c r="LC80" s="12"/>
      <c r="LD80" s="12"/>
      <c r="LE80" s="12"/>
      <c r="LF80" s="12"/>
      <c r="LG80" s="12"/>
      <c r="LH80" s="12"/>
      <c r="LI80" s="12"/>
      <c r="LJ80" s="12"/>
      <c r="LK80" s="12"/>
      <c r="LL80" s="12"/>
      <c r="LM80" s="12"/>
      <c r="LN80" s="12"/>
      <c r="LO80" s="12"/>
      <c r="LP80" s="12"/>
      <c r="LQ80" s="12"/>
      <c r="LR80" s="12"/>
      <c r="LS80" s="12"/>
      <c r="LT80" s="12"/>
      <c r="LU80" s="12"/>
      <c r="LV80" s="12"/>
      <c r="LW80" s="12"/>
      <c r="LX80" s="12"/>
      <c r="LY80" s="12"/>
      <c r="LZ80" s="12"/>
      <c r="MA80" s="12"/>
      <c r="MB80" s="12"/>
      <c r="MC80" s="12"/>
      <c r="MD80" s="12"/>
      <c r="ME80" s="12"/>
      <c r="MF80" s="12"/>
      <c r="MG80" s="12"/>
      <c r="MH80" s="12"/>
      <c r="MI80" s="12"/>
      <c r="MJ80" s="12"/>
      <c r="MK80" s="12"/>
      <c r="ML80" s="12"/>
      <c r="MM80" s="12"/>
      <c r="MN80" s="12"/>
      <c r="MO80" s="12"/>
      <c r="MP80" s="12"/>
      <c r="MQ80" s="12"/>
      <c r="MR80" s="12"/>
      <c r="MS80" s="12"/>
      <c r="MT80" s="12"/>
      <c r="MU80" s="12"/>
      <c r="MV80" s="12"/>
      <c r="MW80" s="12"/>
      <c r="MX80" s="12"/>
      <c r="MY80" s="12"/>
      <c r="MZ80" s="12"/>
      <c r="NA80" s="12"/>
      <c r="NB80" s="12"/>
      <c r="NC80" s="12"/>
      <c r="ND80" s="12"/>
      <c r="NE80" s="12"/>
      <c r="NF80" s="12"/>
      <c r="NG80" s="12"/>
      <c r="NH80" s="12"/>
      <c r="NI80" s="12"/>
      <c r="NJ80" s="12"/>
      <c r="NK80" s="12"/>
      <c r="NL80" s="12"/>
      <c r="NM80" s="12"/>
      <c r="NN80" s="12"/>
      <c r="NO80" s="12"/>
      <c r="NP80" s="12"/>
      <c r="NQ80" s="12"/>
      <c r="NR80" s="12"/>
      <c r="NS80" s="12"/>
      <c r="NT80" s="12"/>
      <c r="NU80" s="12"/>
      <c r="NV80" s="12"/>
      <c r="NW80" s="12"/>
      <c r="NX80" s="12"/>
      <c r="NY80" s="12"/>
      <c r="NZ80" s="12"/>
      <c r="OA80" s="12"/>
      <c r="OB80" s="12"/>
      <c r="OC80" s="12"/>
      <c r="OD80" s="12"/>
      <c r="OE80" s="12"/>
      <c r="OF80" s="12"/>
      <c r="OG80" s="12"/>
      <c r="OH80" s="12"/>
      <c r="OI80" s="12"/>
      <c r="OJ80" s="12"/>
      <c r="OK80" s="12"/>
      <c r="OL80" s="12"/>
      <c r="OM80" s="12"/>
      <c r="ON80" s="12"/>
      <c r="OO80" s="12"/>
      <c r="OP80" s="12"/>
      <c r="OQ80" s="12"/>
      <c r="OR80" s="12"/>
      <c r="OS80" s="12"/>
      <c r="OT80" s="12"/>
      <c r="OU80" s="12"/>
      <c r="OV80" s="12"/>
      <c r="OW80" s="12"/>
      <c r="OX80" s="12"/>
      <c r="OY80" s="12"/>
      <c r="OZ80" s="12"/>
      <c r="PA80" s="12"/>
      <c r="PB80" s="12"/>
      <c r="PC80" s="12"/>
      <c r="PD80" s="12"/>
      <c r="PE80" s="12"/>
      <c r="PF80" s="12"/>
      <c r="PG80" s="12"/>
      <c r="PH80" s="12"/>
      <c r="PI80" s="12"/>
      <c r="PJ80" s="12"/>
      <c r="PK80" s="12"/>
      <c r="PL80" s="12"/>
      <c r="PM80" s="12"/>
      <c r="PN80" s="12"/>
      <c r="PO80" s="12"/>
      <c r="PP80" s="12"/>
      <c r="PQ80" s="12"/>
      <c r="PR80" s="12"/>
      <c r="PS80" s="12"/>
      <c r="PT80" s="12"/>
      <c r="PU80" s="12"/>
      <c r="PV80" s="12"/>
      <c r="PW80" s="12"/>
      <c r="PX80" s="12"/>
      <c r="PY80" s="12"/>
      <c r="PZ80" s="12"/>
      <c r="QA80" s="12"/>
      <c r="QB80" s="12"/>
      <c r="QC80" s="12"/>
      <c r="QD80" s="12"/>
      <c r="QE80" s="12"/>
      <c r="QF80" s="12"/>
      <c r="QG80" s="12"/>
      <c r="QH80" s="12"/>
      <c r="QI80" s="12"/>
      <c r="QJ80" s="12"/>
      <c r="QK80" s="12"/>
      <c r="QL80" s="12"/>
      <c r="QM80" s="12"/>
      <c r="QN80" s="12"/>
      <c r="QO80" s="12"/>
      <c r="QP80" s="12"/>
      <c r="QQ80" s="12"/>
      <c r="QR80" s="12"/>
      <c r="QS80" s="12"/>
      <c r="QT80" s="12"/>
      <c r="QU80" s="12"/>
      <c r="QV80" s="12"/>
      <c r="QW80" s="12"/>
      <c r="QX80" s="12"/>
      <c r="QY80" s="12"/>
      <c r="QZ80" s="12"/>
      <c r="RA80" s="12"/>
      <c r="RB80" s="12"/>
      <c r="RC80" s="12"/>
      <c r="RD80" s="12"/>
      <c r="RE80" s="12"/>
      <c r="RF80" s="12"/>
      <c r="RG80" s="12"/>
      <c r="RH80" s="12"/>
      <c r="RI80" s="12"/>
      <c r="RJ80" s="12"/>
      <c r="RK80" s="12"/>
      <c r="RL80" s="12"/>
      <c r="RM80" s="12"/>
      <c r="RN80" s="12"/>
      <c r="RO80" s="12"/>
      <c r="RP80" s="12"/>
      <c r="RQ80" s="12"/>
      <c r="RR80" s="12"/>
      <c r="RS80" s="12"/>
      <c r="RT80" s="12"/>
      <c r="RU80" s="12"/>
      <c r="RV80" s="12"/>
      <c r="RW80" s="12"/>
      <c r="RX80" s="12"/>
      <c r="RY80" s="12"/>
      <c r="RZ80" s="12"/>
      <c r="SA80" s="12"/>
      <c r="SB80" s="12"/>
      <c r="SC80" s="12"/>
      <c r="SD80" s="12"/>
    </row>
    <row r="81" spans="1:498" s="13" customFormat="1">
      <c r="A81" s="90"/>
      <c r="B81" s="90"/>
      <c r="C81" s="199" t="s">
        <v>49</v>
      </c>
      <c r="D81" s="199"/>
      <c r="E81" s="199"/>
      <c r="F81" s="143">
        <f>IF($C$10=0,"",F90)</f>
        <v>838.24116624995577</v>
      </c>
      <c r="G81" s="143">
        <f t="shared" ref="G81:AI81" si="56">IF($C$10=0,"",G90)</f>
        <v>838.24116624995577</v>
      </c>
      <c r="H81" s="143">
        <f t="shared" si="56"/>
        <v>865.32306628180606</v>
      </c>
      <c r="I81" s="143">
        <f t="shared" si="56"/>
        <v>865.32306628180606</v>
      </c>
      <c r="J81" s="143">
        <f t="shared" si="56"/>
        <v>882.32019638926818</v>
      </c>
      <c r="K81" s="143">
        <f t="shared" si="56"/>
        <v>882.32019638926818</v>
      </c>
      <c r="L81" s="143">
        <f t="shared" si="56"/>
        <v>910.40909822972856</v>
      </c>
      <c r="M81" s="143">
        <f t="shared" si="56"/>
        <v>910.40909822972856</v>
      </c>
      <c r="N81" s="143">
        <f t="shared" si="56"/>
        <v>938.41582414647826</v>
      </c>
      <c r="O81" s="143">
        <f t="shared" si="56"/>
        <v>938.41582414647826</v>
      </c>
      <c r="P81" s="143">
        <f t="shared" si="56"/>
        <v>961.08116382487117</v>
      </c>
      <c r="Q81" s="143">
        <f t="shared" si="56"/>
        <v>961.08116382487117</v>
      </c>
      <c r="R81" s="143">
        <f t="shared" si="56"/>
        <v>989.79843972141384</v>
      </c>
      <c r="S81" s="143">
        <f t="shared" si="56"/>
        <v>989.79843972141384</v>
      </c>
      <c r="T81" s="143">
        <f t="shared" si="56"/>
        <v>1018.587742345564</v>
      </c>
      <c r="U81" s="143">
        <f t="shared" si="56"/>
        <v>1018.587742345564</v>
      </c>
      <c r="V81" s="143">
        <f t="shared" si="56"/>
        <v>1047.5389875055507</v>
      </c>
      <c r="W81" s="143">
        <f t="shared" si="56"/>
        <v>1047.5389875055507</v>
      </c>
      <c r="X81" s="143">
        <f t="shared" si="56"/>
        <v>1076.8087704748032</v>
      </c>
      <c r="Y81" s="143">
        <f t="shared" si="56"/>
        <v>1076.8087704748032</v>
      </c>
      <c r="Z81" s="143">
        <f t="shared" si="56"/>
        <v>1106.6708633611902</v>
      </c>
      <c r="AA81" s="143">
        <f t="shared" si="56"/>
        <v>1106.6708633611902</v>
      </c>
      <c r="AB81" s="143">
        <f t="shared" si="56"/>
        <v>1137.6294727772611</v>
      </c>
      <c r="AC81" s="143">
        <f t="shared" si="56"/>
        <v>1137.6294727772611</v>
      </c>
      <c r="AD81" s="143">
        <f t="shared" si="56"/>
        <v>1170.7208081802746</v>
      </c>
      <c r="AE81" s="143">
        <f t="shared" si="56"/>
        <v>1170.7208081802746</v>
      </c>
      <c r="AF81" s="143">
        <f t="shared" si="56"/>
        <v>1202.4947800644029</v>
      </c>
      <c r="AG81" s="143">
        <f t="shared" si="56"/>
        <v>1202.4947800644029</v>
      </c>
      <c r="AH81" s="143">
        <f t="shared" si="56"/>
        <v>1262.1757297257395</v>
      </c>
      <c r="AI81" s="143">
        <f t="shared" si="56"/>
        <v>1348.2335295905161</v>
      </c>
      <c r="AJ81" s="87"/>
      <c r="AK81" s="87"/>
      <c r="AL81" s="87"/>
      <c r="AM81" s="87"/>
      <c r="AN81" s="87"/>
      <c r="AO81" s="87"/>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c r="GU81" s="12"/>
      <c r="GV81" s="12"/>
      <c r="GW81" s="12"/>
      <c r="GX81" s="12"/>
      <c r="GY81" s="12"/>
      <c r="GZ81" s="12"/>
      <c r="HA81" s="12"/>
      <c r="HB81" s="12"/>
      <c r="HC81" s="12"/>
      <c r="HD81" s="12"/>
      <c r="HE81" s="12"/>
      <c r="HF81" s="12"/>
      <c r="HG81" s="12"/>
      <c r="HH81" s="12"/>
      <c r="HI81" s="12"/>
      <c r="HJ81" s="12"/>
      <c r="HK81" s="12"/>
      <c r="HL81" s="12"/>
      <c r="HM81" s="12"/>
      <c r="HN81" s="12"/>
      <c r="HO81" s="12"/>
      <c r="HP81" s="12"/>
      <c r="HQ81" s="12"/>
      <c r="HR81" s="12"/>
      <c r="HS81" s="12"/>
      <c r="HT81" s="12"/>
      <c r="HU81" s="12"/>
      <c r="HV81" s="12"/>
      <c r="HW81" s="12"/>
      <c r="HX81" s="12"/>
      <c r="HY81" s="12"/>
      <c r="HZ81" s="12"/>
      <c r="IA81" s="12"/>
      <c r="IB81" s="12"/>
      <c r="IC81" s="12"/>
      <c r="ID81" s="12"/>
      <c r="IE81" s="12"/>
      <c r="IF81" s="12"/>
      <c r="IG81" s="12"/>
      <c r="IH81" s="12"/>
      <c r="II81" s="12"/>
      <c r="IJ81" s="12"/>
      <c r="IK81" s="12"/>
      <c r="IL81" s="12"/>
      <c r="IM81" s="12"/>
      <c r="IN81" s="12"/>
      <c r="IO81" s="12"/>
      <c r="IP81" s="12"/>
      <c r="IQ81" s="12"/>
      <c r="IR81" s="12"/>
      <c r="IS81" s="12"/>
      <c r="IT81" s="12"/>
      <c r="IU81" s="12"/>
      <c r="IV81" s="12"/>
      <c r="IW81" s="12"/>
      <c r="IX81" s="12"/>
      <c r="IY81" s="12"/>
      <c r="IZ81" s="12"/>
      <c r="JA81" s="12"/>
      <c r="JB81" s="12"/>
      <c r="JC81" s="12"/>
      <c r="JD81" s="12"/>
      <c r="JE81" s="12"/>
      <c r="JF81" s="12"/>
      <c r="JG81" s="12"/>
      <c r="JH81" s="12"/>
      <c r="JI81" s="12"/>
      <c r="JJ81" s="12"/>
      <c r="JK81" s="12"/>
      <c r="JL81" s="12"/>
      <c r="JM81" s="12"/>
      <c r="JN81" s="12"/>
      <c r="JO81" s="12"/>
      <c r="JP81" s="12"/>
      <c r="JQ81" s="12"/>
      <c r="JR81" s="12"/>
      <c r="JS81" s="12"/>
      <c r="JT81" s="12"/>
      <c r="JU81" s="12"/>
      <c r="JV81" s="12"/>
      <c r="JW81" s="12"/>
      <c r="JX81" s="12"/>
      <c r="JY81" s="12"/>
      <c r="JZ81" s="12"/>
      <c r="KA81" s="12"/>
      <c r="KB81" s="12"/>
      <c r="KC81" s="12"/>
      <c r="KD81" s="12"/>
      <c r="KE81" s="12"/>
      <c r="KF81" s="12"/>
      <c r="KG81" s="12"/>
      <c r="KH81" s="12"/>
      <c r="KI81" s="12"/>
      <c r="KJ81" s="12"/>
      <c r="KK81" s="12"/>
      <c r="KL81" s="12"/>
      <c r="KM81" s="12"/>
      <c r="KN81" s="12"/>
      <c r="KO81" s="12"/>
      <c r="KP81" s="12"/>
      <c r="KQ81" s="12"/>
      <c r="KR81" s="12"/>
      <c r="KS81" s="12"/>
      <c r="KT81" s="12"/>
      <c r="KU81" s="12"/>
      <c r="KV81" s="12"/>
      <c r="KW81" s="12"/>
      <c r="KX81" s="12"/>
      <c r="KY81" s="12"/>
      <c r="KZ81" s="12"/>
      <c r="LA81" s="12"/>
      <c r="LB81" s="12"/>
      <c r="LC81" s="12"/>
      <c r="LD81" s="12"/>
      <c r="LE81" s="12"/>
      <c r="LF81" s="12"/>
      <c r="LG81" s="12"/>
      <c r="LH81" s="12"/>
      <c r="LI81" s="12"/>
      <c r="LJ81" s="12"/>
      <c r="LK81" s="12"/>
      <c r="LL81" s="12"/>
      <c r="LM81" s="12"/>
      <c r="LN81" s="12"/>
      <c r="LO81" s="12"/>
      <c r="LP81" s="12"/>
      <c r="LQ81" s="12"/>
      <c r="LR81" s="12"/>
      <c r="LS81" s="12"/>
      <c r="LT81" s="12"/>
      <c r="LU81" s="12"/>
      <c r="LV81" s="12"/>
      <c r="LW81" s="12"/>
      <c r="LX81" s="12"/>
      <c r="LY81" s="12"/>
      <c r="LZ81" s="12"/>
      <c r="MA81" s="12"/>
      <c r="MB81" s="12"/>
      <c r="MC81" s="12"/>
      <c r="MD81" s="12"/>
      <c r="ME81" s="12"/>
      <c r="MF81" s="12"/>
      <c r="MG81" s="12"/>
      <c r="MH81" s="12"/>
      <c r="MI81" s="12"/>
      <c r="MJ81" s="12"/>
      <c r="MK81" s="12"/>
      <c r="ML81" s="12"/>
      <c r="MM81" s="12"/>
      <c r="MN81" s="12"/>
      <c r="MO81" s="12"/>
      <c r="MP81" s="12"/>
      <c r="MQ81" s="12"/>
      <c r="MR81" s="12"/>
      <c r="MS81" s="12"/>
      <c r="MT81" s="12"/>
      <c r="MU81" s="12"/>
      <c r="MV81" s="12"/>
      <c r="MW81" s="12"/>
      <c r="MX81" s="12"/>
      <c r="MY81" s="12"/>
      <c r="MZ81" s="12"/>
      <c r="NA81" s="12"/>
      <c r="NB81" s="12"/>
      <c r="NC81" s="12"/>
      <c r="ND81" s="12"/>
      <c r="NE81" s="12"/>
      <c r="NF81" s="12"/>
      <c r="NG81" s="12"/>
      <c r="NH81" s="12"/>
      <c r="NI81" s="12"/>
      <c r="NJ81" s="12"/>
      <c r="NK81" s="12"/>
      <c r="NL81" s="12"/>
      <c r="NM81" s="12"/>
      <c r="NN81" s="12"/>
      <c r="NO81" s="12"/>
      <c r="NP81" s="12"/>
      <c r="NQ81" s="12"/>
      <c r="NR81" s="12"/>
      <c r="NS81" s="12"/>
      <c r="NT81" s="12"/>
      <c r="NU81" s="12"/>
      <c r="NV81" s="12"/>
      <c r="NW81" s="12"/>
      <c r="NX81" s="12"/>
      <c r="NY81" s="12"/>
      <c r="NZ81" s="12"/>
      <c r="OA81" s="12"/>
      <c r="OB81" s="12"/>
      <c r="OC81" s="12"/>
      <c r="OD81" s="12"/>
      <c r="OE81" s="12"/>
      <c r="OF81" s="12"/>
      <c r="OG81" s="12"/>
      <c r="OH81" s="12"/>
      <c r="OI81" s="12"/>
      <c r="OJ81" s="12"/>
      <c r="OK81" s="12"/>
      <c r="OL81" s="12"/>
      <c r="OM81" s="12"/>
      <c r="ON81" s="12"/>
      <c r="OO81" s="12"/>
      <c r="OP81" s="12"/>
      <c r="OQ81" s="12"/>
      <c r="OR81" s="12"/>
      <c r="OS81" s="12"/>
      <c r="OT81" s="12"/>
      <c r="OU81" s="12"/>
      <c r="OV81" s="12"/>
      <c r="OW81" s="12"/>
      <c r="OX81" s="12"/>
      <c r="OY81" s="12"/>
      <c r="OZ81" s="12"/>
      <c r="PA81" s="12"/>
      <c r="PB81" s="12"/>
      <c r="PC81" s="12"/>
      <c r="PD81" s="12"/>
      <c r="PE81" s="12"/>
      <c r="PF81" s="12"/>
      <c r="PG81" s="12"/>
      <c r="PH81" s="12"/>
      <c r="PI81" s="12"/>
      <c r="PJ81" s="12"/>
      <c r="PK81" s="12"/>
      <c r="PL81" s="12"/>
      <c r="PM81" s="12"/>
      <c r="PN81" s="12"/>
      <c r="PO81" s="12"/>
      <c r="PP81" s="12"/>
      <c r="PQ81" s="12"/>
      <c r="PR81" s="12"/>
      <c r="PS81" s="12"/>
      <c r="PT81" s="12"/>
      <c r="PU81" s="12"/>
      <c r="PV81" s="12"/>
      <c r="PW81" s="12"/>
      <c r="PX81" s="12"/>
      <c r="PY81" s="12"/>
      <c r="PZ81" s="12"/>
      <c r="QA81" s="12"/>
      <c r="QB81" s="12"/>
      <c r="QC81" s="12"/>
      <c r="QD81" s="12"/>
      <c r="QE81" s="12"/>
      <c r="QF81" s="12"/>
      <c r="QG81" s="12"/>
      <c r="QH81" s="12"/>
      <c r="QI81" s="12"/>
      <c r="QJ81" s="12"/>
      <c r="QK81" s="12"/>
      <c r="QL81" s="12"/>
      <c r="QM81" s="12"/>
      <c r="QN81" s="12"/>
      <c r="QO81" s="12"/>
      <c r="QP81" s="12"/>
      <c r="QQ81" s="12"/>
      <c r="QR81" s="12"/>
      <c r="QS81" s="12"/>
      <c r="QT81" s="12"/>
      <c r="QU81" s="12"/>
      <c r="QV81" s="12"/>
      <c r="QW81" s="12"/>
      <c r="QX81" s="12"/>
      <c r="QY81" s="12"/>
      <c r="QZ81" s="12"/>
      <c r="RA81" s="12"/>
      <c r="RB81" s="12"/>
      <c r="RC81" s="12"/>
      <c r="RD81" s="12"/>
      <c r="RE81" s="12"/>
      <c r="RF81" s="12"/>
      <c r="RG81" s="12"/>
      <c r="RH81" s="12"/>
      <c r="RI81" s="12"/>
      <c r="RJ81" s="12"/>
      <c r="RK81" s="12"/>
      <c r="RL81" s="12"/>
      <c r="RM81" s="12"/>
      <c r="RN81" s="12"/>
      <c r="RO81" s="12"/>
      <c r="RP81" s="12"/>
      <c r="RQ81" s="12"/>
      <c r="RR81" s="12"/>
      <c r="RS81" s="12"/>
      <c r="RT81" s="12"/>
      <c r="RU81" s="12"/>
      <c r="RV81" s="12"/>
      <c r="RW81" s="12"/>
      <c r="RX81" s="12"/>
      <c r="RY81" s="12"/>
      <c r="RZ81" s="12"/>
      <c r="SA81" s="12"/>
      <c r="SB81" s="12"/>
      <c r="SC81" s="12"/>
      <c r="SD81" s="12"/>
    </row>
    <row r="82" spans="1:498" s="13" customFormat="1" ht="14" hidden="1" customHeight="1">
      <c r="A82" s="90"/>
      <c r="B82" s="90"/>
      <c r="C82" s="90"/>
      <c r="D82" s="140"/>
      <c r="E82" s="145" t="s">
        <v>46</v>
      </c>
      <c r="F82" s="146">
        <f>IF($C10&lt;10000,PMT($C$11/$C$12,12*$C$12,-$C$10),IF($C10&lt;20000,PMT($C$11/$C$12,15*$C$12,-$C$10),IF($C10&lt;40000,PMT($C$11/$C$12,20*$C$12,-$C$10),IF($C10&lt;60000,PMT($C$11/$C$12,25*$C$12,-$C$10),PMT($C$11/$C$12,30*$C$12,-$C$10)))))</f>
        <v>952.54677982949511</v>
      </c>
      <c r="G82" s="147">
        <f t="shared" ref="G82:Q83" si="57">F82</f>
        <v>952.54677982949511</v>
      </c>
      <c r="H82" s="147">
        <f t="shared" si="57"/>
        <v>952.54677982949511</v>
      </c>
      <c r="I82" s="147">
        <f t="shared" si="57"/>
        <v>952.54677982949511</v>
      </c>
      <c r="J82" s="147">
        <f t="shared" si="57"/>
        <v>952.54677982949511</v>
      </c>
      <c r="K82" s="147">
        <f t="shared" si="57"/>
        <v>952.54677982949511</v>
      </c>
      <c r="L82" s="147">
        <f t="shared" si="57"/>
        <v>952.54677982949511</v>
      </c>
      <c r="M82" s="147">
        <f t="shared" si="57"/>
        <v>952.54677982949511</v>
      </c>
      <c r="N82" s="147">
        <f t="shared" si="57"/>
        <v>952.54677982949511</v>
      </c>
      <c r="O82" s="147">
        <f t="shared" si="57"/>
        <v>952.54677982949511</v>
      </c>
      <c r="P82" s="148">
        <f t="shared" si="57"/>
        <v>952.54677982949511</v>
      </c>
      <c r="Q82" s="148">
        <f t="shared" si="57"/>
        <v>952.54677982949511</v>
      </c>
      <c r="R82" s="148">
        <f>IF(C10&lt;10000,0,Q82)</f>
        <v>952.54677982949511</v>
      </c>
      <c r="S82" s="148">
        <f>R82</f>
        <v>952.54677982949511</v>
      </c>
      <c r="T82" s="148">
        <f>S82</f>
        <v>952.54677982949511</v>
      </c>
      <c r="U82" s="148">
        <f>IF(C10&lt;20000,0,T82)</f>
        <v>952.54677982949511</v>
      </c>
      <c r="V82" s="148">
        <f t="shared" ref="V82:Y83" si="58">U82</f>
        <v>952.54677982949511</v>
      </c>
      <c r="W82" s="148">
        <f t="shared" si="58"/>
        <v>952.54677982949511</v>
      </c>
      <c r="X82" s="148">
        <f t="shared" si="58"/>
        <v>952.54677982949511</v>
      </c>
      <c r="Y82" s="148">
        <f t="shared" si="58"/>
        <v>952.54677982949511</v>
      </c>
      <c r="Z82" s="148">
        <f>IF(C10&lt;40000,0,Y82)</f>
        <v>952.54677982949511</v>
      </c>
      <c r="AA82" s="148">
        <f t="shared" ref="AA82:AD83" si="59">Z82</f>
        <v>952.54677982949511</v>
      </c>
      <c r="AB82" s="148">
        <f t="shared" si="59"/>
        <v>952.54677982949511</v>
      </c>
      <c r="AC82" s="148">
        <f t="shared" si="59"/>
        <v>952.54677982949511</v>
      </c>
      <c r="AD82" s="148">
        <f t="shared" si="59"/>
        <v>952.54677982949511</v>
      </c>
      <c r="AE82" s="148">
        <f>IF(C10&lt;60000,0,AD82)</f>
        <v>952.54677982949511</v>
      </c>
      <c r="AF82" s="148">
        <f t="shared" ref="AF82:AI83" si="60">AE82</f>
        <v>952.54677982949511</v>
      </c>
      <c r="AG82" s="148">
        <f t="shared" si="60"/>
        <v>952.54677982949511</v>
      </c>
      <c r="AH82" s="148">
        <f t="shared" si="60"/>
        <v>952.54677982949511</v>
      </c>
      <c r="AI82" s="148">
        <f t="shared" si="60"/>
        <v>952.54677982949511</v>
      </c>
      <c r="AJ82" s="87"/>
      <c r="AK82" s="87"/>
      <c r="AL82" s="87"/>
      <c r="AM82" s="87"/>
      <c r="AN82" s="87"/>
      <c r="AO82" s="87"/>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c r="GU82" s="12"/>
      <c r="GV82" s="12"/>
      <c r="GW82" s="12"/>
      <c r="GX82" s="12"/>
      <c r="GY82" s="12"/>
      <c r="GZ82" s="12"/>
      <c r="HA82" s="12"/>
      <c r="HB82" s="12"/>
      <c r="HC82" s="12"/>
      <c r="HD82" s="12"/>
      <c r="HE82" s="12"/>
      <c r="HF82" s="12"/>
      <c r="HG82" s="12"/>
      <c r="HH82" s="12"/>
      <c r="HI82" s="12"/>
      <c r="HJ82" s="12"/>
      <c r="HK82" s="12"/>
      <c r="HL82" s="12"/>
      <c r="HM82" s="12"/>
      <c r="HN82" s="12"/>
      <c r="HO82" s="12"/>
      <c r="HP82" s="12"/>
      <c r="HQ82" s="12"/>
      <c r="HR82" s="12"/>
      <c r="HS82" s="12"/>
      <c r="HT82" s="12"/>
      <c r="HU82" s="12"/>
      <c r="HV82" s="12"/>
      <c r="HW82" s="12"/>
      <c r="HX82" s="12"/>
      <c r="HY82" s="12"/>
      <c r="HZ82" s="12"/>
      <c r="IA82" s="12"/>
      <c r="IB82" s="12"/>
      <c r="IC82" s="12"/>
      <c r="ID82" s="12"/>
      <c r="IE82" s="12"/>
      <c r="IF82" s="12"/>
      <c r="IG82" s="12"/>
      <c r="IH82" s="12"/>
      <c r="II82" s="12"/>
      <c r="IJ82" s="12"/>
      <c r="IK82" s="12"/>
      <c r="IL82" s="12"/>
      <c r="IM82" s="12"/>
      <c r="IN82" s="12"/>
      <c r="IO82" s="12"/>
      <c r="IP82" s="12"/>
      <c r="IQ82" s="12"/>
      <c r="IR82" s="12"/>
      <c r="IS82" s="12"/>
      <c r="IT82" s="12"/>
      <c r="IU82" s="12"/>
      <c r="IV82" s="12"/>
      <c r="IW82" s="12"/>
      <c r="IX82" s="12"/>
      <c r="IY82" s="12"/>
      <c r="IZ82" s="12"/>
      <c r="JA82" s="12"/>
      <c r="JB82" s="12"/>
      <c r="JC82" s="12"/>
      <c r="JD82" s="12"/>
      <c r="JE82" s="12"/>
      <c r="JF82" s="12"/>
      <c r="JG82" s="12"/>
      <c r="JH82" s="12"/>
      <c r="JI82" s="12"/>
      <c r="JJ82" s="12"/>
      <c r="JK82" s="12"/>
      <c r="JL82" s="12"/>
      <c r="JM82" s="12"/>
      <c r="JN82" s="12"/>
      <c r="JO82" s="12"/>
      <c r="JP82" s="12"/>
      <c r="JQ82" s="12"/>
      <c r="JR82" s="12"/>
      <c r="JS82" s="12"/>
      <c r="JT82" s="12"/>
      <c r="JU82" s="12"/>
      <c r="JV82" s="12"/>
      <c r="JW82" s="12"/>
      <c r="JX82" s="12"/>
      <c r="JY82" s="12"/>
      <c r="JZ82" s="12"/>
      <c r="KA82" s="12"/>
      <c r="KB82" s="12"/>
      <c r="KC82" s="12"/>
      <c r="KD82" s="12"/>
      <c r="KE82" s="12"/>
      <c r="KF82" s="12"/>
      <c r="KG82" s="12"/>
      <c r="KH82" s="12"/>
      <c r="KI82" s="12"/>
      <c r="KJ82" s="12"/>
      <c r="KK82" s="12"/>
      <c r="KL82" s="12"/>
      <c r="KM82" s="12"/>
      <c r="KN82" s="12"/>
      <c r="KO82" s="12"/>
      <c r="KP82" s="12"/>
      <c r="KQ82" s="12"/>
      <c r="KR82" s="12"/>
      <c r="KS82" s="12"/>
      <c r="KT82" s="12"/>
      <c r="KU82" s="12"/>
      <c r="KV82" s="12"/>
      <c r="KW82" s="12"/>
      <c r="KX82" s="12"/>
      <c r="KY82" s="12"/>
      <c r="KZ82" s="12"/>
      <c r="LA82" s="12"/>
      <c r="LB82" s="12"/>
      <c r="LC82" s="12"/>
      <c r="LD82" s="12"/>
      <c r="LE82" s="12"/>
      <c r="LF82" s="12"/>
      <c r="LG82" s="12"/>
      <c r="LH82" s="12"/>
      <c r="LI82" s="12"/>
      <c r="LJ82" s="12"/>
      <c r="LK82" s="12"/>
      <c r="LL82" s="12"/>
      <c r="LM82" s="12"/>
      <c r="LN82" s="12"/>
      <c r="LO82" s="12"/>
      <c r="LP82" s="12"/>
      <c r="LQ82" s="12"/>
      <c r="LR82" s="12"/>
      <c r="LS82" s="12"/>
      <c r="LT82" s="12"/>
      <c r="LU82" s="12"/>
      <c r="LV82" s="12"/>
      <c r="LW82" s="12"/>
      <c r="LX82" s="12"/>
      <c r="LY82" s="12"/>
      <c r="LZ82" s="12"/>
      <c r="MA82" s="12"/>
      <c r="MB82" s="12"/>
      <c r="MC82" s="12"/>
      <c r="MD82" s="12"/>
      <c r="ME82" s="12"/>
      <c r="MF82" s="12"/>
      <c r="MG82" s="12"/>
      <c r="MH82" s="12"/>
      <c r="MI82" s="12"/>
      <c r="MJ82" s="12"/>
      <c r="MK82" s="12"/>
      <c r="ML82" s="12"/>
      <c r="MM82" s="12"/>
      <c r="MN82" s="12"/>
      <c r="MO82" s="12"/>
      <c r="MP82" s="12"/>
      <c r="MQ82" s="12"/>
      <c r="MR82" s="12"/>
      <c r="MS82" s="12"/>
      <c r="MT82" s="12"/>
      <c r="MU82" s="12"/>
      <c r="MV82" s="12"/>
      <c r="MW82" s="12"/>
      <c r="MX82" s="12"/>
      <c r="MY82" s="12"/>
      <c r="MZ82" s="12"/>
      <c r="NA82" s="12"/>
      <c r="NB82" s="12"/>
      <c r="NC82" s="12"/>
      <c r="ND82" s="12"/>
      <c r="NE82" s="12"/>
      <c r="NF82" s="12"/>
      <c r="NG82" s="12"/>
      <c r="NH82" s="12"/>
      <c r="NI82" s="12"/>
      <c r="NJ82" s="12"/>
      <c r="NK82" s="12"/>
      <c r="NL82" s="12"/>
      <c r="NM82" s="12"/>
      <c r="NN82" s="12"/>
      <c r="NO82" s="12"/>
      <c r="NP82" s="12"/>
      <c r="NQ82" s="12"/>
      <c r="NR82" s="12"/>
      <c r="NS82" s="12"/>
      <c r="NT82" s="12"/>
      <c r="NU82" s="12"/>
      <c r="NV82" s="12"/>
      <c r="NW82" s="12"/>
      <c r="NX82" s="12"/>
      <c r="NY82" s="12"/>
      <c r="NZ82" s="12"/>
      <c r="OA82" s="12"/>
      <c r="OB82" s="12"/>
      <c r="OC82" s="12"/>
      <c r="OD82" s="12"/>
      <c r="OE82" s="12"/>
      <c r="OF82" s="12"/>
      <c r="OG82" s="12"/>
      <c r="OH82" s="12"/>
      <c r="OI82" s="12"/>
      <c r="OJ82" s="12"/>
      <c r="OK82" s="12"/>
      <c r="OL82" s="12"/>
      <c r="OM82" s="12"/>
      <c r="ON82" s="12"/>
      <c r="OO82" s="12"/>
      <c r="OP82" s="12"/>
      <c r="OQ82" s="12"/>
      <c r="OR82" s="12"/>
      <c r="OS82" s="12"/>
      <c r="OT82" s="12"/>
      <c r="OU82" s="12"/>
      <c r="OV82" s="12"/>
      <c r="OW82" s="12"/>
      <c r="OX82" s="12"/>
      <c r="OY82" s="12"/>
      <c r="OZ82" s="12"/>
      <c r="PA82" s="12"/>
      <c r="PB82" s="12"/>
      <c r="PC82" s="12"/>
      <c r="PD82" s="12"/>
      <c r="PE82" s="12"/>
      <c r="PF82" s="12"/>
      <c r="PG82" s="12"/>
      <c r="PH82" s="12"/>
      <c r="PI82" s="12"/>
      <c r="PJ82" s="12"/>
      <c r="PK82" s="12"/>
      <c r="PL82" s="12"/>
      <c r="PM82" s="12"/>
      <c r="PN82" s="12"/>
      <c r="PO82" s="12"/>
      <c r="PP82" s="12"/>
      <c r="PQ82" s="12"/>
      <c r="PR82" s="12"/>
      <c r="PS82" s="12"/>
      <c r="PT82" s="12"/>
      <c r="PU82" s="12"/>
      <c r="PV82" s="12"/>
      <c r="PW82" s="12"/>
      <c r="PX82" s="12"/>
      <c r="PY82" s="12"/>
      <c r="PZ82" s="12"/>
      <c r="QA82" s="12"/>
      <c r="QB82" s="12"/>
      <c r="QC82" s="12"/>
      <c r="QD82" s="12"/>
      <c r="QE82" s="12"/>
      <c r="QF82" s="12"/>
      <c r="QG82" s="12"/>
      <c r="QH82" s="12"/>
      <c r="QI82" s="12"/>
      <c r="QJ82" s="12"/>
      <c r="QK82" s="12"/>
      <c r="QL82" s="12"/>
      <c r="QM82" s="12"/>
      <c r="QN82" s="12"/>
      <c r="QO82" s="12"/>
      <c r="QP82" s="12"/>
      <c r="QQ82" s="12"/>
      <c r="QR82" s="12"/>
      <c r="QS82" s="12"/>
      <c r="QT82" s="12"/>
      <c r="QU82" s="12"/>
      <c r="QV82" s="12"/>
      <c r="QW82" s="12"/>
      <c r="QX82" s="12"/>
      <c r="QY82" s="12"/>
      <c r="QZ82" s="12"/>
      <c r="RA82" s="12"/>
      <c r="RB82" s="12"/>
      <c r="RC82" s="12"/>
      <c r="RD82" s="12"/>
      <c r="RE82" s="12"/>
      <c r="RF82" s="12"/>
      <c r="RG82" s="12"/>
      <c r="RH82" s="12"/>
      <c r="RI82" s="12"/>
      <c r="RJ82" s="12"/>
      <c r="RK82" s="12"/>
      <c r="RL82" s="12"/>
      <c r="RM82" s="12"/>
      <c r="RN82" s="12"/>
      <c r="RO82" s="12"/>
      <c r="RP82" s="12"/>
      <c r="RQ82" s="12"/>
      <c r="RR82" s="12"/>
      <c r="RS82" s="12"/>
      <c r="RT82" s="12"/>
      <c r="RU82" s="12"/>
      <c r="RV82" s="12"/>
      <c r="RW82" s="12"/>
      <c r="RX82" s="12"/>
      <c r="RY82" s="12"/>
      <c r="RZ82" s="12"/>
      <c r="SA82" s="12"/>
      <c r="SB82" s="12"/>
      <c r="SC82" s="12"/>
      <c r="SD82" s="12"/>
    </row>
    <row r="83" spans="1:498" s="10" customFormat="1" ht="14" hidden="1" customHeight="1">
      <c r="A83" s="87"/>
      <c r="B83" s="87" t="s">
        <v>18</v>
      </c>
      <c r="C83" s="87"/>
      <c r="D83" s="149">
        <f>IF(K83="N/A","N/A",SUM(F83:AI83)*12)</f>
        <v>351486.10210848722</v>
      </c>
      <c r="E83" s="150"/>
      <c r="F83" s="151">
        <f>($C$10*$C$11)/12</f>
        <v>830.72916666666663</v>
      </c>
      <c r="G83" s="152">
        <f>($C$10*$C$11)/12</f>
        <v>830.72916666666663</v>
      </c>
      <c r="H83" s="152">
        <f>($C$10*$C$11)/12</f>
        <v>830.72916666666663</v>
      </c>
      <c r="I83" s="152">
        <f>($C$10*$C$11)/12</f>
        <v>830.72916666666663</v>
      </c>
      <c r="J83" s="152">
        <f>IF($C$10&lt;10000,PMT($C$11/$C$12,8*$C$12,-$C$10),IF($C$10&lt;20000,PMT($C$11/$C$12,11*$C$12,-$C$10),IF($C$10&lt;40000,PMT($C$11/$C$12,16*$C$12,-$C$10),IF($C$10&lt;60000,PMT($C$11/$C$12,21*$C$12,-$C$10),PMT($C$11/$C$12,26*$C$12,-$C$10)))))</f>
        <v>998.75353239899721</v>
      </c>
      <c r="K83" s="152">
        <f>IF(J83&gt;($F$83*3),"N/A",J83)</f>
        <v>998.75353239899721</v>
      </c>
      <c r="L83" s="152">
        <f t="shared" si="57"/>
        <v>998.75353239899721</v>
      </c>
      <c r="M83" s="152">
        <f t="shared" si="57"/>
        <v>998.75353239899721</v>
      </c>
      <c r="N83" s="152">
        <f t="shared" si="57"/>
        <v>998.75353239899721</v>
      </c>
      <c r="O83" s="152">
        <f t="shared" si="57"/>
        <v>998.75353239899721</v>
      </c>
      <c r="P83" s="152">
        <f t="shared" si="57"/>
        <v>998.75353239899721</v>
      </c>
      <c r="Q83" s="152">
        <f t="shared" si="57"/>
        <v>998.75353239899721</v>
      </c>
      <c r="R83" s="152">
        <f>IF($C$10&lt;10000,0,Q83)</f>
        <v>998.75353239899721</v>
      </c>
      <c r="S83" s="152">
        <f>R83</f>
        <v>998.75353239899721</v>
      </c>
      <c r="T83" s="152">
        <f>S83</f>
        <v>998.75353239899721</v>
      </c>
      <c r="U83" s="152">
        <f>IF($C$10&lt;20000,0,T83)</f>
        <v>998.75353239899721</v>
      </c>
      <c r="V83" s="152">
        <f t="shared" si="58"/>
        <v>998.75353239899721</v>
      </c>
      <c r="W83" s="152">
        <f t="shared" si="58"/>
        <v>998.75353239899721</v>
      </c>
      <c r="X83" s="152">
        <f t="shared" si="58"/>
        <v>998.75353239899721</v>
      </c>
      <c r="Y83" s="152">
        <f t="shared" si="58"/>
        <v>998.75353239899721</v>
      </c>
      <c r="Z83" s="152">
        <f>IF($C$10&lt;40000,0,Y83)</f>
        <v>998.75353239899721</v>
      </c>
      <c r="AA83" s="152">
        <f t="shared" si="59"/>
        <v>998.75353239899721</v>
      </c>
      <c r="AB83" s="152">
        <f t="shared" si="59"/>
        <v>998.75353239899721</v>
      </c>
      <c r="AC83" s="152">
        <f t="shared" si="59"/>
        <v>998.75353239899721</v>
      </c>
      <c r="AD83" s="152">
        <f t="shared" si="59"/>
        <v>998.75353239899721</v>
      </c>
      <c r="AE83" s="152">
        <f>IF($C$10&lt;60000,0,AD83)</f>
        <v>998.75353239899721</v>
      </c>
      <c r="AF83" s="152">
        <f t="shared" si="60"/>
        <v>998.75353239899721</v>
      </c>
      <c r="AG83" s="152">
        <f t="shared" si="60"/>
        <v>998.75353239899721</v>
      </c>
      <c r="AH83" s="152">
        <f t="shared" si="60"/>
        <v>998.75353239899721</v>
      </c>
      <c r="AI83" s="152">
        <f t="shared" si="60"/>
        <v>998.75353239899721</v>
      </c>
      <c r="AJ83" s="87"/>
      <c r="AK83" s="87"/>
      <c r="AL83" s="87"/>
      <c r="AM83" s="87"/>
      <c r="AN83" s="87"/>
      <c r="AO83" s="87"/>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c r="GK83" s="12"/>
      <c r="GL83" s="12"/>
      <c r="GM83" s="12"/>
      <c r="GN83" s="12"/>
      <c r="GO83" s="12"/>
      <c r="GP83" s="12"/>
      <c r="GQ83" s="12"/>
      <c r="GR83" s="12"/>
      <c r="GS83" s="12"/>
      <c r="GT83" s="12"/>
      <c r="GU83" s="12"/>
      <c r="GV83" s="12"/>
      <c r="GW83" s="12"/>
      <c r="GX83" s="12"/>
      <c r="GY83" s="12"/>
      <c r="GZ83" s="12"/>
      <c r="HA83" s="12"/>
      <c r="HB83" s="12"/>
      <c r="HC83" s="12"/>
      <c r="HD83" s="12"/>
      <c r="HE83" s="12"/>
      <c r="HF83" s="12"/>
      <c r="HG83" s="12"/>
      <c r="HH83" s="12"/>
      <c r="HI83" s="12"/>
      <c r="HJ83" s="12"/>
      <c r="HK83" s="12"/>
      <c r="HL83" s="12"/>
      <c r="HM83" s="12"/>
      <c r="HN83" s="12"/>
      <c r="HO83" s="12"/>
      <c r="HP83" s="12"/>
      <c r="HQ83" s="12"/>
      <c r="HR83" s="12"/>
      <c r="HS83" s="12"/>
      <c r="HT83" s="12"/>
      <c r="HU83" s="12"/>
      <c r="HV83" s="12"/>
      <c r="HW83" s="12"/>
      <c r="HX83" s="12"/>
      <c r="HY83" s="12"/>
      <c r="HZ83" s="12"/>
      <c r="IA83" s="12"/>
      <c r="IB83" s="12"/>
      <c r="IC83" s="12"/>
      <c r="ID83" s="12"/>
      <c r="IE83" s="12"/>
      <c r="IF83" s="12"/>
      <c r="IG83" s="12"/>
      <c r="IH83" s="12"/>
      <c r="II83" s="12"/>
      <c r="IJ83" s="12"/>
      <c r="IK83" s="12"/>
      <c r="IL83" s="12"/>
      <c r="IM83" s="12"/>
      <c r="IN83" s="12"/>
      <c r="IO83" s="12"/>
      <c r="IP83" s="12"/>
      <c r="IQ83" s="12"/>
      <c r="IR83" s="12"/>
      <c r="IS83" s="12"/>
      <c r="IT83" s="12"/>
      <c r="IU83" s="12"/>
      <c r="IV83" s="12"/>
      <c r="IW83" s="12"/>
      <c r="IX83" s="12"/>
      <c r="IY83" s="12"/>
      <c r="IZ83" s="12"/>
      <c r="JA83" s="12"/>
      <c r="JB83" s="12"/>
      <c r="JC83" s="12"/>
      <c r="JD83" s="12"/>
      <c r="JE83" s="12"/>
      <c r="JF83" s="12"/>
      <c r="JG83" s="12"/>
      <c r="JH83" s="12"/>
      <c r="JI83" s="12"/>
      <c r="JJ83" s="12"/>
      <c r="JK83" s="12"/>
      <c r="JL83" s="12"/>
      <c r="JM83" s="12"/>
      <c r="JN83" s="12"/>
      <c r="JO83" s="12"/>
      <c r="JP83" s="12"/>
      <c r="JQ83" s="12"/>
      <c r="JR83" s="12"/>
      <c r="JS83" s="12"/>
      <c r="JT83" s="12"/>
      <c r="JU83" s="12"/>
      <c r="JV83" s="12"/>
      <c r="JW83" s="12"/>
      <c r="JX83" s="12"/>
      <c r="JY83" s="12"/>
      <c r="JZ83" s="12"/>
      <c r="KA83" s="12"/>
      <c r="KB83" s="12"/>
      <c r="KC83" s="12"/>
      <c r="KD83" s="12"/>
      <c r="KE83" s="12"/>
      <c r="KF83" s="12"/>
      <c r="KG83" s="12"/>
      <c r="KH83" s="12"/>
      <c r="KI83" s="12"/>
      <c r="KJ83" s="12"/>
      <c r="KK83" s="12"/>
      <c r="KL83" s="12"/>
      <c r="KM83" s="12"/>
      <c r="KN83" s="12"/>
      <c r="KO83" s="12"/>
      <c r="KP83" s="12"/>
      <c r="KQ83" s="12"/>
      <c r="KR83" s="12"/>
      <c r="KS83" s="12"/>
      <c r="KT83" s="12"/>
      <c r="KU83" s="12"/>
      <c r="KV83" s="12"/>
      <c r="KW83" s="12"/>
      <c r="KX83" s="12"/>
      <c r="KY83" s="12"/>
      <c r="KZ83" s="12"/>
      <c r="LA83" s="12"/>
      <c r="LB83" s="12"/>
      <c r="LC83" s="12"/>
      <c r="LD83" s="12"/>
      <c r="LE83" s="12"/>
      <c r="LF83" s="12"/>
      <c r="LG83" s="12"/>
      <c r="LH83" s="12"/>
      <c r="LI83" s="12"/>
      <c r="LJ83" s="12"/>
      <c r="LK83" s="12"/>
      <c r="LL83" s="12"/>
      <c r="LM83" s="12"/>
      <c r="LN83" s="12"/>
      <c r="LO83" s="12"/>
      <c r="LP83" s="12"/>
      <c r="LQ83" s="12"/>
      <c r="LR83" s="12"/>
      <c r="LS83" s="12"/>
      <c r="LT83" s="12"/>
      <c r="LU83" s="12"/>
      <c r="LV83" s="12"/>
      <c r="LW83" s="12"/>
      <c r="LX83" s="12"/>
      <c r="LY83" s="12"/>
      <c r="LZ83" s="12"/>
      <c r="MA83" s="12"/>
      <c r="MB83" s="12"/>
      <c r="MC83" s="12"/>
      <c r="MD83" s="12"/>
      <c r="ME83" s="12"/>
      <c r="MF83" s="12"/>
      <c r="MG83" s="12"/>
      <c r="MH83" s="12"/>
      <c r="MI83" s="12"/>
      <c r="MJ83" s="12"/>
      <c r="MK83" s="12"/>
      <c r="ML83" s="12"/>
      <c r="MM83" s="12"/>
      <c r="MN83" s="12"/>
      <c r="MO83" s="12"/>
      <c r="MP83" s="12"/>
      <c r="MQ83" s="12"/>
      <c r="MR83" s="12"/>
      <c r="MS83" s="12"/>
      <c r="MT83" s="12"/>
      <c r="MU83" s="12"/>
      <c r="MV83" s="12"/>
      <c r="MW83" s="12"/>
      <c r="MX83" s="12"/>
      <c r="MY83" s="12"/>
      <c r="MZ83" s="12"/>
      <c r="NA83" s="12"/>
      <c r="NB83" s="12"/>
      <c r="NC83" s="12"/>
      <c r="ND83" s="12"/>
      <c r="NE83" s="12"/>
      <c r="NF83" s="12"/>
      <c r="NG83" s="12"/>
      <c r="NH83" s="12"/>
      <c r="NI83" s="12"/>
      <c r="NJ83" s="12"/>
      <c r="NK83" s="12"/>
      <c r="NL83" s="12"/>
      <c r="NM83" s="12"/>
      <c r="NN83" s="12"/>
      <c r="NO83" s="12"/>
      <c r="NP83" s="12"/>
      <c r="NQ83" s="12"/>
      <c r="NR83" s="12"/>
      <c r="NS83" s="12"/>
      <c r="NT83" s="12"/>
      <c r="NU83" s="12"/>
      <c r="NV83" s="12"/>
      <c r="NW83" s="12"/>
      <c r="NX83" s="12"/>
      <c r="NY83" s="12"/>
      <c r="NZ83" s="12"/>
      <c r="OA83" s="12"/>
      <c r="OB83" s="12"/>
      <c r="OC83" s="12"/>
      <c r="OD83" s="12"/>
      <c r="OE83" s="12"/>
      <c r="OF83" s="12"/>
      <c r="OG83" s="12"/>
      <c r="OH83" s="12"/>
      <c r="OI83" s="12"/>
      <c r="OJ83" s="12"/>
      <c r="OK83" s="12"/>
      <c r="OL83" s="12"/>
      <c r="OM83" s="12"/>
      <c r="ON83" s="12"/>
      <c r="OO83" s="12"/>
      <c r="OP83" s="12"/>
      <c r="OQ83" s="12"/>
      <c r="OR83" s="12"/>
      <c r="OS83" s="12"/>
      <c r="OT83" s="12"/>
      <c r="OU83" s="12"/>
      <c r="OV83" s="12"/>
      <c r="OW83" s="12"/>
      <c r="OX83" s="12"/>
      <c r="OY83" s="12"/>
      <c r="OZ83" s="12"/>
      <c r="PA83" s="12"/>
      <c r="PB83" s="12"/>
      <c r="PC83" s="12"/>
      <c r="PD83" s="12"/>
      <c r="PE83" s="12"/>
      <c r="PF83" s="12"/>
      <c r="PG83" s="12"/>
      <c r="PH83" s="12"/>
      <c r="PI83" s="12"/>
      <c r="PJ83" s="12"/>
      <c r="PK83" s="12"/>
      <c r="PL83" s="12"/>
      <c r="PM83" s="12"/>
      <c r="PN83" s="12"/>
      <c r="PO83" s="12"/>
      <c r="PP83" s="12"/>
      <c r="PQ83" s="12"/>
      <c r="PR83" s="12"/>
      <c r="PS83" s="12"/>
      <c r="PT83" s="12"/>
      <c r="PU83" s="12"/>
      <c r="PV83" s="12"/>
      <c r="PW83" s="12"/>
      <c r="PX83" s="12"/>
      <c r="PY83" s="12"/>
      <c r="PZ83" s="12"/>
      <c r="QA83" s="12"/>
      <c r="QB83" s="12"/>
      <c r="QC83" s="12"/>
      <c r="QD83" s="12"/>
      <c r="QE83" s="12"/>
      <c r="QF83" s="12"/>
      <c r="QG83" s="12"/>
      <c r="QH83" s="12"/>
      <c r="QI83" s="12"/>
      <c r="QJ83" s="12"/>
      <c r="QK83" s="12"/>
      <c r="QL83" s="12"/>
      <c r="QM83" s="12"/>
      <c r="QN83" s="12"/>
      <c r="QO83" s="12"/>
      <c r="QP83" s="12"/>
      <c r="QQ83" s="12"/>
      <c r="QR83" s="12"/>
      <c r="QS83" s="12"/>
      <c r="QT83" s="12"/>
      <c r="QU83" s="12"/>
      <c r="QV83" s="12"/>
      <c r="QW83" s="12"/>
      <c r="QX83" s="12"/>
      <c r="QY83" s="12"/>
      <c r="QZ83" s="12"/>
      <c r="RA83" s="12"/>
      <c r="RB83" s="12"/>
      <c r="RC83" s="12"/>
      <c r="RD83" s="12"/>
      <c r="RE83" s="12"/>
      <c r="RF83" s="12"/>
      <c r="RG83" s="12"/>
      <c r="RH83" s="12"/>
      <c r="RI83" s="12"/>
      <c r="RJ83" s="12"/>
      <c r="RK83" s="12"/>
      <c r="RL83" s="12"/>
      <c r="RM83" s="12"/>
      <c r="RN83" s="12"/>
      <c r="RO83" s="12"/>
      <c r="RP83" s="12"/>
      <c r="RQ83" s="12"/>
      <c r="RR83" s="12"/>
      <c r="RS83" s="12"/>
      <c r="RT83" s="12"/>
      <c r="RU83" s="12"/>
      <c r="RV83" s="12"/>
      <c r="RW83" s="12"/>
      <c r="RX83" s="12"/>
      <c r="RY83" s="12"/>
      <c r="RZ83" s="12"/>
      <c r="SA83" s="12"/>
      <c r="SB83" s="12"/>
      <c r="SC83" s="12"/>
      <c r="SD83" s="12"/>
    </row>
    <row r="84" spans="1:498" s="10" customFormat="1" ht="14" hidden="1" customHeight="1">
      <c r="A84" s="87"/>
      <c r="B84" s="87"/>
      <c r="C84" s="153">
        <f>PMT(C$11/12,10*12,-C$10)</f>
        <v>1674.2464191195027</v>
      </c>
      <c r="D84" s="87"/>
      <c r="E84" s="154" t="s">
        <v>19</v>
      </c>
      <c r="F84" s="151">
        <f>PMT(C$11/12,10*12,-C$10)</f>
        <v>1674.2464191195027</v>
      </c>
      <c r="G84" s="152">
        <f t="shared" ref="G84:O84" si="61">$F$84</f>
        <v>1674.2464191195027</v>
      </c>
      <c r="H84" s="152">
        <f t="shared" si="61"/>
        <v>1674.2464191195027</v>
      </c>
      <c r="I84" s="152">
        <f t="shared" si="61"/>
        <v>1674.2464191195027</v>
      </c>
      <c r="J84" s="152">
        <f t="shared" si="61"/>
        <v>1674.2464191195027</v>
      </c>
      <c r="K84" s="152">
        <f t="shared" si="61"/>
        <v>1674.2464191195027</v>
      </c>
      <c r="L84" s="152">
        <f t="shared" si="61"/>
        <v>1674.2464191195027</v>
      </c>
      <c r="M84" s="152">
        <f t="shared" si="61"/>
        <v>1674.2464191195027</v>
      </c>
      <c r="N84" s="152">
        <f t="shared" si="61"/>
        <v>1674.2464191195027</v>
      </c>
      <c r="O84" s="152">
        <f t="shared" si="61"/>
        <v>1674.2464191195027</v>
      </c>
      <c r="P84" s="152">
        <v>0</v>
      </c>
      <c r="Q84" s="152">
        <v>0</v>
      </c>
      <c r="R84" s="152">
        <v>0</v>
      </c>
      <c r="S84" s="152">
        <v>0</v>
      </c>
      <c r="T84" s="152">
        <v>0</v>
      </c>
      <c r="U84" s="152">
        <v>0</v>
      </c>
      <c r="V84" s="152">
        <v>0</v>
      </c>
      <c r="W84" s="152">
        <v>0</v>
      </c>
      <c r="X84" s="152">
        <v>0</v>
      </c>
      <c r="Y84" s="152">
        <v>0</v>
      </c>
      <c r="Z84" s="152">
        <v>0</v>
      </c>
      <c r="AA84" s="152">
        <v>0</v>
      </c>
      <c r="AB84" s="152">
        <v>0</v>
      </c>
      <c r="AC84" s="152">
        <v>0</v>
      </c>
      <c r="AD84" s="152">
        <v>0</v>
      </c>
      <c r="AE84" s="152"/>
      <c r="AF84" s="152"/>
      <c r="AG84" s="152"/>
      <c r="AH84" s="152"/>
      <c r="AI84" s="152"/>
      <c r="AJ84" s="87"/>
      <c r="AK84" s="87"/>
      <c r="AL84" s="87"/>
      <c r="AM84" s="87"/>
      <c r="AN84" s="87"/>
      <c r="AO84" s="87"/>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c r="HR84" s="12"/>
      <c r="HS84" s="12"/>
      <c r="HT84" s="12"/>
      <c r="HU84" s="12"/>
      <c r="HV84" s="12"/>
      <c r="HW84" s="12"/>
      <c r="HX84" s="12"/>
      <c r="HY84" s="12"/>
      <c r="HZ84" s="12"/>
      <c r="IA84" s="12"/>
      <c r="IB84" s="12"/>
      <c r="IC84" s="12"/>
      <c r="ID84" s="12"/>
      <c r="IE84" s="12"/>
      <c r="IF84" s="12"/>
      <c r="IG84" s="12"/>
      <c r="IH84" s="12"/>
      <c r="II84" s="12"/>
      <c r="IJ84" s="12"/>
      <c r="IK84" s="12"/>
      <c r="IL84" s="12"/>
      <c r="IM84" s="12"/>
      <c r="IN84" s="12"/>
      <c r="IO84" s="12"/>
      <c r="IP84" s="12"/>
      <c r="IQ84" s="12"/>
      <c r="IR84" s="12"/>
      <c r="IS84" s="12"/>
      <c r="IT84" s="12"/>
      <c r="IU84" s="12"/>
      <c r="IV84" s="12"/>
      <c r="IW84" s="12"/>
      <c r="IX84" s="12"/>
      <c r="IY84" s="12"/>
      <c r="IZ84" s="12"/>
      <c r="JA84" s="12"/>
      <c r="JB84" s="12"/>
      <c r="JC84" s="12"/>
      <c r="JD84" s="12"/>
      <c r="JE84" s="12"/>
      <c r="JF84" s="12"/>
      <c r="JG84" s="12"/>
      <c r="JH84" s="12"/>
      <c r="JI84" s="12"/>
      <c r="JJ84" s="12"/>
      <c r="JK84" s="12"/>
      <c r="JL84" s="12"/>
      <c r="JM84" s="12"/>
      <c r="JN84" s="12"/>
      <c r="JO84" s="12"/>
      <c r="JP84" s="12"/>
      <c r="JQ84" s="12"/>
      <c r="JR84" s="12"/>
      <c r="JS84" s="12"/>
      <c r="JT84" s="12"/>
      <c r="JU84" s="12"/>
      <c r="JV84" s="12"/>
      <c r="JW84" s="12"/>
      <c r="JX84" s="12"/>
      <c r="JY84" s="12"/>
      <c r="JZ84" s="12"/>
      <c r="KA84" s="12"/>
      <c r="KB84" s="12"/>
      <c r="KC84" s="12"/>
      <c r="KD84" s="12"/>
      <c r="KE84" s="12"/>
      <c r="KF84" s="12"/>
      <c r="KG84" s="12"/>
      <c r="KH84" s="12"/>
      <c r="KI84" s="12"/>
      <c r="KJ84" s="12"/>
      <c r="KK84" s="12"/>
      <c r="KL84" s="12"/>
      <c r="KM84" s="12"/>
      <c r="KN84" s="12"/>
      <c r="KO84" s="12"/>
      <c r="KP84" s="12"/>
      <c r="KQ84" s="12"/>
      <c r="KR84" s="12"/>
      <c r="KS84" s="12"/>
      <c r="KT84" s="12"/>
      <c r="KU84" s="12"/>
      <c r="KV84" s="12"/>
      <c r="KW84" s="12"/>
      <c r="KX84" s="12"/>
      <c r="KY84" s="12"/>
      <c r="KZ84" s="12"/>
      <c r="LA84" s="12"/>
      <c r="LB84" s="12"/>
      <c r="LC84" s="12"/>
      <c r="LD84" s="12"/>
      <c r="LE84" s="12"/>
      <c r="LF84" s="12"/>
      <c r="LG84" s="12"/>
      <c r="LH84" s="12"/>
      <c r="LI84" s="12"/>
      <c r="LJ84" s="12"/>
      <c r="LK84" s="12"/>
      <c r="LL84" s="12"/>
      <c r="LM84" s="12"/>
      <c r="LN84" s="12"/>
      <c r="LO84" s="12"/>
      <c r="LP84" s="12"/>
      <c r="LQ84" s="12"/>
      <c r="LR84" s="12"/>
      <c r="LS84" s="12"/>
      <c r="LT84" s="12"/>
      <c r="LU84" s="12"/>
      <c r="LV84" s="12"/>
      <c r="LW84" s="12"/>
      <c r="LX84" s="12"/>
      <c r="LY84" s="12"/>
      <c r="LZ84" s="12"/>
      <c r="MA84" s="12"/>
      <c r="MB84" s="12"/>
      <c r="MC84" s="12"/>
      <c r="MD84" s="12"/>
      <c r="ME84" s="12"/>
      <c r="MF84" s="12"/>
      <c r="MG84" s="12"/>
      <c r="MH84" s="12"/>
      <c r="MI84" s="12"/>
      <c r="MJ84" s="12"/>
      <c r="MK84" s="12"/>
      <c r="ML84" s="12"/>
      <c r="MM84" s="12"/>
      <c r="MN84" s="12"/>
      <c r="MO84" s="12"/>
      <c r="MP84" s="12"/>
      <c r="MQ84" s="12"/>
      <c r="MR84" s="12"/>
      <c r="MS84" s="12"/>
      <c r="MT84" s="12"/>
      <c r="MU84" s="12"/>
      <c r="MV84" s="12"/>
      <c r="MW84" s="12"/>
      <c r="MX84" s="12"/>
      <c r="MY84" s="12"/>
      <c r="MZ84" s="12"/>
      <c r="NA84" s="12"/>
      <c r="NB84" s="12"/>
      <c r="NC84" s="12"/>
      <c r="ND84" s="12"/>
      <c r="NE84" s="12"/>
      <c r="NF84" s="12"/>
      <c r="NG84" s="12"/>
      <c r="NH84" s="12"/>
      <c r="NI84" s="12"/>
      <c r="NJ84" s="12"/>
      <c r="NK84" s="12"/>
      <c r="NL84" s="12"/>
      <c r="NM84" s="12"/>
      <c r="NN84" s="12"/>
      <c r="NO84" s="12"/>
      <c r="NP84" s="12"/>
      <c r="NQ84" s="12"/>
      <c r="NR84" s="12"/>
      <c r="NS84" s="12"/>
      <c r="NT84" s="12"/>
      <c r="NU84" s="12"/>
      <c r="NV84" s="12"/>
      <c r="NW84" s="12"/>
      <c r="NX84" s="12"/>
      <c r="NY84" s="12"/>
      <c r="NZ84" s="12"/>
      <c r="OA84" s="12"/>
      <c r="OB84" s="12"/>
      <c r="OC84" s="12"/>
      <c r="OD84" s="12"/>
      <c r="OE84" s="12"/>
      <c r="OF84" s="12"/>
      <c r="OG84" s="12"/>
      <c r="OH84" s="12"/>
      <c r="OI84" s="12"/>
      <c r="OJ84" s="12"/>
      <c r="OK84" s="12"/>
      <c r="OL84" s="12"/>
      <c r="OM84" s="12"/>
      <c r="ON84" s="12"/>
      <c r="OO84" s="12"/>
      <c r="OP84" s="12"/>
      <c r="OQ84" s="12"/>
      <c r="OR84" s="12"/>
      <c r="OS84" s="12"/>
      <c r="OT84" s="12"/>
      <c r="OU84" s="12"/>
      <c r="OV84" s="12"/>
      <c r="OW84" s="12"/>
      <c r="OX84" s="12"/>
      <c r="OY84" s="12"/>
      <c r="OZ84" s="12"/>
      <c r="PA84" s="12"/>
      <c r="PB84" s="12"/>
      <c r="PC84" s="12"/>
      <c r="PD84" s="12"/>
      <c r="PE84" s="12"/>
      <c r="PF84" s="12"/>
      <c r="PG84" s="12"/>
      <c r="PH84" s="12"/>
      <c r="PI84" s="12"/>
      <c r="PJ84" s="12"/>
      <c r="PK84" s="12"/>
      <c r="PL84" s="12"/>
      <c r="PM84" s="12"/>
      <c r="PN84" s="12"/>
      <c r="PO84" s="12"/>
      <c r="PP84" s="12"/>
      <c r="PQ84" s="12"/>
      <c r="PR84" s="12"/>
      <c r="PS84" s="12"/>
      <c r="PT84" s="12"/>
      <c r="PU84" s="12"/>
      <c r="PV84" s="12"/>
      <c r="PW84" s="12"/>
      <c r="PX84" s="12"/>
      <c r="PY84" s="12"/>
      <c r="PZ84" s="12"/>
      <c r="QA84" s="12"/>
      <c r="QB84" s="12"/>
      <c r="QC84" s="12"/>
      <c r="QD84" s="12"/>
      <c r="QE84" s="12"/>
      <c r="QF84" s="12"/>
      <c r="QG84" s="12"/>
      <c r="QH84" s="12"/>
      <c r="QI84" s="12"/>
      <c r="QJ84" s="12"/>
      <c r="QK84" s="12"/>
      <c r="QL84" s="12"/>
      <c r="QM84" s="12"/>
      <c r="QN84" s="12"/>
      <c r="QO84" s="12"/>
      <c r="QP84" s="12"/>
      <c r="QQ84" s="12"/>
      <c r="QR84" s="12"/>
      <c r="QS84" s="12"/>
      <c r="QT84" s="12"/>
      <c r="QU84" s="12"/>
      <c r="QV84" s="12"/>
      <c r="QW84" s="12"/>
      <c r="QX84" s="12"/>
      <c r="QY84" s="12"/>
      <c r="QZ84" s="12"/>
      <c r="RA84" s="12"/>
      <c r="RB84" s="12"/>
      <c r="RC84" s="12"/>
      <c r="RD84" s="12"/>
      <c r="RE84" s="12"/>
      <c r="RF84" s="12"/>
      <c r="RG84" s="12"/>
      <c r="RH84" s="12"/>
      <c r="RI84" s="12"/>
      <c r="RJ84" s="12"/>
      <c r="RK84" s="12"/>
      <c r="RL84" s="12"/>
      <c r="RM84" s="12"/>
      <c r="RN84" s="12"/>
      <c r="RO84" s="12"/>
      <c r="RP84" s="12"/>
      <c r="RQ84" s="12"/>
      <c r="RR84" s="12"/>
      <c r="RS84" s="12"/>
      <c r="RT84" s="12"/>
      <c r="RU84" s="12"/>
      <c r="RV84" s="12"/>
      <c r="RW84" s="12"/>
      <c r="RX84" s="12"/>
      <c r="RY84" s="12"/>
      <c r="RZ84" s="12"/>
      <c r="SA84" s="12"/>
      <c r="SB84" s="12"/>
      <c r="SC84" s="12"/>
      <c r="SD84" s="12"/>
    </row>
    <row r="85" spans="1:498" s="10" customFormat="1" ht="14" hidden="1" customHeight="1">
      <c r="A85" s="87"/>
      <c r="B85" s="87" t="s">
        <v>20</v>
      </c>
      <c r="C85" s="87"/>
      <c r="D85" s="155">
        <f>IF(J85="N/A","N/A",SUM(F85:O85)*12)</f>
        <v>216846.09175004245</v>
      </c>
      <c r="E85" s="156"/>
      <c r="F85" s="157">
        <f>PMT($C$11/12,10*12,(0.69)*-($C$10))</f>
        <v>1155.2300291924569</v>
      </c>
      <c r="G85" s="158">
        <f>PMT($C$11/12,10*12,(0.69)*-($C$10))</f>
        <v>1155.2300291924569</v>
      </c>
      <c r="H85" s="158">
        <f>PMT($C$11/12,8*12,(0.76)*-($G$89))</f>
        <v>1412.4996316473218</v>
      </c>
      <c r="I85" s="158">
        <f>PMT($C$11/12,8*12,(0.76)*-($G$89))</f>
        <v>1412.4996316473218</v>
      </c>
      <c r="J85" s="158">
        <f>PMT($C$11/12,6*12,(0.84)*-($I$89))</f>
        <v>1731.8481907112885</v>
      </c>
      <c r="K85" s="158">
        <f>PMT($C$11/12,6*12,(0.84)*-($I$89))</f>
        <v>1731.8481907112885</v>
      </c>
      <c r="L85" s="158">
        <f>PMT($C$11/12,4*12,(0.9)*-($K$89))</f>
        <v>2055.8432919491979</v>
      </c>
      <c r="M85" s="158">
        <f>PMT($C$11/12,4*12,(0.9)*-($K$89))</f>
        <v>2055.8432919491979</v>
      </c>
      <c r="N85" s="158">
        <f>PMT($C$11/12,2*12,-($M$89))</f>
        <v>2601.8780259837977</v>
      </c>
      <c r="O85" s="158">
        <f>(PMT($C$11/12,2*12,-($M$89)))+((N89-(N86-(N89*$C11)))/12)</f>
        <v>2757.7873328525425</v>
      </c>
      <c r="P85" s="152"/>
      <c r="Q85" s="152"/>
      <c r="R85" s="152"/>
      <c r="S85" s="152"/>
      <c r="T85" s="152"/>
      <c r="U85" s="152"/>
      <c r="V85" s="152"/>
      <c r="W85" s="152"/>
      <c r="X85" s="152"/>
      <c r="Y85" s="152"/>
      <c r="Z85" s="152"/>
      <c r="AA85" s="152"/>
      <c r="AB85" s="152"/>
      <c r="AC85" s="152"/>
      <c r="AD85" s="152"/>
      <c r="AE85" s="159"/>
      <c r="AF85" s="159"/>
      <c r="AG85" s="159"/>
      <c r="AH85" s="159"/>
      <c r="AI85" s="159"/>
      <c r="AJ85" s="87"/>
      <c r="AK85" s="87"/>
      <c r="AL85" s="87"/>
      <c r="AM85" s="87"/>
      <c r="AN85" s="87"/>
      <c r="AO85" s="87"/>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c r="GK85" s="12"/>
      <c r="GL85" s="12"/>
      <c r="GM85" s="12"/>
      <c r="GN85" s="12"/>
      <c r="GO85" s="12"/>
      <c r="GP85" s="12"/>
      <c r="GQ85" s="12"/>
      <c r="GR85" s="12"/>
      <c r="GS85" s="12"/>
      <c r="GT85" s="12"/>
      <c r="GU85" s="12"/>
      <c r="GV85" s="12"/>
      <c r="GW85" s="12"/>
      <c r="GX85" s="12"/>
      <c r="GY85" s="12"/>
      <c r="GZ85" s="12"/>
      <c r="HA85" s="12"/>
      <c r="HB85" s="12"/>
      <c r="HC85" s="12"/>
      <c r="HD85" s="12"/>
      <c r="HE85" s="12"/>
      <c r="HF85" s="12"/>
      <c r="HG85" s="12"/>
      <c r="HH85" s="12"/>
      <c r="HI85" s="12"/>
      <c r="HJ85" s="12"/>
      <c r="HK85" s="12"/>
      <c r="HL85" s="12"/>
      <c r="HM85" s="12"/>
      <c r="HN85" s="12"/>
      <c r="HO85" s="12"/>
      <c r="HP85" s="12"/>
      <c r="HQ85" s="12"/>
      <c r="HR85" s="12"/>
      <c r="HS85" s="12"/>
      <c r="HT85" s="12"/>
      <c r="HU85" s="12"/>
      <c r="HV85" s="12"/>
      <c r="HW85" s="12"/>
      <c r="HX85" s="12"/>
      <c r="HY85" s="12"/>
      <c r="HZ85" s="12"/>
      <c r="IA85" s="12"/>
      <c r="IB85" s="12"/>
      <c r="IC85" s="12"/>
      <c r="ID85" s="12"/>
      <c r="IE85" s="12"/>
      <c r="IF85" s="12"/>
      <c r="IG85" s="12"/>
      <c r="IH85" s="12"/>
      <c r="II85" s="12"/>
      <c r="IJ85" s="12"/>
      <c r="IK85" s="12"/>
      <c r="IL85" s="12"/>
      <c r="IM85" s="12"/>
      <c r="IN85" s="12"/>
      <c r="IO85" s="12"/>
      <c r="IP85" s="12"/>
      <c r="IQ85" s="12"/>
      <c r="IR85" s="12"/>
      <c r="IS85" s="12"/>
      <c r="IT85" s="12"/>
      <c r="IU85" s="12"/>
      <c r="IV85" s="12"/>
      <c r="IW85" s="12"/>
      <c r="IX85" s="12"/>
      <c r="IY85" s="12"/>
      <c r="IZ85" s="12"/>
      <c r="JA85" s="12"/>
      <c r="JB85" s="12"/>
      <c r="JC85" s="12"/>
      <c r="JD85" s="12"/>
      <c r="JE85" s="12"/>
      <c r="JF85" s="12"/>
      <c r="JG85" s="12"/>
      <c r="JH85" s="12"/>
      <c r="JI85" s="12"/>
      <c r="JJ85" s="12"/>
      <c r="JK85" s="12"/>
      <c r="JL85" s="12"/>
      <c r="JM85" s="12"/>
      <c r="JN85" s="12"/>
      <c r="JO85" s="12"/>
      <c r="JP85" s="12"/>
      <c r="JQ85" s="12"/>
      <c r="JR85" s="12"/>
      <c r="JS85" s="12"/>
      <c r="JT85" s="12"/>
      <c r="JU85" s="12"/>
      <c r="JV85" s="12"/>
      <c r="JW85" s="12"/>
      <c r="JX85" s="12"/>
      <c r="JY85" s="12"/>
      <c r="JZ85" s="12"/>
      <c r="KA85" s="12"/>
      <c r="KB85" s="12"/>
      <c r="KC85" s="12"/>
      <c r="KD85" s="12"/>
      <c r="KE85" s="12"/>
      <c r="KF85" s="12"/>
      <c r="KG85" s="12"/>
      <c r="KH85" s="12"/>
      <c r="KI85" s="12"/>
      <c r="KJ85" s="12"/>
      <c r="KK85" s="12"/>
      <c r="KL85" s="12"/>
      <c r="KM85" s="12"/>
      <c r="KN85" s="12"/>
      <c r="KO85" s="12"/>
      <c r="KP85" s="12"/>
      <c r="KQ85" s="12"/>
      <c r="KR85" s="12"/>
      <c r="KS85" s="12"/>
      <c r="KT85" s="12"/>
      <c r="KU85" s="12"/>
      <c r="KV85" s="12"/>
      <c r="KW85" s="12"/>
      <c r="KX85" s="12"/>
      <c r="KY85" s="12"/>
      <c r="KZ85" s="12"/>
      <c r="LA85" s="12"/>
      <c r="LB85" s="12"/>
      <c r="LC85" s="12"/>
      <c r="LD85" s="12"/>
      <c r="LE85" s="12"/>
      <c r="LF85" s="12"/>
      <c r="LG85" s="12"/>
      <c r="LH85" s="12"/>
      <c r="LI85" s="12"/>
      <c r="LJ85" s="12"/>
      <c r="LK85" s="12"/>
      <c r="LL85" s="12"/>
      <c r="LM85" s="12"/>
      <c r="LN85" s="12"/>
      <c r="LO85" s="12"/>
      <c r="LP85" s="12"/>
      <c r="LQ85" s="12"/>
      <c r="LR85" s="12"/>
      <c r="LS85" s="12"/>
      <c r="LT85" s="12"/>
      <c r="LU85" s="12"/>
      <c r="LV85" s="12"/>
      <c r="LW85" s="12"/>
      <c r="LX85" s="12"/>
      <c r="LY85" s="12"/>
      <c r="LZ85" s="12"/>
      <c r="MA85" s="12"/>
      <c r="MB85" s="12"/>
      <c r="MC85" s="12"/>
      <c r="MD85" s="12"/>
      <c r="ME85" s="12"/>
      <c r="MF85" s="12"/>
      <c r="MG85" s="12"/>
      <c r="MH85" s="12"/>
      <c r="MI85" s="12"/>
      <c r="MJ85" s="12"/>
      <c r="MK85" s="12"/>
      <c r="ML85" s="12"/>
      <c r="MM85" s="12"/>
      <c r="MN85" s="12"/>
      <c r="MO85" s="12"/>
      <c r="MP85" s="12"/>
      <c r="MQ85" s="12"/>
      <c r="MR85" s="12"/>
      <c r="MS85" s="12"/>
      <c r="MT85" s="12"/>
      <c r="MU85" s="12"/>
      <c r="MV85" s="12"/>
      <c r="MW85" s="12"/>
      <c r="MX85" s="12"/>
      <c r="MY85" s="12"/>
      <c r="MZ85" s="12"/>
      <c r="NA85" s="12"/>
      <c r="NB85" s="12"/>
      <c r="NC85" s="12"/>
      <c r="ND85" s="12"/>
      <c r="NE85" s="12"/>
      <c r="NF85" s="12"/>
      <c r="NG85" s="12"/>
      <c r="NH85" s="12"/>
      <c r="NI85" s="12"/>
      <c r="NJ85" s="12"/>
      <c r="NK85" s="12"/>
      <c r="NL85" s="12"/>
      <c r="NM85" s="12"/>
      <c r="NN85" s="12"/>
      <c r="NO85" s="12"/>
      <c r="NP85" s="12"/>
      <c r="NQ85" s="12"/>
      <c r="NR85" s="12"/>
      <c r="NS85" s="12"/>
      <c r="NT85" s="12"/>
      <c r="NU85" s="12"/>
      <c r="NV85" s="12"/>
      <c r="NW85" s="12"/>
      <c r="NX85" s="12"/>
      <c r="NY85" s="12"/>
      <c r="NZ85" s="12"/>
      <c r="OA85" s="12"/>
      <c r="OB85" s="12"/>
      <c r="OC85" s="12"/>
      <c r="OD85" s="12"/>
      <c r="OE85" s="12"/>
      <c r="OF85" s="12"/>
      <c r="OG85" s="12"/>
      <c r="OH85" s="12"/>
      <c r="OI85" s="12"/>
      <c r="OJ85" s="12"/>
      <c r="OK85" s="12"/>
      <c r="OL85" s="12"/>
      <c r="OM85" s="12"/>
      <c r="ON85" s="12"/>
      <c r="OO85" s="12"/>
      <c r="OP85" s="12"/>
      <c r="OQ85" s="12"/>
      <c r="OR85" s="12"/>
      <c r="OS85" s="12"/>
      <c r="OT85" s="12"/>
      <c r="OU85" s="12"/>
      <c r="OV85" s="12"/>
      <c r="OW85" s="12"/>
      <c r="OX85" s="12"/>
      <c r="OY85" s="12"/>
      <c r="OZ85" s="12"/>
      <c r="PA85" s="12"/>
      <c r="PB85" s="12"/>
      <c r="PC85" s="12"/>
      <c r="PD85" s="12"/>
      <c r="PE85" s="12"/>
      <c r="PF85" s="12"/>
      <c r="PG85" s="12"/>
      <c r="PH85" s="12"/>
      <c r="PI85" s="12"/>
      <c r="PJ85" s="12"/>
      <c r="PK85" s="12"/>
      <c r="PL85" s="12"/>
      <c r="PM85" s="12"/>
      <c r="PN85" s="12"/>
      <c r="PO85" s="12"/>
      <c r="PP85" s="12"/>
      <c r="PQ85" s="12"/>
      <c r="PR85" s="12"/>
      <c r="PS85" s="12"/>
      <c r="PT85" s="12"/>
      <c r="PU85" s="12"/>
      <c r="PV85" s="12"/>
      <c r="PW85" s="12"/>
      <c r="PX85" s="12"/>
      <c r="PY85" s="12"/>
      <c r="PZ85" s="12"/>
      <c r="QA85" s="12"/>
      <c r="QB85" s="12"/>
      <c r="QC85" s="12"/>
      <c r="QD85" s="12"/>
      <c r="QE85" s="12"/>
      <c r="QF85" s="12"/>
      <c r="QG85" s="12"/>
      <c r="QH85" s="12"/>
      <c r="QI85" s="12"/>
      <c r="QJ85" s="12"/>
      <c r="QK85" s="12"/>
      <c r="QL85" s="12"/>
      <c r="QM85" s="12"/>
      <c r="QN85" s="12"/>
      <c r="QO85" s="12"/>
      <c r="QP85" s="12"/>
      <c r="QQ85" s="12"/>
      <c r="QR85" s="12"/>
      <c r="QS85" s="12"/>
      <c r="QT85" s="12"/>
      <c r="QU85" s="12"/>
      <c r="QV85" s="12"/>
      <c r="QW85" s="12"/>
      <c r="QX85" s="12"/>
      <c r="QY85" s="12"/>
      <c r="QZ85" s="12"/>
      <c r="RA85" s="12"/>
      <c r="RB85" s="12"/>
      <c r="RC85" s="12"/>
      <c r="RD85" s="12"/>
      <c r="RE85" s="12"/>
      <c r="RF85" s="12"/>
      <c r="RG85" s="12"/>
      <c r="RH85" s="12"/>
      <c r="RI85" s="12"/>
      <c r="RJ85" s="12"/>
      <c r="RK85" s="12"/>
      <c r="RL85" s="12"/>
      <c r="RM85" s="12"/>
      <c r="RN85" s="12"/>
      <c r="RO85" s="12"/>
      <c r="RP85" s="12"/>
      <c r="RQ85" s="12"/>
      <c r="RR85" s="12"/>
      <c r="RS85" s="12"/>
      <c r="RT85" s="12"/>
      <c r="RU85" s="12"/>
      <c r="RV85" s="12"/>
      <c r="RW85" s="12"/>
      <c r="RX85" s="12"/>
      <c r="RY85" s="12"/>
      <c r="RZ85" s="12"/>
      <c r="SA85" s="12"/>
      <c r="SB85" s="12"/>
      <c r="SC85" s="12"/>
      <c r="SD85" s="12"/>
    </row>
    <row r="86" spans="1:498" s="10" customFormat="1" ht="14" hidden="1" customHeight="1">
      <c r="A86" s="87"/>
      <c r="B86" s="87" t="s">
        <v>21</v>
      </c>
      <c r="C86" s="87"/>
      <c r="D86" s="87"/>
      <c r="E86" s="154"/>
      <c r="F86" s="160">
        <f>F85*12</f>
        <v>13862.760350309483</v>
      </c>
      <c r="G86" s="161">
        <f>G85*12</f>
        <v>13862.760350309483</v>
      </c>
      <c r="H86" s="161">
        <f t="shared" ref="H86:AD86" si="62">H85*12</f>
        <v>16949.995579767863</v>
      </c>
      <c r="I86" s="161">
        <f t="shared" si="62"/>
        <v>16949.995579767863</v>
      </c>
      <c r="J86" s="161">
        <f t="shared" si="62"/>
        <v>20782.178288535462</v>
      </c>
      <c r="K86" s="161">
        <f t="shared" si="62"/>
        <v>20782.178288535462</v>
      </c>
      <c r="L86" s="161">
        <f t="shared" si="62"/>
        <v>24670.119503390375</v>
      </c>
      <c r="M86" s="161">
        <f t="shared" si="62"/>
        <v>24670.119503390375</v>
      </c>
      <c r="N86" s="161">
        <f t="shared" si="62"/>
        <v>31222.536311805572</v>
      </c>
      <c r="O86" s="161">
        <f>O85*12</f>
        <v>33093.447994230512</v>
      </c>
      <c r="P86" s="161">
        <f t="shared" si="62"/>
        <v>0</v>
      </c>
      <c r="Q86" s="161">
        <f t="shared" si="62"/>
        <v>0</v>
      </c>
      <c r="R86" s="161">
        <f t="shared" si="62"/>
        <v>0</v>
      </c>
      <c r="S86" s="161">
        <f t="shared" si="62"/>
        <v>0</v>
      </c>
      <c r="T86" s="161">
        <f t="shared" si="62"/>
        <v>0</v>
      </c>
      <c r="U86" s="161">
        <f t="shared" si="62"/>
        <v>0</v>
      </c>
      <c r="V86" s="161">
        <f t="shared" si="62"/>
        <v>0</v>
      </c>
      <c r="W86" s="161">
        <f t="shared" si="62"/>
        <v>0</v>
      </c>
      <c r="X86" s="161">
        <f t="shared" si="62"/>
        <v>0</v>
      </c>
      <c r="Y86" s="161">
        <f t="shared" si="62"/>
        <v>0</v>
      </c>
      <c r="Z86" s="161">
        <f t="shared" si="62"/>
        <v>0</v>
      </c>
      <c r="AA86" s="161">
        <f t="shared" si="62"/>
        <v>0</v>
      </c>
      <c r="AB86" s="161">
        <f t="shared" si="62"/>
        <v>0</v>
      </c>
      <c r="AC86" s="161">
        <f t="shared" si="62"/>
        <v>0</v>
      </c>
      <c r="AD86" s="161">
        <f t="shared" si="62"/>
        <v>0</v>
      </c>
      <c r="AE86" s="159"/>
      <c r="AF86" s="159"/>
      <c r="AG86" s="159"/>
      <c r="AH86" s="159"/>
      <c r="AI86" s="159"/>
      <c r="AJ86" s="87"/>
      <c r="AK86" s="87"/>
      <c r="AL86" s="87"/>
      <c r="AM86" s="87"/>
      <c r="AN86" s="87"/>
      <c r="AO86" s="87"/>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c r="GF86" s="12"/>
      <c r="GG86" s="12"/>
      <c r="GH86" s="12"/>
      <c r="GI86" s="12"/>
      <c r="GJ86" s="12"/>
      <c r="GK86" s="12"/>
      <c r="GL86" s="12"/>
      <c r="GM86" s="12"/>
      <c r="GN86" s="12"/>
      <c r="GO86" s="12"/>
      <c r="GP86" s="12"/>
      <c r="GQ86" s="12"/>
      <c r="GR86" s="12"/>
      <c r="GS86" s="12"/>
      <c r="GT86" s="12"/>
      <c r="GU86" s="12"/>
      <c r="GV86" s="12"/>
      <c r="GW86" s="12"/>
      <c r="GX86" s="12"/>
      <c r="GY86" s="12"/>
      <c r="GZ86" s="12"/>
      <c r="HA86" s="12"/>
      <c r="HB86" s="12"/>
      <c r="HC86" s="12"/>
      <c r="HD86" s="12"/>
      <c r="HE86" s="12"/>
      <c r="HF86" s="12"/>
      <c r="HG86" s="12"/>
      <c r="HH86" s="12"/>
      <c r="HI86" s="12"/>
      <c r="HJ86" s="12"/>
      <c r="HK86" s="12"/>
      <c r="HL86" s="12"/>
      <c r="HM86" s="12"/>
      <c r="HN86" s="12"/>
      <c r="HO86" s="12"/>
      <c r="HP86" s="12"/>
      <c r="HQ86" s="12"/>
      <c r="HR86" s="12"/>
      <c r="HS86" s="12"/>
      <c r="HT86" s="12"/>
      <c r="HU86" s="12"/>
      <c r="HV86" s="12"/>
      <c r="HW86" s="12"/>
      <c r="HX86" s="12"/>
      <c r="HY86" s="12"/>
      <c r="HZ86" s="12"/>
      <c r="IA86" s="12"/>
      <c r="IB86" s="12"/>
      <c r="IC86" s="12"/>
      <c r="ID86" s="12"/>
      <c r="IE86" s="12"/>
      <c r="IF86" s="12"/>
      <c r="IG86" s="12"/>
      <c r="IH86" s="12"/>
      <c r="II86" s="12"/>
      <c r="IJ86" s="12"/>
      <c r="IK86" s="12"/>
      <c r="IL86" s="12"/>
      <c r="IM86" s="12"/>
      <c r="IN86" s="12"/>
      <c r="IO86" s="12"/>
      <c r="IP86" s="12"/>
      <c r="IQ86" s="12"/>
      <c r="IR86" s="12"/>
      <c r="IS86" s="12"/>
      <c r="IT86" s="12"/>
      <c r="IU86" s="12"/>
      <c r="IV86" s="12"/>
      <c r="IW86" s="12"/>
      <c r="IX86" s="12"/>
      <c r="IY86" s="12"/>
      <c r="IZ86" s="12"/>
      <c r="JA86" s="12"/>
      <c r="JB86" s="12"/>
      <c r="JC86" s="12"/>
      <c r="JD86" s="12"/>
      <c r="JE86" s="12"/>
      <c r="JF86" s="12"/>
      <c r="JG86" s="12"/>
      <c r="JH86" s="12"/>
      <c r="JI86" s="12"/>
      <c r="JJ86" s="12"/>
      <c r="JK86" s="12"/>
      <c r="JL86" s="12"/>
      <c r="JM86" s="12"/>
      <c r="JN86" s="12"/>
      <c r="JO86" s="12"/>
      <c r="JP86" s="12"/>
      <c r="JQ86" s="12"/>
      <c r="JR86" s="12"/>
      <c r="JS86" s="12"/>
      <c r="JT86" s="12"/>
      <c r="JU86" s="12"/>
      <c r="JV86" s="12"/>
      <c r="JW86" s="12"/>
      <c r="JX86" s="12"/>
      <c r="JY86" s="12"/>
      <c r="JZ86" s="12"/>
      <c r="KA86" s="12"/>
      <c r="KB86" s="12"/>
      <c r="KC86" s="12"/>
      <c r="KD86" s="12"/>
      <c r="KE86" s="12"/>
      <c r="KF86" s="12"/>
      <c r="KG86" s="12"/>
      <c r="KH86" s="12"/>
      <c r="KI86" s="12"/>
      <c r="KJ86" s="12"/>
      <c r="KK86" s="12"/>
      <c r="KL86" s="12"/>
      <c r="KM86" s="12"/>
      <c r="KN86" s="12"/>
      <c r="KO86" s="12"/>
      <c r="KP86" s="12"/>
      <c r="KQ86" s="12"/>
      <c r="KR86" s="12"/>
      <c r="KS86" s="12"/>
      <c r="KT86" s="12"/>
      <c r="KU86" s="12"/>
      <c r="KV86" s="12"/>
      <c r="KW86" s="12"/>
      <c r="KX86" s="12"/>
      <c r="KY86" s="12"/>
      <c r="KZ86" s="12"/>
      <c r="LA86" s="12"/>
      <c r="LB86" s="12"/>
      <c r="LC86" s="12"/>
      <c r="LD86" s="12"/>
      <c r="LE86" s="12"/>
      <c r="LF86" s="12"/>
      <c r="LG86" s="12"/>
      <c r="LH86" s="12"/>
      <c r="LI86" s="12"/>
      <c r="LJ86" s="12"/>
      <c r="LK86" s="12"/>
      <c r="LL86" s="12"/>
      <c r="LM86" s="12"/>
      <c r="LN86" s="12"/>
      <c r="LO86" s="12"/>
      <c r="LP86" s="12"/>
      <c r="LQ86" s="12"/>
      <c r="LR86" s="12"/>
      <c r="LS86" s="12"/>
      <c r="LT86" s="12"/>
      <c r="LU86" s="12"/>
      <c r="LV86" s="12"/>
      <c r="LW86" s="12"/>
      <c r="LX86" s="12"/>
      <c r="LY86" s="12"/>
      <c r="LZ86" s="12"/>
      <c r="MA86" s="12"/>
      <c r="MB86" s="12"/>
      <c r="MC86" s="12"/>
      <c r="MD86" s="12"/>
      <c r="ME86" s="12"/>
      <c r="MF86" s="12"/>
      <c r="MG86" s="12"/>
      <c r="MH86" s="12"/>
      <c r="MI86" s="12"/>
      <c r="MJ86" s="12"/>
      <c r="MK86" s="12"/>
      <c r="ML86" s="12"/>
      <c r="MM86" s="12"/>
      <c r="MN86" s="12"/>
      <c r="MO86" s="12"/>
      <c r="MP86" s="12"/>
      <c r="MQ86" s="12"/>
      <c r="MR86" s="12"/>
      <c r="MS86" s="12"/>
      <c r="MT86" s="12"/>
      <c r="MU86" s="12"/>
      <c r="MV86" s="12"/>
      <c r="MW86" s="12"/>
      <c r="MX86" s="12"/>
      <c r="MY86" s="12"/>
      <c r="MZ86" s="12"/>
      <c r="NA86" s="12"/>
      <c r="NB86" s="12"/>
      <c r="NC86" s="12"/>
      <c r="ND86" s="12"/>
      <c r="NE86" s="12"/>
      <c r="NF86" s="12"/>
      <c r="NG86" s="12"/>
      <c r="NH86" s="12"/>
      <c r="NI86" s="12"/>
      <c r="NJ86" s="12"/>
      <c r="NK86" s="12"/>
      <c r="NL86" s="12"/>
      <c r="NM86" s="12"/>
      <c r="NN86" s="12"/>
      <c r="NO86" s="12"/>
      <c r="NP86" s="12"/>
      <c r="NQ86" s="12"/>
      <c r="NR86" s="12"/>
      <c r="NS86" s="12"/>
      <c r="NT86" s="12"/>
      <c r="NU86" s="12"/>
      <c r="NV86" s="12"/>
      <c r="NW86" s="12"/>
      <c r="NX86" s="12"/>
      <c r="NY86" s="12"/>
      <c r="NZ86" s="12"/>
      <c r="OA86" s="12"/>
      <c r="OB86" s="12"/>
      <c r="OC86" s="12"/>
      <c r="OD86" s="12"/>
      <c r="OE86" s="12"/>
      <c r="OF86" s="12"/>
      <c r="OG86" s="12"/>
      <c r="OH86" s="12"/>
      <c r="OI86" s="12"/>
      <c r="OJ86" s="12"/>
      <c r="OK86" s="12"/>
      <c r="OL86" s="12"/>
      <c r="OM86" s="12"/>
      <c r="ON86" s="12"/>
      <c r="OO86" s="12"/>
      <c r="OP86" s="12"/>
      <c r="OQ86" s="12"/>
      <c r="OR86" s="12"/>
      <c r="OS86" s="12"/>
      <c r="OT86" s="12"/>
      <c r="OU86" s="12"/>
      <c r="OV86" s="12"/>
      <c r="OW86" s="12"/>
      <c r="OX86" s="12"/>
      <c r="OY86" s="12"/>
      <c r="OZ86" s="12"/>
      <c r="PA86" s="12"/>
      <c r="PB86" s="12"/>
      <c r="PC86" s="12"/>
      <c r="PD86" s="12"/>
      <c r="PE86" s="12"/>
      <c r="PF86" s="12"/>
      <c r="PG86" s="12"/>
      <c r="PH86" s="12"/>
      <c r="PI86" s="12"/>
      <c r="PJ86" s="12"/>
      <c r="PK86" s="12"/>
      <c r="PL86" s="12"/>
      <c r="PM86" s="12"/>
      <c r="PN86" s="12"/>
      <c r="PO86" s="12"/>
      <c r="PP86" s="12"/>
      <c r="PQ86" s="12"/>
      <c r="PR86" s="12"/>
      <c r="PS86" s="12"/>
      <c r="PT86" s="12"/>
      <c r="PU86" s="12"/>
      <c r="PV86" s="12"/>
      <c r="PW86" s="12"/>
      <c r="PX86" s="12"/>
      <c r="PY86" s="12"/>
      <c r="PZ86" s="12"/>
      <c r="QA86" s="12"/>
      <c r="QB86" s="12"/>
      <c r="QC86" s="12"/>
      <c r="QD86" s="12"/>
      <c r="QE86" s="12"/>
      <c r="QF86" s="12"/>
      <c r="QG86" s="12"/>
      <c r="QH86" s="12"/>
      <c r="QI86" s="12"/>
      <c r="QJ86" s="12"/>
      <c r="QK86" s="12"/>
      <c r="QL86" s="12"/>
      <c r="QM86" s="12"/>
      <c r="QN86" s="12"/>
      <c r="QO86" s="12"/>
      <c r="QP86" s="12"/>
      <c r="QQ86" s="12"/>
      <c r="QR86" s="12"/>
      <c r="QS86" s="12"/>
      <c r="QT86" s="12"/>
      <c r="QU86" s="12"/>
      <c r="QV86" s="12"/>
      <c r="QW86" s="12"/>
      <c r="QX86" s="12"/>
      <c r="QY86" s="12"/>
      <c r="QZ86" s="12"/>
      <c r="RA86" s="12"/>
      <c r="RB86" s="12"/>
      <c r="RC86" s="12"/>
      <c r="RD86" s="12"/>
      <c r="RE86" s="12"/>
      <c r="RF86" s="12"/>
      <c r="RG86" s="12"/>
      <c r="RH86" s="12"/>
      <c r="RI86" s="12"/>
      <c r="RJ86" s="12"/>
      <c r="RK86" s="12"/>
      <c r="RL86" s="12"/>
      <c r="RM86" s="12"/>
      <c r="RN86" s="12"/>
      <c r="RO86" s="12"/>
      <c r="RP86" s="12"/>
      <c r="RQ86" s="12"/>
      <c r="RR86" s="12"/>
      <c r="RS86" s="12"/>
      <c r="RT86" s="12"/>
      <c r="RU86" s="12"/>
      <c r="RV86" s="12"/>
      <c r="RW86" s="12"/>
      <c r="RX86" s="12"/>
      <c r="RY86" s="12"/>
      <c r="RZ86" s="12"/>
      <c r="SA86" s="12"/>
      <c r="SB86" s="12"/>
      <c r="SC86" s="12"/>
      <c r="SD86" s="12"/>
    </row>
    <row r="87" spans="1:498" s="10" customFormat="1" ht="14" hidden="1" customHeight="1">
      <c r="A87" s="87"/>
      <c r="B87" s="87" t="s">
        <v>14</v>
      </c>
      <c r="C87" s="87"/>
      <c r="D87" s="87"/>
      <c r="E87" s="154"/>
      <c r="F87" s="160">
        <f>$C$10*$C$11</f>
        <v>9968.75</v>
      </c>
      <c r="G87" s="161">
        <f>F89*$C$11</f>
        <v>9701.0367884162242</v>
      </c>
      <c r="H87" s="161">
        <f t="shared" ref="H87:AI87" si="63">G89*$C$11</f>
        <v>9414.9182935360623</v>
      </c>
      <c r="I87" s="161">
        <f t="shared" si="63"/>
        <v>8896.8817301076269</v>
      </c>
      <c r="J87" s="161">
        <f t="shared" si="63"/>
        <v>8343.2301529434862</v>
      </c>
      <c r="K87" s="161">
        <f t="shared" si="63"/>
        <v>7488.0524686215376</v>
      </c>
      <c r="L87" s="161">
        <f t="shared" si="63"/>
        <v>6574.0813185024545</v>
      </c>
      <c r="M87" s="161">
        <f t="shared" si="63"/>
        <v>5329.9786932914103</v>
      </c>
      <c r="N87" s="161">
        <f t="shared" si="63"/>
        <v>4000.3440125971065</v>
      </c>
      <c r="O87" s="161">
        <f t="shared" si="63"/>
        <v>2128.8182920265244</v>
      </c>
      <c r="P87" s="161">
        <f t="shared" si="63"/>
        <v>0</v>
      </c>
      <c r="Q87" s="161">
        <f t="shared" si="63"/>
        <v>0</v>
      </c>
      <c r="R87" s="161">
        <f t="shared" si="63"/>
        <v>0</v>
      </c>
      <c r="S87" s="161">
        <f t="shared" si="63"/>
        <v>0</v>
      </c>
      <c r="T87" s="161">
        <f t="shared" si="63"/>
        <v>0</v>
      </c>
      <c r="U87" s="161">
        <f t="shared" si="63"/>
        <v>0</v>
      </c>
      <c r="V87" s="161">
        <f t="shared" si="63"/>
        <v>0</v>
      </c>
      <c r="W87" s="161">
        <f t="shared" si="63"/>
        <v>0</v>
      </c>
      <c r="X87" s="161">
        <f t="shared" si="63"/>
        <v>0</v>
      </c>
      <c r="Y87" s="161">
        <f t="shared" si="63"/>
        <v>0</v>
      </c>
      <c r="Z87" s="161">
        <f t="shared" si="63"/>
        <v>0</v>
      </c>
      <c r="AA87" s="161">
        <f t="shared" si="63"/>
        <v>0</v>
      </c>
      <c r="AB87" s="161">
        <f t="shared" si="63"/>
        <v>0</v>
      </c>
      <c r="AC87" s="161">
        <f t="shared" si="63"/>
        <v>0</v>
      </c>
      <c r="AD87" s="161">
        <f>AC89*$C$11</f>
        <v>0</v>
      </c>
      <c r="AE87" s="161">
        <f t="shared" si="63"/>
        <v>0</v>
      </c>
      <c r="AF87" s="161">
        <f t="shared" si="63"/>
        <v>0</v>
      </c>
      <c r="AG87" s="161">
        <f t="shared" si="63"/>
        <v>0</v>
      </c>
      <c r="AH87" s="161">
        <f t="shared" si="63"/>
        <v>0</v>
      </c>
      <c r="AI87" s="161">
        <f t="shared" si="63"/>
        <v>0</v>
      </c>
      <c r="AJ87" s="87"/>
      <c r="AK87" s="87"/>
      <c r="AL87" s="87"/>
      <c r="AM87" s="87"/>
      <c r="AN87" s="87"/>
      <c r="AO87" s="87"/>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c r="GU87" s="12"/>
      <c r="GV87" s="12"/>
      <c r="GW87" s="12"/>
      <c r="GX87" s="12"/>
      <c r="GY87" s="12"/>
      <c r="GZ87" s="12"/>
      <c r="HA87" s="12"/>
      <c r="HB87" s="12"/>
      <c r="HC87" s="12"/>
      <c r="HD87" s="12"/>
      <c r="HE87" s="12"/>
      <c r="HF87" s="12"/>
      <c r="HG87" s="12"/>
      <c r="HH87" s="12"/>
      <c r="HI87" s="12"/>
      <c r="HJ87" s="12"/>
      <c r="HK87" s="12"/>
      <c r="HL87" s="12"/>
      <c r="HM87" s="12"/>
      <c r="HN87" s="12"/>
      <c r="HO87" s="12"/>
      <c r="HP87" s="12"/>
      <c r="HQ87" s="12"/>
      <c r="HR87" s="12"/>
      <c r="HS87" s="12"/>
      <c r="HT87" s="12"/>
      <c r="HU87" s="12"/>
      <c r="HV87" s="12"/>
      <c r="HW87" s="12"/>
      <c r="HX87" s="12"/>
      <c r="HY87" s="12"/>
      <c r="HZ87" s="12"/>
      <c r="IA87" s="12"/>
      <c r="IB87" s="12"/>
      <c r="IC87" s="12"/>
      <c r="ID87" s="12"/>
      <c r="IE87" s="12"/>
      <c r="IF87" s="12"/>
      <c r="IG87" s="12"/>
      <c r="IH87" s="12"/>
      <c r="II87" s="12"/>
      <c r="IJ87" s="12"/>
      <c r="IK87" s="12"/>
      <c r="IL87" s="12"/>
      <c r="IM87" s="12"/>
      <c r="IN87" s="12"/>
      <c r="IO87" s="12"/>
      <c r="IP87" s="12"/>
      <c r="IQ87" s="12"/>
      <c r="IR87" s="12"/>
      <c r="IS87" s="12"/>
      <c r="IT87" s="12"/>
      <c r="IU87" s="12"/>
      <c r="IV87" s="12"/>
      <c r="IW87" s="12"/>
      <c r="IX87" s="12"/>
      <c r="IY87" s="12"/>
      <c r="IZ87" s="12"/>
      <c r="JA87" s="12"/>
      <c r="JB87" s="12"/>
      <c r="JC87" s="12"/>
      <c r="JD87" s="12"/>
      <c r="JE87" s="12"/>
      <c r="JF87" s="12"/>
      <c r="JG87" s="12"/>
      <c r="JH87" s="12"/>
      <c r="JI87" s="12"/>
      <c r="JJ87" s="12"/>
      <c r="JK87" s="12"/>
      <c r="JL87" s="12"/>
      <c r="JM87" s="12"/>
      <c r="JN87" s="12"/>
      <c r="JO87" s="12"/>
      <c r="JP87" s="12"/>
      <c r="JQ87" s="12"/>
      <c r="JR87" s="12"/>
      <c r="JS87" s="12"/>
      <c r="JT87" s="12"/>
      <c r="JU87" s="12"/>
      <c r="JV87" s="12"/>
      <c r="JW87" s="12"/>
      <c r="JX87" s="12"/>
      <c r="JY87" s="12"/>
      <c r="JZ87" s="12"/>
      <c r="KA87" s="12"/>
      <c r="KB87" s="12"/>
      <c r="KC87" s="12"/>
      <c r="KD87" s="12"/>
      <c r="KE87" s="12"/>
      <c r="KF87" s="12"/>
      <c r="KG87" s="12"/>
      <c r="KH87" s="12"/>
      <c r="KI87" s="12"/>
      <c r="KJ87" s="12"/>
      <c r="KK87" s="12"/>
      <c r="KL87" s="12"/>
      <c r="KM87" s="12"/>
      <c r="KN87" s="12"/>
      <c r="KO87" s="12"/>
      <c r="KP87" s="12"/>
      <c r="KQ87" s="12"/>
      <c r="KR87" s="12"/>
      <c r="KS87" s="12"/>
      <c r="KT87" s="12"/>
      <c r="KU87" s="12"/>
      <c r="KV87" s="12"/>
      <c r="KW87" s="12"/>
      <c r="KX87" s="12"/>
      <c r="KY87" s="12"/>
      <c r="KZ87" s="12"/>
      <c r="LA87" s="12"/>
      <c r="LB87" s="12"/>
      <c r="LC87" s="12"/>
      <c r="LD87" s="12"/>
      <c r="LE87" s="12"/>
      <c r="LF87" s="12"/>
      <c r="LG87" s="12"/>
      <c r="LH87" s="12"/>
      <c r="LI87" s="12"/>
      <c r="LJ87" s="12"/>
      <c r="LK87" s="12"/>
      <c r="LL87" s="12"/>
      <c r="LM87" s="12"/>
      <c r="LN87" s="12"/>
      <c r="LO87" s="12"/>
      <c r="LP87" s="12"/>
      <c r="LQ87" s="12"/>
      <c r="LR87" s="12"/>
      <c r="LS87" s="12"/>
      <c r="LT87" s="12"/>
      <c r="LU87" s="12"/>
      <c r="LV87" s="12"/>
      <c r="LW87" s="12"/>
      <c r="LX87" s="12"/>
      <c r="LY87" s="12"/>
      <c r="LZ87" s="12"/>
      <c r="MA87" s="12"/>
      <c r="MB87" s="12"/>
      <c r="MC87" s="12"/>
      <c r="MD87" s="12"/>
      <c r="ME87" s="12"/>
      <c r="MF87" s="12"/>
      <c r="MG87" s="12"/>
      <c r="MH87" s="12"/>
      <c r="MI87" s="12"/>
      <c r="MJ87" s="12"/>
      <c r="MK87" s="12"/>
      <c r="ML87" s="12"/>
      <c r="MM87" s="12"/>
      <c r="MN87" s="12"/>
      <c r="MO87" s="12"/>
      <c r="MP87" s="12"/>
      <c r="MQ87" s="12"/>
      <c r="MR87" s="12"/>
      <c r="MS87" s="12"/>
      <c r="MT87" s="12"/>
      <c r="MU87" s="12"/>
      <c r="MV87" s="12"/>
      <c r="MW87" s="12"/>
      <c r="MX87" s="12"/>
      <c r="MY87" s="12"/>
      <c r="MZ87" s="12"/>
      <c r="NA87" s="12"/>
      <c r="NB87" s="12"/>
      <c r="NC87" s="12"/>
      <c r="ND87" s="12"/>
      <c r="NE87" s="12"/>
      <c r="NF87" s="12"/>
      <c r="NG87" s="12"/>
      <c r="NH87" s="12"/>
      <c r="NI87" s="12"/>
      <c r="NJ87" s="12"/>
      <c r="NK87" s="12"/>
      <c r="NL87" s="12"/>
      <c r="NM87" s="12"/>
      <c r="NN87" s="12"/>
      <c r="NO87" s="12"/>
      <c r="NP87" s="12"/>
      <c r="NQ87" s="12"/>
      <c r="NR87" s="12"/>
      <c r="NS87" s="12"/>
      <c r="NT87" s="12"/>
      <c r="NU87" s="12"/>
      <c r="NV87" s="12"/>
      <c r="NW87" s="12"/>
      <c r="NX87" s="12"/>
      <c r="NY87" s="12"/>
      <c r="NZ87" s="12"/>
      <c r="OA87" s="12"/>
      <c r="OB87" s="12"/>
      <c r="OC87" s="12"/>
      <c r="OD87" s="12"/>
      <c r="OE87" s="12"/>
      <c r="OF87" s="12"/>
      <c r="OG87" s="12"/>
      <c r="OH87" s="12"/>
      <c r="OI87" s="12"/>
      <c r="OJ87" s="12"/>
      <c r="OK87" s="12"/>
      <c r="OL87" s="12"/>
      <c r="OM87" s="12"/>
      <c r="ON87" s="12"/>
      <c r="OO87" s="12"/>
      <c r="OP87" s="12"/>
      <c r="OQ87" s="12"/>
      <c r="OR87" s="12"/>
      <c r="OS87" s="12"/>
      <c r="OT87" s="12"/>
      <c r="OU87" s="12"/>
      <c r="OV87" s="12"/>
      <c r="OW87" s="12"/>
      <c r="OX87" s="12"/>
      <c r="OY87" s="12"/>
      <c r="OZ87" s="12"/>
      <c r="PA87" s="12"/>
      <c r="PB87" s="12"/>
      <c r="PC87" s="12"/>
      <c r="PD87" s="12"/>
      <c r="PE87" s="12"/>
      <c r="PF87" s="12"/>
      <c r="PG87" s="12"/>
      <c r="PH87" s="12"/>
      <c r="PI87" s="12"/>
      <c r="PJ87" s="12"/>
      <c r="PK87" s="12"/>
      <c r="PL87" s="12"/>
      <c r="PM87" s="12"/>
      <c r="PN87" s="12"/>
      <c r="PO87" s="12"/>
      <c r="PP87" s="12"/>
      <c r="PQ87" s="12"/>
      <c r="PR87" s="12"/>
      <c r="PS87" s="12"/>
      <c r="PT87" s="12"/>
      <c r="PU87" s="12"/>
      <c r="PV87" s="12"/>
      <c r="PW87" s="12"/>
      <c r="PX87" s="12"/>
      <c r="PY87" s="12"/>
      <c r="PZ87" s="12"/>
      <c r="QA87" s="12"/>
      <c r="QB87" s="12"/>
      <c r="QC87" s="12"/>
      <c r="QD87" s="12"/>
      <c r="QE87" s="12"/>
      <c r="QF87" s="12"/>
      <c r="QG87" s="12"/>
      <c r="QH87" s="12"/>
      <c r="QI87" s="12"/>
      <c r="QJ87" s="12"/>
      <c r="QK87" s="12"/>
      <c r="QL87" s="12"/>
      <c r="QM87" s="12"/>
      <c r="QN87" s="12"/>
      <c r="QO87" s="12"/>
      <c r="QP87" s="12"/>
      <c r="QQ87" s="12"/>
      <c r="QR87" s="12"/>
      <c r="QS87" s="12"/>
      <c r="QT87" s="12"/>
      <c r="QU87" s="12"/>
      <c r="QV87" s="12"/>
      <c r="QW87" s="12"/>
      <c r="QX87" s="12"/>
      <c r="QY87" s="12"/>
      <c r="QZ87" s="12"/>
      <c r="RA87" s="12"/>
      <c r="RB87" s="12"/>
      <c r="RC87" s="12"/>
      <c r="RD87" s="12"/>
      <c r="RE87" s="12"/>
      <c r="RF87" s="12"/>
      <c r="RG87" s="12"/>
      <c r="RH87" s="12"/>
      <c r="RI87" s="12"/>
      <c r="RJ87" s="12"/>
      <c r="RK87" s="12"/>
      <c r="RL87" s="12"/>
      <c r="RM87" s="12"/>
      <c r="RN87" s="12"/>
      <c r="RO87" s="12"/>
      <c r="RP87" s="12"/>
      <c r="RQ87" s="12"/>
      <c r="RR87" s="12"/>
      <c r="RS87" s="12"/>
      <c r="RT87" s="12"/>
      <c r="RU87" s="12"/>
      <c r="RV87" s="12"/>
      <c r="RW87" s="12"/>
      <c r="RX87" s="12"/>
      <c r="RY87" s="12"/>
      <c r="RZ87" s="12"/>
      <c r="SA87" s="12"/>
      <c r="SB87" s="12"/>
      <c r="SC87" s="12"/>
      <c r="SD87" s="12"/>
    </row>
    <row r="88" spans="1:498" s="10" customFormat="1" ht="14" hidden="1" customHeight="1">
      <c r="A88" s="87"/>
      <c r="B88" s="87" t="s">
        <v>22</v>
      </c>
      <c r="C88" s="87"/>
      <c r="D88" s="87"/>
      <c r="E88" s="154"/>
      <c r="F88" s="160">
        <f>F86-F87</f>
        <v>3894.0103503094833</v>
      </c>
      <c r="G88" s="161">
        <f>G86-G87</f>
        <v>4161.7235618932591</v>
      </c>
      <c r="H88" s="161">
        <f t="shared" ref="H88:N88" si="64">H86-H87</f>
        <v>7535.0772862318008</v>
      </c>
      <c r="I88" s="161">
        <f t="shared" si="64"/>
        <v>8053.1138496602362</v>
      </c>
      <c r="J88" s="161">
        <f t="shared" si="64"/>
        <v>12438.948135591976</v>
      </c>
      <c r="K88" s="161">
        <f t="shared" si="64"/>
        <v>13294.125819913925</v>
      </c>
      <c r="L88" s="161">
        <f t="shared" si="64"/>
        <v>18096.038184887919</v>
      </c>
      <c r="M88" s="161">
        <f t="shared" si="64"/>
        <v>19340.140810098965</v>
      </c>
      <c r="N88" s="161">
        <f t="shared" si="64"/>
        <v>27222.192299208466</v>
      </c>
      <c r="O88" s="161">
        <f>O86-O87</f>
        <v>30964.629702203987</v>
      </c>
      <c r="P88" s="161"/>
      <c r="Q88" s="161"/>
      <c r="R88" s="161"/>
      <c r="S88" s="161"/>
      <c r="T88" s="161"/>
      <c r="U88" s="161"/>
      <c r="V88" s="161"/>
      <c r="W88" s="161"/>
      <c r="X88" s="161"/>
      <c r="Y88" s="161"/>
      <c r="Z88" s="159"/>
      <c r="AA88" s="159"/>
      <c r="AB88" s="159"/>
      <c r="AC88" s="159"/>
      <c r="AD88" s="159"/>
      <c r="AE88" s="159"/>
      <c r="AF88" s="159"/>
      <c r="AG88" s="159"/>
      <c r="AH88" s="159"/>
      <c r="AI88" s="159"/>
      <c r="AJ88" s="87"/>
      <c r="AK88" s="87"/>
      <c r="AL88" s="87"/>
      <c r="AM88" s="87"/>
      <c r="AN88" s="87"/>
      <c r="AO88" s="87"/>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c r="HR88" s="12"/>
      <c r="HS88" s="12"/>
      <c r="HT88" s="12"/>
      <c r="HU88" s="12"/>
      <c r="HV88" s="12"/>
      <c r="HW88" s="12"/>
      <c r="HX88" s="12"/>
      <c r="HY88" s="12"/>
      <c r="HZ88" s="12"/>
      <c r="IA88" s="12"/>
      <c r="IB88" s="12"/>
      <c r="IC88" s="12"/>
      <c r="ID88" s="12"/>
      <c r="IE88" s="12"/>
      <c r="IF88" s="12"/>
      <c r="IG88" s="12"/>
      <c r="IH88" s="12"/>
      <c r="II88" s="12"/>
      <c r="IJ88" s="12"/>
      <c r="IK88" s="12"/>
      <c r="IL88" s="12"/>
      <c r="IM88" s="12"/>
      <c r="IN88" s="12"/>
      <c r="IO88" s="12"/>
      <c r="IP88" s="12"/>
      <c r="IQ88" s="12"/>
      <c r="IR88" s="12"/>
      <c r="IS88" s="12"/>
      <c r="IT88" s="12"/>
      <c r="IU88" s="12"/>
      <c r="IV88" s="12"/>
      <c r="IW88" s="12"/>
      <c r="IX88" s="12"/>
      <c r="IY88" s="12"/>
      <c r="IZ88" s="12"/>
      <c r="JA88" s="12"/>
      <c r="JB88" s="12"/>
      <c r="JC88" s="12"/>
      <c r="JD88" s="12"/>
      <c r="JE88" s="12"/>
      <c r="JF88" s="12"/>
      <c r="JG88" s="12"/>
      <c r="JH88" s="12"/>
      <c r="JI88" s="12"/>
      <c r="JJ88" s="12"/>
      <c r="JK88" s="12"/>
      <c r="JL88" s="12"/>
      <c r="JM88" s="12"/>
      <c r="JN88" s="12"/>
      <c r="JO88" s="12"/>
      <c r="JP88" s="12"/>
      <c r="JQ88" s="12"/>
      <c r="JR88" s="12"/>
      <c r="JS88" s="12"/>
      <c r="JT88" s="12"/>
      <c r="JU88" s="12"/>
      <c r="JV88" s="12"/>
      <c r="JW88" s="12"/>
      <c r="JX88" s="12"/>
      <c r="JY88" s="12"/>
      <c r="JZ88" s="12"/>
      <c r="KA88" s="12"/>
      <c r="KB88" s="12"/>
      <c r="KC88" s="12"/>
      <c r="KD88" s="12"/>
      <c r="KE88" s="12"/>
      <c r="KF88" s="12"/>
      <c r="KG88" s="12"/>
      <c r="KH88" s="12"/>
      <c r="KI88" s="12"/>
      <c r="KJ88" s="12"/>
      <c r="KK88" s="12"/>
      <c r="KL88" s="12"/>
      <c r="KM88" s="12"/>
      <c r="KN88" s="12"/>
      <c r="KO88" s="12"/>
      <c r="KP88" s="12"/>
      <c r="KQ88" s="12"/>
      <c r="KR88" s="12"/>
      <c r="KS88" s="12"/>
      <c r="KT88" s="12"/>
      <c r="KU88" s="12"/>
      <c r="KV88" s="12"/>
      <c r="KW88" s="12"/>
      <c r="KX88" s="12"/>
      <c r="KY88" s="12"/>
      <c r="KZ88" s="12"/>
      <c r="LA88" s="12"/>
      <c r="LB88" s="12"/>
      <c r="LC88" s="12"/>
      <c r="LD88" s="12"/>
      <c r="LE88" s="12"/>
      <c r="LF88" s="12"/>
      <c r="LG88" s="12"/>
      <c r="LH88" s="12"/>
      <c r="LI88" s="12"/>
      <c r="LJ88" s="12"/>
      <c r="LK88" s="12"/>
      <c r="LL88" s="12"/>
      <c r="LM88" s="12"/>
      <c r="LN88" s="12"/>
      <c r="LO88" s="12"/>
      <c r="LP88" s="12"/>
      <c r="LQ88" s="12"/>
      <c r="LR88" s="12"/>
      <c r="LS88" s="12"/>
      <c r="LT88" s="12"/>
      <c r="LU88" s="12"/>
      <c r="LV88" s="12"/>
      <c r="LW88" s="12"/>
      <c r="LX88" s="12"/>
      <c r="LY88" s="12"/>
      <c r="LZ88" s="12"/>
      <c r="MA88" s="12"/>
      <c r="MB88" s="12"/>
      <c r="MC88" s="12"/>
      <c r="MD88" s="12"/>
      <c r="ME88" s="12"/>
      <c r="MF88" s="12"/>
      <c r="MG88" s="12"/>
      <c r="MH88" s="12"/>
      <c r="MI88" s="12"/>
      <c r="MJ88" s="12"/>
      <c r="MK88" s="12"/>
      <c r="ML88" s="12"/>
      <c r="MM88" s="12"/>
      <c r="MN88" s="12"/>
      <c r="MO88" s="12"/>
      <c r="MP88" s="12"/>
      <c r="MQ88" s="12"/>
      <c r="MR88" s="12"/>
      <c r="MS88" s="12"/>
      <c r="MT88" s="12"/>
      <c r="MU88" s="12"/>
      <c r="MV88" s="12"/>
      <c r="MW88" s="12"/>
      <c r="MX88" s="12"/>
      <c r="MY88" s="12"/>
      <c r="MZ88" s="12"/>
      <c r="NA88" s="12"/>
      <c r="NB88" s="12"/>
      <c r="NC88" s="12"/>
      <c r="ND88" s="12"/>
      <c r="NE88" s="12"/>
      <c r="NF88" s="12"/>
      <c r="NG88" s="12"/>
      <c r="NH88" s="12"/>
      <c r="NI88" s="12"/>
      <c r="NJ88" s="12"/>
      <c r="NK88" s="12"/>
      <c r="NL88" s="12"/>
      <c r="NM88" s="12"/>
      <c r="NN88" s="12"/>
      <c r="NO88" s="12"/>
      <c r="NP88" s="12"/>
      <c r="NQ88" s="12"/>
      <c r="NR88" s="12"/>
      <c r="NS88" s="12"/>
      <c r="NT88" s="12"/>
      <c r="NU88" s="12"/>
      <c r="NV88" s="12"/>
      <c r="NW88" s="12"/>
      <c r="NX88" s="12"/>
      <c r="NY88" s="12"/>
      <c r="NZ88" s="12"/>
      <c r="OA88" s="12"/>
      <c r="OB88" s="12"/>
      <c r="OC88" s="12"/>
      <c r="OD88" s="12"/>
      <c r="OE88" s="12"/>
      <c r="OF88" s="12"/>
      <c r="OG88" s="12"/>
      <c r="OH88" s="12"/>
      <c r="OI88" s="12"/>
      <c r="OJ88" s="12"/>
      <c r="OK88" s="12"/>
      <c r="OL88" s="12"/>
      <c r="OM88" s="12"/>
      <c r="ON88" s="12"/>
      <c r="OO88" s="12"/>
      <c r="OP88" s="12"/>
      <c r="OQ88" s="12"/>
      <c r="OR88" s="12"/>
      <c r="OS88" s="12"/>
      <c r="OT88" s="12"/>
      <c r="OU88" s="12"/>
      <c r="OV88" s="12"/>
      <c r="OW88" s="12"/>
      <c r="OX88" s="12"/>
      <c r="OY88" s="12"/>
      <c r="OZ88" s="12"/>
      <c r="PA88" s="12"/>
      <c r="PB88" s="12"/>
      <c r="PC88" s="12"/>
      <c r="PD88" s="12"/>
      <c r="PE88" s="12"/>
      <c r="PF88" s="12"/>
      <c r="PG88" s="12"/>
      <c r="PH88" s="12"/>
      <c r="PI88" s="12"/>
      <c r="PJ88" s="12"/>
      <c r="PK88" s="12"/>
      <c r="PL88" s="12"/>
      <c r="PM88" s="12"/>
      <c r="PN88" s="12"/>
      <c r="PO88" s="12"/>
      <c r="PP88" s="12"/>
      <c r="PQ88" s="12"/>
      <c r="PR88" s="12"/>
      <c r="PS88" s="12"/>
      <c r="PT88" s="12"/>
      <c r="PU88" s="12"/>
      <c r="PV88" s="12"/>
      <c r="PW88" s="12"/>
      <c r="PX88" s="12"/>
      <c r="PY88" s="12"/>
      <c r="PZ88" s="12"/>
      <c r="QA88" s="12"/>
      <c r="QB88" s="12"/>
      <c r="QC88" s="12"/>
      <c r="QD88" s="12"/>
      <c r="QE88" s="12"/>
      <c r="QF88" s="12"/>
      <c r="QG88" s="12"/>
      <c r="QH88" s="12"/>
      <c r="QI88" s="12"/>
      <c r="QJ88" s="12"/>
      <c r="QK88" s="12"/>
      <c r="QL88" s="12"/>
      <c r="QM88" s="12"/>
      <c r="QN88" s="12"/>
      <c r="QO88" s="12"/>
      <c r="QP88" s="12"/>
      <c r="QQ88" s="12"/>
      <c r="QR88" s="12"/>
      <c r="QS88" s="12"/>
      <c r="QT88" s="12"/>
      <c r="QU88" s="12"/>
      <c r="QV88" s="12"/>
      <c r="QW88" s="12"/>
      <c r="QX88" s="12"/>
      <c r="QY88" s="12"/>
      <c r="QZ88" s="12"/>
      <c r="RA88" s="12"/>
      <c r="RB88" s="12"/>
      <c r="RC88" s="12"/>
      <c r="RD88" s="12"/>
      <c r="RE88" s="12"/>
      <c r="RF88" s="12"/>
      <c r="RG88" s="12"/>
      <c r="RH88" s="12"/>
      <c r="RI88" s="12"/>
      <c r="RJ88" s="12"/>
      <c r="RK88" s="12"/>
      <c r="RL88" s="12"/>
      <c r="RM88" s="12"/>
      <c r="RN88" s="12"/>
      <c r="RO88" s="12"/>
      <c r="RP88" s="12"/>
      <c r="RQ88" s="12"/>
      <c r="RR88" s="12"/>
      <c r="RS88" s="12"/>
      <c r="RT88" s="12"/>
      <c r="RU88" s="12"/>
      <c r="RV88" s="12"/>
      <c r="RW88" s="12"/>
      <c r="RX88" s="12"/>
      <c r="RY88" s="12"/>
      <c r="RZ88" s="12"/>
      <c r="SA88" s="12"/>
      <c r="SB88" s="12"/>
      <c r="SC88" s="12"/>
      <c r="SD88" s="12"/>
    </row>
    <row r="89" spans="1:498" s="10" customFormat="1" hidden="1">
      <c r="A89" s="87"/>
      <c r="B89" s="87" t="s">
        <v>16</v>
      </c>
      <c r="C89" s="87"/>
      <c r="D89" s="87"/>
      <c r="E89" s="154"/>
      <c r="F89" s="160">
        <f>$C$10-F88</f>
        <v>141105.98964969051</v>
      </c>
      <c r="G89" s="161">
        <f>F89-G88</f>
        <v>136944.26608779727</v>
      </c>
      <c r="H89" s="161">
        <f t="shared" ref="H89:O89" si="65">G89-H88</f>
        <v>129409.18880156547</v>
      </c>
      <c r="I89" s="161">
        <f t="shared" si="65"/>
        <v>121356.07495190523</v>
      </c>
      <c r="J89" s="161">
        <f t="shared" si="65"/>
        <v>108917.12681631326</v>
      </c>
      <c r="K89" s="161">
        <f t="shared" si="65"/>
        <v>95623.000996399336</v>
      </c>
      <c r="L89" s="161">
        <f t="shared" si="65"/>
        <v>77526.962811511417</v>
      </c>
      <c r="M89" s="161">
        <f t="shared" si="65"/>
        <v>58186.822001412453</v>
      </c>
      <c r="N89" s="161">
        <f t="shared" si="65"/>
        <v>30964.629702203987</v>
      </c>
      <c r="O89" s="161">
        <f t="shared" si="65"/>
        <v>0</v>
      </c>
      <c r="P89" s="161"/>
      <c r="Q89" s="161"/>
      <c r="R89" s="161"/>
      <c r="S89" s="161"/>
      <c r="T89" s="161"/>
      <c r="U89" s="161"/>
      <c r="V89" s="161"/>
      <c r="W89" s="161"/>
      <c r="X89" s="161"/>
      <c r="Y89" s="161"/>
      <c r="Z89" s="159"/>
      <c r="AA89" s="159"/>
      <c r="AB89" s="159"/>
      <c r="AC89" s="159"/>
      <c r="AD89" s="159"/>
      <c r="AE89" s="159"/>
      <c r="AF89" s="159"/>
      <c r="AG89" s="159"/>
      <c r="AH89" s="159"/>
      <c r="AI89" s="159"/>
      <c r="AJ89" s="87"/>
      <c r="AK89" s="87"/>
      <c r="AL89" s="87"/>
      <c r="AM89" s="87"/>
      <c r="AN89" s="87"/>
      <c r="AO89" s="87"/>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c r="HR89" s="12"/>
      <c r="HS89" s="12"/>
      <c r="HT89" s="12"/>
      <c r="HU89" s="12"/>
      <c r="HV89" s="12"/>
      <c r="HW89" s="12"/>
      <c r="HX89" s="12"/>
      <c r="HY89" s="12"/>
      <c r="HZ89" s="12"/>
      <c r="IA89" s="12"/>
      <c r="IB89" s="12"/>
      <c r="IC89" s="12"/>
      <c r="ID89" s="12"/>
      <c r="IE89" s="12"/>
      <c r="IF89" s="12"/>
      <c r="IG89" s="12"/>
      <c r="IH89" s="12"/>
      <c r="II89" s="12"/>
      <c r="IJ89" s="12"/>
      <c r="IK89" s="12"/>
      <c r="IL89" s="12"/>
      <c r="IM89" s="12"/>
      <c r="IN89" s="12"/>
      <c r="IO89" s="12"/>
      <c r="IP89" s="12"/>
      <c r="IQ89" s="12"/>
      <c r="IR89" s="12"/>
      <c r="IS89" s="12"/>
      <c r="IT89" s="12"/>
      <c r="IU89" s="12"/>
      <c r="IV89" s="12"/>
      <c r="IW89" s="12"/>
      <c r="IX89" s="12"/>
      <c r="IY89" s="12"/>
      <c r="IZ89" s="12"/>
      <c r="JA89" s="12"/>
      <c r="JB89" s="12"/>
      <c r="JC89" s="12"/>
      <c r="JD89" s="12"/>
      <c r="JE89" s="12"/>
      <c r="JF89" s="12"/>
      <c r="JG89" s="12"/>
      <c r="JH89" s="12"/>
      <c r="JI89" s="12"/>
      <c r="JJ89" s="12"/>
      <c r="JK89" s="12"/>
      <c r="JL89" s="12"/>
      <c r="JM89" s="12"/>
      <c r="JN89" s="12"/>
      <c r="JO89" s="12"/>
      <c r="JP89" s="12"/>
      <c r="JQ89" s="12"/>
      <c r="JR89" s="12"/>
      <c r="JS89" s="12"/>
      <c r="JT89" s="12"/>
      <c r="JU89" s="12"/>
      <c r="JV89" s="12"/>
      <c r="JW89" s="12"/>
      <c r="JX89" s="12"/>
      <c r="JY89" s="12"/>
      <c r="JZ89" s="12"/>
      <c r="KA89" s="12"/>
      <c r="KB89" s="12"/>
      <c r="KC89" s="12"/>
      <c r="KD89" s="12"/>
      <c r="KE89" s="12"/>
      <c r="KF89" s="12"/>
      <c r="KG89" s="12"/>
      <c r="KH89" s="12"/>
      <c r="KI89" s="12"/>
      <c r="KJ89" s="12"/>
      <c r="KK89" s="12"/>
      <c r="KL89" s="12"/>
      <c r="KM89" s="12"/>
      <c r="KN89" s="12"/>
      <c r="KO89" s="12"/>
      <c r="KP89" s="12"/>
      <c r="KQ89" s="12"/>
      <c r="KR89" s="12"/>
      <c r="KS89" s="12"/>
      <c r="KT89" s="12"/>
      <c r="KU89" s="12"/>
      <c r="KV89" s="12"/>
      <c r="KW89" s="12"/>
      <c r="KX89" s="12"/>
      <c r="KY89" s="12"/>
      <c r="KZ89" s="12"/>
      <c r="LA89" s="12"/>
      <c r="LB89" s="12"/>
      <c r="LC89" s="12"/>
      <c r="LD89" s="12"/>
      <c r="LE89" s="12"/>
      <c r="LF89" s="12"/>
      <c r="LG89" s="12"/>
      <c r="LH89" s="12"/>
      <c r="LI89" s="12"/>
      <c r="LJ89" s="12"/>
      <c r="LK89" s="12"/>
      <c r="LL89" s="12"/>
      <c r="LM89" s="12"/>
      <c r="LN89" s="12"/>
      <c r="LO89" s="12"/>
      <c r="LP89" s="12"/>
      <c r="LQ89" s="12"/>
      <c r="LR89" s="12"/>
      <c r="LS89" s="12"/>
      <c r="LT89" s="12"/>
      <c r="LU89" s="12"/>
      <c r="LV89" s="12"/>
      <c r="LW89" s="12"/>
      <c r="LX89" s="12"/>
      <c r="LY89" s="12"/>
      <c r="LZ89" s="12"/>
      <c r="MA89" s="12"/>
      <c r="MB89" s="12"/>
      <c r="MC89" s="12"/>
      <c r="MD89" s="12"/>
      <c r="ME89" s="12"/>
      <c r="MF89" s="12"/>
      <c r="MG89" s="12"/>
      <c r="MH89" s="12"/>
      <c r="MI89" s="12"/>
      <c r="MJ89" s="12"/>
      <c r="MK89" s="12"/>
      <c r="ML89" s="12"/>
      <c r="MM89" s="12"/>
      <c r="MN89" s="12"/>
      <c r="MO89" s="12"/>
      <c r="MP89" s="12"/>
      <c r="MQ89" s="12"/>
      <c r="MR89" s="12"/>
      <c r="MS89" s="12"/>
      <c r="MT89" s="12"/>
      <c r="MU89" s="12"/>
      <c r="MV89" s="12"/>
      <c r="MW89" s="12"/>
      <c r="MX89" s="12"/>
      <c r="MY89" s="12"/>
      <c r="MZ89" s="12"/>
      <c r="NA89" s="12"/>
      <c r="NB89" s="12"/>
      <c r="NC89" s="12"/>
      <c r="ND89" s="12"/>
      <c r="NE89" s="12"/>
      <c r="NF89" s="12"/>
      <c r="NG89" s="12"/>
      <c r="NH89" s="12"/>
      <c r="NI89" s="12"/>
      <c r="NJ89" s="12"/>
      <c r="NK89" s="12"/>
      <c r="NL89" s="12"/>
      <c r="NM89" s="12"/>
      <c r="NN89" s="12"/>
      <c r="NO89" s="12"/>
      <c r="NP89" s="12"/>
      <c r="NQ89" s="12"/>
      <c r="NR89" s="12"/>
      <c r="NS89" s="12"/>
      <c r="NT89" s="12"/>
      <c r="NU89" s="12"/>
      <c r="NV89" s="12"/>
      <c r="NW89" s="12"/>
      <c r="NX89" s="12"/>
      <c r="NY89" s="12"/>
      <c r="NZ89" s="12"/>
      <c r="OA89" s="12"/>
      <c r="OB89" s="12"/>
      <c r="OC89" s="12"/>
      <c r="OD89" s="12"/>
      <c r="OE89" s="12"/>
      <c r="OF89" s="12"/>
      <c r="OG89" s="12"/>
      <c r="OH89" s="12"/>
      <c r="OI89" s="12"/>
      <c r="OJ89" s="12"/>
      <c r="OK89" s="12"/>
      <c r="OL89" s="12"/>
      <c r="OM89" s="12"/>
      <c r="ON89" s="12"/>
      <c r="OO89" s="12"/>
      <c r="OP89" s="12"/>
      <c r="OQ89" s="12"/>
      <c r="OR89" s="12"/>
      <c r="OS89" s="12"/>
      <c r="OT89" s="12"/>
      <c r="OU89" s="12"/>
      <c r="OV89" s="12"/>
      <c r="OW89" s="12"/>
      <c r="OX89" s="12"/>
      <c r="OY89" s="12"/>
      <c r="OZ89" s="12"/>
      <c r="PA89" s="12"/>
      <c r="PB89" s="12"/>
      <c r="PC89" s="12"/>
      <c r="PD89" s="12"/>
      <c r="PE89" s="12"/>
      <c r="PF89" s="12"/>
      <c r="PG89" s="12"/>
      <c r="PH89" s="12"/>
      <c r="PI89" s="12"/>
      <c r="PJ89" s="12"/>
      <c r="PK89" s="12"/>
      <c r="PL89" s="12"/>
      <c r="PM89" s="12"/>
      <c r="PN89" s="12"/>
      <c r="PO89" s="12"/>
      <c r="PP89" s="12"/>
      <c r="PQ89" s="12"/>
      <c r="PR89" s="12"/>
      <c r="PS89" s="12"/>
      <c r="PT89" s="12"/>
      <c r="PU89" s="12"/>
      <c r="PV89" s="12"/>
      <c r="PW89" s="12"/>
      <c r="PX89" s="12"/>
      <c r="PY89" s="12"/>
      <c r="PZ89" s="12"/>
      <c r="QA89" s="12"/>
      <c r="QB89" s="12"/>
      <c r="QC89" s="12"/>
      <c r="QD89" s="12"/>
      <c r="QE89" s="12"/>
      <c r="QF89" s="12"/>
      <c r="QG89" s="12"/>
      <c r="QH89" s="12"/>
      <c r="QI89" s="12"/>
      <c r="QJ89" s="12"/>
      <c r="QK89" s="12"/>
      <c r="QL89" s="12"/>
      <c r="QM89" s="12"/>
      <c r="QN89" s="12"/>
      <c r="QO89" s="12"/>
      <c r="QP89" s="12"/>
      <c r="QQ89" s="12"/>
      <c r="QR89" s="12"/>
      <c r="QS89" s="12"/>
      <c r="QT89" s="12"/>
      <c r="QU89" s="12"/>
      <c r="QV89" s="12"/>
      <c r="QW89" s="12"/>
      <c r="QX89" s="12"/>
      <c r="QY89" s="12"/>
      <c r="QZ89" s="12"/>
      <c r="RA89" s="12"/>
      <c r="RB89" s="12"/>
      <c r="RC89" s="12"/>
      <c r="RD89" s="12"/>
      <c r="RE89" s="12"/>
      <c r="RF89" s="12"/>
      <c r="RG89" s="12"/>
      <c r="RH89" s="12"/>
      <c r="RI89" s="12"/>
      <c r="RJ89" s="12"/>
      <c r="RK89" s="12"/>
      <c r="RL89" s="12"/>
      <c r="RM89" s="12"/>
      <c r="RN89" s="12"/>
      <c r="RO89" s="12"/>
      <c r="RP89" s="12"/>
      <c r="RQ89" s="12"/>
      <c r="RR89" s="12"/>
      <c r="RS89" s="12"/>
      <c r="RT89" s="12"/>
      <c r="RU89" s="12"/>
      <c r="RV89" s="12"/>
      <c r="RW89" s="12"/>
      <c r="RX89" s="12"/>
      <c r="RY89" s="12"/>
      <c r="RZ89" s="12"/>
      <c r="SA89" s="12"/>
      <c r="SB89" s="12"/>
      <c r="SC89" s="12"/>
      <c r="SD89" s="12"/>
    </row>
    <row r="90" spans="1:498" s="13" customFormat="1" hidden="1">
      <c r="A90" s="90"/>
      <c r="B90" s="90"/>
      <c r="C90" s="90"/>
      <c r="D90" s="140"/>
      <c r="E90" s="162" t="s">
        <v>49</v>
      </c>
      <c r="F90" s="146">
        <f>IF($C$10&lt;10000,PMT($C$11/12,12*12,(0.7)*-($C$10)),IF($C$10&lt;20000,PMT($C$11/12,15*12,(0.69)*-($C$10)),IF($C$10&lt;40000,PMT($C$11/12,20*12,(0.75)*-($C$10)),IF($C$10&lt;60000,PMT($C$11/12,25*12,(0.83)*-($C$10)),PMT($C$11/12,30*12,(0.88)*-($C$10))))))</f>
        <v>838.24116624995577</v>
      </c>
      <c r="G90" s="147">
        <f>IF($C$10&lt;10000,PMT($C$11/12,12*12,(0.7)*-($C$10)),IF($C$10&lt;20000,PMT($C$11/12,15*12,(0.69)*-($C$10)),IF($C$10&lt;40000,PMT($C$11/12,20*12,(0.75)*-($C$10)),IF($C$10&lt;60000,PMT($C$11/12,25*12,(0.83)*-($C$10)),PMT($C$11/12,30*12,(0.88)*-($C$10))))))</f>
        <v>838.24116624995577</v>
      </c>
      <c r="H90" s="147">
        <f>IF($C$10&lt;10000,PMT($C$11/12,10*12,(0.75)*-($G$94)),IF($C$10&lt;20000,PMT($C$11/12,13*12,(0.72)*-($G$94)),IF($C$10&lt;40000,PMT($C$11/12,(20-$G$50)*12,(0.78)*-($G$94)),IF($C$10&lt;60000,PMT($C$11/12,(25-$G$50)*12,(0.84)*-($G$94)),PMT($C$11/12,(30-2)*12,(0.89)*-($G$94))))))</f>
        <v>865.32306628180606</v>
      </c>
      <c r="I90" s="147">
        <f>IF($C$10&lt;10000,PMT($C$11/12,10*12,(0.75)*-($G$94)),IF($C$10&lt;20000,PMT($C$11/12,13*12,(0.72)*-($G$94)),IF($C$10&lt;40000,PMT($C$11/12,(20-$G$50)*12,(0.78)*-($G$94)),IF($C$10&lt;60000,PMT($C$11/12,(25-$G$50)*12,(0.84)*-($G$94)),PMT($C$11/12,(30-2)*12,(0.89)*-($G$94))))))</f>
        <v>865.32306628180606</v>
      </c>
      <c r="J90" s="147">
        <f>IF($C$10&lt;10000,PMT($C$11/12,8*12,(0.81)*-($I$94)),IF($C$10&lt;20000,PMT($C$11/12,11*12,(0.76)*-($I$94)),IF($C$10&lt;40000,PMT($C$11/12,(20-$I50)*12,(0.8)*-($I$94)),IF($C$10&lt;60000,PMT($C$11/12,(25-$I$50)*12,(0.85)*-($I$94)),PMT($C$11/12,(30-4)*12,(0.89)*-($I$94))))))</f>
        <v>882.32019638926818</v>
      </c>
      <c r="K90" s="147">
        <f>IF($C$10&lt;10000,PMT($C$11/12,8*12,(0.81)*-($I$94)),IF($C$10&lt;20000,PMT($C$11/12,11*12,(0.76)*-($I$94)),IF($C$10&lt;40000,PMT($C$11/12,(20-$I50)*12,(0.8)*-($I$94)),IF($C$10&lt;60000,PMT($C$11/12,(25-$I$50)*12,(0.85)*-($I$94)),PMT($C$11/12,(30-4)*12,(0.89)*-($I$94))))))</f>
        <v>882.32019638926818</v>
      </c>
      <c r="L90" s="147">
        <f>IF($C$10&lt;10000,PMT($C$11/12,6*12,(0.87)*-($K$94)),IF($C$10&lt;20000,PMT($C$11/12,9*12,(0.81)*-($K$94)),IF($C$10&lt;40000,PMT($C$11/12,(20-$K$50)*12,(0.82)*-($K$94)),IF($C$10&lt;60000,PMT($C$11/12,(25-$K$50)*12,(0.87)*-($K$94)),PMT($C$11/12,(30-6)*12,(0.9)*-($K$94))))))</f>
        <v>910.40909822972856</v>
      </c>
      <c r="M90" s="147">
        <f>IF($C$10&lt;10000,PMT($C$11/12,6*12,(0.87)*-($K$94)),IF($C$10&lt;20000,PMT($C$11/12,9*12,(0.81)*-($K$94)),IF($C$10&lt;40000,PMT($C$11/12,(20-$K$50)*12,(0.82)*-($K$94)),IF($C$10&lt;60000,PMT($C$11/12,(25-$K$50)*12,(0.87)*-($K$94)),PMT($C$11/12,(30-6)*12,(0.9)*-($K$94))))))</f>
        <v>910.40909822972856</v>
      </c>
      <c r="N90" s="147">
        <f>IF($C$10&lt;10000,PMT($C$11/12,4*12,0.93*-($M$94)),IF($C$10&lt;20000,PMT($C$11/12,7*12,(0.85)*-($M$94)),IF($C$10&lt;40000,PMT($C$11/12,(20-$M$50)*12,(0.85)*-($M$94)),IF($C$10&lt;60000,PMT($C$11/12,(25-$M$50)*12,(0.88)*-($M$94)),PMT($C$11/12,(30-8)*12,(0.91)*-($M$94))))))</f>
        <v>938.41582414647826</v>
      </c>
      <c r="O90" s="147">
        <f>IF($C$10&lt;10000,PMT($C$11/12,4*12,0.93*-($M$94)),IF($C$10&lt;20000,PMT($C$11/12,7*12,(0.85)*-($M$94)),IF($C$10&lt;40000,PMT($C$11/12,(20-$M$50)*12,(0.85)*-($M$94)),IF($C$10&lt;60000,PMT($C$11/12,(25-$M$50)*12,(0.88)*-($M$94)),PMT($C$11/12,(30-8)*12,(0.91)*-($M$94))))))</f>
        <v>938.41582414647826</v>
      </c>
      <c r="P90" s="147">
        <f>IF($C$10&lt;10000,PMT($C$11/12,2*12,-($O$94)),IF($C$10&lt;20000,PMT($C$11/12,5*12,(0.9)*-($O$94)),IF($C$10&lt;40000,PMT($C$11/12,(20-$O$50)*12,(0.88)*-($O$94)),IF($C$10&lt;60000,PMT($C$11/12,(25-$O$50)*12,(0.89)*-($O$94)),PMT($C$11/12,(30-10)*12,(0.915)*-($O$94))))))</f>
        <v>961.08116382487117</v>
      </c>
      <c r="Q90" s="147">
        <f>IF($C$10&lt;10000,(PMT($C$11/12,2*12,-($O$94)))+(((P90*12)-((P90*12)-(P94*$C$11)))/12),IF($C$10&lt;20000,PMT($C$11/12,5*12,(0.9)*-($O$94)),IF($C$10&lt;40000,PMT($C$11/12,(20-$O$50)*12,(0.88)*-($O$94)),IF($C$10&lt;60000,PMT($C$11/12,(25-$O$50)*12,(0.89)*-($O$94)),PMT($C$11/12,(30-10)*12,(0.915)*-($O$94))))))</f>
        <v>961.08116382487117</v>
      </c>
      <c r="R90" s="147">
        <f>IF($C$10&lt;10000,0,IF($C$10&lt;20000,PMT($C$11/12,3*12,(0.94)*-($Q$94)),IF($C$10&lt;40000,PMT($C$11/12,(20-$Q$50)*12,(0.9)*-($Q$94)),IF($C$10&lt;60000,PMT($C$11/12,(25-$Q$50)*12,(0.91)*-($Q$94)),PMT($C$11/12,(30-12)*12,(0.925)*-($Q$94))))))</f>
        <v>989.79843972141384</v>
      </c>
      <c r="S90" s="147">
        <f>IF($C$10&lt;10000,0,IF($C$10&lt;20000,PMT($C$11/12,3*12,(0.94)*-($Q$94)),IF($C$10&lt;40000,PMT($C$11/12,(20-$Q$50)*12,(0.9)*-($Q$94)),IF($C$10&lt;60000,PMT($C$11/12,(25-$Q$50)*12,(0.91)*-($Q$94)),PMT($C$11/12,(30-12)*12,(0.925)*-($Q$94))))))</f>
        <v>989.79843972141384</v>
      </c>
      <c r="T90" s="147">
        <f>IF($C$10&lt;10000,0,IF($C$10&lt;20000,(PMT($C$11/12,12,-($S$94))),IF($C$10&lt;40000,PMT($C$11/12,(20-$S$50)*12,(0.93)*-($S$94)),IF($C$10&lt;60000,PMT($C$11/12,(25-$S$50)*12,(0.92)*-($S$94)),PMT($C$11/12,(30-14)*12,(0.935)*-($S$94))))))</f>
        <v>1018.587742345564</v>
      </c>
      <c r="U90" s="147">
        <f>IF($C$10&lt;20000,0,IF($C$10&lt;40000,PMT($C$11/12,(20-$S$50)*12,(0.93)*-($S$94)),IF($C$10&lt;60000,PMT($C$11/12,(25-$S$50)*12,(0.92)*-($S$94)),PMT($C$11/12,(30-14)*12,(0.935)*-($S$94)))))</f>
        <v>1018.587742345564</v>
      </c>
      <c r="V90" s="147">
        <f>IF($C$10&lt;10000,0,IF($C$10&lt;20000,0,IF($C$10&lt;40000,PMT($C$11/12,(20-$U$50)*12,(0.96)*-($U$94)),IF($C$10&lt;60000,PMT($C$11/12,(25-$U$50)*12,(0.94)*-($U$94)),PMT($C$11/12,(30-16)*12,(0.945)*-($U$94))))))</f>
        <v>1047.5389875055507</v>
      </c>
      <c r="W90" s="147">
        <f>IF($C$10&lt;10000,0,IF($C$10&lt;20000,0,IF($C$10&lt;40000,PMT($C$11/12,(20-$U$50)*12,(0.96)*-($U$94)),IF($C$10&lt;60000,PMT($C$11/12,(25-$U$50)*12,(0.94)*-($U$94)),PMT($C$11/12,(30-16)*12,(0.945)*-($U$94))))))</f>
        <v>1047.5389875055507</v>
      </c>
      <c r="X90" s="147">
        <f>IF($C$10&lt;10000,0,IF($C$10&lt;20000,0,IF($C$10&lt;40000,PMT($C$11/12,(20-$W$50)*12,-($W$94)),IF($C$10&lt;60000,PMT($C$11/12,(25-$W$50)*12,(0.96)*-($W$94)),PMT($C$11/12,(30-18)*12,(0.955)*-($W$94))))))</f>
        <v>1076.8087704748032</v>
      </c>
      <c r="Y90" s="147">
        <f>IF($C$10&lt;10000,0,IF($C$10&lt;20000,0,IF($C$10&lt;40000,(PMT($C$11/12,(20-$W$50)*12,-($W$94)))+(((X90*12)-((X90*12)-(X94*$C$11)))/12),IF($C$10&lt;60000,PMT($C$11/12,(25-$W$50)*12,(0.96)*-($W$94)),PMT($C$11/12,(30-18)*12,(0.955)*-($W$94))))))</f>
        <v>1076.8087704748032</v>
      </c>
      <c r="Z90" s="147">
        <f>IF($C$10&lt;40000,0,IF($C$10&lt;60000,PMT($C$11/12,(25-$Y$50)*12,(0.97)*-($Y$94)),PMT($C$11/12,(30-20)*12,(0.965)*-($Y$94))))</f>
        <v>1106.6708633611902</v>
      </c>
      <c r="AA90" s="147">
        <f>IF($C$10&lt;40000,0,IF($C$10&lt;60000,PMT($C$11/12,(25-$Y$50)*12,(0.97)*-($Y$94)),PMT($C$11/12,(30-20)*12,(0.965)*-($Y$94))))</f>
        <v>1106.6708633611902</v>
      </c>
      <c r="AB90" s="147">
        <f>IF($C$10&lt;40000,0,IF($C$10&lt;60000,PMT($C$11/12,(25-$AA$50)*12,(0.98)*-($AA$94)),PMT($C$11/12,(30-22)*12,(0.975)*-($AA$94))))</f>
        <v>1137.6294727772611</v>
      </c>
      <c r="AC90" s="147">
        <f>IF($C$10&lt;40000,0,IF($C$10&lt;60000,PMT($C$11/12,(25-$AA$50)*12,(0.98)*-($AA$94)),PMT($C$11/12,(30-22)*12,(0.975)*-($AA$94))))</f>
        <v>1137.6294727772611</v>
      </c>
      <c r="AD90" s="147">
        <f>IF($C$10&lt;40000,0,IF($C$10&lt;60000,PMT($C$11/12,12,-($AC$94)),PMT($C$11/12,(30-24)*12,(0.985)*-($AC$94))))</f>
        <v>1170.7208081802746</v>
      </c>
      <c r="AE90" s="147">
        <f>IF($C$10&lt;60000,0,PMT($C$11/12,(30-24)*12,(0.985)*-($AC$94)))</f>
        <v>1170.7208081802746</v>
      </c>
      <c r="AF90" s="147">
        <f>IF($C$10&lt;60000,0,PMT($C$11/12,(30-26)*12,(0.99)*-($AE$94)))</f>
        <v>1202.4947800644029</v>
      </c>
      <c r="AG90" s="147">
        <f>IF($C$10&lt;60000,0,PMT($C$11/12,(30-26)*12,(0.99)*-($AE$94)))</f>
        <v>1202.4947800644029</v>
      </c>
      <c r="AH90" s="147">
        <f>IF($C$10&lt;60000,0,PMT($C$11/12,(30-28)*12,-($AG$94)))</f>
        <v>1262.1757297257395</v>
      </c>
      <c r="AI90" s="147">
        <f>IF($C$10&lt;60000,0,(PMT($C$11/12,(30-28)*12,-($AG$94)))+(((AH90*12)-((AH90*12)-(AH94*$C$11)))/12))</f>
        <v>1348.2335295905161</v>
      </c>
      <c r="AJ90" s="87"/>
      <c r="AK90" s="87"/>
      <c r="AL90" s="87"/>
      <c r="AM90" s="87"/>
      <c r="AN90" s="87"/>
      <c r="AO90" s="87"/>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HN90" s="12"/>
      <c r="HO90" s="12"/>
      <c r="HP90" s="12"/>
      <c r="HQ90" s="12"/>
      <c r="HR90" s="12"/>
      <c r="HS90" s="12"/>
      <c r="HT90" s="12"/>
      <c r="HU90" s="12"/>
      <c r="HV90" s="12"/>
      <c r="HW90" s="12"/>
      <c r="HX90" s="12"/>
      <c r="HY90" s="12"/>
      <c r="HZ90" s="12"/>
      <c r="IA90" s="12"/>
      <c r="IB90" s="12"/>
      <c r="IC90" s="12"/>
      <c r="ID90" s="12"/>
      <c r="IE90" s="12"/>
      <c r="IF90" s="12"/>
      <c r="IG90" s="12"/>
      <c r="IH90" s="12"/>
      <c r="II90" s="12"/>
      <c r="IJ90" s="12"/>
      <c r="IK90" s="12"/>
      <c r="IL90" s="12"/>
      <c r="IM90" s="12"/>
      <c r="IN90" s="12"/>
      <c r="IO90" s="12"/>
      <c r="IP90" s="12"/>
      <c r="IQ90" s="12"/>
      <c r="IR90" s="12"/>
      <c r="IS90" s="12"/>
      <c r="IT90" s="12"/>
      <c r="IU90" s="12"/>
      <c r="IV90" s="12"/>
      <c r="IW90" s="12"/>
      <c r="IX90" s="12"/>
      <c r="IY90" s="12"/>
      <c r="IZ90" s="12"/>
      <c r="JA90" s="12"/>
      <c r="JB90" s="12"/>
      <c r="JC90" s="12"/>
      <c r="JD90" s="12"/>
      <c r="JE90" s="12"/>
      <c r="JF90" s="12"/>
      <c r="JG90" s="12"/>
      <c r="JH90" s="12"/>
      <c r="JI90" s="12"/>
      <c r="JJ90" s="12"/>
      <c r="JK90" s="12"/>
      <c r="JL90" s="12"/>
      <c r="JM90" s="12"/>
      <c r="JN90" s="12"/>
      <c r="JO90" s="12"/>
      <c r="JP90" s="12"/>
      <c r="JQ90" s="12"/>
      <c r="JR90" s="12"/>
      <c r="JS90" s="12"/>
      <c r="JT90" s="12"/>
      <c r="JU90" s="12"/>
      <c r="JV90" s="12"/>
      <c r="JW90" s="12"/>
      <c r="JX90" s="12"/>
      <c r="JY90" s="12"/>
      <c r="JZ90" s="12"/>
      <c r="KA90" s="12"/>
      <c r="KB90" s="12"/>
      <c r="KC90" s="12"/>
      <c r="KD90" s="12"/>
      <c r="KE90" s="12"/>
      <c r="KF90" s="12"/>
      <c r="KG90" s="12"/>
      <c r="KH90" s="12"/>
      <c r="KI90" s="12"/>
      <c r="KJ90" s="12"/>
      <c r="KK90" s="12"/>
      <c r="KL90" s="12"/>
      <c r="KM90" s="12"/>
      <c r="KN90" s="12"/>
      <c r="KO90" s="12"/>
      <c r="KP90" s="12"/>
      <c r="KQ90" s="12"/>
      <c r="KR90" s="12"/>
      <c r="KS90" s="12"/>
      <c r="KT90" s="12"/>
      <c r="KU90" s="12"/>
      <c r="KV90" s="12"/>
      <c r="KW90" s="12"/>
      <c r="KX90" s="12"/>
      <c r="KY90" s="12"/>
      <c r="KZ90" s="12"/>
      <c r="LA90" s="12"/>
      <c r="LB90" s="12"/>
      <c r="LC90" s="12"/>
      <c r="LD90" s="12"/>
      <c r="LE90" s="12"/>
      <c r="LF90" s="12"/>
      <c r="LG90" s="12"/>
      <c r="LH90" s="12"/>
      <c r="LI90" s="12"/>
      <c r="LJ90" s="12"/>
      <c r="LK90" s="12"/>
      <c r="LL90" s="12"/>
      <c r="LM90" s="12"/>
      <c r="LN90" s="12"/>
      <c r="LO90" s="12"/>
      <c r="LP90" s="12"/>
      <c r="LQ90" s="12"/>
      <c r="LR90" s="12"/>
      <c r="LS90" s="12"/>
      <c r="LT90" s="12"/>
      <c r="LU90" s="12"/>
      <c r="LV90" s="12"/>
      <c r="LW90" s="12"/>
      <c r="LX90" s="12"/>
      <c r="LY90" s="12"/>
      <c r="LZ90" s="12"/>
      <c r="MA90" s="12"/>
      <c r="MB90" s="12"/>
      <c r="MC90" s="12"/>
      <c r="MD90" s="12"/>
      <c r="ME90" s="12"/>
      <c r="MF90" s="12"/>
      <c r="MG90" s="12"/>
      <c r="MH90" s="12"/>
      <c r="MI90" s="12"/>
      <c r="MJ90" s="12"/>
      <c r="MK90" s="12"/>
      <c r="ML90" s="12"/>
      <c r="MM90" s="12"/>
      <c r="MN90" s="12"/>
      <c r="MO90" s="12"/>
      <c r="MP90" s="12"/>
      <c r="MQ90" s="12"/>
      <c r="MR90" s="12"/>
      <c r="MS90" s="12"/>
      <c r="MT90" s="12"/>
      <c r="MU90" s="12"/>
      <c r="MV90" s="12"/>
      <c r="MW90" s="12"/>
      <c r="MX90" s="12"/>
      <c r="MY90" s="12"/>
      <c r="MZ90" s="12"/>
      <c r="NA90" s="12"/>
      <c r="NB90" s="12"/>
      <c r="NC90" s="12"/>
      <c r="ND90" s="12"/>
      <c r="NE90" s="12"/>
      <c r="NF90" s="12"/>
      <c r="NG90" s="12"/>
      <c r="NH90" s="12"/>
      <c r="NI90" s="12"/>
      <c r="NJ90" s="12"/>
      <c r="NK90" s="12"/>
      <c r="NL90" s="12"/>
      <c r="NM90" s="12"/>
      <c r="NN90" s="12"/>
      <c r="NO90" s="12"/>
      <c r="NP90" s="12"/>
      <c r="NQ90" s="12"/>
      <c r="NR90" s="12"/>
      <c r="NS90" s="12"/>
      <c r="NT90" s="12"/>
      <c r="NU90" s="12"/>
      <c r="NV90" s="12"/>
      <c r="NW90" s="12"/>
      <c r="NX90" s="12"/>
      <c r="NY90" s="12"/>
      <c r="NZ90" s="12"/>
      <c r="OA90" s="12"/>
      <c r="OB90" s="12"/>
      <c r="OC90" s="12"/>
      <c r="OD90" s="12"/>
      <c r="OE90" s="12"/>
      <c r="OF90" s="12"/>
      <c r="OG90" s="12"/>
      <c r="OH90" s="12"/>
      <c r="OI90" s="12"/>
      <c r="OJ90" s="12"/>
      <c r="OK90" s="12"/>
      <c r="OL90" s="12"/>
      <c r="OM90" s="12"/>
      <c r="ON90" s="12"/>
      <c r="OO90" s="12"/>
      <c r="OP90" s="12"/>
      <c r="OQ90" s="12"/>
      <c r="OR90" s="12"/>
      <c r="OS90" s="12"/>
      <c r="OT90" s="12"/>
      <c r="OU90" s="12"/>
      <c r="OV90" s="12"/>
      <c r="OW90" s="12"/>
      <c r="OX90" s="12"/>
      <c r="OY90" s="12"/>
      <c r="OZ90" s="12"/>
      <c r="PA90" s="12"/>
      <c r="PB90" s="12"/>
      <c r="PC90" s="12"/>
      <c r="PD90" s="12"/>
      <c r="PE90" s="12"/>
      <c r="PF90" s="12"/>
      <c r="PG90" s="12"/>
      <c r="PH90" s="12"/>
      <c r="PI90" s="12"/>
      <c r="PJ90" s="12"/>
      <c r="PK90" s="12"/>
      <c r="PL90" s="12"/>
      <c r="PM90" s="12"/>
      <c r="PN90" s="12"/>
      <c r="PO90" s="12"/>
      <c r="PP90" s="12"/>
      <c r="PQ90" s="12"/>
      <c r="PR90" s="12"/>
      <c r="PS90" s="12"/>
      <c r="PT90" s="12"/>
      <c r="PU90" s="12"/>
      <c r="PV90" s="12"/>
      <c r="PW90" s="12"/>
      <c r="PX90" s="12"/>
      <c r="PY90" s="12"/>
      <c r="PZ90" s="12"/>
      <c r="QA90" s="12"/>
      <c r="QB90" s="12"/>
      <c r="QC90" s="12"/>
      <c r="QD90" s="12"/>
      <c r="QE90" s="12"/>
      <c r="QF90" s="12"/>
      <c r="QG90" s="12"/>
      <c r="QH90" s="12"/>
      <c r="QI90" s="12"/>
      <c r="QJ90" s="12"/>
      <c r="QK90" s="12"/>
      <c r="QL90" s="12"/>
      <c r="QM90" s="12"/>
      <c r="QN90" s="12"/>
      <c r="QO90" s="12"/>
      <c r="QP90" s="12"/>
      <c r="QQ90" s="12"/>
      <c r="QR90" s="12"/>
      <c r="QS90" s="12"/>
      <c r="QT90" s="12"/>
      <c r="QU90" s="12"/>
      <c r="QV90" s="12"/>
      <c r="QW90" s="12"/>
      <c r="QX90" s="12"/>
      <c r="QY90" s="12"/>
      <c r="QZ90" s="12"/>
      <c r="RA90" s="12"/>
      <c r="RB90" s="12"/>
      <c r="RC90" s="12"/>
      <c r="RD90" s="12"/>
      <c r="RE90" s="12"/>
      <c r="RF90" s="12"/>
      <c r="RG90" s="12"/>
      <c r="RH90" s="12"/>
      <c r="RI90" s="12"/>
      <c r="RJ90" s="12"/>
      <c r="RK90" s="12"/>
      <c r="RL90" s="12"/>
      <c r="RM90" s="12"/>
      <c r="RN90" s="12"/>
      <c r="RO90" s="12"/>
      <c r="RP90" s="12"/>
      <c r="RQ90" s="12"/>
      <c r="RR90" s="12"/>
      <c r="RS90" s="12"/>
      <c r="RT90" s="12"/>
      <c r="RU90" s="12"/>
      <c r="RV90" s="12"/>
      <c r="RW90" s="12"/>
      <c r="RX90" s="12"/>
      <c r="RY90" s="12"/>
      <c r="RZ90" s="12"/>
      <c r="SA90" s="12"/>
      <c r="SB90" s="12"/>
      <c r="SC90" s="12"/>
      <c r="SD90" s="12"/>
    </row>
    <row r="91" spans="1:498" s="10" customFormat="1" hidden="1">
      <c r="A91" s="90"/>
      <c r="B91" s="90" t="s">
        <v>23</v>
      </c>
      <c r="C91" s="90"/>
      <c r="D91" s="90"/>
      <c r="E91" s="163"/>
      <c r="F91" s="113">
        <f>F90*12</f>
        <v>10058.893994999469</v>
      </c>
      <c r="G91" s="113">
        <f>G90*12</f>
        <v>10058.893994999469</v>
      </c>
      <c r="H91" s="113">
        <f t="shared" ref="H91:N91" si="66">H90*12</f>
        <v>10383.876795381673</v>
      </c>
      <c r="I91" s="113">
        <f t="shared" si="66"/>
        <v>10383.876795381673</v>
      </c>
      <c r="J91" s="113">
        <f t="shared" si="66"/>
        <v>10587.842356671219</v>
      </c>
      <c r="K91" s="113">
        <f t="shared" si="66"/>
        <v>10587.842356671219</v>
      </c>
      <c r="L91" s="113">
        <f t="shared" si="66"/>
        <v>10924.909178756743</v>
      </c>
      <c r="M91" s="113">
        <f t="shared" si="66"/>
        <v>10924.909178756743</v>
      </c>
      <c r="N91" s="113">
        <f t="shared" si="66"/>
        <v>11260.989889757739</v>
      </c>
      <c r="O91" s="113">
        <f>O90*12</f>
        <v>11260.989889757739</v>
      </c>
      <c r="P91" s="113">
        <f t="shared" ref="P91:AI91" si="67">P90*12</f>
        <v>11532.973965898454</v>
      </c>
      <c r="Q91" s="113">
        <f t="shared" si="67"/>
        <v>11532.973965898454</v>
      </c>
      <c r="R91" s="113">
        <f t="shared" si="67"/>
        <v>11877.581276656965</v>
      </c>
      <c r="S91" s="113">
        <f t="shared" si="67"/>
        <v>11877.581276656965</v>
      </c>
      <c r="T91" s="113">
        <f t="shared" si="67"/>
        <v>12223.052908146768</v>
      </c>
      <c r="U91" s="113">
        <f t="shared" si="67"/>
        <v>12223.052908146768</v>
      </c>
      <c r="V91" s="113">
        <f t="shared" si="67"/>
        <v>12570.467850066609</v>
      </c>
      <c r="W91" s="113">
        <f t="shared" si="67"/>
        <v>12570.467850066609</v>
      </c>
      <c r="X91" s="113">
        <f t="shared" si="67"/>
        <v>12921.705245697638</v>
      </c>
      <c r="Y91" s="113">
        <f t="shared" si="67"/>
        <v>12921.705245697638</v>
      </c>
      <c r="Z91" s="164">
        <f t="shared" si="67"/>
        <v>13280.050360334282</v>
      </c>
      <c r="AA91" s="164">
        <f t="shared" si="67"/>
        <v>13280.050360334282</v>
      </c>
      <c r="AB91" s="164">
        <f t="shared" si="67"/>
        <v>13651.553673327133</v>
      </c>
      <c r="AC91" s="164">
        <f t="shared" si="67"/>
        <v>13651.553673327133</v>
      </c>
      <c r="AD91" s="164">
        <f t="shared" si="67"/>
        <v>14048.649698163295</v>
      </c>
      <c r="AE91" s="92">
        <f t="shared" si="67"/>
        <v>14048.649698163295</v>
      </c>
      <c r="AF91" s="92">
        <f t="shared" si="67"/>
        <v>14429.937360772834</v>
      </c>
      <c r="AG91" s="92">
        <f t="shared" si="67"/>
        <v>14429.937360772834</v>
      </c>
      <c r="AH91" s="92">
        <f t="shared" si="67"/>
        <v>15146.108756708874</v>
      </c>
      <c r="AI91" s="92">
        <f t="shared" si="67"/>
        <v>16178.802355086194</v>
      </c>
      <c r="AJ91" s="87"/>
      <c r="AK91" s="87"/>
      <c r="AL91" s="87"/>
      <c r="AM91" s="87"/>
      <c r="AN91" s="87"/>
      <c r="AO91" s="87"/>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c r="HS91" s="12"/>
      <c r="HT91" s="12"/>
      <c r="HU91" s="12"/>
      <c r="HV91" s="12"/>
      <c r="HW91" s="12"/>
      <c r="HX91" s="12"/>
      <c r="HY91" s="12"/>
      <c r="HZ91" s="12"/>
      <c r="IA91" s="12"/>
      <c r="IB91" s="12"/>
      <c r="IC91" s="12"/>
      <c r="ID91" s="12"/>
      <c r="IE91" s="12"/>
      <c r="IF91" s="12"/>
      <c r="IG91" s="12"/>
      <c r="IH91" s="12"/>
      <c r="II91" s="12"/>
      <c r="IJ91" s="12"/>
      <c r="IK91" s="12"/>
      <c r="IL91" s="12"/>
      <c r="IM91" s="12"/>
      <c r="IN91" s="12"/>
      <c r="IO91" s="12"/>
      <c r="IP91" s="12"/>
      <c r="IQ91" s="12"/>
      <c r="IR91" s="12"/>
      <c r="IS91" s="12"/>
      <c r="IT91" s="12"/>
      <c r="IU91" s="12"/>
      <c r="IV91" s="12"/>
      <c r="IW91" s="12"/>
      <c r="IX91" s="12"/>
      <c r="IY91" s="12"/>
      <c r="IZ91" s="12"/>
      <c r="JA91" s="12"/>
      <c r="JB91" s="12"/>
      <c r="JC91" s="12"/>
      <c r="JD91" s="12"/>
      <c r="JE91" s="12"/>
      <c r="JF91" s="12"/>
      <c r="JG91" s="12"/>
      <c r="JH91" s="12"/>
      <c r="JI91" s="12"/>
      <c r="JJ91" s="12"/>
      <c r="JK91" s="12"/>
      <c r="JL91" s="12"/>
      <c r="JM91" s="12"/>
      <c r="JN91" s="12"/>
      <c r="JO91" s="12"/>
      <c r="JP91" s="12"/>
      <c r="JQ91" s="12"/>
      <c r="JR91" s="12"/>
      <c r="JS91" s="12"/>
      <c r="JT91" s="12"/>
      <c r="JU91" s="12"/>
      <c r="JV91" s="12"/>
      <c r="JW91" s="12"/>
      <c r="JX91" s="12"/>
      <c r="JY91" s="12"/>
      <c r="JZ91" s="12"/>
      <c r="KA91" s="12"/>
      <c r="KB91" s="12"/>
      <c r="KC91" s="12"/>
      <c r="KD91" s="12"/>
      <c r="KE91" s="12"/>
      <c r="KF91" s="12"/>
      <c r="KG91" s="12"/>
      <c r="KH91" s="12"/>
      <c r="KI91" s="12"/>
      <c r="KJ91" s="12"/>
      <c r="KK91" s="12"/>
      <c r="KL91" s="12"/>
      <c r="KM91" s="12"/>
      <c r="KN91" s="12"/>
      <c r="KO91" s="12"/>
      <c r="KP91" s="12"/>
      <c r="KQ91" s="12"/>
      <c r="KR91" s="12"/>
      <c r="KS91" s="12"/>
      <c r="KT91" s="12"/>
      <c r="KU91" s="12"/>
      <c r="KV91" s="12"/>
      <c r="KW91" s="12"/>
      <c r="KX91" s="12"/>
      <c r="KY91" s="12"/>
      <c r="KZ91" s="12"/>
      <c r="LA91" s="12"/>
      <c r="LB91" s="12"/>
      <c r="LC91" s="12"/>
      <c r="LD91" s="12"/>
      <c r="LE91" s="12"/>
      <c r="LF91" s="12"/>
      <c r="LG91" s="12"/>
      <c r="LH91" s="12"/>
      <c r="LI91" s="12"/>
      <c r="LJ91" s="12"/>
      <c r="LK91" s="12"/>
      <c r="LL91" s="12"/>
      <c r="LM91" s="12"/>
      <c r="LN91" s="12"/>
      <c r="LO91" s="12"/>
      <c r="LP91" s="12"/>
      <c r="LQ91" s="12"/>
      <c r="LR91" s="12"/>
      <c r="LS91" s="12"/>
      <c r="LT91" s="12"/>
      <c r="LU91" s="12"/>
      <c r="LV91" s="12"/>
      <c r="LW91" s="12"/>
      <c r="LX91" s="12"/>
      <c r="LY91" s="12"/>
      <c r="LZ91" s="12"/>
      <c r="MA91" s="12"/>
      <c r="MB91" s="12"/>
      <c r="MC91" s="12"/>
      <c r="MD91" s="12"/>
      <c r="ME91" s="12"/>
      <c r="MF91" s="12"/>
      <c r="MG91" s="12"/>
      <c r="MH91" s="12"/>
      <c r="MI91" s="12"/>
      <c r="MJ91" s="12"/>
      <c r="MK91" s="12"/>
      <c r="ML91" s="12"/>
      <c r="MM91" s="12"/>
      <c r="MN91" s="12"/>
      <c r="MO91" s="12"/>
      <c r="MP91" s="12"/>
      <c r="MQ91" s="12"/>
      <c r="MR91" s="12"/>
      <c r="MS91" s="12"/>
      <c r="MT91" s="12"/>
      <c r="MU91" s="12"/>
      <c r="MV91" s="12"/>
      <c r="MW91" s="12"/>
      <c r="MX91" s="12"/>
      <c r="MY91" s="12"/>
      <c r="MZ91" s="12"/>
      <c r="NA91" s="12"/>
      <c r="NB91" s="12"/>
      <c r="NC91" s="12"/>
      <c r="ND91" s="12"/>
      <c r="NE91" s="12"/>
      <c r="NF91" s="12"/>
      <c r="NG91" s="12"/>
      <c r="NH91" s="12"/>
      <c r="NI91" s="12"/>
      <c r="NJ91" s="12"/>
      <c r="NK91" s="12"/>
      <c r="NL91" s="12"/>
      <c r="NM91" s="12"/>
      <c r="NN91" s="12"/>
      <c r="NO91" s="12"/>
      <c r="NP91" s="12"/>
      <c r="NQ91" s="12"/>
      <c r="NR91" s="12"/>
      <c r="NS91" s="12"/>
      <c r="NT91" s="12"/>
      <c r="NU91" s="12"/>
      <c r="NV91" s="12"/>
      <c r="NW91" s="12"/>
      <c r="NX91" s="12"/>
      <c r="NY91" s="12"/>
      <c r="NZ91" s="12"/>
      <c r="OA91" s="12"/>
      <c r="OB91" s="12"/>
      <c r="OC91" s="12"/>
      <c r="OD91" s="12"/>
      <c r="OE91" s="12"/>
      <c r="OF91" s="12"/>
      <c r="OG91" s="12"/>
      <c r="OH91" s="12"/>
      <c r="OI91" s="12"/>
      <c r="OJ91" s="12"/>
      <c r="OK91" s="12"/>
      <c r="OL91" s="12"/>
      <c r="OM91" s="12"/>
      <c r="ON91" s="12"/>
      <c r="OO91" s="12"/>
      <c r="OP91" s="12"/>
      <c r="OQ91" s="12"/>
      <c r="OR91" s="12"/>
      <c r="OS91" s="12"/>
      <c r="OT91" s="12"/>
      <c r="OU91" s="12"/>
      <c r="OV91" s="12"/>
      <c r="OW91" s="12"/>
      <c r="OX91" s="12"/>
      <c r="OY91" s="12"/>
      <c r="OZ91" s="12"/>
      <c r="PA91" s="12"/>
      <c r="PB91" s="12"/>
      <c r="PC91" s="12"/>
      <c r="PD91" s="12"/>
      <c r="PE91" s="12"/>
      <c r="PF91" s="12"/>
      <c r="PG91" s="12"/>
      <c r="PH91" s="12"/>
      <c r="PI91" s="12"/>
      <c r="PJ91" s="12"/>
      <c r="PK91" s="12"/>
      <c r="PL91" s="12"/>
      <c r="PM91" s="12"/>
      <c r="PN91" s="12"/>
      <c r="PO91" s="12"/>
      <c r="PP91" s="12"/>
      <c r="PQ91" s="12"/>
      <c r="PR91" s="12"/>
      <c r="PS91" s="12"/>
      <c r="PT91" s="12"/>
      <c r="PU91" s="12"/>
      <c r="PV91" s="12"/>
      <c r="PW91" s="12"/>
      <c r="PX91" s="12"/>
      <c r="PY91" s="12"/>
      <c r="PZ91" s="12"/>
      <c r="QA91" s="12"/>
      <c r="QB91" s="12"/>
      <c r="QC91" s="12"/>
      <c r="QD91" s="12"/>
      <c r="QE91" s="12"/>
      <c r="QF91" s="12"/>
      <c r="QG91" s="12"/>
      <c r="QH91" s="12"/>
      <c r="QI91" s="12"/>
      <c r="QJ91" s="12"/>
      <c r="QK91" s="12"/>
      <c r="QL91" s="12"/>
      <c r="QM91" s="12"/>
      <c r="QN91" s="12"/>
      <c r="QO91" s="12"/>
      <c r="QP91" s="12"/>
      <c r="QQ91" s="12"/>
      <c r="QR91" s="12"/>
      <c r="QS91" s="12"/>
      <c r="QT91" s="12"/>
      <c r="QU91" s="12"/>
      <c r="QV91" s="12"/>
      <c r="QW91" s="12"/>
      <c r="QX91" s="12"/>
      <c r="QY91" s="12"/>
      <c r="QZ91" s="12"/>
      <c r="RA91" s="12"/>
      <c r="RB91" s="12"/>
      <c r="RC91" s="12"/>
      <c r="RD91" s="12"/>
      <c r="RE91" s="12"/>
      <c r="RF91" s="12"/>
      <c r="RG91" s="12"/>
      <c r="RH91" s="12"/>
      <c r="RI91" s="12"/>
      <c r="RJ91" s="12"/>
      <c r="RK91" s="12"/>
      <c r="RL91" s="12"/>
      <c r="RM91" s="12"/>
      <c r="RN91" s="12"/>
      <c r="RO91" s="12"/>
      <c r="RP91" s="12"/>
      <c r="RQ91" s="12"/>
      <c r="RR91" s="12"/>
      <c r="RS91" s="12"/>
      <c r="RT91" s="12"/>
      <c r="RU91" s="12"/>
      <c r="RV91" s="12"/>
      <c r="RW91" s="12"/>
      <c r="RX91" s="12"/>
      <c r="RY91" s="12"/>
      <c r="RZ91" s="12"/>
      <c r="SA91" s="12"/>
      <c r="SB91" s="12"/>
      <c r="SC91" s="12"/>
      <c r="SD91" s="12"/>
    </row>
    <row r="92" spans="1:498" s="10" customFormat="1" hidden="1">
      <c r="A92" s="90"/>
      <c r="B92" s="90" t="s">
        <v>14</v>
      </c>
      <c r="C92" s="90"/>
      <c r="D92" s="90"/>
      <c r="E92" s="163"/>
      <c r="F92" s="113">
        <f>$C$10*$C$11</f>
        <v>9968.75</v>
      </c>
      <c r="G92" s="113">
        <f t="shared" ref="G92:P92" si="68">IF(G90=0,0,F94*$C$11)</f>
        <v>9962.5526003437881</v>
      </c>
      <c r="H92" s="113">
        <f t="shared" si="68"/>
        <v>9955.9291294612103</v>
      </c>
      <c r="I92" s="113">
        <f t="shared" si="68"/>
        <v>9926.5077274291798</v>
      </c>
      <c r="J92" s="113">
        <f t="shared" si="68"/>
        <v>9895.0636040074442</v>
      </c>
      <c r="K92" s="113">
        <f t="shared" si="68"/>
        <v>9847.4350647618103</v>
      </c>
      <c r="L92" s="113">
        <f t="shared" si="68"/>
        <v>9796.5320634430373</v>
      </c>
      <c r="M92" s="113">
        <f t="shared" si="68"/>
        <v>9718.9561367652186</v>
      </c>
      <c r="N92" s="113">
        <f t="shared" si="68"/>
        <v>9636.0468651283027</v>
      </c>
      <c r="O92" s="113">
        <f t="shared" si="68"/>
        <v>9524.3320321850279</v>
      </c>
      <c r="P92" s="113">
        <f t="shared" si="68"/>
        <v>9404.9368044769035</v>
      </c>
      <c r="Q92" s="113">
        <f>IF(Q90=0,0,P94*$C$11)</f>
        <v>9258.6342496291727</v>
      </c>
      <c r="R92" s="113">
        <f>IF(R90=0,0,Q94*$C$11)</f>
        <v>9102.2733941356582</v>
      </c>
      <c r="S92" s="113">
        <f t="shared" ref="S92:AI92" si="69">IF(S90=0,0,R94*$C$11)</f>
        <v>8911.4709772123188</v>
      </c>
      <c r="T92" s="113">
        <f t="shared" si="69"/>
        <v>8707.5508941255011</v>
      </c>
      <c r="U92" s="113">
        <f t="shared" si="69"/>
        <v>8465.8601306615383</v>
      </c>
      <c r="V92" s="113">
        <f t="shared" si="69"/>
        <v>8207.5531272094286</v>
      </c>
      <c r="W92" s="113">
        <f t="shared" si="69"/>
        <v>7907.6027400129969</v>
      </c>
      <c r="X92" s="113">
        <f t="shared" si="69"/>
        <v>7587.0307636968109</v>
      </c>
      <c r="Y92" s="113">
        <f t="shared" si="69"/>
        <v>7220.2718930592537</v>
      </c>
      <c r="Z92" s="113">
        <f t="shared" si="69"/>
        <v>6828.2983500653645</v>
      </c>
      <c r="AA92" s="113">
        <f t="shared" si="69"/>
        <v>6384.7403993593771</v>
      </c>
      <c r="AB92" s="113">
        <f t="shared" si="69"/>
        <v>5910.6878395423519</v>
      </c>
      <c r="AC92" s="113">
        <f t="shared" si="69"/>
        <v>5378.5033134696487</v>
      </c>
      <c r="AD92" s="113">
        <f t="shared" si="69"/>
        <v>4809.7311012294467</v>
      </c>
      <c r="AE92" s="103">
        <f t="shared" si="69"/>
        <v>4174.5554476902444</v>
      </c>
      <c r="AF92" s="103">
        <f t="shared" si="69"/>
        <v>3495.7114679702217</v>
      </c>
      <c r="AG92" s="103">
        <f t="shared" si="69"/>
        <v>2743.9834378400419</v>
      </c>
      <c r="AH92" s="103">
        <f t="shared" si="69"/>
        <v>1940.5741056384122</v>
      </c>
      <c r="AI92" s="103">
        <f t="shared" si="69"/>
        <v>1032.693598377318</v>
      </c>
      <c r="AJ92" s="87"/>
      <c r="AK92" s="87"/>
      <c r="AL92" s="87"/>
      <c r="AM92" s="87"/>
      <c r="AN92" s="87"/>
      <c r="AO92" s="87"/>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c r="HS92" s="12"/>
      <c r="HT92" s="12"/>
      <c r="HU92" s="12"/>
      <c r="HV92" s="12"/>
      <c r="HW92" s="12"/>
      <c r="HX92" s="12"/>
      <c r="HY92" s="12"/>
      <c r="HZ92" s="12"/>
      <c r="IA92" s="12"/>
      <c r="IB92" s="12"/>
      <c r="IC92" s="12"/>
      <c r="ID92" s="12"/>
      <c r="IE92" s="12"/>
      <c r="IF92" s="12"/>
      <c r="IG92" s="12"/>
      <c r="IH92" s="12"/>
      <c r="II92" s="12"/>
      <c r="IJ92" s="12"/>
      <c r="IK92" s="12"/>
      <c r="IL92" s="12"/>
      <c r="IM92" s="12"/>
      <c r="IN92" s="12"/>
      <c r="IO92" s="12"/>
      <c r="IP92" s="12"/>
      <c r="IQ92" s="12"/>
      <c r="IR92" s="12"/>
      <c r="IS92" s="12"/>
      <c r="IT92" s="12"/>
      <c r="IU92" s="12"/>
      <c r="IV92" s="12"/>
      <c r="IW92" s="12"/>
      <c r="IX92" s="12"/>
      <c r="IY92" s="12"/>
      <c r="IZ92" s="12"/>
      <c r="JA92" s="12"/>
      <c r="JB92" s="12"/>
      <c r="JC92" s="12"/>
      <c r="JD92" s="12"/>
      <c r="JE92" s="12"/>
      <c r="JF92" s="12"/>
      <c r="JG92" s="12"/>
      <c r="JH92" s="12"/>
      <c r="JI92" s="12"/>
      <c r="JJ92" s="12"/>
      <c r="JK92" s="12"/>
      <c r="JL92" s="12"/>
      <c r="JM92" s="12"/>
      <c r="JN92" s="12"/>
      <c r="JO92" s="12"/>
      <c r="JP92" s="12"/>
      <c r="JQ92" s="12"/>
      <c r="JR92" s="12"/>
      <c r="JS92" s="12"/>
      <c r="JT92" s="12"/>
      <c r="JU92" s="12"/>
      <c r="JV92" s="12"/>
      <c r="JW92" s="12"/>
      <c r="JX92" s="12"/>
      <c r="JY92" s="12"/>
      <c r="JZ92" s="12"/>
      <c r="KA92" s="12"/>
      <c r="KB92" s="12"/>
      <c r="KC92" s="12"/>
      <c r="KD92" s="12"/>
      <c r="KE92" s="12"/>
      <c r="KF92" s="12"/>
      <c r="KG92" s="12"/>
      <c r="KH92" s="12"/>
      <c r="KI92" s="12"/>
      <c r="KJ92" s="12"/>
      <c r="KK92" s="12"/>
      <c r="KL92" s="12"/>
      <c r="KM92" s="12"/>
      <c r="KN92" s="12"/>
      <c r="KO92" s="12"/>
      <c r="KP92" s="12"/>
      <c r="KQ92" s="12"/>
      <c r="KR92" s="12"/>
      <c r="KS92" s="12"/>
      <c r="KT92" s="12"/>
      <c r="KU92" s="12"/>
      <c r="KV92" s="12"/>
      <c r="KW92" s="12"/>
      <c r="KX92" s="12"/>
      <c r="KY92" s="12"/>
      <c r="KZ92" s="12"/>
      <c r="LA92" s="12"/>
      <c r="LB92" s="12"/>
      <c r="LC92" s="12"/>
      <c r="LD92" s="12"/>
      <c r="LE92" s="12"/>
      <c r="LF92" s="12"/>
      <c r="LG92" s="12"/>
      <c r="LH92" s="12"/>
      <c r="LI92" s="12"/>
      <c r="LJ92" s="12"/>
      <c r="LK92" s="12"/>
      <c r="LL92" s="12"/>
      <c r="LM92" s="12"/>
      <c r="LN92" s="12"/>
      <c r="LO92" s="12"/>
      <c r="LP92" s="12"/>
      <c r="LQ92" s="12"/>
      <c r="LR92" s="12"/>
      <c r="LS92" s="12"/>
      <c r="LT92" s="12"/>
      <c r="LU92" s="12"/>
      <c r="LV92" s="12"/>
      <c r="LW92" s="12"/>
      <c r="LX92" s="12"/>
      <c r="LY92" s="12"/>
      <c r="LZ92" s="12"/>
      <c r="MA92" s="12"/>
      <c r="MB92" s="12"/>
      <c r="MC92" s="12"/>
      <c r="MD92" s="12"/>
      <c r="ME92" s="12"/>
      <c r="MF92" s="12"/>
      <c r="MG92" s="12"/>
      <c r="MH92" s="12"/>
      <c r="MI92" s="12"/>
      <c r="MJ92" s="12"/>
      <c r="MK92" s="12"/>
      <c r="ML92" s="12"/>
      <c r="MM92" s="12"/>
      <c r="MN92" s="12"/>
      <c r="MO92" s="12"/>
      <c r="MP92" s="12"/>
      <c r="MQ92" s="12"/>
      <c r="MR92" s="12"/>
      <c r="MS92" s="12"/>
      <c r="MT92" s="12"/>
      <c r="MU92" s="12"/>
      <c r="MV92" s="12"/>
      <c r="MW92" s="12"/>
      <c r="MX92" s="12"/>
      <c r="MY92" s="12"/>
      <c r="MZ92" s="12"/>
      <c r="NA92" s="12"/>
      <c r="NB92" s="12"/>
      <c r="NC92" s="12"/>
      <c r="ND92" s="12"/>
      <c r="NE92" s="12"/>
      <c r="NF92" s="12"/>
      <c r="NG92" s="12"/>
      <c r="NH92" s="12"/>
      <c r="NI92" s="12"/>
      <c r="NJ92" s="12"/>
      <c r="NK92" s="12"/>
      <c r="NL92" s="12"/>
      <c r="NM92" s="12"/>
      <c r="NN92" s="12"/>
      <c r="NO92" s="12"/>
      <c r="NP92" s="12"/>
      <c r="NQ92" s="12"/>
      <c r="NR92" s="12"/>
      <c r="NS92" s="12"/>
      <c r="NT92" s="12"/>
      <c r="NU92" s="12"/>
      <c r="NV92" s="12"/>
      <c r="NW92" s="12"/>
      <c r="NX92" s="12"/>
      <c r="NY92" s="12"/>
      <c r="NZ92" s="12"/>
      <c r="OA92" s="12"/>
      <c r="OB92" s="12"/>
      <c r="OC92" s="12"/>
      <c r="OD92" s="12"/>
      <c r="OE92" s="12"/>
      <c r="OF92" s="12"/>
      <c r="OG92" s="12"/>
      <c r="OH92" s="12"/>
      <c r="OI92" s="12"/>
      <c r="OJ92" s="12"/>
      <c r="OK92" s="12"/>
      <c r="OL92" s="12"/>
      <c r="OM92" s="12"/>
      <c r="ON92" s="12"/>
      <c r="OO92" s="12"/>
      <c r="OP92" s="12"/>
      <c r="OQ92" s="12"/>
      <c r="OR92" s="12"/>
      <c r="OS92" s="12"/>
      <c r="OT92" s="12"/>
      <c r="OU92" s="12"/>
      <c r="OV92" s="12"/>
      <c r="OW92" s="12"/>
      <c r="OX92" s="12"/>
      <c r="OY92" s="12"/>
      <c r="OZ92" s="12"/>
      <c r="PA92" s="12"/>
      <c r="PB92" s="12"/>
      <c r="PC92" s="12"/>
      <c r="PD92" s="12"/>
      <c r="PE92" s="12"/>
      <c r="PF92" s="12"/>
      <c r="PG92" s="12"/>
      <c r="PH92" s="12"/>
      <c r="PI92" s="12"/>
      <c r="PJ92" s="12"/>
      <c r="PK92" s="12"/>
      <c r="PL92" s="12"/>
      <c r="PM92" s="12"/>
      <c r="PN92" s="12"/>
      <c r="PO92" s="12"/>
      <c r="PP92" s="12"/>
      <c r="PQ92" s="12"/>
      <c r="PR92" s="12"/>
      <c r="PS92" s="12"/>
      <c r="PT92" s="12"/>
      <c r="PU92" s="12"/>
      <c r="PV92" s="12"/>
      <c r="PW92" s="12"/>
      <c r="PX92" s="12"/>
      <c r="PY92" s="12"/>
      <c r="PZ92" s="12"/>
      <c r="QA92" s="12"/>
      <c r="QB92" s="12"/>
      <c r="QC92" s="12"/>
      <c r="QD92" s="12"/>
      <c r="QE92" s="12"/>
      <c r="QF92" s="12"/>
      <c r="QG92" s="12"/>
      <c r="QH92" s="12"/>
      <c r="QI92" s="12"/>
      <c r="QJ92" s="12"/>
      <c r="QK92" s="12"/>
      <c r="QL92" s="12"/>
      <c r="QM92" s="12"/>
      <c r="QN92" s="12"/>
      <c r="QO92" s="12"/>
      <c r="QP92" s="12"/>
      <c r="QQ92" s="12"/>
      <c r="QR92" s="12"/>
      <c r="QS92" s="12"/>
      <c r="QT92" s="12"/>
      <c r="QU92" s="12"/>
      <c r="QV92" s="12"/>
      <c r="QW92" s="12"/>
      <c r="QX92" s="12"/>
      <c r="QY92" s="12"/>
      <c r="QZ92" s="12"/>
      <c r="RA92" s="12"/>
      <c r="RB92" s="12"/>
      <c r="RC92" s="12"/>
      <c r="RD92" s="12"/>
      <c r="RE92" s="12"/>
      <c r="RF92" s="12"/>
      <c r="RG92" s="12"/>
      <c r="RH92" s="12"/>
      <c r="RI92" s="12"/>
      <c r="RJ92" s="12"/>
      <c r="RK92" s="12"/>
      <c r="RL92" s="12"/>
      <c r="RM92" s="12"/>
      <c r="RN92" s="12"/>
      <c r="RO92" s="12"/>
      <c r="RP92" s="12"/>
      <c r="RQ92" s="12"/>
      <c r="RR92" s="12"/>
      <c r="RS92" s="12"/>
      <c r="RT92" s="12"/>
      <c r="RU92" s="12"/>
      <c r="RV92" s="12"/>
      <c r="RW92" s="12"/>
      <c r="RX92" s="12"/>
      <c r="RY92" s="12"/>
      <c r="RZ92" s="12"/>
      <c r="SA92" s="12"/>
      <c r="SB92" s="12"/>
      <c r="SC92" s="12"/>
      <c r="SD92" s="12"/>
    </row>
    <row r="93" spans="1:498" s="10" customFormat="1" hidden="1">
      <c r="A93" s="90"/>
      <c r="B93" s="90" t="s">
        <v>22</v>
      </c>
      <c r="C93" s="90"/>
      <c r="D93" s="90"/>
      <c r="E93" s="163"/>
      <c r="F93" s="113">
        <f>F91-F92</f>
        <v>90.143994999469214</v>
      </c>
      <c r="G93" s="113">
        <f>G91-G92</f>
        <v>96.341394655681142</v>
      </c>
      <c r="H93" s="113">
        <f t="shared" ref="H93:N93" si="70">H91-H92</f>
        <v>427.9476659204629</v>
      </c>
      <c r="I93" s="113">
        <f t="shared" si="70"/>
        <v>457.36906795249342</v>
      </c>
      <c r="J93" s="113">
        <f t="shared" si="70"/>
        <v>692.77875266377487</v>
      </c>
      <c r="K93" s="113">
        <f t="shared" si="70"/>
        <v>740.40729190940874</v>
      </c>
      <c r="L93" s="113">
        <f t="shared" si="70"/>
        <v>1128.3771153137059</v>
      </c>
      <c r="M93" s="113">
        <f t="shared" si="70"/>
        <v>1205.9530419915245</v>
      </c>
      <c r="N93" s="113">
        <f t="shared" si="70"/>
        <v>1624.943024629436</v>
      </c>
      <c r="O93" s="113">
        <f>O91-O92</f>
        <v>1736.6578575727108</v>
      </c>
      <c r="P93" s="113">
        <f t="shared" ref="P93:AI93" si="71">P91-P92</f>
        <v>2128.037161421551</v>
      </c>
      <c r="Q93" s="113">
        <f t="shared" si="71"/>
        <v>2274.3397162692818</v>
      </c>
      <c r="R93" s="113">
        <f t="shared" si="71"/>
        <v>2775.307882521307</v>
      </c>
      <c r="S93" s="113">
        <f t="shared" si="71"/>
        <v>2966.1102994446464</v>
      </c>
      <c r="T93" s="113">
        <f t="shared" si="71"/>
        <v>3515.5020140212673</v>
      </c>
      <c r="U93" s="113">
        <f t="shared" si="71"/>
        <v>3757.1927774852302</v>
      </c>
      <c r="V93" s="113">
        <f t="shared" si="71"/>
        <v>4362.9147228571801</v>
      </c>
      <c r="W93" s="113">
        <f t="shared" si="71"/>
        <v>4662.8651100536117</v>
      </c>
      <c r="X93" s="113">
        <f t="shared" si="71"/>
        <v>5334.6744820008271</v>
      </c>
      <c r="Y93" s="113">
        <f t="shared" si="71"/>
        <v>5701.4333526383843</v>
      </c>
      <c r="Z93" s="113">
        <f t="shared" si="71"/>
        <v>6451.7520102689177</v>
      </c>
      <c r="AA93" s="113">
        <f t="shared" si="71"/>
        <v>6895.3099609749052</v>
      </c>
      <c r="AB93" s="113">
        <f t="shared" si="71"/>
        <v>7740.865833784781</v>
      </c>
      <c r="AC93" s="113">
        <f t="shared" si="71"/>
        <v>8273.0503598574833</v>
      </c>
      <c r="AD93" s="113">
        <f t="shared" si="71"/>
        <v>9238.9185969338487</v>
      </c>
      <c r="AE93" s="103">
        <f t="shared" si="71"/>
        <v>9874.0942504730519</v>
      </c>
      <c r="AF93" s="103">
        <f t="shared" si="71"/>
        <v>10934.225892802613</v>
      </c>
      <c r="AG93" s="103">
        <f t="shared" si="71"/>
        <v>11685.953922932793</v>
      </c>
      <c r="AH93" s="103">
        <f t="shared" si="71"/>
        <v>13205.534651070462</v>
      </c>
      <c r="AI93" s="103">
        <f t="shared" si="71"/>
        <v>15146.108756708876</v>
      </c>
      <c r="AJ93" s="87"/>
      <c r="AK93" s="87"/>
      <c r="AL93" s="87"/>
      <c r="AM93" s="87"/>
      <c r="AN93" s="87"/>
      <c r="AO93" s="87"/>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c r="HM93" s="12"/>
      <c r="HN93" s="12"/>
      <c r="HO93" s="12"/>
      <c r="HP93" s="12"/>
      <c r="HQ93" s="12"/>
      <c r="HR93" s="12"/>
      <c r="HS93" s="12"/>
      <c r="HT93" s="12"/>
      <c r="HU93" s="12"/>
      <c r="HV93" s="12"/>
      <c r="HW93" s="12"/>
      <c r="HX93" s="12"/>
      <c r="HY93" s="12"/>
      <c r="HZ93" s="12"/>
      <c r="IA93" s="12"/>
      <c r="IB93" s="12"/>
      <c r="IC93" s="12"/>
      <c r="ID93" s="12"/>
      <c r="IE93" s="12"/>
      <c r="IF93" s="12"/>
      <c r="IG93" s="12"/>
      <c r="IH93" s="12"/>
      <c r="II93" s="12"/>
      <c r="IJ93" s="12"/>
      <c r="IK93" s="12"/>
      <c r="IL93" s="12"/>
      <c r="IM93" s="12"/>
      <c r="IN93" s="12"/>
      <c r="IO93" s="12"/>
      <c r="IP93" s="12"/>
      <c r="IQ93" s="12"/>
      <c r="IR93" s="12"/>
      <c r="IS93" s="12"/>
      <c r="IT93" s="12"/>
      <c r="IU93" s="12"/>
      <c r="IV93" s="12"/>
      <c r="IW93" s="12"/>
      <c r="IX93" s="12"/>
      <c r="IY93" s="12"/>
      <c r="IZ93" s="12"/>
      <c r="JA93" s="12"/>
      <c r="JB93" s="12"/>
      <c r="JC93" s="12"/>
      <c r="JD93" s="12"/>
      <c r="JE93" s="12"/>
      <c r="JF93" s="12"/>
      <c r="JG93" s="12"/>
      <c r="JH93" s="12"/>
      <c r="JI93" s="12"/>
      <c r="JJ93" s="12"/>
      <c r="JK93" s="12"/>
      <c r="JL93" s="12"/>
      <c r="JM93" s="12"/>
      <c r="JN93" s="12"/>
      <c r="JO93" s="12"/>
      <c r="JP93" s="12"/>
      <c r="JQ93" s="12"/>
      <c r="JR93" s="12"/>
      <c r="JS93" s="12"/>
      <c r="JT93" s="12"/>
      <c r="JU93" s="12"/>
      <c r="JV93" s="12"/>
      <c r="JW93" s="12"/>
      <c r="JX93" s="12"/>
      <c r="JY93" s="12"/>
      <c r="JZ93" s="12"/>
      <c r="KA93" s="12"/>
      <c r="KB93" s="12"/>
      <c r="KC93" s="12"/>
      <c r="KD93" s="12"/>
      <c r="KE93" s="12"/>
      <c r="KF93" s="12"/>
      <c r="KG93" s="12"/>
      <c r="KH93" s="12"/>
      <c r="KI93" s="12"/>
      <c r="KJ93" s="12"/>
      <c r="KK93" s="12"/>
      <c r="KL93" s="12"/>
      <c r="KM93" s="12"/>
      <c r="KN93" s="12"/>
      <c r="KO93" s="12"/>
      <c r="KP93" s="12"/>
      <c r="KQ93" s="12"/>
      <c r="KR93" s="12"/>
      <c r="KS93" s="12"/>
      <c r="KT93" s="12"/>
      <c r="KU93" s="12"/>
      <c r="KV93" s="12"/>
      <c r="KW93" s="12"/>
      <c r="KX93" s="12"/>
      <c r="KY93" s="12"/>
      <c r="KZ93" s="12"/>
      <c r="LA93" s="12"/>
      <c r="LB93" s="12"/>
      <c r="LC93" s="12"/>
      <c r="LD93" s="12"/>
      <c r="LE93" s="12"/>
      <c r="LF93" s="12"/>
      <c r="LG93" s="12"/>
      <c r="LH93" s="12"/>
      <c r="LI93" s="12"/>
      <c r="LJ93" s="12"/>
      <c r="LK93" s="12"/>
      <c r="LL93" s="12"/>
      <c r="LM93" s="12"/>
      <c r="LN93" s="12"/>
      <c r="LO93" s="12"/>
      <c r="LP93" s="12"/>
      <c r="LQ93" s="12"/>
      <c r="LR93" s="12"/>
      <c r="LS93" s="12"/>
      <c r="LT93" s="12"/>
      <c r="LU93" s="12"/>
      <c r="LV93" s="12"/>
      <c r="LW93" s="12"/>
      <c r="LX93" s="12"/>
      <c r="LY93" s="12"/>
      <c r="LZ93" s="12"/>
      <c r="MA93" s="12"/>
      <c r="MB93" s="12"/>
      <c r="MC93" s="12"/>
      <c r="MD93" s="12"/>
      <c r="ME93" s="12"/>
      <c r="MF93" s="12"/>
      <c r="MG93" s="12"/>
      <c r="MH93" s="12"/>
      <c r="MI93" s="12"/>
      <c r="MJ93" s="12"/>
      <c r="MK93" s="12"/>
      <c r="ML93" s="12"/>
      <c r="MM93" s="12"/>
      <c r="MN93" s="12"/>
      <c r="MO93" s="12"/>
      <c r="MP93" s="12"/>
      <c r="MQ93" s="12"/>
      <c r="MR93" s="12"/>
      <c r="MS93" s="12"/>
      <c r="MT93" s="12"/>
      <c r="MU93" s="12"/>
      <c r="MV93" s="12"/>
      <c r="MW93" s="12"/>
      <c r="MX93" s="12"/>
      <c r="MY93" s="12"/>
      <c r="MZ93" s="12"/>
      <c r="NA93" s="12"/>
      <c r="NB93" s="12"/>
      <c r="NC93" s="12"/>
      <c r="ND93" s="12"/>
      <c r="NE93" s="12"/>
      <c r="NF93" s="12"/>
      <c r="NG93" s="12"/>
      <c r="NH93" s="12"/>
      <c r="NI93" s="12"/>
      <c r="NJ93" s="12"/>
      <c r="NK93" s="12"/>
      <c r="NL93" s="12"/>
      <c r="NM93" s="12"/>
      <c r="NN93" s="12"/>
      <c r="NO93" s="12"/>
      <c r="NP93" s="12"/>
      <c r="NQ93" s="12"/>
      <c r="NR93" s="12"/>
      <c r="NS93" s="12"/>
      <c r="NT93" s="12"/>
      <c r="NU93" s="12"/>
      <c r="NV93" s="12"/>
      <c r="NW93" s="12"/>
      <c r="NX93" s="12"/>
      <c r="NY93" s="12"/>
      <c r="NZ93" s="12"/>
      <c r="OA93" s="12"/>
      <c r="OB93" s="12"/>
      <c r="OC93" s="12"/>
      <c r="OD93" s="12"/>
      <c r="OE93" s="12"/>
      <c r="OF93" s="12"/>
      <c r="OG93" s="12"/>
      <c r="OH93" s="12"/>
      <c r="OI93" s="12"/>
      <c r="OJ93" s="12"/>
      <c r="OK93" s="12"/>
      <c r="OL93" s="12"/>
      <c r="OM93" s="12"/>
      <c r="ON93" s="12"/>
      <c r="OO93" s="12"/>
      <c r="OP93" s="12"/>
      <c r="OQ93" s="12"/>
      <c r="OR93" s="12"/>
      <c r="OS93" s="12"/>
      <c r="OT93" s="12"/>
      <c r="OU93" s="12"/>
      <c r="OV93" s="12"/>
      <c r="OW93" s="12"/>
      <c r="OX93" s="12"/>
      <c r="OY93" s="12"/>
      <c r="OZ93" s="12"/>
      <c r="PA93" s="12"/>
      <c r="PB93" s="12"/>
      <c r="PC93" s="12"/>
      <c r="PD93" s="12"/>
      <c r="PE93" s="12"/>
      <c r="PF93" s="12"/>
      <c r="PG93" s="12"/>
      <c r="PH93" s="12"/>
      <c r="PI93" s="12"/>
      <c r="PJ93" s="12"/>
      <c r="PK93" s="12"/>
      <c r="PL93" s="12"/>
      <c r="PM93" s="12"/>
      <c r="PN93" s="12"/>
      <c r="PO93" s="12"/>
      <c r="PP93" s="12"/>
      <c r="PQ93" s="12"/>
      <c r="PR93" s="12"/>
      <c r="PS93" s="12"/>
      <c r="PT93" s="12"/>
      <c r="PU93" s="12"/>
      <c r="PV93" s="12"/>
      <c r="PW93" s="12"/>
      <c r="PX93" s="12"/>
      <c r="PY93" s="12"/>
      <c r="PZ93" s="12"/>
      <c r="QA93" s="12"/>
      <c r="QB93" s="12"/>
      <c r="QC93" s="12"/>
      <c r="QD93" s="12"/>
      <c r="QE93" s="12"/>
      <c r="QF93" s="12"/>
      <c r="QG93" s="12"/>
      <c r="QH93" s="12"/>
      <c r="QI93" s="12"/>
      <c r="QJ93" s="12"/>
      <c r="QK93" s="12"/>
      <c r="QL93" s="12"/>
      <c r="QM93" s="12"/>
      <c r="QN93" s="12"/>
      <c r="QO93" s="12"/>
      <c r="QP93" s="12"/>
      <c r="QQ93" s="12"/>
      <c r="QR93" s="12"/>
      <c r="QS93" s="12"/>
      <c r="QT93" s="12"/>
      <c r="QU93" s="12"/>
      <c r="QV93" s="12"/>
      <c r="QW93" s="12"/>
      <c r="QX93" s="12"/>
      <c r="QY93" s="12"/>
      <c r="QZ93" s="12"/>
      <c r="RA93" s="12"/>
      <c r="RB93" s="12"/>
      <c r="RC93" s="12"/>
      <c r="RD93" s="12"/>
      <c r="RE93" s="12"/>
      <c r="RF93" s="12"/>
      <c r="RG93" s="12"/>
      <c r="RH93" s="12"/>
      <c r="RI93" s="12"/>
      <c r="RJ93" s="12"/>
      <c r="RK93" s="12"/>
      <c r="RL93" s="12"/>
      <c r="RM93" s="12"/>
      <c r="RN93" s="12"/>
      <c r="RO93" s="12"/>
      <c r="RP93" s="12"/>
      <c r="RQ93" s="12"/>
      <c r="RR93" s="12"/>
      <c r="RS93" s="12"/>
      <c r="RT93" s="12"/>
      <c r="RU93" s="12"/>
      <c r="RV93" s="12"/>
      <c r="RW93" s="12"/>
      <c r="RX93" s="12"/>
      <c r="RY93" s="12"/>
      <c r="RZ93" s="12"/>
      <c r="SA93" s="12"/>
      <c r="SB93" s="12"/>
      <c r="SC93" s="12"/>
      <c r="SD93" s="12"/>
    </row>
    <row r="94" spans="1:498" s="10" customFormat="1" hidden="1">
      <c r="A94" s="90"/>
      <c r="B94" s="90" t="s">
        <v>16</v>
      </c>
      <c r="C94" s="90"/>
      <c r="D94" s="90"/>
      <c r="E94" s="163"/>
      <c r="F94" s="113">
        <f>$C$10-F93</f>
        <v>144909.85600500053</v>
      </c>
      <c r="G94" s="113">
        <f t="shared" ref="G94:Q94" si="72">IF(G90=0,0,F94-G93)</f>
        <v>144813.51461034486</v>
      </c>
      <c r="H94" s="113">
        <f t="shared" si="72"/>
        <v>144385.56694442441</v>
      </c>
      <c r="I94" s="113">
        <f t="shared" si="72"/>
        <v>143928.19787647191</v>
      </c>
      <c r="J94" s="113">
        <f t="shared" si="72"/>
        <v>143235.41912380813</v>
      </c>
      <c r="K94" s="113">
        <f t="shared" si="72"/>
        <v>142495.01183189871</v>
      </c>
      <c r="L94" s="113">
        <f t="shared" si="72"/>
        <v>141366.63471658499</v>
      </c>
      <c r="M94" s="113">
        <f t="shared" si="72"/>
        <v>140160.68167459348</v>
      </c>
      <c r="N94" s="113">
        <f t="shared" si="72"/>
        <v>138535.73864996404</v>
      </c>
      <c r="O94" s="113">
        <f t="shared" si="72"/>
        <v>136799.08079239132</v>
      </c>
      <c r="P94" s="113">
        <f t="shared" si="72"/>
        <v>134671.04363096977</v>
      </c>
      <c r="Q94" s="113">
        <f t="shared" si="72"/>
        <v>132396.70391470048</v>
      </c>
      <c r="R94" s="113">
        <f>IF(R90=0,0,Q94-R93)</f>
        <v>129621.39603217918</v>
      </c>
      <c r="S94" s="113">
        <f t="shared" ref="S94:AI94" si="73">IF(S90=0,0,R94-S93)</f>
        <v>126655.28573273454</v>
      </c>
      <c r="T94" s="113">
        <f t="shared" si="73"/>
        <v>123139.78371871327</v>
      </c>
      <c r="U94" s="113">
        <f t="shared" si="73"/>
        <v>119382.59094122803</v>
      </c>
      <c r="V94" s="113">
        <f t="shared" si="73"/>
        <v>115019.67621837085</v>
      </c>
      <c r="W94" s="113">
        <f t="shared" si="73"/>
        <v>110356.81110831724</v>
      </c>
      <c r="X94" s="113">
        <f t="shared" si="73"/>
        <v>105022.13662631641</v>
      </c>
      <c r="Y94" s="113">
        <f t="shared" si="73"/>
        <v>99320.703273678024</v>
      </c>
      <c r="Z94" s="113">
        <f t="shared" si="73"/>
        <v>92868.951263409108</v>
      </c>
      <c r="AA94" s="113">
        <f t="shared" si="73"/>
        <v>85973.641302434204</v>
      </c>
      <c r="AB94" s="113">
        <f t="shared" si="73"/>
        <v>78232.77546864943</v>
      </c>
      <c r="AC94" s="113">
        <f t="shared" si="73"/>
        <v>69959.725108791943</v>
      </c>
      <c r="AD94" s="113">
        <f t="shared" si="73"/>
        <v>60720.806511858093</v>
      </c>
      <c r="AE94" s="103">
        <f t="shared" si="73"/>
        <v>50846.712261385037</v>
      </c>
      <c r="AF94" s="103">
        <f t="shared" si="73"/>
        <v>39912.486368582424</v>
      </c>
      <c r="AG94" s="103">
        <f t="shared" si="73"/>
        <v>28226.532445649631</v>
      </c>
      <c r="AH94" s="103">
        <f t="shared" si="73"/>
        <v>15020.997794579169</v>
      </c>
      <c r="AI94" s="103">
        <f t="shared" si="73"/>
        <v>-125.11096212970733</v>
      </c>
      <c r="AJ94" s="87"/>
      <c r="AK94" s="87"/>
      <c r="AL94" s="87"/>
      <c r="AM94" s="87"/>
      <c r="AN94" s="87"/>
      <c r="AO94" s="87"/>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HN94" s="12"/>
      <c r="HO94" s="12"/>
      <c r="HP94" s="12"/>
      <c r="HQ94" s="12"/>
      <c r="HR94" s="12"/>
      <c r="HS94" s="12"/>
      <c r="HT94" s="12"/>
      <c r="HU94" s="12"/>
      <c r="HV94" s="12"/>
      <c r="HW94" s="12"/>
      <c r="HX94" s="12"/>
      <c r="HY94" s="12"/>
      <c r="HZ94" s="12"/>
      <c r="IA94" s="12"/>
      <c r="IB94" s="12"/>
      <c r="IC94" s="12"/>
      <c r="ID94" s="12"/>
      <c r="IE94" s="12"/>
      <c r="IF94" s="12"/>
      <c r="IG94" s="12"/>
      <c r="IH94" s="12"/>
      <c r="II94" s="12"/>
      <c r="IJ94" s="12"/>
      <c r="IK94" s="12"/>
      <c r="IL94" s="12"/>
      <c r="IM94" s="12"/>
      <c r="IN94" s="12"/>
      <c r="IO94" s="12"/>
      <c r="IP94" s="12"/>
      <c r="IQ94" s="12"/>
      <c r="IR94" s="12"/>
      <c r="IS94" s="12"/>
      <c r="IT94" s="12"/>
      <c r="IU94" s="12"/>
      <c r="IV94" s="12"/>
      <c r="IW94" s="12"/>
      <c r="IX94" s="12"/>
      <c r="IY94" s="12"/>
      <c r="IZ94" s="12"/>
      <c r="JA94" s="12"/>
      <c r="JB94" s="12"/>
      <c r="JC94" s="12"/>
      <c r="JD94" s="12"/>
      <c r="JE94" s="12"/>
      <c r="JF94" s="12"/>
      <c r="JG94" s="12"/>
      <c r="JH94" s="12"/>
      <c r="JI94" s="12"/>
      <c r="JJ94" s="12"/>
      <c r="JK94" s="12"/>
      <c r="JL94" s="12"/>
      <c r="JM94" s="12"/>
      <c r="JN94" s="12"/>
      <c r="JO94" s="12"/>
      <c r="JP94" s="12"/>
      <c r="JQ94" s="12"/>
      <c r="JR94" s="12"/>
      <c r="JS94" s="12"/>
      <c r="JT94" s="12"/>
      <c r="JU94" s="12"/>
      <c r="JV94" s="12"/>
      <c r="JW94" s="12"/>
      <c r="JX94" s="12"/>
      <c r="JY94" s="12"/>
      <c r="JZ94" s="12"/>
      <c r="KA94" s="12"/>
      <c r="KB94" s="12"/>
      <c r="KC94" s="12"/>
      <c r="KD94" s="12"/>
      <c r="KE94" s="12"/>
      <c r="KF94" s="12"/>
      <c r="KG94" s="12"/>
      <c r="KH94" s="12"/>
      <c r="KI94" s="12"/>
      <c r="KJ94" s="12"/>
      <c r="KK94" s="12"/>
      <c r="KL94" s="12"/>
      <c r="KM94" s="12"/>
      <c r="KN94" s="12"/>
      <c r="KO94" s="12"/>
      <c r="KP94" s="12"/>
      <c r="KQ94" s="12"/>
      <c r="KR94" s="12"/>
      <c r="KS94" s="12"/>
      <c r="KT94" s="12"/>
      <c r="KU94" s="12"/>
      <c r="KV94" s="12"/>
      <c r="KW94" s="12"/>
      <c r="KX94" s="12"/>
      <c r="KY94" s="12"/>
      <c r="KZ94" s="12"/>
      <c r="LA94" s="12"/>
      <c r="LB94" s="12"/>
      <c r="LC94" s="12"/>
      <c r="LD94" s="12"/>
      <c r="LE94" s="12"/>
      <c r="LF94" s="12"/>
      <c r="LG94" s="12"/>
      <c r="LH94" s="12"/>
      <c r="LI94" s="12"/>
      <c r="LJ94" s="12"/>
      <c r="LK94" s="12"/>
      <c r="LL94" s="12"/>
      <c r="LM94" s="12"/>
      <c r="LN94" s="12"/>
      <c r="LO94" s="12"/>
      <c r="LP94" s="12"/>
      <c r="LQ94" s="12"/>
      <c r="LR94" s="12"/>
      <c r="LS94" s="12"/>
      <c r="LT94" s="12"/>
      <c r="LU94" s="12"/>
      <c r="LV94" s="12"/>
      <c r="LW94" s="12"/>
      <c r="LX94" s="12"/>
      <c r="LY94" s="12"/>
      <c r="LZ94" s="12"/>
      <c r="MA94" s="12"/>
      <c r="MB94" s="12"/>
      <c r="MC94" s="12"/>
      <c r="MD94" s="12"/>
      <c r="ME94" s="12"/>
      <c r="MF94" s="12"/>
      <c r="MG94" s="12"/>
      <c r="MH94" s="12"/>
      <c r="MI94" s="12"/>
      <c r="MJ94" s="12"/>
      <c r="MK94" s="12"/>
      <c r="ML94" s="12"/>
      <c r="MM94" s="12"/>
      <c r="MN94" s="12"/>
      <c r="MO94" s="12"/>
      <c r="MP94" s="12"/>
      <c r="MQ94" s="12"/>
      <c r="MR94" s="12"/>
      <c r="MS94" s="12"/>
      <c r="MT94" s="12"/>
      <c r="MU94" s="12"/>
      <c r="MV94" s="12"/>
      <c r="MW94" s="12"/>
      <c r="MX94" s="12"/>
      <c r="MY94" s="12"/>
      <c r="MZ94" s="12"/>
      <c r="NA94" s="12"/>
      <c r="NB94" s="12"/>
      <c r="NC94" s="12"/>
      <c r="ND94" s="12"/>
      <c r="NE94" s="12"/>
      <c r="NF94" s="12"/>
      <c r="NG94" s="12"/>
      <c r="NH94" s="12"/>
      <c r="NI94" s="12"/>
      <c r="NJ94" s="12"/>
      <c r="NK94" s="12"/>
      <c r="NL94" s="12"/>
      <c r="NM94" s="12"/>
      <c r="NN94" s="12"/>
      <c r="NO94" s="12"/>
      <c r="NP94" s="12"/>
      <c r="NQ94" s="12"/>
      <c r="NR94" s="12"/>
      <c r="NS94" s="12"/>
      <c r="NT94" s="12"/>
      <c r="NU94" s="12"/>
      <c r="NV94" s="12"/>
      <c r="NW94" s="12"/>
      <c r="NX94" s="12"/>
      <c r="NY94" s="12"/>
      <c r="NZ94" s="12"/>
      <c r="OA94" s="12"/>
      <c r="OB94" s="12"/>
      <c r="OC94" s="12"/>
      <c r="OD94" s="12"/>
      <c r="OE94" s="12"/>
      <c r="OF94" s="12"/>
      <c r="OG94" s="12"/>
      <c r="OH94" s="12"/>
      <c r="OI94" s="12"/>
      <c r="OJ94" s="12"/>
      <c r="OK94" s="12"/>
      <c r="OL94" s="12"/>
      <c r="OM94" s="12"/>
      <c r="ON94" s="12"/>
      <c r="OO94" s="12"/>
      <c r="OP94" s="12"/>
      <c r="OQ94" s="12"/>
      <c r="OR94" s="12"/>
      <c r="OS94" s="12"/>
      <c r="OT94" s="12"/>
      <c r="OU94" s="12"/>
      <c r="OV94" s="12"/>
      <c r="OW94" s="12"/>
      <c r="OX94" s="12"/>
      <c r="OY94" s="12"/>
      <c r="OZ94" s="12"/>
      <c r="PA94" s="12"/>
      <c r="PB94" s="12"/>
      <c r="PC94" s="12"/>
      <c r="PD94" s="12"/>
      <c r="PE94" s="12"/>
      <c r="PF94" s="12"/>
      <c r="PG94" s="12"/>
      <c r="PH94" s="12"/>
      <c r="PI94" s="12"/>
      <c r="PJ94" s="12"/>
      <c r="PK94" s="12"/>
      <c r="PL94" s="12"/>
      <c r="PM94" s="12"/>
      <c r="PN94" s="12"/>
      <c r="PO94" s="12"/>
      <c r="PP94" s="12"/>
      <c r="PQ94" s="12"/>
      <c r="PR94" s="12"/>
      <c r="PS94" s="12"/>
      <c r="PT94" s="12"/>
      <c r="PU94" s="12"/>
      <c r="PV94" s="12"/>
      <c r="PW94" s="12"/>
      <c r="PX94" s="12"/>
      <c r="PY94" s="12"/>
      <c r="PZ94" s="12"/>
      <c r="QA94" s="12"/>
      <c r="QB94" s="12"/>
      <c r="QC94" s="12"/>
      <c r="QD94" s="12"/>
      <c r="QE94" s="12"/>
      <c r="QF94" s="12"/>
      <c r="QG94" s="12"/>
      <c r="QH94" s="12"/>
      <c r="QI94" s="12"/>
      <c r="QJ94" s="12"/>
      <c r="QK94" s="12"/>
      <c r="QL94" s="12"/>
      <c r="QM94" s="12"/>
      <c r="QN94" s="12"/>
      <c r="QO94" s="12"/>
      <c r="QP94" s="12"/>
      <c r="QQ94" s="12"/>
      <c r="QR94" s="12"/>
      <c r="QS94" s="12"/>
      <c r="QT94" s="12"/>
      <c r="QU94" s="12"/>
      <c r="QV94" s="12"/>
      <c r="QW94" s="12"/>
      <c r="QX94" s="12"/>
      <c r="QY94" s="12"/>
      <c r="QZ94" s="12"/>
      <c r="RA94" s="12"/>
      <c r="RB94" s="12"/>
      <c r="RC94" s="12"/>
      <c r="RD94" s="12"/>
      <c r="RE94" s="12"/>
      <c r="RF94" s="12"/>
      <c r="RG94" s="12"/>
      <c r="RH94" s="12"/>
      <c r="RI94" s="12"/>
      <c r="RJ94" s="12"/>
      <c r="RK94" s="12"/>
      <c r="RL94" s="12"/>
      <c r="RM94" s="12"/>
      <c r="RN94" s="12"/>
      <c r="RO94" s="12"/>
      <c r="RP94" s="12"/>
      <c r="RQ94" s="12"/>
      <c r="RR94" s="12"/>
      <c r="RS94" s="12"/>
      <c r="RT94" s="12"/>
      <c r="RU94" s="12"/>
      <c r="RV94" s="12"/>
      <c r="RW94" s="12"/>
      <c r="RX94" s="12"/>
      <c r="RY94" s="12"/>
      <c r="RZ94" s="12"/>
      <c r="SA94" s="12"/>
      <c r="SB94" s="12"/>
      <c r="SC94" s="12"/>
      <c r="SD94" s="12"/>
    </row>
    <row r="95" spans="1:498" s="10" customFormat="1" hidden="1">
      <c r="A95" s="90"/>
      <c r="B95" s="90"/>
      <c r="C95" s="90"/>
      <c r="D95" s="90"/>
      <c r="E95" s="163"/>
      <c r="F95" s="113"/>
      <c r="G95" s="113"/>
      <c r="H95" s="113"/>
      <c r="I95" s="113"/>
      <c r="J95" s="113"/>
      <c r="K95" s="113"/>
      <c r="L95" s="113"/>
      <c r="M95" s="113"/>
      <c r="N95" s="113"/>
      <c r="O95" s="113"/>
      <c r="P95" s="113"/>
      <c r="Q95" s="113"/>
      <c r="R95" s="113"/>
      <c r="S95" s="113"/>
      <c r="T95" s="113"/>
      <c r="U95" s="113"/>
      <c r="V95" s="113"/>
      <c r="W95" s="113"/>
      <c r="X95" s="113"/>
      <c r="Y95" s="113"/>
      <c r="Z95" s="164"/>
      <c r="AA95" s="164"/>
      <c r="AB95" s="164"/>
      <c r="AC95" s="164"/>
      <c r="AD95" s="164"/>
      <c r="AE95" s="92"/>
      <c r="AF95" s="92"/>
      <c r="AG95" s="92"/>
      <c r="AH95" s="92"/>
      <c r="AI95" s="92"/>
      <c r="AJ95" s="87"/>
      <c r="AK95" s="87"/>
      <c r="AL95" s="87"/>
      <c r="AM95" s="87"/>
      <c r="AN95" s="87"/>
      <c r="AO95" s="87"/>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HN95" s="12"/>
      <c r="HO95" s="12"/>
      <c r="HP95" s="12"/>
      <c r="HQ95" s="12"/>
      <c r="HR95" s="12"/>
      <c r="HS95" s="12"/>
      <c r="HT95" s="12"/>
      <c r="HU95" s="12"/>
      <c r="HV95" s="12"/>
      <c r="HW95" s="12"/>
      <c r="HX95" s="12"/>
      <c r="HY95" s="12"/>
      <c r="HZ95" s="12"/>
      <c r="IA95" s="12"/>
      <c r="IB95" s="12"/>
      <c r="IC95" s="12"/>
      <c r="ID95" s="12"/>
      <c r="IE95" s="12"/>
      <c r="IF95" s="12"/>
      <c r="IG95" s="12"/>
      <c r="IH95" s="12"/>
      <c r="II95" s="12"/>
      <c r="IJ95" s="12"/>
      <c r="IK95" s="12"/>
      <c r="IL95" s="12"/>
      <c r="IM95" s="12"/>
      <c r="IN95" s="12"/>
      <c r="IO95" s="12"/>
      <c r="IP95" s="12"/>
      <c r="IQ95" s="12"/>
      <c r="IR95" s="12"/>
      <c r="IS95" s="12"/>
      <c r="IT95" s="12"/>
      <c r="IU95" s="12"/>
      <c r="IV95" s="12"/>
      <c r="IW95" s="12"/>
      <c r="IX95" s="12"/>
      <c r="IY95" s="12"/>
      <c r="IZ95" s="12"/>
      <c r="JA95" s="12"/>
      <c r="JB95" s="12"/>
      <c r="JC95" s="12"/>
      <c r="JD95" s="12"/>
      <c r="JE95" s="12"/>
      <c r="JF95" s="12"/>
      <c r="JG95" s="12"/>
      <c r="JH95" s="12"/>
      <c r="JI95" s="12"/>
      <c r="JJ95" s="12"/>
      <c r="JK95" s="12"/>
      <c r="JL95" s="12"/>
      <c r="JM95" s="12"/>
      <c r="JN95" s="12"/>
      <c r="JO95" s="12"/>
      <c r="JP95" s="12"/>
      <c r="JQ95" s="12"/>
      <c r="JR95" s="12"/>
      <c r="JS95" s="12"/>
      <c r="JT95" s="12"/>
      <c r="JU95" s="12"/>
      <c r="JV95" s="12"/>
      <c r="JW95" s="12"/>
      <c r="JX95" s="12"/>
      <c r="JY95" s="12"/>
      <c r="JZ95" s="12"/>
      <c r="KA95" s="12"/>
      <c r="KB95" s="12"/>
      <c r="KC95" s="12"/>
      <c r="KD95" s="12"/>
      <c r="KE95" s="12"/>
      <c r="KF95" s="12"/>
      <c r="KG95" s="12"/>
      <c r="KH95" s="12"/>
      <c r="KI95" s="12"/>
      <c r="KJ95" s="12"/>
      <c r="KK95" s="12"/>
      <c r="KL95" s="12"/>
      <c r="KM95" s="12"/>
      <c r="KN95" s="12"/>
      <c r="KO95" s="12"/>
      <c r="KP95" s="12"/>
      <c r="KQ95" s="12"/>
      <c r="KR95" s="12"/>
      <c r="KS95" s="12"/>
      <c r="KT95" s="12"/>
      <c r="KU95" s="12"/>
      <c r="KV95" s="12"/>
      <c r="KW95" s="12"/>
      <c r="KX95" s="12"/>
      <c r="KY95" s="12"/>
      <c r="KZ95" s="12"/>
      <c r="LA95" s="12"/>
      <c r="LB95" s="12"/>
      <c r="LC95" s="12"/>
      <c r="LD95" s="12"/>
      <c r="LE95" s="12"/>
      <c r="LF95" s="12"/>
      <c r="LG95" s="12"/>
      <c r="LH95" s="12"/>
      <c r="LI95" s="12"/>
      <c r="LJ95" s="12"/>
      <c r="LK95" s="12"/>
      <c r="LL95" s="12"/>
      <c r="LM95" s="12"/>
      <c r="LN95" s="12"/>
      <c r="LO95" s="12"/>
      <c r="LP95" s="12"/>
      <c r="LQ95" s="12"/>
      <c r="LR95" s="12"/>
      <c r="LS95" s="12"/>
      <c r="LT95" s="12"/>
      <c r="LU95" s="12"/>
      <c r="LV95" s="12"/>
      <c r="LW95" s="12"/>
      <c r="LX95" s="12"/>
      <c r="LY95" s="12"/>
      <c r="LZ95" s="12"/>
      <c r="MA95" s="12"/>
      <c r="MB95" s="12"/>
      <c r="MC95" s="12"/>
      <c r="MD95" s="12"/>
      <c r="ME95" s="12"/>
      <c r="MF95" s="12"/>
      <c r="MG95" s="12"/>
      <c r="MH95" s="12"/>
      <c r="MI95" s="12"/>
      <c r="MJ95" s="12"/>
      <c r="MK95" s="12"/>
      <c r="ML95" s="12"/>
      <c r="MM95" s="12"/>
      <c r="MN95" s="12"/>
      <c r="MO95" s="12"/>
      <c r="MP95" s="12"/>
      <c r="MQ95" s="12"/>
      <c r="MR95" s="12"/>
      <c r="MS95" s="12"/>
      <c r="MT95" s="12"/>
      <c r="MU95" s="12"/>
      <c r="MV95" s="12"/>
      <c r="MW95" s="12"/>
      <c r="MX95" s="12"/>
      <c r="MY95" s="12"/>
      <c r="MZ95" s="12"/>
      <c r="NA95" s="12"/>
      <c r="NB95" s="12"/>
      <c r="NC95" s="12"/>
      <c r="ND95" s="12"/>
      <c r="NE95" s="12"/>
      <c r="NF95" s="12"/>
      <c r="NG95" s="12"/>
      <c r="NH95" s="12"/>
      <c r="NI95" s="12"/>
      <c r="NJ95" s="12"/>
      <c r="NK95" s="12"/>
      <c r="NL95" s="12"/>
      <c r="NM95" s="12"/>
      <c r="NN95" s="12"/>
      <c r="NO95" s="12"/>
      <c r="NP95" s="12"/>
      <c r="NQ95" s="12"/>
      <c r="NR95" s="12"/>
      <c r="NS95" s="12"/>
      <c r="NT95" s="12"/>
      <c r="NU95" s="12"/>
      <c r="NV95" s="12"/>
      <c r="NW95" s="12"/>
      <c r="NX95" s="12"/>
      <c r="NY95" s="12"/>
      <c r="NZ95" s="12"/>
      <c r="OA95" s="12"/>
      <c r="OB95" s="12"/>
      <c r="OC95" s="12"/>
      <c r="OD95" s="12"/>
      <c r="OE95" s="12"/>
      <c r="OF95" s="12"/>
      <c r="OG95" s="12"/>
      <c r="OH95" s="12"/>
      <c r="OI95" s="12"/>
      <c r="OJ95" s="12"/>
      <c r="OK95" s="12"/>
      <c r="OL95" s="12"/>
      <c r="OM95" s="12"/>
      <c r="ON95" s="12"/>
      <c r="OO95" s="12"/>
      <c r="OP95" s="12"/>
      <c r="OQ95" s="12"/>
      <c r="OR95" s="12"/>
      <c r="OS95" s="12"/>
      <c r="OT95" s="12"/>
      <c r="OU95" s="12"/>
      <c r="OV95" s="12"/>
      <c r="OW95" s="12"/>
      <c r="OX95" s="12"/>
      <c r="OY95" s="12"/>
      <c r="OZ95" s="12"/>
      <c r="PA95" s="12"/>
      <c r="PB95" s="12"/>
      <c r="PC95" s="12"/>
      <c r="PD95" s="12"/>
      <c r="PE95" s="12"/>
      <c r="PF95" s="12"/>
      <c r="PG95" s="12"/>
      <c r="PH95" s="12"/>
      <c r="PI95" s="12"/>
      <c r="PJ95" s="12"/>
      <c r="PK95" s="12"/>
      <c r="PL95" s="12"/>
      <c r="PM95" s="12"/>
      <c r="PN95" s="12"/>
      <c r="PO95" s="12"/>
      <c r="PP95" s="12"/>
      <c r="PQ95" s="12"/>
      <c r="PR95" s="12"/>
      <c r="PS95" s="12"/>
      <c r="PT95" s="12"/>
      <c r="PU95" s="12"/>
      <c r="PV95" s="12"/>
      <c r="PW95" s="12"/>
      <c r="PX95" s="12"/>
      <c r="PY95" s="12"/>
      <c r="PZ95" s="12"/>
      <c r="QA95" s="12"/>
      <c r="QB95" s="12"/>
      <c r="QC95" s="12"/>
      <c r="QD95" s="12"/>
      <c r="QE95" s="12"/>
      <c r="QF95" s="12"/>
      <c r="QG95" s="12"/>
      <c r="QH95" s="12"/>
      <c r="QI95" s="12"/>
      <c r="QJ95" s="12"/>
      <c r="QK95" s="12"/>
      <c r="QL95" s="12"/>
      <c r="QM95" s="12"/>
      <c r="QN95" s="12"/>
      <c r="QO95" s="12"/>
      <c r="QP95" s="12"/>
      <c r="QQ95" s="12"/>
      <c r="QR95" s="12"/>
      <c r="QS95" s="12"/>
      <c r="QT95" s="12"/>
      <c r="QU95" s="12"/>
      <c r="QV95" s="12"/>
      <c r="QW95" s="12"/>
      <c r="QX95" s="12"/>
      <c r="QY95" s="12"/>
      <c r="QZ95" s="12"/>
      <c r="RA95" s="12"/>
      <c r="RB95" s="12"/>
      <c r="RC95" s="12"/>
      <c r="RD95" s="12"/>
      <c r="RE95" s="12"/>
      <c r="RF95" s="12"/>
      <c r="RG95" s="12"/>
      <c r="RH95" s="12"/>
      <c r="RI95" s="12"/>
      <c r="RJ95" s="12"/>
      <c r="RK95" s="12"/>
      <c r="RL95" s="12"/>
      <c r="RM95" s="12"/>
      <c r="RN95" s="12"/>
      <c r="RO95" s="12"/>
      <c r="RP95" s="12"/>
      <c r="RQ95" s="12"/>
      <c r="RR95" s="12"/>
      <c r="RS95" s="12"/>
      <c r="RT95" s="12"/>
      <c r="RU95" s="12"/>
      <c r="RV95" s="12"/>
      <c r="RW95" s="12"/>
      <c r="RX95" s="12"/>
      <c r="RY95" s="12"/>
      <c r="RZ95" s="12"/>
      <c r="SA95" s="12"/>
      <c r="SB95" s="12"/>
      <c r="SC95" s="12"/>
      <c r="SD95" s="12"/>
    </row>
    <row r="96" spans="1:498" s="10" customFormat="1" hidden="1">
      <c r="A96" s="90"/>
      <c r="B96" s="90" t="s">
        <v>24</v>
      </c>
      <c r="C96" s="90"/>
      <c r="D96" s="90"/>
      <c r="E96" s="163"/>
      <c r="F96" s="113">
        <f t="shared" ref="F96:AI96" si="74">F53-F54+N("Annual income minus exemption")</f>
        <v>58245</v>
      </c>
      <c r="G96" s="113">
        <f t="shared" si="74"/>
        <v>60074.449500000002</v>
      </c>
      <c r="H96" s="113">
        <f t="shared" si="74"/>
        <v>61960.84318245</v>
      </c>
      <c r="I96" s="113">
        <f t="shared" si="74"/>
        <v>63905.941096329509</v>
      </c>
      <c r="J96" s="113">
        <f t="shared" si="74"/>
        <v>65911.557390347385</v>
      </c>
      <c r="K96" s="113">
        <f t="shared" si="74"/>
        <v>67979.561968520109</v>
      </c>
      <c r="L96" s="113">
        <f t="shared" si="74"/>
        <v>70111.882196235209</v>
      </c>
      <c r="M96" s="113">
        <f t="shared" si="74"/>
        <v>130069.96475146986</v>
      </c>
      <c r="N96" s="113">
        <f t="shared" si="74"/>
        <v>134069.72086673178</v>
      </c>
      <c r="O96" s="113">
        <f t="shared" si="74"/>
        <v>138191.92086048672</v>
      </c>
      <c r="P96" s="113">
        <f t="shared" si="74"/>
        <v>142440.29957408496</v>
      </c>
      <c r="Q96" s="113">
        <f t="shared" si="74"/>
        <v>146818.70543839451</v>
      </c>
      <c r="R96" s="113">
        <f t="shared" si="74"/>
        <v>151331.10392024822</v>
      </c>
      <c r="S96" s="113">
        <f t="shared" si="74"/>
        <v>155981.58107325694</v>
      </c>
      <c r="T96" s="113">
        <f t="shared" si="74"/>
        <v>160774.34719614452</v>
      </c>
      <c r="U96" s="113">
        <f t="shared" si="74"/>
        <v>165713.74060185501</v>
      </c>
      <c r="V96" s="113">
        <f t="shared" si="74"/>
        <v>170804.23150078149</v>
      </c>
      <c r="W96" s="113">
        <f t="shared" si="74"/>
        <v>176050.42600156562</v>
      </c>
      <c r="X96" s="113">
        <f t="shared" si="74"/>
        <v>181457.07023302285</v>
      </c>
      <c r="Y96" s="113">
        <f t="shared" si="74"/>
        <v>187029.05459085421</v>
      </c>
      <c r="Z96" s="113">
        <f t="shared" si="74"/>
        <v>192771.41811291661</v>
      </c>
      <c r="AA96" s="113">
        <f t="shared" si="74"/>
        <v>198689.35298693774</v>
      </c>
      <c r="AB96" s="113">
        <f t="shared" si="74"/>
        <v>204788.20919467841</v>
      </c>
      <c r="AC96" s="113">
        <f t="shared" si="74"/>
        <v>211073.49929666638</v>
      </c>
      <c r="AD96" s="113">
        <f t="shared" si="74"/>
        <v>217550.90336175033</v>
      </c>
      <c r="AE96" s="103">
        <f t="shared" si="74"/>
        <v>-31138.685140135683</v>
      </c>
      <c r="AF96" s="103">
        <f t="shared" si="74"/>
        <v>-31920.266137153085</v>
      </c>
      <c r="AG96" s="103">
        <f t="shared" si="74"/>
        <v>-32721.464817195629</v>
      </c>
      <c r="AH96" s="103">
        <f t="shared" si="74"/>
        <v>-33542.773584107235</v>
      </c>
      <c r="AI96" s="103">
        <f t="shared" si="74"/>
        <v>-34384.697201068324</v>
      </c>
      <c r="AJ96" s="87"/>
      <c r="AK96" s="87"/>
      <c r="AL96" s="87"/>
      <c r="AM96" s="87"/>
      <c r="AN96" s="87"/>
      <c r="AO96" s="87"/>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c r="HS96" s="12"/>
      <c r="HT96" s="12"/>
      <c r="HU96" s="12"/>
      <c r="HV96" s="12"/>
      <c r="HW96" s="12"/>
      <c r="HX96" s="12"/>
      <c r="HY96" s="12"/>
      <c r="HZ96" s="12"/>
      <c r="IA96" s="12"/>
      <c r="IB96" s="12"/>
      <c r="IC96" s="12"/>
      <c r="ID96" s="12"/>
      <c r="IE96" s="12"/>
      <c r="IF96" s="12"/>
      <c r="IG96" s="12"/>
      <c r="IH96" s="12"/>
      <c r="II96" s="12"/>
      <c r="IJ96" s="12"/>
      <c r="IK96" s="12"/>
      <c r="IL96" s="12"/>
      <c r="IM96" s="12"/>
      <c r="IN96" s="12"/>
      <c r="IO96" s="12"/>
      <c r="IP96" s="12"/>
      <c r="IQ96" s="12"/>
      <c r="IR96" s="12"/>
      <c r="IS96" s="12"/>
      <c r="IT96" s="12"/>
      <c r="IU96" s="12"/>
      <c r="IV96" s="12"/>
      <c r="IW96" s="12"/>
      <c r="IX96" s="12"/>
      <c r="IY96" s="12"/>
      <c r="IZ96" s="12"/>
      <c r="JA96" s="12"/>
      <c r="JB96" s="12"/>
      <c r="JC96" s="12"/>
      <c r="JD96" s="12"/>
      <c r="JE96" s="12"/>
      <c r="JF96" s="12"/>
      <c r="JG96" s="12"/>
      <c r="JH96" s="12"/>
      <c r="JI96" s="12"/>
      <c r="JJ96" s="12"/>
      <c r="JK96" s="12"/>
      <c r="JL96" s="12"/>
      <c r="JM96" s="12"/>
      <c r="JN96" s="12"/>
      <c r="JO96" s="12"/>
      <c r="JP96" s="12"/>
      <c r="JQ96" s="12"/>
      <c r="JR96" s="12"/>
      <c r="JS96" s="12"/>
      <c r="JT96" s="12"/>
      <c r="JU96" s="12"/>
      <c r="JV96" s="12"/>
      <c r="JW96" s="12"/>
      <c r="JX96" s="12"/>
      <c r="JY96" s="12"/>
      <c r="JZ96" s="12"/>
      <c r="KA96" s="12"/>
      <c r="KB96" s="12"/>
      <c r="KC96" s="12"/>
      <c r="KD96" s="12"/>
      <c r="KE96" s="12"/>
      <c r="KF96" s="12"/>
      <c r="KG96" s="12"/>
      <c r="KH96" s="12"/>
      <c r="KI96" s="12"/>
      <c r="KJ96" s="12"/>
      <c r="KK96" s="12"/>
      <c r="KL96" s="12"/>
      <c r="KM96" s="12"/>
      <c r="KN96" s="12"/>
      <c r="KO96" s="12"/>
      <c r="KP96" s="12"/>
      <c r="KQ96" s="12"/>
      <c r="KR96" s="12"/>
      <c r="KS96" s="12"/>
      <c r="KT96" s="12"/>
      <c r="KU96" s="12"/>
      <c r="KV96" s="12"/>
      <c r="KW96" s="12"/>
      <c r="KX96" s="12"/>
      <c r="KY96" s="12"/>
      <c r="KZ96" s="12"/>
      <c r="LA96" s="12"/>
      <c r="LB96" s="12"/>
      <c r="LC96" s="12"/>
      <c r="LD96" s="12"/>
      <c r="LE96" s="12"/>
      <c r="LF96" s="12"/>
      <c r="LG96" s="12"/>
      <c r="LH96" s="12"/>
      <c r="LI96" s="12"/>
      <c r="LJ96" s="12"/>
      <c r="LK96" s="12"/>
      <c r="LL96" s="12"/>
      <c r="LM96" s="12"/>
      <c r="LN96" s="12"/>
      <c r="LO96" s="12"/>
      <c r="LP96" s="12"/>
      <c r="LQ96" s="12"/>
      <c r="LR96" s="12"/>
      <c r="LS96" s="12"/>
      <c r="LT96" s="12"/>
      <c r="LU96" s="12"/>
      <c r="LV96" s="12"/>
      <c r="LW96" s="12"/>
      <c r="LX96" s="12"/>
      <c r="LY96" s="12"/>
      <c r="LZ96" s="12"/>
      <c r="MA96" s="12"/>
      <c r="MB96" s="12"/>
      <c r="MC96" s="12"/>
      <c r="MD96" s="12"/>
      <c r="ME96" s="12"/>
      <c r="MF96" s="12"/>
      <c r="MG96" s="12"/>
      <c r="MH96" s="12"/>
      <c r="MI96" s="12"/>
      <c r="MJ96" s="12"/>
      <c r="MK96" s="12"/>
      <c r="ML96" s="12"/>
      <c r="MM96" s="12"/>
      <c r="MN96" s="12"/>
      <c r="MO96" s="12"/>
      <c r="MP96" s="12"/>
      <c r="MQ96" s="12"/>
      <c r="MR96" s="12"/>
      <c r="MS96" s="12"/>
      <c r="MT96" s="12"/>
      <c r="MU96" s="12"/>
      <c r="MV96" s="12"/>
      <c r="MW96" s="12"/>
      <c r="MX96" s="12"/>
      <c r="MY96" s="12"/>
      <c r="MZ96" s="12"/>
      <c r="NA96" s="12"/>
      <c r="NB96" s="12"/>
      <c r="NC96" s="12"/>
      <c r="ND96" s="12"/>
      <c r="NE96" s="12"/>
      <c r="NF96" s="12"/>
      <c r="NG96" s="12"/>
      <c r="NH96" s="12"/>
      <c r="NI96" s="12"/>
      <c r="NJ96" s="12"/>
      <c r="NK96" s="12"/>
      <c r="NL96" s="12"/>
      <c r="NM96" s="12"/>
      <c r="NN96" s="12"/>
      <c r="NO96" s="12"/>
      <c r="NP96" s="12"/>
      <c r="NQ96" s="12"/>
      <c r="NR96" s="12"/>
      <c r="NS96" s="12"/>
      <c r="NT96" s="12"/>
      <c r="NU96" s="12"/>
      <c r="NV96" s="12"/>
      <c r="NW96" s="12"/>
      <c r="NX96" s="12"/>
      <c r="NY96" s="12"/>
      <c r="NZ96" s="12"/>
      <c r="OA96" s="12"/>
      <c r="OB96" s="12"/>
      <c r="OC96" s="12"/>
      <c r="OD96" s="12"/>
      <c r="OE96" s="12"/>
      <c r="OF96" s="12"/>
      <c r="OG96" s="12"/>
      <c r="OH96" s="12"/>
      <c r="OI96" s="12"/>
      <c r="OJ96" s="12"/>
      <c r="OK96" s="12"/>
      <c r="OL96" s="12"/>
      <c r="OM96" s="12"/>
      <c r="ON96" s="12"/>
      <c r="OO96" s="12"/>
      <c r="OP96" s="12"/>
      <c r="OQ96" s="12"/>
      <c r="OR96" s="12"/>
      <c r="OS96" s="12"/>
      <c r="OT96" s="12"/>
      <c r="OU96" s="12"/>
      <c r="OV96" s="12"/>
      <c r="OW96" s="12"/>
      <c r="OX96" s="12"/>
      <c r="OY96" s="12"/>
      <c r="OZ96" s="12"/>
      <c r="PA96" s="12"/>
      <c r="PB96" s="12"/>
      <c r="PC96" s="12"/>
      <c r="PD96" s="12"/>
      <c r="PE96" s="12"/>
      <c r="PF96" s="12"/>
      <c r="PG96" s="12"/>
      <c r="PH96" s="12"/>
      <c r="PI96" s="12"/>
      <c r="PJ96" s="12"/>
      <c r="PK96" s="12"/>
      <c r="PL96" s="12"/>
      <c r="PM96" s="12"/>
      <c r="PN96" s="12"/>
      <c r="PO96" s="12"/>
      <c r="PP96" s="12"/>
      <c r="PQ96" s="12"/>
      <c r="PR96" s="12"/>
      <c r="PS96" s="12"/>
      <c r="PT96" s="12"/>
      <c r="PU96" s="12"/>
      <c r="PV96" s="12"/>
      <c r="PW96" s="12"/>
      <c r="PX96" s="12"/>
      <c r="PY96" s="12"/>
      <c r="PZ96" s="12"/>
      <c r="QA96" s="12"/>
      <c r="QB96" s="12"/>
      <c r="QC96" s="12"/>
      <c r="QD96" s="12"/>
      <c r="QE96" s="12"/>
      <c r="QF96" s="12"/>
      <c r="QG96" s="12"/>
      <c r="QH96" s="12"/>
      <c r="QI96" s="12"/>
      <c r="QJ96" s="12"/>
      <c r="QK96" s="12"/>
      <c r="QL96" s="12"/>
      <c r="QM96" s="12"/>
      <c r="QN96" s="12"/>
      <c r="QO96" s="12"/>
      <c r="QP96" s="12"/>
      <c r="QQ96" s="12"/>
      <c r="QR96" s="12"/>
      <c r="QS96" s="12"/>
      <c r="QT96" s="12"/>
      <c r="QU96" s="12"/>
      <c r="QV96" s="12"/>
      <c r="QW96" s="12"/>
      <c r="QX96" s="12"/>
      <c r="QY96" s="12"/>
      <c r="QZ96" s="12"/>
      <c r="RA96" s="12"/>
      <c r="RB96" s="12"/>
      <c r="RC96" s="12"/>
      <c r="RD96" s="12"/>
      <c r="RE96" s="12"/>
      <c r="RF96" s="12"/>
      <c r="RG96" s="12"/>
      <c r="RH96" s="12"/>
      <c r="RI96" s="12"/>
      <c r="RJ96" s="12"/>
      <c r="RK96" s="12"/>
      <c r="RL96" s="12"/>
      <c r="RM96" s="12"/>
      <c r="RN96" s="12"/>
      <c r="RO96" s="12"/>
      <c r="RP96" s="12"/>
      <c r="RQ96" s="12"/>
      <c r="RR96" s="12"/>
      <c r="RS96" s="12"/>
      <c r="RT96" s="12"/>
      <c r="RU96" s="12"/>
      <c r="RV96" s="12"/>
      <c r="RW96" s="12"/>
      <c r="RX96" s="12"/>
      <c r="RY96" s="12"/>
      <c r="RZ96" s="12"/>
      <c r="SA96" s="12"/>
      <c r="SB96" s="12"/>
      <c r="SC96" s="12"/>
      <c r="SD96" s="12"/>
    </row>
    <row r="97" spans="1:498" s="10" customFormat="1" hidden="1">
      <c r="A97" s="90"/>
      <c r="B97" s="90" t="s">
        <v>25</v>
      </c>
      <c r="C97" s="90"/>
      <c r="D97" s="90"/>
      <c r="E97" s="163"/>
      <c r="F97" s="113">
        <f>F96*$C$15+N("Income minus exemption multiplied by the percentage of share of income you must pay")</f>
        <v>8736.75</v>
      </c>
      <c r="G97" s="113">
        <f t="shared" ref="G97:AD97" si="75">G96*$C$15+N("Income minus exemption multiplied by the percentage of share of income you must pay")</f>
        <v>9011.1674249999996</v>
      </c>
      <c r="H97" s="113">
        <f t="shared" si="75"/>
        <v>9294.1264773674993</v>
      </c>
      <c r="I97" s="113">
        <f t="shared" si="75"/>
        <v>9585.8911644494256</v>
      </c>
      <c r="J97" s="113">
        <f t="shared" si="75"/>
        <v>9886.7336085521074</v>
      </c>
      <c r="K97" s="113">
        <f t="shared" si="75"/>
        <v>10196.934295278015</v>
      </c>
      <c r="L97" s="113">
        <f t="shared" si="75"/>
        <v>10516.78232943528</v>
      </c>
      <c r="M97" s="113">
        <f t="shared" si="75"/>
        <v>19510.49471272048</v>
      </c>
      <c r="N97" s="113">
        <f t="shared" si="75"/>
        <v>20110.458130009767</v>
      </c>
      <c r="O97" s="113">
        <f t="shared" si="75"/>
        <v>20728.788129073007</v>
      </c>
      <c r="P97" s="113">
        <f t="shared" si="75"/>
        <v>21366.044936112743</v>
      </c>
      <c r="Q97" s="113">
        <f t="shared" si="75"/>
        <v>22022.805815759177</v>
      </c>
      <c r="R97" s="113">
        <f t="shared" si="75"/>
        <v>22699.665588037231</v>
      </c>
      <c r="S97" s="113">
        <f t="shared" si="75"/>
        <v>23397.237160988541</v>
      </c>
      <c r="T97" s="113">
        <f t="shared" si="75"/>
        <v>24116.152079421678</v>
      </c>
      <c r="U97" s="113">
        <f t="shared" si="75"/>
        <v>24857.06109027825</v>
      </c>
      <c r="V97" s="113">
        <f t="shared" si="75"/>
        <v>25620.634725117223</v>
      </c>
      <c r="W97" s="113">
        <f t="shared" si="75"/>
        <v>26407.563900234843</v>
      </c>
      <c r="X97" s="113">
        <f t="shared" si="75"/>
        <v>27218.560534953427</v>
      </c>
      <c r="Y97" s="113">
        <f t="shared" si="75"/>
        <v>28054.358188628132</v>
      </c>
      <c r="Z97" s="113">
        <f t="shared" si="75"/>
        <v>28915.712716937491</v>
      </c>
      <c r="AA97" s="113">
        <f t="shared" si="75"/>
        <v>29803.402948040661</v>
      </c>
      <c r="AB97" s="113">
        <f t="shared" si="75"/>
        <v>30718.231379201759</v>
      </c>
      <c r="AC97" s="113">
        <f t="shared" si="75"/>
        <v>31661.024894499955</v>
      </c>
      <c r="AD97" s="113">
        <f t="shared" si="75"/>
        <v>32632.635504262547</v>
      </c>
      <c r="AE97" s="103"/>
      <c r="AF97" s="103"/>
      <c r="AG97" s="103"/>
      <c r="AH97" s="103"/>
      <c r="AI97" s="103"/>
      <c r="AJ97" s="87"/>
      <c r="AK97" s="87"/>
      <c r="AL97" s="87"/>
      <c r="AM97" s="87"/>
      <c r="AN97" s="87"/>
      <c r="AO97" s="87"/>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c r="HS97" s="12"/>
      <c r="HT97" s="12"/>
      <c r="HU97" s="12"/>
      <c r="HV97" s="12"/>
      <c r="HW97" s="12"/>
      <c r="HX97" s="12"/>
      <c r="HY97" s="12"/>
      <c r="HZ97" s="12"/>
      <c r="IA97" s="12"/>
      <c r="IB97" s="12"/>
      <c r="IC97" s="12"/>
      <c r="ID97" s="12"/>
      <c r="IE97" s="12"/>
      <c r="IF97" s="12"/>
      <c r="IG97" s="12"/>
      <c r="IH97" s="12"/>
      <c r="II97" s="12"/>
      <c r="IJ97" s="12"/>
      <c r="IK97" s="12"/>
      <c r="IL97" s="12"/>
      <c r="IM97" s="12"/>
      <c r="IN97" s="12"/>
      <c r="IO97" s="12"/>
      <c r="IP97" s="12"/>
      <c r="IQ97" s="12"/>
      <c r="IR97" s="12"/>
      <c r="IS97" s="12"/>
      <c r="IT97" s="12"/>
      <c r="IU97" s="12"/>
      <c r="IV97" s="12"/>
      <c r="IW97" s="12"/>
      <c r="IX97" s="12"/>
      <c r="IY97" s="12"/>
      <c r="IZ97" s="12"/>
      <c r="JA97" s="12"/>
      <c r="JB97" s="12"/>
      <c r="JC97" s="12"/>
      <c r="JD97" s="12"/>
      <c r="JE97" s="12"/>
      <c r="JF97" s="12"/>
      <c r="JG97" s="12"/>
      <c r="JH97" s="12"/>
      <c r="JI97" s="12"/>
      <c r="JJ97" s="12"/>
      <c r="JK97" s="12"/>
      <c r="JL97" s="12"/>
      <c r="JM97" s="12"/>
      <c r="JN97" s="12"/>
      <c r="JO97" s="12"/>
      <c r="JP97" s="12"/>
      <c r="JQ97" s="12"/>
      <c r="JR97" s="12"/>
      <c r="JS97" s="12"/>
      <c r="JT97" s="12"/>
      <c r="JU97" s="12"/>
      <c r="JV97" s="12"/>
      <c r="JW97" s="12"/>
      <c r="JX97" s="12"/>
      <c r="JY97" s="12"/>
      <c r="JZ97" s="12"/>
      <c r="KA97" s="12"/>
      <c r="KB97" s="12"/>
      <c r="KC97" s="12"/>
      <c r="KD97" s="12"/>
      <c r="KE97" s="12"/>
      <c r="KF97" s="12"/>
      <c r="KG97" s="12"/>
      <c r="KH97" s="12"/>
      <c r="KI97" s="12"/>
      <c r="KJ97" s="12"/>
      <c r="KK97" s="12"/>
      <c r="KL97" s="12"/>
      <c r="KM97" s="12"/>
      <c r="KN97" s="12"/>
      <c r="KO97" s="12"/>
      <c r="KP97" s="12"/>
      <c r="KQ97" s="12"/>
      <c r="KR97" s="12"/>
      <c r="KS97" s="12"/>
      <c r="KT97" s="12"/>
      <c r="KU97" s="12"/>
      <c r="KV97" s="12"/>
      <c r="KW97" s="12"/>
      <c r="KX97" s="12"/>
      <c r="KY97" s="12"/>
      <c r="KZ97" s="12"/>
      <c r="LA97" s="12"/>
      <c r="LB97" s="12"/>
      <c r="LC97" s="12"/>
      <c r="LD97" s="12"/>
      <c r="LE97" s="12"/>
      <c r="LF97" s="12"/>
      <c r="LG97" s="12"/>
      <c r="LH97" s="12"/>
      <c r="LI97" s="12"/>
      <c r="LJ97" s="12"/>
      <c r="LK97" s="12"/>
      <c r="LL97" s="12"/>
      <c r="LM97" s="12"/>
      <c r="LN97" s="12"/>
      <c r="LO97" s="12"/>
      <c r="LP97" s="12"/>
      <c r="LQ97" s="12"/>
      <c r="LR97" s="12"/>
      <c r="LS97" s="12"/>
      <c r="LT97" s="12"/>
      <c r="LU97" s="12"/>
      <c r="LV97" s="12"/>
      <c r="LW97" s="12"/>
      <c r="LX97" s="12"/>
      <c r="LY97" s="12"/>
      <c r="LZ97" s="12"/>
      <c r="MA97" s="12"/>
      <c r="MB97" s="12"/>
      <c r="MC97" s="12"/>
      <c r="MD97" s="12"/>
      <c r="ME97" s="12"/>
      <c r="MF97" s="12"/>
      <c r="MG97" s="12"/>
      <c r="MH97" s="12"/>
      <c r="MI97" s="12"/>
      <c r="MJ97" s="12"/>
      <c r="MK97" s="12"/>
      <c r="ML97" s="12"/>
      <c r="MM97" s="12"/>
      <c r="MN97" s="12"/>
      <c r="MO97" s="12"/>
      <c r="MP97" s="12"/>
      <c r="MQ97" s="12"/>
      <c r="MR97" s="12"/>
      <c r="MS97" s="12"/>
      <c r="MT97" s="12"/>
      <c r="MU97" s="12"/>
      <c r="MV97" s="12"/>
      <c r="MW97" s="12"/>
      <c r="MX97" s="12"/>
      <c r="MY97" s="12"/>
      <c r="MZ97" s="12"/>
      <c r="NA97" s="12"/>
      <c r="NB97" s="12"/>
      <c r="NC97" s="12"/>
      <c r="ND97" s="12"/>
      <c r="NE97" s="12"/>
      <c r="NF97" s="12"/>
      <c r="NG97" s="12"/>
      <c r="NH97" s="12"/>
      <c r="NI97" s="12"/>
      <c r="NJ97" s="12"/>
      <c r="NK97" s="12"/>
      <c r="NL97" s="12"/>
      <c r="NM97" s="12"/>
      <c r="NN97" s="12"/>
      <c r="NO97" s="12"/>
      <c r="NP97" s="12"/>
      <c r="NQ97" s="12"/>
      <c r="NR97" s="12"/>
      <c r="NS97" s="12"/>
      <c r="NT97" s="12"/>
      <c r="NU97" s="12"/>
      <c r="NV97" s="12"/>
      <c r="NW97" s="12"/>
      <c r="NX97" s="12"/>
      <c r="NY97" s="12"/>
      <c r="NZ97" s="12"/>
      <c r="OA97" s="12"/>
      <c r="OB97" s="12"/>
      <c r="OC97" s="12"/>
      <c r="OD97" s="12"/>
      <c r="OE97" s="12"/>
      <c r="OF97" s="12"/>
      <c r="OG97" s="12"/>
      <c r="OH97" s="12"/>
      <c r="OI97" s="12"/>
      <c r="OJ97" s="12"/>
      <c r="OK97" s="12"/>
      <c r="OL97" s="12"/>
      <c r="OM97" s="12"/>
      <c r="ON97" s="12"/>
      <c r="OO97" s="12"/>
      <c r="OP97" s="12"/>
      <c r="OQ97" s="12"/>
      <c r="OR97" s="12"/>
      <c r="OS97" s="12"/>
      <c r="OT97" s="12"/>
      <c r="OU97" s="12"/>
      <c r="OV97" s="12"/>
      <c r="OW97" s="12"/>
      <c r="OX97" s="12"/>
      <c r="OY97" s="12"/>
      <c r="OZ97" s="12"/>
      <c r="PA97" s="12"/>
      <c r="PB97" s="12"/>
      <c r="PC97" s="12"/>
      <c r="PD97" s="12"/>
      <c r="PE97" s="12"/>
      <c r="PF97" s="12"/>
      <c r="PG97" s="12"/>
      <c r="PH97" s="12"/>
      <c r="PI97" s="12"/>
      <c r="PJ97" s="12"/>
      <c r="PK97" s="12"/>
      <c r="PL97" s="12"/>
      <c r="PM97" s="12"/>
      <c r="PN97" s="12"/>
      <c r="PO97" s="12"/>
      <c r="PP97" s="12"/>
      <c r="PQ97" s="12"/>
      <c r="PR97" s="12"/>
      <c r="PS97" s="12"/>
      <c r="PT97" s="12"/>
      <c r="PU97" s="12"/>
      <c r="PV97" s="12"/>
      <c r="PW97" s="12"/>
      <c r="PX97" s="12"/>
      <c r="PY97" s="12"/>
      <c r="PZ97" s="12"/>
      <c r="QA97" s="12"/>
      <c r="QB97" s="12"/>
      <c r="QC97" s="12"/>
      <c r="QD97" s="12"/>
      <c r="QE97" s="12"/>
      <c r="QF97" s="12"/>
      <c r="QG97" s="12"/>
      <c r="QH97" s="12"/>
      <c r="QI97" s="12"/>
      <c r="QJ97" s="12"/>
      <c r="QK97" s="12"/>
      <c r="QL97" s="12"/>
      <c r="QM97" s="12"/>
      <c r="QN97" s="12"/>
      <c r="QO97" s="12"/>
      <c r="QP97" s="12"/>
      <c r="QQ97" s="12"/>
      <c r="QR97" s="12"/>
      <c r="QS97" s="12"/>
      <c r="QT97" s="12"/>
      <c r="QU97" s="12"/>
      <c r="QV97" s="12"/>
      <c r="QW97" s="12"/>
      <c r="QX97" s="12"/>
      <c r="QY97" s="12"/>
      <c r="QZ97" s="12"/>
      <c r="RA97" s="12"/>
      <c r="RB97" s="12"/>
      <c r="RC97" s="12"/>
      <c r="RD97" s="12"/>
      <c r="RE97" s="12"/>
      <c r="RF97" s="12"/>
      <c r="RG97" s="12"/>
      <c r="RH97" s="12"/>
      <c r="RI97" s="12"/>
      <c r="RJ97" s="12"/>
      <c r="RK97" s="12"/>
      <c r="RL97" s="12"/>
      <c r="RM97" s="12"/>
      <c r="RN97" s="12"/>
      <c r="RO97" s="12"/>
      <c r="RP97" s="12"/>
      <c r="RQ97" s="12"/>
      <c r="RR97" s="12"/>
      <c r="RS97" s="12"/>
      <c r="RT97" s="12"/>
      <c r="RU97" s="12"/>
      <c r="RV97" s="12"/>
      <c r="RW97" s="12"/>
      <c r="RX97" s="12"/>
      <c r="RY97" s="12"/>
      <c r="RZ97" s="12"/>
      <c r="SA97" s="12"/>
      <c r="SB97" s="12"/>
      <c r="SC97" s="12"/>
      <c r="SD97" s="12"/>
    </row>
    <row r="98" spans="1:498" s="10" customFormat="1" hidden="1">
      <c r="A98" s="90"/>
      <c r="B98" s="90"/>
      <c r="C98" s="90"/>
      <c r="D98" s="90"/>
      <c r="E98" s="163"/>
      <c r="F98" s="164"/>
      <c r="G98" s="164"/>
      <c r="H98" s="164"/>
      <c r="I98" s="164"/>
      <c r="J98" s="164"/>
      <c r="K98" s="164"/>
      <c r="L98" s="164"/>
      <c r="M98" s="164"/>
      <c r="N98" s="164"/>
      <c r="O98" s="164"/>
      <c r="P98" s="164"/>
      <c r="Q98" s="164"/>
      <c r="R98" s="164"/>
      <c r="S98" s="164"/>
      <c r="T98" s="164"/>
      <c r="U98" s="164"/>
      <c r="V98" s="164"/>
      <c r="W98" s="164"/>
      <c r="X98" s="164"/>
      <c r="Y98" s="164"/>
      <c r="Z98" s="164"/>
      <c r="AA98" s="164"/>
      <c r="AB98" s="164"/>
      <c r="AC98" s="164"/>
      <c r="AD98" s="164"/>
      <c r="AE98" s="92"/>
      <c r="AF98" s="92"/>
      <c r="AG98" s="92"/>
      <c r="AH98" s="92"/>
      <c r="AI98" s="92"/>
      <c r="AJ98" s="87"/>
      <c r="AK98" s="87"/>
      <c r="AL98" s="87"/>
      <c r="AM98" s="87"/>
      <c r="AN98" s="87"/>
      <c r="AO98" s="87"/>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c r="HS98" s="12"/>
      <c r="HT98" s="12"/>
      <c r="HU98" s="12"/>
      <c r="HV98" s="12"/>
      <c r="HW98" s="12"/>
      <c r="HX98" s="12"/>
      <c r="HY98" s="12"/>
      <c r="HZ98" s="12"/>
      <c r="IA98" s="12"/>
      <c r="IB98" s="12"/>
      <c r="IC98" s="12"/>
      <c r="ID98" s="12"/>
      <c r="IE98" s="12"/>
      <c r="IF98" s="12"/>
      <c r="IG98" s="12"/>
      <c r="IH98" s="12"/>
      <c r="II98" s="12"/>
      <c r="IJ98" s="12"/>
      <c r="IK98" s="12"/>
      <c r="IL98" s="12"/>
      <c r="IM98" s="12"/>
      <c r="IN98" s="12"/>
      <c r="IO98" s="12"/>
      <c r="IP98" s="12"/>
      <c r="IQ98" s="12"/>
      <c r="IR98" s="12"/>
      <c r="IS98" s="12"/>
      <c r="IT98" s="12"/>
      <c r="IU98" s="12"/>
      <c r="IV98" s="12"/>
      <c r="IW98" s="12"/>
      <c r="IX98" s="12"/>
      <c r="IY98" s="12"/>
      <c r="IZ98" s="12"/>
      <c r="JA98" s="12"/>
      <c r="JB98" s="12"/>
      <c r="JC98" s="12"/>
      <c r="JD98" s="12"/>
      <c r="JE98" s="12"/>
      <c r="JF98" s="12"/>
      <c r="JG98" s="12"/>
      <c r="JH98" s="12"/>
      <c r="JI98" s="12"/>
      <c r="JJ98" s="12"/>
      <c r="JK98" s="12"/>
      <c r="JL98" s="12"/>
      <c r="JM98" s="12"/>
      <c r="JN98" s="12"/>
      <c r="JO98" s="12"/>
      <c r="JP98" s="12"/>
      <c r="JQ98" s="12"/>
      <c r="JR98" s="12"/>
      <c r="JS98" s="12"/>
      <c r="JT98" s="12"/>
      <c r="JU98" s="12"/>
      <c r="JV98" s="12"/>
      <c r="JW98" s="12"/>
      <c r="JX98" s="12"/>
      <c r="JY98" s="12"/>
      <c r="JZ98" s="12"/>
      <c r="KA98" s="12"/>
      <c r="KB98" s="12"/>
      <c r="KC98" s="12"/>
      <c r="KD98" s="12"/>
      <c r="KE98" s="12"/>
      <c r="KF98" s="12"/>
      <c r="KG98" s="12"/>
      <c r="KH98" s="12"/>
      <c r="KI98" s="12"/>
      <c r="KJ98" s="12"/>
      <c r="KK98" s="12"/>
      <c r="KL98" s="12"/>
      <c r="KM98" s="12"/>
      <c r="KN98" s="12"/>
      <c r="KO98" s="12"/>
      <c r="KP98" s="12"/>
      <c r="KQ98" s="12"/>
      <c r="KR98" s="12"/>
      <c r="KS98" s="12"/>
      <c r="KT98" s="12"/>
      <c r="KU98" s="12"/>
      <c r="KV98" s="12"/>
      <c r="KW98" s="12"/>
      <c r="KX98" s="12"/>
      <c r="KY98" s="12"/>
      <c r="KZ98" s="12"/>
      <c r="LA98" s="12"/>
      <c r="LB98" s="12"/>
      <c r="LC98" s="12"/>
      <c r="LD98" s="12"/>
      <c r="LE98" s="12"/>
      <c r="LF98" s="12"/>
      <c r="LG98" s="12"/>
      <c r="LH98" s="12"/>
      <c r="LI98" s="12"/>
      <c r="LJ98" s="12"/>
      <c r="LK98" s="12"/>
      <c r="LL98" s="12"/>
      <c r="LM98" s="12"/>
      <c r="LN98" s="12"/>
      <c r="LO98" s="12"/>
      <c r="LP98" s="12"/>
      <c r="LQ98" s="12"/>
      <c r="LR98" s="12"/>
      <c r="LS98" s="12"/>
      <c r="LT98" s="12"/>
      <c r="LU98" s="12"/>
      <c r="LV98" s="12"/>
      <c r="LW98" s="12"/>
      <c r="LX98" s="12"/>
      <c r="LY98" s="12"/>
      <c r="LZ98" s="12"/>
      <c r="MA98" s="12"/>
      <c r="MB98" s="12"/>
      <c r="MC98" s="12"/>
      <c r="MD98" s="12"/>
      <c r="ME98" s="12"/>
      <c r="MF98" s="12"/>
      <c r="MG98" s="12"/>
      <c r="MH98" s="12"/>
      <c r="MI98" s="12"/>
      <c r="MJ98" s="12"/>
      <c r="MK98" s="12"/>
      <c r="ML98" s="12"/>
      <c r="MM98" s="12"/>
      <c r="MN98" s="12"/>
      <c r="MO98" s="12"/>
      <c r="MP98" s="12"/>
      <c r="MQ98" s="12"/>
      <c r="MR98" s="12"/>
      <c r="MS98" s="12"/>
      <c r="MT98" s="12"/>
      <c r="MU98" s="12"/>
      <c r="MV98" s="12"/>
      <c r="MW98" s="12"/>
      <c r="MX98" s="12"/>
      <c r="MY98" s="12"/>
      <c r="MZ98" s="12"/>
      <c r="NA98" s="12"/>
      <c r="NB98" s="12"/>
      <c r="NC98" s="12"/>
      <c r="ND98" s="12"/>
      <c r="NE98" s="12"/>
      <c r="NF98" s="12"/>
      <c r="NG98" s="12"/>
      <c r="NH98" s="12"/>
      <c r="NI98" s="12"/>
      <c r="NJ98" s="12"/>
      <c r="NK98" s="12"/>
      <c r="NL98" s="12"/>
      <c r="NM98" s="12"/>
      <c r="NN98" s="12"/>
      <c r="NO98" s="12"/>
      <c r="NP98" s="12"/>
      <c r="NQ98" s="12"/>
      <c r="NR98" s="12"/>
      <c r="NS98" s="12"/>
      <c r="NT98" s="12"/>
      <c r="NU98" s="12"/>
      <c r="NV98" s="12"/>
      <c r="NW98" s="12"/>
      <c r="NX98" s="12"/>
      <c r="NY98" s="12"/>
      <c r="NZ98" s="12"/>
      <c r="OA98" s="12"/>
      <c r="OB98" s="12"/>
      <c r="OC98" s="12"/>
      <c r="OD98" s="12"/>
      <c r="OE98" s="12"/>
      <c r="OF98" s="12"/>
      <c r="OG98" s="12"/>
      <c r="OH98" s="12"/>
      <c r="OI98" s="12"/>
      <c r="OJ98" s="12"/>
      <c r="OK98" s="12"/>
      <c r="OL98" s="12"/>
      <c r="OM98" s="12"/>
      <c r="ON98" s="12"/>
      <c r="OO98" s="12"/>
      <c r="OP98" s="12"/>
      <c r="OQ98" s="12"/>
      <c r="OR98" s="12"/>
      <c r="OS98" s="12"/>
      <c r="OT98" s="12"/>
      <c r="OU98" s="12"/>
      <c r="OV98" s="12"/>
      <c r="OW98" s="12"/>
      <c r="OX98" s="12"/>
      <c r="OY98" s="12"/>
      <c r="OZ98" s="12"/>
      <c r="PA98" s="12"/>
      <c r="PB98" s="12"/>
      <c r="PC98" s="12"/>
      <c r="PD98" s="12"/>
      <c r="PE98" s="12"/>
      <c r="PF98" s="12"/>
      <c r="PG98" s="12"/>
      <c r="PH98" s="12"/>
      <c r="PI98" s="12"/>
      <c r="PJ98" s="12"/>
      <c r="PK98" s="12"/>
      <c r="PL98" s="12"/>
      <c r="PM98" s="12"/>
      <c r="PN98" s="12"/>
      <c r="PO98" s="12"/>
      <c r="PP98" s="12"/>
      <c r="PQ98" s="12"/>
      <c r="PR98" s="12"/>
      <c r="PS98" s="12"/>
      <c r="PT98" s="12"/>
      <c r="PU98" s="12"/>
      <c r="PV98" s="12"/>
      <c r="PW98" s="12"/>
      <c r="PX98" s="12"/>
      <c r="PY98" s="12"/>
      <c r="PZ98" s="12"/>
      <c r="QA98" s="12"/>
      <c r="QB98" s="12"/>
      <c r="QC98" s="12"/>
      <c r="QD98" s="12"/>
      <c r="QE98" s="12"/>
      <c r="QF98" s="12"/>
      <c r="QG98" s="12"/>
      <c r="QH98" s="12"/>
      <c r="QI98" s="12"/>
      <c r="QJ98" s="12"/>
      <c r="QK98" s="12"/>
      <c r="QL98" s="12"/>
      <c r="QM98" s="12"/>
      <c r="QN98" s="12"/>
      <c r="QO98" s="12"/>
      <c r="QP98" s="12"/>
      <c r="QQ98" s="12"/>
      <c r="QR98" s="12"/>
      <c r="QS98" s="12"/>
      <c r="QT98" s="12"/>
      <c r="QU98" s="12"/>
      <c r="QV98" s="12"/>
      <c r="QW98" s="12"/>
      <c r="QX98" s="12"/>
      <c r="QY98" s="12"/>
      <c r="QZ98" s="12"/>
      <c r="RA98" s="12"/>
      <c r="RB98" s="12"/>
      <c r="RC98" s="12"/>
      <c r="RD98" s="12"/>
      <c r="RE98" s="12"/>
      <c r="RF98" s="12"/>
      <c r="RG98" s="12"/>
      <c r="RH98" s="12"/>
      <c r="RI98" s="12"/>
      <c r="RJ98" s="12"/>
      <c r="RK98" s="12"/>
      <c r="RL98" s="12"/>
      <c r="RM98" s="12"/>
      <c r="RN98" s="12"/>
      <c r="RO98" s="12"/>
      <c r="RP98" s="12"/>
      <c r="RQ98" s="12"/>
      <c r="RR98" s="12"/>
      <c r="RS98" s="12"/>
      <c r="RT98" s="12"/>
      <c r="RU98" s="12"/>
      <c r="RV98" s="12"/>
      <c r="RW98" s="12"/>
      <c r="RX98" s="12"/>
      <c r="RY98" s="12"/>
      <c r="RZ98" s="12"/>
      <c r="SA98" s="12"/>
      <c r="SB98" s="12"/>
      <c r="SC98" s="12"/>
      <c r="SD98" s="12"/>
    </row>
    <row r="99" spans="1:498" s="10" customFormat="1" hidden="1">
      <c r="A99" s="90"/>
      <c r="B99" s="165" t="s">
        <v>35</v>
      </c>
      <c r="C99" s="90"/>
      <c r="D99" s="90"/>
      <c r="E99" s="163" t="s">
        <v>7</v>
      </c>
      <c r="F99" s="164">
        <v>1</v>
      </c>
      <c r="G99" s="164">
        <v>2</v>
      </c>
      <c r="H99" s="164">
        <v>3</v>
      </c>
      <c r="I99" s="164">
        <v>4</v>
      </c>
      <c r="J99" s="164">
        <v>5</v>
      </c>
      <c r="K99" s="164">
        <v>6</v>
      </c>
      <c r="L99" s="164">
        <v>7</v>
      </c>
      <c r="M99" s="164">
        <v>8</v>
      </c>
      <c r="N99" s="164">
        <v>9</v>
      </c>
      <c r="O99" s="164">
        <v>10</v>
      </c>
      <c r="P99" s="164">
        <v>11</v>
      </c>
      <c r="Q99" s="164">
        <v>12</v>
      </c>
      <c r="R99" s="164">
        <v>13</v>
      </c>
      <c r="S99" s="164">
        <v>14</v>
      </c>
      <c r="T99" s="164">
        <v>15</v>
      </c>
      <c r="U99" s="164">
        <v>16</v>
      </c>
      <c r="V99" s="164">
        <v>17</v>
      </c>
      <c r="W99" s="164">
        <v>18</v>
      </c>
      <c r="X99" s="164">
        <v>19</v>
      </c>
      <c r="Y99" s="164">
        <v>20</v>
      </c>
      <c r="Z99" s="164">
        <v>21</v>
      </c>
      <c r="AA99" s="164">
        <v>22</v>
      </c>
      <c r="AB99" s="164">
        <v>23</v>
      </c>
      <c r="AC99" s="164">
        <v>24</v>
      </c>
      <c r="AD99" s="164">
        <v>25</v>
      </c>
      <c r="AE99" s="92"/>
      <c r="AF99" s="92"/>
      <c r="AG99" s="92"/>
      <c r="AH99" s="92"/>
      <c r="AI99" s="92"/>
      <c r="AJ99" s="87"/>
      <c r="AK99" s="87"/>
      <c r="AL99" s="87"/>
      <c r="AM99" s="87"/>
      <c r="AN99" s="87"/>
      <c r="AO99" s="87"/>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c r="HR99" s="12"/>
      <c r="HS99" s="12"/>
      <c r="HT99" s="12"/>
      <c r="HU99" s="12"/>
      <c r="HV99" s="12"/>
      <c r="HW99" s="12"/>
      <c r="HX99" s="12"/>
      <c r="HY99" s="12"/>
      <c r="HZ99" s="12"/>
      <c r="IA99" s="12"/>
      <c r="IB99" s="12"/>
      <c r="IC99" s="12"/>
      <c r="ID99" s="12"/>
      <c r="IE99" s="12"/>
      <c r="IF99" s="12"/>
      <c r="IG99" s="12"/>
      <c r="IH99" s="12"/>
      <c r="II99" s="12"/>
      <c r="IJ99" s="12"/>
      <c r="IK99" s="12"/>
      <c r="IL99" s="12"/>
      <c r="IM99" s="12"/>
      <c r="IN99" s="12"/>
      <c r="IO99" s="12"/>
      <c r="IP99" s="12"/>
      <c r="IQ99" s="12"/>
      <c r="IR99" s="12"/>
      <c r="IS99" s="12"/>
      <c r="IT99" s="12"/>
      <c r="IU99" s="12"/>
      <c r="IV99" s="12"/>
      <c r="IW99" s="12"/>
      <c r="IX99" s="12"/>
      <c r="IY99" s="12"/>
      <c r="IZ99" s="12"/>
      <c r="JA99" s="12"/>
      <c r="JB99" s="12"/>
      <c r="JC99" s="12"/>
      <c r="JD99" s="12"/>
      <c r="JE99" s="12"/>
      <c r="JF99" s="12"/>
      <c r="JG99" s="12"/>
      <c r="JH99" s="12"/>
      <c r="JI99" s="12"/>
      <c r="JJ99" s="12"/>
      <c r="JK99" s="12"/>
      <c r="JL99" s="12"/>
      <c r="JM99" s="12"/>
      <c r="JN99" s="12"/>
      <c r="JO99" s="12"/>
      <c r="JP99" s="12"/>
      <c r="JQ99" s="12"/>
      <c r="JR99" s="12"/>
      <c r="JS99" s="12"/>
      <c r="JT99" s="12"/>
      <c r="JU99" s="12"/>
      <c r="JV99" s="12"/>
      <c r="JW99" s="12"/>
      <c r="JX99" s="12"/>
      <c r="JY99" s="12"/>
      <c r="JZ99" s="12"/>
      <c r="KA99" s="12"/>
      <c r="KB99" s="12"/>
      <c r="KC99" s="12"/>
      <c r="KD99" s="12"/>
      <c r="KE99" s="12"/>
      <c r="KF99" s="12"/>
      <c r="KG99" s="12"/>
      <c r="KH99" s="12"/>
      <c r="KI99" s="12"/>
      <c r="KJ99" s="12"/>
      <c r="KK99" s="12"/>
      <c r="KL99" s="12"/>
      <c r="KM99" s="12"/>
      <c r="KN99" s="12"/>
      <c r="KO99" s="12"/>
      <c r="KP99" s="12"/>
      <c r="KQ99" s="12"/>
      <c r="KR99" s="12"/>
      <c r="KS99" s="12"/>
      <c r="KT99" s="12"/>
      <c r="KU99" s="12"/>
      <c r="KV99" s="12"/>
      <c r="KW99" s="12"/>
      <c r="KX99" s="12"/>
      <c r="KY99" s="12"/>
      <c r="KZ99" s="12"/>
      <c r="LA99" s="12"/>
      <c r="LB99" s="12"/>
      <c r="LC99" s="12"/>
      <c r="LD99" s="12"/>
      <c r="LE99" s="12"/>
      <c r="LF99" s="12"/>
      <c r="LG99" s="12"/>
      <c r="LH99" s="12"/>
      <c r="LI99" s="12"/>
      <c r="LJ99" s="12"/>
      <c r="LK99" s="12"/>
      <c r="LL99" s="12"/>
      <c r="LM99" s="12"/>
      <c r="LN99" s="12"/>
      <c r="LO99" s="12"/>
      <c r="LP99" s="12"/>
      <c r="LQ99" s="12"/>
      <c r="LR99" s="12"/>
      <c r="LS99" s="12"/>
      <c r="LT99" s="12"/>
      <c r="LU99" s="12"/>
      <c r="LV99" s="12"/>
      <c r="LW99" s="12"/>
      <c r="LX99" s="12"/>
      <c r="LY99" s="12"/>
      <c r="LZ99" s="12"/>
      <c r="MA99" s="12"/>
      <c r="MB99" s="12"/>
      <c r="MC99" s="12"/>
      <c r="MD99" s="12"/>
      <c r="ME99" s="12"/>
      <c r="MF99" s="12"/>
      <c r="MG99" s="12"/>
      <c r="MH99" s="12"/>
      <c r="MI99" s="12"/>
      <c r="MJ99" s="12"/>
      <c r="MK99" s="12"/>
      <c r="ML99" s="12"/>
      <c r="MM99" s="12"/>
      <c r="MN99" s="12"/>
      <c r="MO99" s="12"/>
      <c r="MP99" s="12"/>
      <c r="MQ99" s="12"/>
      <c r="MR99" s="12"/>
      <c r="MS99" s="12"/>
      <c r="MT99" s="12"/>
      <c r="MU99" s="12"/>
      <c r="MV99" s="12"/>
      <c r="MW99" s="12"/>
      <c r="MX99" s="12"/>
      <c r="MY99" s="12"/>
      <c r="MZ99" s="12"/>
      <c r="NA99" s="12"/>
      <c r="NB99" s="12"/>
      <c r="NC99" s="12"/>
      <c r="ND99" s="12"/>
      <c r="NE99" s="12"/>
      <c r="NF99" s="12"/>
      <c r="NG99" s="12"/>
      <c r="NH99" s="12"/>
      <c r="NI99" s="12"/>
      <c r="NJ99" s="12"/>
      <c r="NK99" s="12"/>
      <c r="NL99" s="12"/>
      <c r="NM99" s="12"/>
      <c r="NN99" s="12"/>
      <c r="NO99" s="12"/>
      <c r="NP99" s="12"/>
      <c r="NQ99" s="12"/>
      <c r="NR99" s="12"/>
      <c r="NS99" s="12"/>
      <c r="NT99" s="12"/>
      <c r="NU99" s="12"/>
      <c r="NV99" s="12"/>
      <c r="NW99" s="12"/>
      <c r="NX99" s="12"/>
      <c r="NY99" s="12"/>
      <c r="NZ99" s="12"/>
      <c r="OA99" s="12"/>
      <c r="OB99" s="12"/>
      <c r="OC99" s="12"/>
      <c r="OD99" s="12"/>
      <c r="OE99" s="12"/>
      <c r="OF99" s="12"/>
      <c r="OG99" s="12"/>
      <c r="OH99" s="12"/>
      <c r="OI99" s="12"/>
      <c r="OJ99" s="12"/>
      <c r="OK99" s="12"/>
      <c r="OL99" s="12"/>
      <c r="OM99" s="12"/>
      <c r="ON99" s="12"/>
      <c r="OO99" s="12"/>
      <c r="OP99" s="12"/>
      <c r="OQ99" s="12"/>
      <c r="OR99" s="12"/>
      <c r="OS99" s="12"/>
      <c r="OT99" s="12"/>
      <c r="OU99" s="12"/>
      <c r="OV99" s="12"/>
      <c r="OW99" s="12"/>
      <c r="OX99" s="12"/>
      <c r="OY99" s="12"/>
      <c r="OZ99" s="12"/>
      <c r="PA99" s="12"/>
      <c r="PB99" s="12"/>
      <c r="PC99" s="12"/>
      <c r="PD99" s="12"/>
      <c r="PE99" s="12"/>
      <c r="PF99" s="12"/>
      <c r="PG99" s="12"/>
      <c r="PH99" s="12"/>
      <c r="PI99" s="12"/>
      <c r="PJ99" s="12"/>
      <c r="PK99" s="12"/>
      <c r="PL99" s="12"/>
      <c r="PM99" s="12"/>
      <c r="PN99" s="12"/>
      <c r="PO99" s="12"/>
      <c r="PP99" s="12"/>
      <c r="PQ99" s="12"/>
      <c r="PR99" s="12"/>
      <c r="PS99" s="12"/>
      <c r="PT99" s="12"/>
      <c r="PU99" s="12"/>
      <c r="PV99" s="12"/>
      <c r="PW99" s="12"/>
      <c r="PX99" s="12"/>
      <c r="PY99" s="12"/>
      <c r="PZ99" s="12"/>
      <c r="QA99" s="12"/>
      <c r="QB99" s="12"/>
      <c r="QC99" s="12"/>
      <c r="QD99" s="12"/>
      <c r="QE99" s="12"/>
      <c r="QF99" s="12"/>
      <c r="QG99" s="12"/>
      <c r="QH99" s="12"/>
      <c r="QI99" s="12"/>
      <c r="QJ99" s="12"/>
      <c r="QK99" s="12"/>
      <c r="QL99" s="12"/>
      <c r="QM99" s="12"/>
      <c r="QN99" s="12"/>
      <c r="QO99" s="12"/>
      <c r="QP99" s="12"/>
      <c r="QQ99" s="12"/>
      <c r="QR99" s="12"/>
      <c r="QS99" s="12"/>
      <c r="QT99" s="12"/>
      <c r="QU99" s="12"/>
      <c r="QV99" s="12"/>
      <c r="QW99" s="12"/>
      <c r="QX99" s="12"/>
      <c r="QY99" s="12"/>
      <c r="QZ99" s="12"/>
      <c r="RA99" s="12"/>
      <c r="RB99" s="12"/>
      <c r="RC99" s="12"/>
      <c r="RD99" s="12"/>
      <c r="RE99" s="12"/>
      <c r="RF99" s="12"/>
      <c r="RG99" s="12"/>
      <c r="RH99" s="12"/>
      <c r="RI99" s="12"/>
      <c r="RJ99" s="12"/>
      <c r="RK99" s="12"/>
      <c r="RL99" s="12"/>
      <c r="RM99" s="12"/>
      <c r="RN99" s="12"/>
      <c r="RO99" s="12"/>
      <c r="RP99" s="12"/>
      <c r="RQ99" s="12"/>
      <c r="RR99" s="12"/>
      <c r="RS99" s="12"/>
      <c r="RT99" s="12"/>
      <c r="RU99" s="12"/>
      <c r="RV99" s="12"/>
      <c r="RW99" s="12"/>
      <c r="RX99" s="12"/>
      <c r="RY99" s="12"/>
      <c r="RZ99" s="12"/>
      <c r="SA99" s="12"/>
      <c r="SB99" s="12"/>
      <c r="SC99" s="12"/>
      <c r="SD99" s="12"/>
    </row>
    <row r="100" spans="1:498" s="10" customFormat="1" hidden="1">
      <c r="A100" s="90"/>
      <c r="B100" s="90" t="s">
        <v>13</v>
      </c>
      <c r="C100" s="90"/>
      <c r="D100" s="90"/>
      <c r="E100" s="163"/>
      <c r="F100" s="113">
        <f>F108*12</f>
        <v>8736.75</v>
      </c>
      <c r="G100" s="113">
        <f t="shared" ref="G100:Y100" si="76">IF(
AND(
G50&gt;20+N("If it is past the 20th year AND"),
$D$62&lt;=40000+N("The loan balance is greater than 40k THEN")),
0+N("The loan balance is zero")+N("If not, THEN"),
IF(
F106=0+N("If the preceding year's loan balance is zero then"),
0+N("the current IBR payment is zero")+N("If the condition is not met then"),
IF(
AND(
G106=0+N("If this year's loan balance will be zero AND"),
I106=0+N("two year's from now it will be zero, then")),
F106+N("this is the last year of payment, and therefore the total payment made this year will simply be the remaining loan balance from last year")+N("If not then"),
G108*12+N("The monthly IBR payment multiplied by twelve"))))</f>
        <v>9011.1674249999996</v>
      </c>
      <c r="H100" s="113">
        <f t="shared" si="76"/>
        <v>9294.1264773674993</v>
      </c>
      <c r="I100" s="113">
        <f t="shared" si="76"/>
        <v>9585.8911644494256</v>
      </c>
      <c r="J100" s="113">
        <f t="shared" si="76"/>
        <v>9886.7336085521074</v>
      </c>
      <c r="K100" s="113">
        <f t="shared" si="76"/>
        <v>10196.934295278015</v>
      </c>
      <c r="L100" s="113">
        <f t="shared" si="76"/>
        <v>10516.78232943528</v>
      </c>
      <c r="M100" s="113">
        <f t="shared" si="76"/>
        <v>19510.49471272048</v>
      </c>
      <c r="N100" s="113">
        <f t="shared" si="76"/>
        <v>20110.458130009767</v>
      </c>
      <c r="O100" s="113">
        <f t="shared" si="76"/>
        <v>20728.788129073007</v>
      </c>
      <c r="P100" s="113">
        <f t="shared" si="76"/>
        <v>21366.044936112743</v>
      </c>
      <c r="Q100" s="113">
        <f t="shared" si="76"/>
        <v>22022.805815759177</v>
      </c>
      <c r="R100" s="113">
        <f t="shared" si="76"/>
        <v>22699.665588037231</v>
      </c>
      <c r="S100" s="113">
        <f t="shared" si="76"/>
        <v>23397.237160988541</v>
      </c>
      <c r="T100" s="113">
        <f t="shared" si="76"/>
        <v>24116.152079421678</v>
      </c>
      <c r="U100" s="113">
        <f t="shared" si="76"/>
        <v>24857.06109027825</v>
      </c>
      <c r="V100" s="113">
        <f t="shared" si="76"/>
        <v>8408.9621035479577</v>
      </c>
      <c r="W100" s="113">
        <f t="shared" si="76"/>
        <v>0</v>
      </c>
      <c r="X100" s="113">
        <f t="shared" si="76"/>
        <v>0</v>
      </c>
      <c r="Y100" s="113">
        <f t="shared" si="76"/>
        <v>0</v>
      </c>
      <c r="Z100" s="113">
        <f>IF(
AND(
Z50&gt;20+N("If it is past the 20th year AND"),
+C10&lt;=40000+N("The loan balance is greater than 40k THEN")),
0+N("The loan balance is zero")+N("If not, THEN"),
IF(
Y106=0+N("If the preceding year's loan balance is zero then"),
0+N("the current IBR payment is zero")+N("If the condition is not met then"),
IF(
AND(
Z106=0+N("If this year's loan balance will be zero AND"),
AB106=0+N("two year's from now it will be zero, then")),
Y106+N("this is the last year of payment, and therefore the total payment made this year will simply be the remaining loan balance from last year")+N("If not then"),
Z108*12+N("The monthly IBR payment multiplied by twelve"))))</f>
        <v>0</v>
      </c>
      <c r="AA100" s="113">
        <f t="shared" ref="AA100:AD100" si="77">IF(
AND(
AA50&gt;20+N("If it is past the 20th year AND"),
$D$62&lt;=40000+N("The loan balance is greater than 40k THEN")),
0+N("The loan balance is zero")+N("If not, THEN"),
IF(
Z106=0+N("If the preceding year's loan balance is zero then"),
0+N("the current IBR payment is zero")+N("If the condition is not met then"),
IF(
AND(
AA106=0+N("If this year's loan balance will be zero AND"),
AC106=0+N("two year's from now it will be zero, then")),
Z106+N("this is the last year of payment, and therefore the total payment made this year will simply be the remaining loan balance from last year")+N("If not then"),
AA108*12+N("The monthly IBR payment multiplied by twelve"))))</f>
        <v>0</v>
      </c>
      <c r="AB100" s="113">
        <f t="shared" si="77"/>
        <v>0</v>
      </c>
      <c r="AC100" s="113">
        <f t="shared" si="77"/>
        <v>0</v>
      </c>
      <c r="AD100" s="113">
        <f t="shared" si="77"/>
        <v>0</v>
      </c>
      <c r="AE100" s="92"/>
      <c r="AF100" s="92"/>
      <c r="AG100" s="92"/>
      <c r="AH100" s="92"/>
      <c r="AI100" s="92"/>
      <c r="AJ100" s="87"/>
      <c r="AK100" s="87"/>
      <c r="AL100" s="87"/>
      <c r="AM100" s="87"/>
      <c r="AN100" s="87"/>
      <c r="AO100" s="87"/>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c r="GR100" s="12"/>
      <c r="GS100" s="12"/>
      <c r="GT100" s="12"/>
      <c r="GU100" s="12"/>
      <c r="GV100" s="12"/>
      <c r="GW100" s="12"/>
      <c r="GX100" s="12"/>
      <c r="GY100" s="12"/>
      <c r="GZ100" s="12"/>
      <c r="HA100" s="12"/>
      <c r="HB100" s="12"/>
      <c r="HC100" s="12"/>
      <c r="HD100" s="12"/>
      <c r="HE100" s="12"/>
      <c r="HF100" s="12"/>
      <c r="HG100" s="12"/>
      <c r="HH100" s="12"/>
      <c r="HI100" s="12"/>
      <c r="HJ100" s="12"/>
      <c r="HK100" s="12"/>
      <c r="HL100" s="12"/>
      <c r="HM100" s="12"/>
      <c r="HN100" s="12"/>
      <c r="HO100" s="12"/>
      <c r="HP100" s="12"/>
      <c r="HQ100" s="12"/>
      <c r="HR100" s="12"/>
      <c r="HS100" s="12"/>
      <c r="HT100" s="12"/>
      <c r="HU100" s="12"/>
      <c r="HV100" s="12"/>
      <c r="HW100" s="12"/>
      <c r="HX100" s="12"/>
      <c r="HY100" s="12"/>
      <c r="HZ100" s="12"/>
      <c r="IA100" s="12"/>
      <c r="IB100" s="12"/>
      <c r="IC100" s="12"/>
      <c r="ID100" s="12"/>
      <c r="IE100" s="12"/>
      <c r="IF100" s="12"/>
      <c r="IG100" s="12"/>
      <c r="IH100" s="12"/>
      <c r="II100" s="12"/>
      <c r="IJ100" s="12"/>
      <c r="IK100" s="12"/>
      <c r="IL100" s="12"/>
      <c r="IM100" s="12"/>
      <c r="IN100" s="12"/>
      <c r="IO100" s="12"/>
      <c r="IP100" s="12"/>
      <c r="IQ100" s="12"/>
      <c r="IR100" s="12"/>
      <c r="IS100" s="12"/>
      <c r="IT100" s="12"/>
      <c r="IU100" s="12"/>
      <c r="IV100" s="12"/>
      <c r="IW100" s="12"/>
      <c r="IX100" s="12"/>
      <c r="IY100" s="12"/>
      <c r="IZ100" s="12"/>
      <c r="JA100" s="12"/>
      <c r="JB100" s="12"/>
      <c r="JC100" s="12"/>
      <c r="JD100" s="12"/>
      <c r="JE100" s="12"/>
      <c r="JF100" s="12"/>
      <c r="JG100" s="12"/>
      <c r="JH100" s="12"/>
      <c r="JI100" s="12"/>
      <c r="JJ100" s="12"/>
      <c r="JK100" s="12"/>
      <c r="JL100" s="12"/>
      <c r="JM100" s="12"/>
      <c r="JN100" s="12"/>
      <c r="JO100" s="12"/>
      <c r="JP100" s="12"/>
      <c r="JQ100" s="12"/>
      <c r="JR100" s="12"/>
      <c r="JS100" s="12"/>
      <c r="JT100" s="12"/>
      <c r="JU100" s="12"/>
      <c r="JV100" s="12"/>
      <c r="JW100" s="12"/>
      <c r="JX100" s="12"/>
      <c r="JY100" s="12"/>
      <c r="JZ100" s="12"/>
      <c r="KA100" s="12"/>
      <c r="KB100" s="12"/>
      <c r="KC100" s="12"/>
      <c r="KD100" s="12"/>
      <c r="KE100" s="12"/>
      <c r="KF100" s="12"/>
      <c r="KG100" s="12"/>
      <c r="KH100" s="12"/>
      <c r="KI100" s="12"/>
      <c r="KJ100" s="12"/>
      <c r="KK100" s="12"/>
      <c r="KL100" s="12"/>
      <c r="KM100" s="12"/>
      <c r="KN100" s="12"/>
      <c r="KO100" s="12"/>
      <c r="KP100" s="12"/>
      <c r="KQ100" s="12"/>
      <c r="KR100" s="12"/>
      <c r="KS100" s="12"/>
      <c r="KT100" s="12"/>
      <c r="KU100" s="12"/>
      <c r="KV100" s="12"/>
      <c r="KW100" s="12"/>
      <c r="KX100" s="12"/>
      <c r="KY100" s="12"/>
      <c r="KZ100" s="12"/>
      <c r="LA100" s="12"/>
      <c r="LB100" s="12"/>
      <c r="LC100" s="12"/>
      <c r="LD100" s="12"/>
      <c r="LE100" s="12"/>
      <c r="LF100" s="12"/>
      <c r="LG100" s="12"/>
      <c r="LH100" s="12"/>
      <c r="LI100" s="12"/>
      <c r="LJ100" s="12"/>
      <c r="LK100" s="12"/>
      <c r="LL100" s="12"/>
      <c r="LM100" s="12"/>
      <c r="LN100" s="12"/>
      <c r="LO100" s="12"/>
      <c r="LP100" s="12"/>
      <c r="LQ100" s="12"/>
      <c r="LR100" s="12"/>
      <c r="LS100" s="12"/>
      <c r="LT100" s="12"/>
      <c r="LU100" s="12"/>
      <c r="LV100" s="12"/>
      <c r="LW100" s="12"/>
      <c r="LX100" s="12"/>
      <c r="LY100" s="12"/>
      <c r="LZ100" s="12"/>
      <c r="MA100" s="12"/>
      <c r="MB100" s="12"/>
      <c r="MC100" s="12"/>
      <c r="MD100" s="12"/>
      <c r="ME100" s="12"/>
      <c r="MF100" s="12"/>
      <c r="MG100" s="12"/>
      <c r="MH100" s="12"/>
      <c r="MI100" s="12"/>
      <c r="MJ100" s="12"/>
      <c r="MK100" s="12"/>
      <c r="ML100" s="12"/>
      <c r="MM100" s="12"/>
      <c r="MN100" s="12"/>
      <c r="MO100" s="12"/>
      <c r="MP100" s="12"/>
      <c r="MQ100" s="12"/>
      <c r="MR100" s="12"/>
      <c r="MS100" s="12"/>
      <c r="MT100" s="12"/>
      <c r="MU100" s="12"/>
      <c r="MV100" s="12"/>
      <c r="MW100" s="12"/>
      <c r="MX100" s="12"/>
      <c r="MY100" s="12"/>
      <c r="MZ100" s="12"/>
      <c r="NA100" s="12"/>
      <c r="NB100" s="12"/>
      <c r="NC100" s="12"/>
      <c r="ND100" s="12"/>
      <c r="NE100" s="12"/>
      <c r="NF100" s="12"/>
      <c r="NG100" s="12"/>
      <c r="NH100" s="12"/>
      <c r="NI100" s="12"/>
      <c r="NJ100" s="12"/>
      <c r="NK100" s="12"/>
      <c r="NL100" s="12"/>
      <c r="NM100" s="12"/>
      <c r="NN100" s="12"/>
      <c r="NO100" s="12"/>
      <c r="NP100" s="12"/>
      <c r="NQ100" s="12"/>
      <c r="NR100" s="12"/>
      <c r="NS100" s="12"/>
      <c r="NT100" s="12"/>
      <c r="NU100" s="12"/>
      <c r="NV100" s="12"/>
      <c r="NW100" s="12"/>
      <c r="NX100" s="12"/>
      <c r="NY100" s="12"/>
      <c r="NZ100" s="12"/>
      <c r="OA100" s="12"/>
      <c r="OB100" s="12"/>
      <c r="OC100" s="12"/>
      <c r="OD100" s="12"/>
      <c r="OE100" s="12"/>
      <c r="OF100" s="12"/>
      <c r="OG100" s="12"/>
      <c r="OH100" s="12"/>
      <c r="OI100" s="12"/>
      <c r="OJ100" s="12"/>
      <c r="OK100" s="12"/>
      <c r="OL100" s="12"/>
      <c r="OM100" s="12"/>
      <c r="ON100" s="12"/>
      <c r="OO100" s="12"/>
      <c r="OP100" s="12"/>
      <c r="OQ100" s="12"/>
      <c r="OR100" s="12"/>
      <c r="OS100" s="12"/>
      <c r="OT100" s="12"/>
      <c r="OU100" s="12"/>
      <c r="OV100" s="12"/>
      <c r="OW100" s="12"/>
      <c r="OX100" s="12"/>
      <c r="OY100" s="12"/>
      <c r="OZ100" s="12"/>
      <c r="PA100" s="12"/>
      <c r="PB100" s="12"/>
      <c r="PC100" s="12"/>
      <c r="PD100" s="12"/>
      <c r="PE100" s="12"/>
      <c r="PF100" s="12"/>
      <c r="PG100" s="12"/>
      <c r="PH100" s="12"/>
      <c r="PI100" s="12"/>
      <c r="PJ100" s="12"/>
      <c r="PK100" s="12"/>
      <c r="PL100" s="12"/>
      <c r="PM100" s="12"/>
      <c r="PN100" s="12"/>
      <c r="PO100" s="12"/>
      <c r="PP100" s="12"/>
      <c r="PQ100" s="12"/>
      <c r="PR100" s="12"/>
      <c r="PS100" s="12"/>
      <c r="PT100" s="12"/>
      <c r="PU100" s="12"/>
      <c r="PV100" s="12"/>
      <c r="PW100" s="12"/>
      <c r="PX100" s="12"/>
      <c r="PY100" s="12"/>
      <c r="PZ100" s="12"/>
      <c r="QA100" s="12"/>
      <c r="QB100" s="12"/>
      <c r="QC100" s="12"/>
      <c r="QD100" s="12"/>
      <c r="QE100" s="12"/>
      <c r="QF100" s="12"/>
      <c r="QG100" s="12"/>
      <c r="QH100" s="12"/>
      <c r="QI100" s="12"/>
      <c r="QJ100" s="12"/>
      <c r="QK100" s="12"/>
      <c r="QL100" s="12"/>
      <c r="QM100" s="12"/>
      <c r="QN100" s="12"/>
      <c r="QO100" s="12"/>
      <c r="QP100" s="12"/>
      <c r="QQ100" s="12"/>
      <c r="QR100" s="12"/>
      <c r="QS100" s="12"/>
      <c r="QT100" s="12"/>
      <c r="QU100" s="12"/>
      <c r="QV100" s="12"/>
      <c r="QW100" s="12"/>
      <c r="QX100" s="12"/>
      <c r="QY100" s="12"/>
      <c r="QZ100" s="12"/>
      <c r="RA100" s="12"/>
      <c r="RB100" s="12"/>
      <c r="RC100" s="12"/>
      <c r="RD100" s="12"/>
      <c r="RE100" s="12"/>
      <c r="RF100" s="12"/>
      <c r="RG100" s="12"/>
      <c r="RH100" s="12"/>
      <c r="RI100" s="12"/>
      <c r="RJ100" s="12"/>
      <c r="RK100" s="12"/>
      <c r="RL100" s="12"/>
      <c r="RM100" s="12"/>
      <c r="RN100" s="12"/>
      <c r="RO100" s="12"/>
      <c r="RP100" s="12"/>
      <c r="RQ100" s="12"/>
      <c r="RR100" s="12"/>
      <c r="RS100" s="12"/>
      <c r="RT100" s="12"/>
      <c r="RU100" s="12"/>
      <c r="RV100" s="12"/>
      <c r="RW100" s="12"/>
      <c r="RX100" s="12"/>
      <c r="RY100" s="12"/>
      <c r="RZ100" s="12"/>
      <c r="SA100" s="12"/>
      <c r="SB100" s="12"/>
      <c r="SC100" s="12"/>
      <c r="SD100" s="12"/>
    </row>
    <row r="101" spans="1:498" s="10" customFormat="1" hidden="1">
      <c r="A101" s="90"/>
      <c r="B101" s="90" t="s">
        <v>14</v>
      </c>
      <c r="C101" s="90"/>
      <c r="D101" s="90"/>
      <c r="E101" s="163"/>
      <c r="F101" s="113">
        <f>D62*C11</f>
        <v>9968.75</v>
      </c>
      <c r="G101" s="113">
        <f t="shared" ref="G101:AD101" si="78">IF(
F102&gt;0+N("IF the student negatively amortized the previous year, then"),
$D$62*$C$11+N("Annual interest is the original loan balance multiplied by the interest rate")+N("If they made a principal payment in the previous year then..."),
F106*$C$11+N("Since the previous year's loan balance must be lower tahn the original loan balance, the annual interest is the previous year's loan balance multiplied by the interest rate"))</f>
        <v>9968.75</v>
      </c>
      <c r="H101" s="113">
        <f t="shared" si="78"/>
        <v>9968.75</v>
      </c>
      <c r="I101" s="113">
        <f t="shared" si="78"/>
        <v>9968.75</v>
      </c>
      <c r="J101" s="113">
        <f t="shared" si="78"/>
        <v>9968.75</v>
      </c>
      <c r="K101" s="113">
        <f t="shared" si="78"/>
        <v>9968.75</v>
      </c>
      <c r="L101" s="113">
        <f t="shared" si="78"/>
        <v>9968.75</v>
      </c>
      <c r="M101" s="113">
        <f t="shared" si="78"/>
        <v>9968.75</v>
      </c>
      <c r="N101" s="113">
        <f t="shared" si="78"/>
        <v>9488.2644991198085</v>
      </c>
      <c r="O101" s="113">
        <f t="shared" si="78"/>
        <v>8757.9886869961247</v>
      </c>
      <c r="P101" s="113">
        <f t="shared" si="78"/>
        <v>7934.9962253533395</v>
      </c>
      <c r="Q101" s="113">
        <f t="shared" si="78"/>
        <v>7011.6116264886305</v>
      </c>
      <c r="R101" s="113">
        <f t="shared" si="78"/>
        <v>5979.5920259762815</v>
      </c>
      <c r="S101" s="113">
        <f t="shared" si="78"/>
        <v>4830.0869685845919</v>
      </c>
      <c r="T101" s="113">
        <f t="shared" si="78"/>
        <v>3553.5953928568206</v>
      </c>
      <c r="U101" s="113">
        <f t="shared" si="78"/>
        <v>2139.9196206554871</v>
      </c>
      <c r="V101" s="113">
        <f t="shared" si="78"/>
        <v>578.11614461892214</v>
      </c>
      <c r="W101" s="113">
        <f t="shared" si="78"/>
        <v>0</v>
      </c>
      <c r="X101" s="113">
        <f t="shared" si="78"/>
        <v>0</v>
      </c>
      <c r="Y101" s="113">
        <f t="shared" si="78"/>
        <v>0</v>
      </c>
      <c r="Z101" s="113">
        <f t="shared" si="78"/>
        <v>0</v>
      </c>
      <c r="AA101" s="113">
        <f t="shared" si="78"/>
        <v>0</v>
      </c>
      <c r="AB101" s="113">
        <f t="shared" si="78"/>
        <v>0</v>
      </c>
      <c r="AC101" s="113">
        <f t="shared" si="78"/>
        <v>0</v>
      </c>
      <c r="AD101" s="113">
        <f t="shared" si="78"/>
        <v>0</v>
      </c>
      <c r="AE101" s="92"/>
      <c r="AF101" s="92"/>
      <c r="AG101" s="92"/>
      <c r="AH101" s="92"/>
      <c r="AI101" s="92"/>
      <c r="AJ101" s="87"/>
      <c r="AK101" s="87"/>
      <c r="AL101" s="87"/>
      <c r="AM101" s="87"/>
      <c r="AN101" s="87"/>
      <c r="AO101" s="87"/>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HN101" s="12"/>
      <c r="HO101" s="12"/>
      <c r="HP101" s="12"/>
      <c r="HQ101" s="12"/>
      <c r="HR101" s="12"/>
      <c r="HS101" s="12"/>
      <c r="HT101" s="12"/>
      <c r="HU101" s="12"/>
      <c r="HV101" s="12"/>
      <c r="HW101" s="12"/>
      <c r="HX101" s="12"/>
      <c r="HY101" s="12"/>
      <c r="HZ101" s="12"/>
      <c r="IA101" s="12"/>
      <c r="IB101" s="12"/>
      <c r="IC101" s="12"/>
      <c r="ID101" s="12"/>
      <c r="IE101" s="12"/>
      <c r="IF101" s="12"/>
      <c r="IG101" s="12"/>
      <c r="IH101" s="12"/>
      <c r="II101" s="12"/>
      <c r="IJ101" s="12"/>
      <c r="IK101" s="12"/>
      <c r="IL101" s="12"/>
      <c r="IM101" s="12"/>
      <c r="IN101" s="12"/>
      <c r="IO101" s="12"/>
      <c r="IP101" s="12"/>
      <c r="IQ101" s="12"/>
      <c r="IR101" s="12"/>
      <c r="IS101" s="12"/>
      <c r="IT101" s="12"/>
      <c r="IU101" s="12"/>
      <c r="IV101" s="12"/>
      <c r="IW101" s="12"/>
      <c r="IX101" s="12"/>
      <c r="IY101" s="12"/>
      <c r="IZ101" s="12"/>
      <c r="JA101" s="12"/>
      <c r="JB101" s="12"/>
      <c r="JC101" s="12"/>
      <c r="JD101" s="12"/>
      <c r="JE101" s="12"/>
      <c r="JF101" s="12"/>
      <c r="JG101" s="12"/>
      <c r="JH101" s="12"/>
      <c r="JI101" s="12"/>
      <c r="JJ101" s="12"/>
      <c r="JK101" s="12"/>
      <c r="JL101" s="12"/>
      <c r="JM101" s="12"/>
      <c r="JN101" s="12"/>
      <c r="JO101" s="12"/>
      <c r="JP101" s="12"/>
      <c r="JQ101" s="12"/>
      <c r="JR101" s="12"/>
      <c r="JS101" s="12"/>
      <c r="JT101" s="12"/>
      <c r="JU101" s="12"/>
      <c r="JV101" s="12"/>
      <c r="JW101" s="12"/>
      <c r="JX101" s="12"/>
      <c r="JY101" s="12"/>
      <c r="JZ101" s="12"/>
      <c r="KA101" s="12"/>
      <c r="KB101" s="12"/>
      <c r="KC101" s="12"/>
      <c r="KD101" s="12"/>
      <c r="KE101" s="12"/>
      <c r="KF101" s="12"/>
      <c r="KG101" s="12"/>
      <c r="KH101" s="12"/>
      <c r="KI101" s="12"/>
      <c r="KJ101" s="12"/>
      <c r="KK101" s="12"/>
      <c r="KL101" s="12"/>
      <c r="KM101" s="12"/>
      <c r="KN101" s="12"/>
      <c r="KO101" s="12"/>
      <c r="KP101" s="12"/>
      <c r="KQ101" s="12"/>
      <c r="KR101" s="12"/>
      <c r="KS101" s="12"/>
      <c r="KT101" s="12"/>
      <c r="KU101" s="12"/>
      <c r="KV101" s="12"/>
      <c r="KW101" s="12"/>
      <c r="KX101" s="12"/>
      <c r="KY101" s="12"/>
      <c r="KZ101" s="12"/>
      <c r="LA101" s="12"/>
      <c r="LB101" s="12"/>
      <c r="LC101" s="12"/>
      <c r="LD101" s="12"/>
      <c r="LE101" s="12"/>
      <c r="LF101" s="12"/>
      <c r="LG101" s="12"/>
      <c r="LH101" s="12"/>
      <c r="LI101" s="12"/>
      <c r="LJ101" s="12"/>
      <c r="LK101" s="12"/>
      <c r="LL101" s="12"/>
      <c r="LM101" s="12"/>
      <c r="LN101" s="12"/>
      <c r="LO101" s="12"/>
      <c r="LP101" s="12"/>
      <c r="LQ101" s="12"/>
      <c r="LR101" s="12"/>
      <c r="LS101" s="12"/>
      <c r="LT101" s="12"/>
      <c r="LU101" s="12"/>
      <c r="LV101" s="12"/>
      <c r="LW101" s="12"/>
      <c r="LX101" s="12"/>
      <c r="LY101" s="12"/>
      <c r="LZ101" s="12"/>
      <c r="MA101" s="12"/>
      <c r="MB101" s="12"/>
      <c r="MC101" s="12"/>
      <c r="MD101" s="12"/>
      <c r="ME101" s="12"/>
      <c r="MF101" s="12"/>
      <c r="MG101" s="12"/>
      <c r="MH101" s="12"/>
      <c r="MI101" s="12"/>
      <c r="MJ101" s="12"/>
      <c r="MK101" s="12"/>
      <c r="ML101" s="12"/>
      <c r="MM101" s="12"/>
      <c r="MN101" s="12"/>
      <c r="MO101" s="12"/>
      <c r="MP101" s="12"/>
      <c r="MQ101" s="12"/>
      <c r="MR101" s="12"/>
      <c r="MS101" s="12"/>
      <c r="MT101" s="12"/>
      <c r="MU101" s="12"/>
      <c r="MV101" s="12"/>
      <c r="MW101" s="12"/>
      <c r="MX101" s="12"/>
      <c r="MY101" s="12"/>
      <c r="MZ101" s="12"/>
      <c r="NA101" s="12"/>
      <c r="NB101" s="12"/>
      <c r="NC101" s="12"/>
      <c r="ND101" s="12"/>
      <c r="NE101" s="12"/>
      <c r="NF101" s="12"/>
      <c r="NG101" s="12"/>
      <c r="NH101" s="12"/>
      <c r="NI101" s="12"/>
      <c r="NJ101" s="12"/>
      <c r="NK101" s="12"/>
      <c r="NL101" s="12"/>
      <c r="NM101" s="12"/>
      <c r="NN101" s="12"/>
      <c r="NO101" s="12"/>
      <c r="NP101" s="12"/>
      <c r="NQ101" s="12"/>
      <c r="NR101" s="12"/>
      <c r="NS101" s="12"/>
      <c r="NT101" s="12"/>
      <c r="NU101" s="12"/>
      <c r="NV101" s="12"/>
      <c r="NW101" s="12"/>
      <c r="NX101" s="12"/>
      <c r="NY101" s="12"/>
      <c r="NZ101" s="12"/>
      <c r="OA101" s="12"/>
      <c r="OB101" s="12"/>
      <c r="OC101" s="12"/>
      <c r="OD101" s="12"/>
      <c r="OE101" s="12"/>
      <c r="OF101" s="12"/>
      <c r="OG101" s="12"/>
      <c r="OH101" s="12"/>
      <c r="OI101" s="12"/>
      <c r="OJ101" s="12"/>
      <c r="OK101" s="12"/>
      <c r="OL101" s="12"/>
      <c r="OM101" s="12"/>
      <c r="ON101" s="12"/>
      <c r="OO101" s="12"/>
      <c r="OP101" s="12"/>
      <c r="OQ101" s="12"/>
      <c r="OR101" s="12"/>
      <c r="OS101" s="12"/>
      <c r="OT101" s="12"/>
      <c r="OU101" s="12"/>
      <c r="OV101" s="12"/>
      <c r="OW101" s="12"/>
      <c r="OX101" s="12"/>
      <c r="OY101" s="12"/>
      <c r="OZ101" s="12"/>
      <c r="PA101" s="12"/>
      <c r="PB101" s="12"/>
      <c r="PC101" s="12"/>
      <c r="PD101" s="12"/>
      <c r="PE101" s="12"/>
      <c r="PF101" s="12"/>
      <c r="PG101" s="12"/>
      <c r="PH101" s="12"/>
      <c r="PI101" s="12"/>
      <c r="PJ101" s="12"/>
      <c r="PK101" s="12"/>
      <c r="PL101" s="12"/>
      <c r="PM101" s="12"/>
      <c r="PN101" s="12"/>
      <c r="PO101" s="12"/>
      <c r="PP101" s="12"/>
      <c r="PQ101" s="12"/>
      <c r="PR101" s="12"/>
      <c r="PS101" s="12"/>
      <c r="PT101" s="12"/>
      <c r="PU101" s="12"/>
      <c r="PV101" s="12"/>
      <c r="PW101" s="12"/>
      <c r="PX101" s="12"/>
      <c r="PY101" s="12"/>
      <c r="PZ101" s="12"/>
      <c r="QA101" s="12"/>
      <c r="QB101" s="12"/>
      <c r="QC101" s="12"/>
      <c r="QD101" s="12"/>
      <c r="QE101" s="12"/>
      <c r="QF101" s="12"/>
      <c r="QG101" s="12"/>
      <c r="QH101" s="12"/>
      <c r="QI101" s="12"/>
      <c r="QJ101" s="12"/>
      <c r="QK101" s="12"/>
      <c r="QL101" s="12"/>
      <c r="QM101" s="12"/>
      <c r="QN101" s="12"/>
      <c r="QO101" s="12"/>
      <c r="QP101" s="12"/>
      <c r="QQ101" s="12"/>
      <c r="QR101" s="12"/>
      <c r="QS101" s="12"/>
      <c r="QT101" s="12"/>
      <c r="QU101" s="12"/>
      <c r="QV101" s="12"/>
      <c r="QW101" s="12"/>
      <c r="QX101" s="12"/>
      <c r="QY101" s="12"/>
      <c r="QZ101" s="12"/>
      <c r="RA101" s="12"/>
      <c r="RB101" s="12"/>
      <c r="RC101" s="12"/>
      <c r="RD101" s="12"/>
      <c r="RE101" s="12"/>
      <c r="RF101" s="12"/>
      <c r="RG101" s="12"/>
      <c r="RH101" s="12"/>
      <c r="RI101" s="12"/>
      <c r="RJ101" s="12"/>
      <c r="RK101" s="12"/>
      <c r="RL101" s="12"/>
      <c r="RM101" s="12"/>
      <c r="RN101" s="12"/>
      <c r="RO101" s="12"/>
      <c r="RP101" s="12"/>
      <c r="RQ101" s="12"/>
      <c r="RR101" s="12"/>
      <c r="RS101" s="12"/>
      <c r="RT101" s="12"/>
      <c r="RU101" s="12"/>
      <c r="RV101" s="12"/>
      <c r="RW101" s="12"/>
      <c r="RX101" s="12"/>
      <c r="RY101" s="12"/>
      <c r="RZ101" s="12"/>
      <c r="SA101" s="12"/>
      <c r="SB101" s="12"/>
      <c r="SC101" s="12"/>
      <c r="SD101" s="12"/>
    </row>
    <row r="102" spans="1:498" s="10" customFormat="1" hidden="1">
      <c r="A102" s="90"/>
      <c r="B102" s="90" t="s">
        <v>15</v>
      </c>
      <c r="C102" s="90"/>
      <c r="D102" s="90"/>
      <c r="E102" s="163"/>
      <c r="F102" s="116">
        <f>($C$26*$C$11)-((F108*12)*C32)+N("CNAPP equals the annual interest on unsubs minus the the percentage of the annual IBR payment that would be put towards unsubs")</f>
        <v>1232</v>
      </c>
      <c r="G102" s="116">
        <f>IF(
F102=-$C$10+N("IF the principal payment from the previous year equals the original loan balance then"),
0+N("The CAN/PP euals zero, because you have paid of the loan")+N("if CAN/PP does not equal the original loan balance, then..."),
IF(
$C$11=0+N("If the interest rate is zero, then"),
(-(G108*12))+F102+N("CNAPP equals the last year's CNAPP minus whatever the annual IBR payment was")+N("If the interest rate is not zero, then..."),
IF(
G101=0+N("If the annual interest paid equals zero, then..."),
0+N("CNAPP equals zero")+N("If the annual interest rate does not equal zero, then..."),
(($C$26*$C$11)-((G108*12)*$C$32))+F102+N("CNAPP equals the previous CNAPP plus the annual interest on unsubs minus the the percentage of the annual IBR payment that would be put towards unsubs"))))</f>
        <v>2189.5825750000004</v>
      </c>
      <c r="H102" s="116">
        <f>IF(
G102=-$C$10+N("IF the principal payment from the previous year equals the original loan balance then"),
0+N("The CAN/PP euals zero, because you have paid of the loan")+N("if CAN/PP does not equal the original loan balance, then..."),
IF(
$C$11=0+N("If the interest rate is zero, then"),
(-(H108*12))+G102+N("CNAPP equals the last year's CNAPP minus whatever the annual IBR payment was")+N("If the interest rate is not zero, then..."),
IF(
H101=0+N("If the annual interest paid equals zero, then..."),
0+N("CNAPP equals zero")+N("If the annual interest rate does not equal zero, then..."),
(($C$26*$C$11)-((H108*12)*$C$32))+G102+N("CNAPP equals the previous CNAPP plus the annual interest on unsubs minus the the percentage of the annual IBR payment that would be put towards unsubs"))))</f>
        <v>2864.206097632501</v>
      </c>
      <c r="I102" s="116">
        <f t="shared" ref="I102:AD102" si="79">IF(
H102=-$C$10+N("IF the principal payment from the previous year equals the original loan balance then"),
0+N("The CAN/PP euals zero, because you have paid of the loan")+N("if CAN/PP does not equal the original loan balance, then..."),
IF(
$C$11=0+N("If the interest rate is zero, then"),
(-(I108*12))+H102+N("CNAPP equals the last year's CNAPP minus whatever the annual IBR payment was")+N("If the interest rate is not zero, then..."),
IF(
I101=0+N("If the annual interest paid equals zero, then..."),
0+N("CNAPP equals zero")+N("If the annual interest rate does not equal zero, then..."),
I101-(I108*12)+H102+N("CNAPP equals the previous CNAPP plus the annual interest minus the annual IBR payment"))))</f>
        <v>3247.0649331830755</v>
      </c>
      <c r="J102" s="116">
        <f>IF(
I102=-$C$10+N("IF the principal payment from the previous year equals the original loan balance then"),
0+N("The CAN/PP euals zero, because you have paid of the loan")+N("if CAN/PP does not equal the original loan balance, then..."),
IF(
$C$11=0+N("If the interest rate is zero, then"),
(-(J108*12))+I102+N("CNAPP equals the last year's CNAPP minus whatever the annual IBR payment was")+N("If the interest rate is not zero, then..."),
IF(
J101=0+N("If the annual interest paid equals zero, then..."),
0+N("CNAPP equals zero")+N("If the annual interest rate does not equal zero, then..."),
J101-(J108*12)+I102+N("CNAPP equals the previous CNAPP plus the annual interest minus the annual IBR payment"))))</f>
        <v>3329.0813246309681</v>
      </c>
      <c r="K102" s="116">
        <f t="shared" si="79"/>
        <v>3100.8970293529528</v>
      </c>
      <c r="L102" s="116">
        <f t="shared" si="79"/>
        <v>2552.8646999176726</v>
      </c>
      <c r="M102" s="116">
        <f t="shared" si="79"/>
        <v>-6988.880012802807</v>
      </c>
      <c r="N102" s="116">
        <f t="shared" si="79"/>
        <v>-17611.073643692765</v>
      </c>
      <c r="O102" s="116">
        <f t="shared" si="79"/>
        <v>-29581.87308576965</v>
      </c>
      <c r="P102" s="116">
        <f t="shared" si="79"/>
        <v>-43012.921796529052</v>
      </c>
      <c r="Q102" s="116">
        <f t="shared" si="79"/>
        <v>-58024.115985799595</v>
      </c>
      <c r="R102" s="116">
        <f t="shared" si="79"/>
        <v>-74744.189547860544</v>
      </c>
      <c r="S102" s="116">
        <f t="shared" si="79"/>
        <v>-93311.339740264491</v>
      </c>
      <c r="T102" s="116">
        <f t="shared" si="79"/>
        <v>-113873.89642682935</v>
      </c>
      <c r="U102" s="116">
        <f t="shared" si="79"/>
        <v>-136591.03789645212</v>
      </c>
      <c r="V102" s="116">
        <f t="shared" si="79"/>
        <v>-161633.55647695041</v>
      </c>
      <c r="W102" s="116">
        <f t="shared" si="79"/>
        <v>0</v>
      </c>
      <c r="X102" s="116">
        <f t="shared" si="79"/>
        <v>0</v>
      </c>
      <c r="Y102" s="116">
        <f t="shared" si="79"/>
        <v>0</v>
      </c>
      <c r="Z102" s="116">
        <f t="shared" si="79"/>
        <v>0</v>
      </c>
      <c r="AA102" s="116">
        <f t="shared" si="79"/>
        <v>0</v>
      </c>
      <c r="AB102" s="116">
        <f t="shared" si="79"/>
        <v>0</v>
      </c>
      <c r="AC102" s="116">
        <f t="shared" si="79"/>
        <v>0</v>
      </c>
      <c r="AD102" s="116">
        <f t="shared" si="79"/>
        <v>0</v>
      </c>
      <c r="AE102" s="92"/>
      <c r="AF102" s="92"/>
      <c r="AG102" s="92"/>
      <c r="AH102" s="92"/>
      <c r="AI102" s="92"/>
      <c r="AJ102" s="87"/>
      <c r="AK102" s="87"/>
      <c r="AL102" s="87"/>
      <c r="AM102" s="87"/>
      <c r="AN102" s="87"/>
      <c r="AO102" s="87"/>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c r="HS102" s="12"/>
      <c r="HT102" s="12"/>
      <c r="HU102" s="12"/>
      <c r="HV102" s="12"/>
      <c r="HW102" s="12"/>
      <c r="HX102" s="12"/>
      <c r="HY102" s="12"/>
      <c r="HZ102" s="12"/>
      <c r="IA102" s="12"/>
      <c r="IB102" s="12"/>
      <c r="IC102" s="12"/>
      <c r="ID102" s="12"/>
      <c r="IE102" s="12"/>
      <c r="IF102" s="12"/>
      <c r="IG102" s="12"/>
      <c r="IH102" s="12"/>
      <c r="II102" s="12"/>
      <c r="IJ102" s="12"/>
      <c r="IK102" s="12"/>
      <c r="IL102" s="12"/>
      <c r="IM102" s="12"/>
      <c r="IN102" s="12"/>
      <c r="IO102" s="12"/>
      <c r="IP102" s="12"/>
      <c r="IQ102" s="12"/>
      <c r="IR102" s="12"/>
      <c r="IS102" s="12"/>
      <c r="IT102" s="12"/>
      <c r="IU102" s="12"/>
      <c r="IV102" s="12"/>
      <c r="IW102" s="12"/>
      <c r="IX102" s="12"/>
      <c r="IY102" s="12"/>
      <c r="IZ102" s="12"/>
      <c r="JA102" s="12"/>
      <c r="JB102" s="12"/>
      <c r="JC102" s="12"/>
      <c r="JD102" s="12"/>
      <c r="JE102" s="12"/>
      <c r="JF102" s="12"/>
      <c r="JG102" s="12"/>
      <c r="JH102" s="12"/>
      <c r="JI102" s="12"/>
      <c r="JJ102" s="12"/>
      <c r="JK102" s="12"/>
      <c r="JL102" s="12"/>
      <c r="JM102" s="12"/>
      <c r="JN102" s="12"/>
      <c r="JO102" s="12"/>
      <c r="JP102" s="12"/>
      <c r="JQ102" s="12"/>
      <c r="JR102" s="12"/>
      <c r="JS102" s="12"/>
      <c r="JT102" s="12"/>
      <c r="JU102" s="12"/>
      <c r="JV102" s="12"/>
      <c r="JW102" s="12"/>
      <c r="JX102" s="12"/>
      <c r="JY102" s="12"/>
      <c r="JZ102" s="12"/>
      <c r="KA102" s="12"/>
      <c r="KB102" s="12"/>
      <c r="KC102" s="12"/>
      <c r="KD102" s="12"/>
      <c r="KE102" s="12"/>
      <c r="KF102" s="12"/>
      <c r="KG102" s="12"/>
      <c r="KH102" s="12"/>
      <c r="KI102" s="12"/>
      <c r="KJ102" s="12"/>
      <c r="KK102" s="12"/>
      <c r="KL102" s="12"/>
      <c r="KM102" s="12"/>
      <c r="KN102" s="12"/>
      <c r="KO102" s="12"/>
      <c r="KP102" s="12"/>
      <c r="KQ102" s="12"/>
      <c r="KR102" s="12"/>
      <c r="KS102" s="12"/>
      <c r="KT102" s="12"/>
      <c r="KU102" s="12"/>
      <c r="KV102" s="12"/>
      <c r="KW102" s="12"/>
      <c r="KX102" s="12"/>
      <c r="KY102" s="12"/>
      <c r="KZ102" s="12"/>
      <c r="LA102" s="12"/>
      <c r="LB102" s="12"/>
      <c r="LC102" s="12"/>
      <c r="LD102" s="12"/>
      <c r="LE102" s="12"/>
      <c r="LF102" s="12"/>
      <c r="LG102" s="12"/>
      <c r="LH102" s="12"/>
      <c r="LI102" s="12"/>
      <c r="LJ102" s="12"/>
      <c r="LK102" s="12"/>
      <c r="LL102" s="12"/>
      <c r="LM102" s="12"/>
      <c r="LN102" s="12"/>
      <c r="LO102" s="12"/>
      <c r="LP102" s="12"/>
      <c r="LQ102" s="12"/>
      <c r="LR102" s="12"/>
      <c r="LS102" s="12"/>
      <c r="LT102" s="12"/>
      <c r="LU102" s="12"/>
      <c r="LV102" s="12"/>
      <c r="LW102" s="12"/>
      <c r="LX102" s="12"/>
      <c r="LY102" s="12"/>
      <c r="LZ102" s="12"/>
      <c r="MA102" s="12"/>
      <c r="MB102" s="12"/>
      <c r="MC102" s="12"/>
      <c r="MD102" s="12"/>
      <c r="ME102" s="12"/>
      <c r="MF102" s="12"/>
      <c r="MG102" s="12"/>
      <c r="MH102" s="12"/>
      <c r="MI102" s="12"/>
      <c r="MJ102" s="12"/>
      <c r="MK102" s="12"/>
      <c r="ML102" s="12"/>
      <c r="MM102" s="12"/>
      <c r="MN102" s="12"/>
      <c r="MO102" s="12"/>
      <c r="MP102" s="12"/>
      <c r="MQ102" s="12"/>
      <c r="MR102" s="12"/>
      <c r="MS102" s="12"/>
      <c r="MT102" s="12"/>
      <c r="MU102" s="12"/>
      <c r="MV102" s="12"/>
      <c r="MW102" s="12"/>
      <c r="MX102" s="12"/>
      <c r="MY102" s="12"/>
      <c r="MZ102" s="12"/>
      <c r="NA102" s="12"/>
      <c r="NB102" s="12"/>
      <c r="NC102" s="12"/>
      <c r="ND102" s="12"/>
      <c r="NE102" s="12"/>
      <c r="NF102" s="12"/>
      <c r="NG102" s="12"/>
      <c r="NH102" s="12"/>
      <c r="NI102" s="12"/>
      <c r="NJ102" s="12"/>
      <c r="NK102" s="12"/>
      <c r="NL102" s="12"/>
      <c r="NM102" s="12"/>
      <c r="NN102" s="12"/>
      <c r="NO102" s="12"/>
      <c r="NP102" s="12"/>
      <c r="NQ102" s="12"/>
      <c r="NR102" s="12"/>
      <c r="NS102" s="12"/>
      <c r="NT102" s="12"/>
      <c r="NU102" s="12"/>
      <c r="NV102" s="12"/>
      <c r="NW102" s="12"/>
      <c r="NX102" s="12"/>
      <c r="NY102" s="12"/>
      <c r="NZ102" s="12"/>
      <c r="OA102" s="12"/>
      <c r="OB102" s="12"/>
      <c r="OC102" s="12"/>
      <c r="OD102" s="12"/>
      <c r="OE102" s="12"/>
      <c r="OF102" s="12"/>
      <c r="OG102" s="12"/>
      <c r="OH102" s="12"/>
      <c r="OI102" s="12"/>
      <c r="OJ102" s="12"/>
      <c r="OK102" s="12"/>
      <c r="OL102" s="12"/>
      <c r="OM102" s="12"/>
      <c r="ON102" s="12"/>
      <c r="OO102" s="12"/>
      <c r="OP102" s="12"/>
      <c r="OQ102" s="12"/>
      <c r="OR102" s="12"/>
      <c r="OS102" s="12"/>
      <c r="OT102" s="12"/>
      <c r="OU102" s="12"/>
      <c r="OV102" s="12"/>
      <c r="OW102" s="12"/>
      <c r="OX102" s="12"/>
      <c r="OY102" s="12"/>
      <c r="OZ102" s="12"/>
      <c r="PA102" s="12"/>
      <c r="PB102" s="12"/>
      <c r="PC102" s="12"/>
      <c r="PD102" s="12"/>
      <c r="PE102" s="12"/>
      <c r="PF102" s="12"/>
      <c r="PG102" s="12"/>
      <c r="PH102" s="12"/>
      <c r="PI102" s="12"/>
      <c r="PJ102" s="12"/>
      <c r="PK102" s="12"/>
      <c r="PL102" s="12"/>
      <c r="PM102" s="12"/>
      <c r="PN102" s="12"/>
      <c r="PO102" s="12"/>
      <c r="PP102" s="12"/>
      <c r="PQ102" s="12"/>
      <c r="PR102" s="12"/>
      <c r="PS102" s="12"/>
      <c r="PT102" s="12"/>
      <c r="PU102" s="12"/>
      <c r="PV102" s="12"/>
      <c r="PW102" s="12"/>
      <c r="PX102" s="12"/>
      <c r="PY102" s="12"/>
      <c r="PZ102" s="12"/>
      <c r="QA102" s="12"/>
      <c r="QB102" s="12"/>
      <c r="QC102" s="12"/>
      <c r="QD102" s="12"/>
      <c r="QE102" s="12"/>
      <c r="QF102" s="12"/>
      <c r="QG102" s="12"/>
      <c r="QH102" s="12"/>
      <c r="QI102" s="12"/>
      <c r="QJ102" s="12"/>
      <c r="QK102" s="12"/>
      <c r="QL102" s="12"/>
      <c r="QM102" s="12"/>
      <c r="QN102" s="12"/>
      <c r="QO102" s="12"/>
      <c r="QP102" s="12"/>
      <c r="QQ102" s="12"/>
      <c r="QR102" s="12"/>
      <c r="QS102" s="12"/>
      <c r="QT102" s="12"/>
      <c r="QU102" s="12"/>
      <c r="QV102" s="12"/>
      <c r="QW102" s="12"/>
      <c r="QX102" s="12"/>
      <c r="QY102" s="12"/>
      <c r="QZ102" s="12"/>
      <c r="RA102" s="12"/>
      <c r="RB102" s="12"/>
      <c r="RC102" s="12"/>
      <c r="RD102" s="12"/>
      <c r="RE102" s="12"/>
      <c r="RF102" s="12"/>
      <c r="RG102" s="12"/>
      <c r="RH102" s="12"/>
      <c r="RI102" s="12"/>
      <c r="RJ102" s="12"/>
      <c r="RK102" s="12"/>
      <c r="RL102" s="12"/>
      <c r="RM102" s="12"/>
      <c r="RN102" s="12"/>
      <c r="RO102" s="12"/>
      <c r="RP102" s="12"/>
      <c r="RQ102" s="12"/>
      <c r="RR102" s="12"/>
      <c r="RS102" s="12"/>
      <c r="RT102" s="12"/>
      <c r="RU102" s="12"/>
      <c r="RV102" s="12"/>
      <c r="RW102" s="12"/>
      <c r="RX102" s="12"/>
      <c r="RY102" s="12"/>
      <c r="RZ102" s="12"/>
      <c r="SA102" s="12"/>
      <c r="SB102" s="12"/>
      <c r="SC102" s="12"/>
      <c r="SD102" s="12"/>
    </row>
    <row r="103" spans="1:498" s="17" customFormat="1" ht="25.5" customHeight="1">
      <c r="A103" s="90"/>
      <c r="B103" s="90"/>
      <c r="C103" s="90"/>
      <c r="D103" s="90"/>
      <c r="E103" s="166"/>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90"/>
      <c r="AF103" s="90"/>
      <c r="AG103" s="90"/>
      <c r="AH103" s="90"/>
      <c r="AI103" s="90"/>
      <c r="AJ103" s="90"/>
      <c r="AK103" s="90"/>
      <c r="AL103" s="90"/>
      <c r="AM103" s="90"/>
      <c r="AN103" s="90"/>
      <c r="AO103" s="90"/>
    </row>
    <row r="104" spans="1:498" s="13" customFormat="1">
      <c r="A104" s="90"/>
      <c r="B104" s="122">
        <v>7</v>
      </c>
      <c r="C104" s="199" t="s">
        <v>60</v>
      </c>
      <c r="D104" s="199"/>
      <c r="E104" s="199"/>
      <c r="F104" s="168">
        <f>F108</f>
        <v>728.0625</v>
      </c>
      <c r="G104" s="169">
        <f>IF($C$10=0,"",IF($F$104="Ineligible","",G108))</f>
        <v>750.93061875000001</v>
      </c>
      <c r="H104" s="169">
        <f t="shared" ref="H104:AD104" si="80">IF($C$10=0,"",IF($F$104="Ineligible","",H108))</f>
        <v>774.51053978062498</v>
      </c>
      <c r="I104" s="169">
        <f t="shared" si="80"/>
        <v>798.82426370411883</v>
      </c>
      <c r="J104" s="169">
        <f t="shared" si="80"/>
        <v>823.89446737934225</v>
      </c>
      <c r="K104" s="169">
        <f t="shared" si="80"/>
        <v>849.74452460650127</v>
      </c>
      <c r="L104" s="169">
        <f t="shared" si="80"/>
        <v>876.39852745294002</v>
      </c>
      <c r="M104" s="169">
        <f t="shared" si="80"/>
        <v>1625.8745593933734</v>
      </c>
      <c r="N104" s="169">
        <f t="shared" si="80"/>
        <v>1675.8715108341473</v>
      </c>
      <c r="O104" s="169">
        <f t="shared" si="80"/>
        <v>1727.399010756084</v>
      </c>
      <c r="P104" s="169">
        <f t="shared" si="80"/>
        <v>1780.5037446760618</v>
      </c>
      <c r="Q104" s="169">
        <f t="shared" si="80"/>
        <v>1835.2338179799315</v>
      </c>
      <c r="R104" s="169">
        <f t="shared" si="80"/>
        <v>1891.6387990031026</v>
      </c>
      <c r="S104" s="169">
        <f t="shared" si="80"/>
        <v>1949.7697634157119</v>
      </c>
      <c r="T104" s="169">
        <f t="shared" si="80"/>
        <v>2009.6793399518065</v>
      </c>
      <c r="U104" s="169">
        <f t="shared" si="80"/>
        <v>2071.4217575231874</v>
      </c>
      <c r="V104" s="169">
        <f t="shared" si="80"/>
        <v>2135.0528937597687</v>
      </c>
      <c r="W104" s="169">
        <f t="shared" si="80"/>
        <v>0</v>
      </c>
      <c r="X104" s="169">
        <f t="shared" si="80"/>
        <v>0</v>
      </c>
      <c r="Y104" s="169">
        <f t="shared" si="80"/>
        <v>0</v>
      </c>
      <c r="Z104" s="169">
        <f t="shared" si="80"/>
        <v>0</v>
      </c>
      <c r="AA104" s="169">
        <f t="shared" si="80"/>
        <v>0</v>
      </c>
      <c r="AB104" s="169">
        <f t="shared" si="80"/>
        <v>0</v>
      </c>
      <c r="AC104" s="169">
        <f t="shared" si="80"/>
        <v>0</v>
      </c>
      <c r="AD104" s="169">
        <f t="shared" si="80"/>
        <v>0</v>
      </c>
      <c r="AE104" s="170"/>
      <c r="AF104" s="171"/>
      <c r="AG104" s="171"/>
      <c r="AH104" s="171"/>
      <c r="AI104" s="172"/>
      <c r="AJ104" s="90"/>
      <c r="AK104" s="90"/>
      <c r="AL104" s="90"/>
      <c r="AM104" s="90"/>
      <c r="AN104" s="90"/>
      <c r="AO104" s="90"/>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HN104" s="12"/>
      <c r="HO104" s="12"/>
      <c r="HP104" s="12"/>
      <c r="HQ104" s="12"/>
      <c r="HR104" s="12"/>
      <c r="HS104" s="12"/>
      <c r="HT104" s="12"/>
      <c r="HU104" s="12"/>
      <c r="HV104" s="12"/>
      <c r="HW104" s="12"/>
      <c r="HX104" s="12"/>
      <c r="HY104" s="12"/>
      <c r="HZ104" s="12"/>
      <c r="IA104" s="12"/>
      <c r="IB104" s="12"/>
      <c r="IC104" s="12"/>
      <c r="ID104" s="12"/>
      <c r="IE104" s="12"/>
      <c r="IF104" s="12"/>
      <c r="IG104" s="12"/>
      <c r="IH104" s="12"/>
      <c r="II104" s="12"/>
      <c r="IJ104" s="12"/>
      <c r="IK104" s="12"/>
      <c r="IL104" s="12"/>
      <c r="IM104" s="12"/>
      <c r="IN104" s="12"/>
      <c r="IO104" s="12"/>
      <c r="IP104" s="12"/>
      <c r="IQ104" s="12"/>
      <c r="IR104" s="12"/>
      <c r="IS104" s="12"/>
      <c r="IT104" s="12"/>
      <c r="IU104" s="12"/>
      <c r="IV104" s="12"/>
      <c r="IW104" s="12"/>
      <c r="IX104" s="12"/>
      <c r="IY104" s="12"/>
      <c r="IZ104" s="12"/>
      <c r="JA104" s="12"/>
      <c r="JB104" s="12"/>
      <c r="JC104" s="12"/>
      <c r="JD104" s="12"/>
      <c r="JE104" s="12"/>
      <c r="JF104" s="12"/>
      <c r="JG104" s="12"/>
      <c r="JH104" s="12"/>
      <c r="JI104" s="12"/>
      <c r="JJ104" s="12"/>
      <c r="JK104" s="12"/>
      <c r="JL104" s="12"/>
      <c r="JM104" s="12"/>
      <c r="JN104" s="12"/>
      <c r="JO104" s="12"/>
      <c r="JP104" s="12"/>
      <c r="JQ104" s="12"/>
      <c r="JR104" s="12"/>
      <c r="JS104" s="12"/>
      <c r="JT104" s="12"/>
      <c r="JU104" s="12"/>
      <c r="JV104" s="12"/>
      <c r="JW104" s="12"/>
      <c r="JX104" s="12"/>
      <c r="JY104" s="12"/>
      <c r="JZ104" s="12"/>
      <c r="KA104" s="12"/>
      <c r="KB104" s="12"/>
      <c r="KC104" s="12"/>
      <c r="KD104" s="12"/>
      <c r="KE104" s="12"/>
      <c r="KF104" s="12"/>
      <c r="KG104" s="12"/>
      <c r="KH104" s="12"/>
      <c r="KI104" s="12"/>
      <c r="KJ104" s="12"/>
      <c r="KK104" s="12"/>
      <c r="KL104" s="12"/>
      <c r="KM104" s="12"/>
      <c r="KN104" s="12"/>
      <c r="KO104" s="12"/>
      <c r="KP104" s="12"/>
      <c r="KQ104" s="12"/>
      <c r="KR104" s="12"/>
      <c r="KS104" s="12"/>
      <c r="KT104" s="12"/>
      <c r="KU104" s="12"/>
      <c r="KV104" s="12"/>
      <c r="KW104" s="12"/>
      <c r="KX104" s="12"/>
      <c r="KY104" s="12"/>
      <c r="KZ104" s="12"/>
      <c r="LA104" s="12"/>
      <c r="LB104" s="12"/>
      <c r="LC104" s="12"/>
      <c r="LD104" s="12"/>
      <c r="LE104" s="12"/>
      <c r="LF104" s="12"/>
      <c r="LG104" s="12"/>
      <c r="LH104" s="12"/>
      <c r="LI104" s="12"/>
      <c r="LJ104" s="12"/>
      <c r="LK104" s="12"/>
      <c r="LL104" s="12"/>
      <c r="LM104" s="12"/>
      <c r="LN104" s="12"/>
      <c r="LO104" s="12"/>
      <c r="LP104" s="12"/>
      <c r="LQ104" s="12"/>
      <c r="LR104" s="12"/>
      <c r="LS104" s="12"/>
      <c r="LT104" s="12"/>
      <c r="LU104" s="12"/>
      <c r="LV104" s="12"/>
      <c r="LW104" s="12"/>
      <c r="LX104" s="12"/>
      <c r="LY104" s="12"/>
      <c r="LZ104" s="12"/>
      <c r="MA104" s="12"/>
      <c r="MB104" s="12"/>
      <c r="MC104" s="12"/>
      <c r="MD104" s="12"/>
      <c r="ME104" s="12"/>
      <c r="MF104" s="12"/>
      <c r="MG104" s="12"/>
      <c r="MH104" s="12"/>
      <c r="MI104" s="12"/>
      <c r="MJ104" s="12"/>
      <c r="MK104" s="12"/>
      <c r="ML104" s="12"/>
      <c r="MM104" s="12"/>
      <c r="MN104" s="12"/>
      <c r="MO104" s="12"/>
      <c r="MP104" s="12"/>
      <c r="MQ104" s="12"/>
      <c r="MR104" s="12"/>
      <c r="MS104" s="12"/>
      <c r="MT104" s="12"/>
      <c r="MU104" s="12"/>
      <c r="MV104" s="12"/>
      <c r="MW104" s="12"/>
      <c r="MX104" s="12"/>
      <c r="MY104" s="12"/>
      <c r="MZ104" s="12"/>
      <c r="NA104" s="12"/>
      <c r="NB104" s="12"/>
      <c r="NC104" s="12"/>
      <c r="ND104" s="12"/>
      <c r="NE104" s="12"/>
      <c r="NF104" s="12"/>
      <c r="NG104" s="12"/>
      <c r="NH104" s="12"/>
      <c r="NI104" s="12"/>
      <c r="NJ104" s="12"/>
      <c r="NK104" s="12"/>
      <c r="NL104" s="12"/>
      <c r="NM104" s="12"/>
      <c r="NN104" s="12"/>
      <c r="NO104" s="12"/>
      <c r="NP104" s="12"/>
      <c r="NQ104" s="12"/>
      <c r="NR104" s="12"/>
      <c r="NS104" s="12"/>
      <c r="NT104" s="12"/>
      <c r="NU104" s="12"/>
      <c r="NV104" s="12"/>
      <c r="NW104" s="12"/>
      <c r="NX104" s="12"/>
      <c r="NY104" s="12"/>
      <c r="NZ104" s="12"/>
      <c r="OA104" s="12"/>
      <c r="OB104" s="12"/>
      <c r="OC104" s="12"/>
      <c r="OD104" s="12"/>
      <c r="OE104" s="12"/>
      <c r="OF104" s="12"/>
      <c r="OG104" s="12"/>
      <c r="OH104" s="12"/>
      <c r="OI104" s="12"/>
      <c r="OJ104" s="12"/>
      <c r="OK104" s="12"/>
      <c r="OL104" s="12"/>
      <c r="OM104" s="12"/>
      <c r="ON104" s="12"/>
      <c r="OO104" s="12"/>
      <c r="OP104" s="12"/>
      <c r="OQ104" s="12"/>
      <c r="OR104" s="12"/>
      <c r="OS104" s="12"/>
      <c r="OT104" s="12"/>
      <c r="OU104" s="12"/>
      <c r="OV104" s="12"/>
      <c r="OW104" s="12"/>
      <c r="OX104" s="12"/>
      <c r="OY104" s="12"/>
      <c r="OZ104" s="12"/>
      <c r="PA104" s="12"/>
      <c r="PB104" s="12"/>
      <c r="PC104" s="12"/>
      <c r="PD104" s="12"/>
      <c r="PE104" s="12"/>
      <c r="PF104" s="12"/>
      <c r="PG104" s="12"/>
      <c r="PH104" s="12"/>
      <c r="PI104" s="12"/>
      <c r="PJ104" s="12"/>
      <c r="PK104" s="12"/>
      <c r="PL104" s="12"/>
      <c r="PM104" s="12"/>
      <c r="PN104" s="12"/>
      <c r="PO104" s="12"/>
      <c r="PP104" s="12"/>
      <c r="PQ104" s="12"/>
      <c r="PR104" s="12"/>
      <c r="PS104" s="12"/>
      <c r="PT104" s="12"/>
      <c r="PU104" s="12"/>
      <c r="PV104" s="12"/>
      <c r="PW104" s="12"/>
      <c r="PX104" s="12"/>
      <c r="PY104" s="12"/>
      <c r="PZ104" s="12"/>
      <c r="QA104" s="12"/>
      <c r="QB104" s="12"/>
      <c r="QC104" s="12"/>
      <c r="QD104" s="12"/>
      <c r="QE104" s="12"/>
      <c r="QF104" s="12"/>
      <c r="QG104" s="12"/>
      <c r="QH104" s="12"/>
      <c r="QI104" s="12"/>
      <c r="QJ104" s="12"/>
      <c r="QK104" s="12"/>
      <c r="QL104" s="12"/>
      <c r="QM104" s="12"/>
      <c r="QN104" s="12"/>
      <c r="QO104" s="12"/>
      <c r="QP104" s="12"/>
      <c r="QQ104" s="12"/>
      <c r="QR104" s="12"/>
      <c r="QS104" s="12"/>
      <c r="QT104" s="12"/>
      <c r="QU104" s="12"/>
      <c r="QV104" s="12"/>
      <c r="QW104" s="12"/>
      <c r="QX104" s="12"/>
      <c r="QY104" s="12"/>
      <c r="QZ104" s="12"/>
      <c r="RA104" s="12"/>
      <c r="RB104" s="12"/>
      <c r="RC104" s="12"/>
      <c r="RD104" s="12"/>
      <c r="RE104" s="12"/>
      <c r="RF104" s="12"/>
      <c r="RG104" s="12"/>
      <c r="RH104" s="12"/>
      <c r="RI104" s="12"/>
      <c r="RJ104" s="12"/>
      <c r="RK104" s="12"/>
      <c r="RL104" s="12"/>
      <c r="RM104" s="12"/>
      <c r="RN104" s="12"/>
      <c r="RO104" s="12"/>
      <c r="RP104" s="12"/>
      <c r="RQ104" s="12"/>
      <c r="RR104" s="12"/>
      <c r="RS104" s="12"/>
      <c r="RT104" s="12"/>
      <c r="RU104" s="12"/>
      <c r="RV104" s="12"/>
      <c r="RW104" s="12"/>
      <c r="RX104" s="12"/>
      <c r="RY104" s="12"/>
      <c r="RZ104" s="12"/>
      <c r="SA104" s="12"/>
      <c r="SB104" s="12"/>
      <c r="SC104" s="12"/>
      <c r="SD104" s="12"/>
    </row>
    <row r="105" spans="1:498" s="13" customFormat="1">
      <c r="A105" s="90"/>
      <c r="B105" s="90"/>
      <c r="C105" s="200" t="s">
        <v>44</v>
      </c>
      <c r="D105" s="200"/>
      <c r="E105" s="200"/>
      <c r="F105" s="168">
        <f>IF($C$10=0,"",IF($F$104="Ineligible","",F106))</f>
        <v>146232</v>
      </c>
      <c r="G105" s="168">
        <f t="shared" ref="G105:AD105" si="81">IF($C$10=0,"",IF($F$104="Ineligible","",G106))</f>
        <v>147189.58257500001</v>
      </c>
      <c r="H105" s="168">
        <f t="shared" si="81"/>
        <v>147864.2060976325</v>
      </c>
      <c r="I105" s="168">
        <f t="shared" si="81"/>
        <v>148247.06493318308</v>
      </c>
      <c r="J105" s="168">
        <f t="shared" si="81"/>
        <v>148329.08132463097</v>
      </c>
      <c r="K105" s="168">
        <f t="shared" si="81"/>
        <v>148100.89702935296</v>
      </c>
      <c r="L105" s="168">
        <f t="shared" si="81"/>
        <v>147552.86469991767</v>
      </c>
      <c r="M105" s="168">
        <f t="shared" si="81"/>
        <v>138011.11998719719</v>
      </c>
      <c r="N105" s="168">
        <f t="shared" si="81"/>
        <v>127388.92635630726</v>
      </c>
      <c r="O105" s="168">
        <f t="shared" si="81"/>
        <v>115418.12691423038</v>
      </c>
      <c r="P105" s="168">
        <f t="shared" si="81"/>
        <v>101987.07820347098</v>
      </c>
      <c r="Q105" s="168">
        <f t="shared" si="81"/>
        <v>86975.884014200448</v>
      </c>
      <c r="R105" s="168">
        <f t="shared" si="81"/>
        <v>70255.810452139514</v>
      </c>
      <c r="S105" s="168">
        <f t="shared" si="81"/>
        <v>51688.660259735567</v>
      </c>
      <c r="T105" s="168">
        <f t="shared" si="81"/>
        <v>31126.103573170716</v>
      </c>
      <c r="U105" s="168">
        <f t="shared" si="81"/>
        <v>8408.9621035479577</v>
      </c>
      <c r="V105" s="168">
        <f t="shared" si="81"/>
        <v>0</v>
      </c>
      <c r="W105" s="168">
        <f t="shared" si="81"/>
        <v>0</v>
      </c>
      <c r="X105" s="168">
        <f t="shared" si="81"/>
        <v>0</v>
      </c>
      <c r="Y105" s="168">
        <f t="shared" si="81"/>
        <v>0</v>
      </c>
      <c r="Z105" s="168">
        <f t="shared" si="81"/>
        <v>0</v>
      </c>
      <c r="AA105" s="168">
        <f t="shared" si="81"/>
        <v>0</v>
      </c>
      <c r="AB105" s="168">
        <f t="shared" si="81"/>
        <v>0</v>
      </c>
      <c r="AC105" s="168">
        <f t="shared" si="81"/>
        <v>0</v>
      </c>
      <c r="AD105" s="168">
        <f t="shared" si="81"/>
        <v>0</v>
      </c>
      <c r="AE105" s="173"/>
      <c r="AF105" s="174"/>
      <c r="AG105" s="174"/>
      <c r="AH105" s="174"/>
      <c r="AI105" s="175"/>
      <c r="AJ105" s="87"/>
      <c r="AK105" s="87"/>
      <c r="AL105" s="87"/>
      <c r="AM105" s="87"/>
      <c r="AN105" s="87"/>
      <c r="AO105" s="87"/>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c r="HR105" s="12"/>
      <c r="HS105" s="12"/>
      <c r="HT105" s="12"/>
      <c r="HU105" s="12"/>
      <c r="HV105" s="12"/>
      <c r="HW105" s="12"/>
      <c r="HX105" s="12"/>
      <c r="HY105" s="12"/>
      <c r="HZ105" s="12"/>
      <c r="IA105" s="12"/>
      <c r="IB105" s="12"/>
      <c r="IC105" s="12"/>
      <c r="ID105" s="12"/>
      <c r="IE105" s="12"/>
      <c r="IF105" s="12"/>
      <c r="IG105" s="12"/>
      <c r="IH105" s="12"/>
      <c r="II105" s="12"/>
      <c r="IJ105" s="12"/>
      <c r="IK105" s="12"/>
      <c r="IL105" s="12"/>
      <c r="IM105" s="12"/>
      <c r="IN105" s="12"/>
      <c r="IO105" s="12"/>
      <c r="IP105" s="12"/>
      <c r="IQ105" s="12"/>
      <c r="IR105" s="12"/>
      <c r="IS105" s="12"/>
      <c r="IT105" s="12"/>
      <c r="IU105" s="12"/>
      <c r="IV105" s="12"/>
      <c r="IW105" s="12"/>
      <c r="IX105" s="12"/>
      <c r="IY105" s="12"/>
      <c r="IZ105" s="12"/>
      <c r="JA105" s="12"/>
      <c r="JB105" s="12"/>
      <c r="JC105" s="12"/>
      <c r="JD105" s="12"/>
      <c r="JE105" s="12"/>
      <c r="JF105" s="12"/>
      <c r="JG105" s="12"/>
      <c r="JH105" s="12"/>
      <c r="JI105" s="12"/>
      <c r="JJ105" s="12"/>
      <c r="JK105" s="12"/>
      <c r="JL105" s="12"/>
      <c r="JM105" s="12"/>
      <c r="JN105" s="12"/>
      <c r="JO105" s="12"/>
      <c r="JP105" s="12"/>
      <c r="JQ105" s="12"/>
      <c r="JR105" s="12"/>
      <c r="JS105" s="12"/>
      <c r="JT105" s="12"/>
      <c r="JU105" s="12"/>
      <c r="JV105" s="12"/>
      <c r="JW105" s="12"/>
      <c r="JX105" s="12"/>
      <c r="JY105" s="12"/>
      <c r="JZ105" s="12"/>
      <c r="KA105" s="12"/>
      <c r="KB105" s="12"/>
      <c r="KC105" s="12"/>
      <c r="KD105" s="12"/>
      <c r="KE105" s="12"/>
      <c r="KF105" s="12"/>
      <c r="KG105" s="12"/>
      <c r="KH105" s="12"/>
      <c r="KI105" s="12"/>
      <c r="KJ105" s="12"/>
      <c r="KK105" s="12"/>
      <c r="KL105" s="12"/>
      <c r="KM105" s="12"/>
      <c r="KN105" s="12"/>
      <c r="KO105" s="12"/>
      <c r="KP105" s="12"/>
      <c r="KQ105" s="12"/>
      <c r="KR105" s="12"/>
      <c r="KS105" s="12"/>
      <c r="KT105" s="12"/>
      <c r="KU105" s="12"/>
      <c r="KV105" s="12"/>
      <c r="KW105" s="12"/>
      <c r="KX105" s="12"/>
      <c r="KY105" s="12"/>
      <c r="KZ105" s="12"/>
      <c r="LA105" s="12"/>
      <c r="LB105" s="12"/>
      <c r="LC105" s="12"/>
      <c r="LD105" s="12"/>
      <c r="LE105" s="12"/>
      <c r="LF105" s="12"/>
      <c r="LG105" s="12"/>
      <c r="LH105" s="12"/>
      <c r="LI105" s="12"/>
      <c r="LJ105" s="12"/>
      <c r="LK105" s="12"/>
      <c r="LL105" s="12"/>
      <c r="LM105" s="12"/>
      <c r="LN105" s="12"/>
      <c r="LO105" s="12"/>
      <c r="LP105" s="12"/>
      <c r="LQ105" s="12"/>
      <c r="LR105" s="12"/>
      <c r="LS105" s="12"/>
      <c r="LT105" s="12"/>
      <c r="LU105" s="12"/>
      <c r="LV105" s="12"/>
      <c r="LW105" s="12"/>
      <c r="LX105" s="12"/>
      <c r="LY105" s="12"/>
      <c r="LZ105" s="12"/>
      <c r="MA105" s="12"/>
      <c r="MB105" s="12"/>
      <c r="MC105" s="12"/>
      <c r="MD105" s="12"/>
      <c r="ME105" s="12"/>
      <c r="MF105" s="12"/>
      <c r="MG105" s="12"/>
      <c r="MH105" s="12"/>
      <c r="MI105" s="12"/>
      <c r="MJ105" s="12"/>
      <c r="MK105" s="12"/>
      <c r="ML105" s="12"/>
      <c r="MM105" s="12"/>
      <c r="MN105" s="12"/>
      <c r="MO105" s="12"/>
      <c r="MP105" s="12"/>
      <c r="MQ105" s="12"/>
      <c r="MR105" s="12"/>
      <c r="MS105" s="12"/>
      <c r="MT105" s="12"/>
      <c r="MU105" s="12"/>
      <c r="MV105" s="12"/>
      <c r="MW105" s="12"/>
      <c r="MX105" s="12"/>
      <c r="MY105" s="12"/>
      <c r="MZ105" s="12"/>
      <c r="NA105" s="12"/>
      <c r="NB105" s="12"/>
      <c r="NC105" s="12"/>
      <c r="ND105" s="12"/>
      <c r="NE105" s="12"/>
      <c r="NF105" s="12"/>
      <c r="NG105" s="12"/>
      <c r="NH105" s="12"/>
      <c r="NI105" s="12"/>
      <c r="NJ105" s="12"/>
      <c r="NK105" s="12"/>
      <c r="NL105" s="12"/>
      <c r="NM105" s="12"/>
      <c r="NN105" s="12"/>
      <c r="NO105" s="12"/>
      <c r="NP105" s="12"/>
      <c r="NQ105" s="12"/>
      <c r="NR105" s="12"/>
      <c r="NS105" s="12"/>
      <c r="NT105" s="12"/>
      <c r="NU105" s="12"/>
      <c r="NV105" s="12"/>
      <c r="NW105" s="12"/>
      <c r="NX105" s="12"/>
      <c r="NY105" s="12"/>
      <c r="NZ105" s="12"/>
      <c r="OA105" s="12"/>
      <c r="OB105" s="12"/>
      <c r="OC105" s="12"/>
      <c r="OD105" s="12"/>
      <c r="OE105" s="12"/>
      <c r="OF105" s="12"/>
      <c r="OG105" s="12"/>
      <c r="OH105" s="12"/>
      <c r="OI105" s="12"/>
      <c r="OJ105" s="12"/>
      <c r="OK105" s="12"/>
      <c r="OL105" s="12"/>
      <c r="OM105" s="12"/>
      <c r="ON105" s="12"/>
      <c r="OO105" s="12"/>
      <c r="OP105" s="12"/>
      <c r="OQ105" s="12"/>
      <c r="OR105" s="12"/>
      <c r="OS105" s="12"/>
      <c r="OT105" s="12"/>
      <c r="OU105" s="12"/>
      <c r="OV105" s="12"/>
      <c r="OW105" s="12"/>
      <c r="OX105" s="12"/>
      <c r="OY105" s="12"/>
      <c r="OZ105" s="12"/>
      <c r="PA105" s="12"/>
      <c r="PB105" s="12"/>
      <c r="PC105" s="12"/>
      <c r="PD105" s="12"/>
      <c r="PE105" s="12"/>
      <c r="PF105" s="12"/>
      <c r="PG105" s="12"/>
      <c r="PH105" s="12"/>
      <c r="PI105" s="12"/>
      <c r="PJ105" s="12"/>
      <c r="PK105" s="12"/>
      <c r="PL105" s="12"/>
      <c r="PM105" s="12"/>
      <c r="PN105" s="12"/>
      <c r="PO105" s="12"/>
      <c r="PP105" s="12"/>
      <c r="PQ105" s="12"/>
      <c r="PR105" s="12"/>
      <c r="PS105" s="12"/>
      <c r="PT105" s="12"/>
      <c r="PU105" s="12"/>
      <c r="PV105" s="12"/>
      <c r="PW105" s="12"/>
      <c r="PX105" s="12"/>
      <c r="PY105" s="12"/>
      <c r="PZ105" s="12"/>
      <c r="QA105" s="12"/>
      <c r="QB105" s="12"/>
      <c r="QC105" s="12"/>
      <c r="QD105" s="12"/>
      <c r="QE105" s="12"/>
      <c r="QF105" s="12"/>
      <c r="QG105" s="12"/>
      <c r="QH105" s="12"/>
      <c r="QI105" s="12"/>
      <c r="QJ105" s="12"/>
      <c r="QK105" s="12"/>
      <c r="QL105" s="12"/>
      <c r="QM105" s="12"/>
      <c r="QN105" s="12"/>
      <c r="QO105" s="12"/>
      <c r="QP105" s="12"/>
      <c r="QQ105" s="12"/>
      <c r="QR105" s="12"/>
      <c r="QS105" s="12"/>
      <c r="QT105" s="12"/>
      <c r="QU105" s="12"/>
      <c r="QV105" s="12"/>
      <c r="QW105" s="12"/>
      <c r="QX105" s="12"/>
      <c r="QY105" s="12"/>
      <c r="QZ105" s="12"/>
      <c r="RA105" s="12"/>
      <c r="RB105" s="12"/>
      <c r="RC105" s="12"/>
      <c r="RD105" s="12"/>
      <c r="RE105" s="12"/>
      <c r="RF105" s="12"/>
      <c r="RG105" s="12"/>
      <c r="RH105" s="12"/>
      <c r="RI105" s="12"/>
      <c r="RJ105" s="12"/>
      <c r="RK105" s="12"/>
      <c r="RL105" s="12"/>
      <c r="RM105" s="12"/>
      <c r="RN105" s="12"/>
      <c r="RO105" s="12"/>
      <c r="RP105" s="12"/>
      <c r="RQ105" s="12"/>
      <c r="RR105" s="12"/>
      <c r="RS105" s="12"/>
      <c r="RT105" s="12"/>
      <c r="RU105" s="12"/>
      <c r="RV105" s="12"/>
      <c r="RW105" s="12"/>
      <c r="RX105" s="12"/>
      <c r="RY105" s="12"/>
      <c r="RZ105" s="12"/>
      <c r="SA105" s="12"/>
      <c r="SB105" s="12"/>
      <c r="SC105" s="12"/>
      <c r="SD105" s="12"/>
    </row>
    <row r="106" spans="1:498" s="10" customFormat="1" hidden="1">
      <c r="A106" s="90"/>
      <c r="B106" s="90"/>
      <c r="C106" s="90"/>
      <c r="D106" s="117"/>
      <c r="E106" s="176" t="s">
        <v>44</v>
      </c>
      <c r="F106" s="177">
        <f>$C$10+F102</f>
        <v>146232</v>
      </c>
      <c r="G106" s="178">
        <f t="shared" ref="G106:AD106" si="82">IF(
OR(
F106&lt;=0+N("If either the loan balance from the preceding year is less than or equal to zero OR"),
AND(
G50&gt;20+N("IT is later than teh 20th year AND"),
$D$62&lt;=40000+N("Initial loan volume is less tahn or equal to 40k OR")),
AND(
$C$11=0+N("if the interest rate is zero AND"),
(F106-(F108*12))&lt;0+N("The loan balance is less than the annual IBR payment then"))),
0+N("the loan balance equals zero, if these conditions were not satisfied then"),
IF(
($C$10+G102)&lt;0+N("If the principal payment is greaterthan the original loan balance then"),
0+N("the loan balance is zero")+N("If not, then"),
IF(
(G96*0.15)/12&gt;=$C$84+N("If the IBR payment is greater than or equal to the standard payment then"),
(F106*(1+$C$11))-(G108*12)+N("the previous loan balance plus interest minus the annual IBR payment is the new loan balance")+N("If the condition is false then"),
($C$10+G102)+N("the new loan balance is the original minus the principal or plus the negative amortization (the plus sign is in the formula because negative amortization is postitive and principal payment is negative in the spreadsheet"))))</f>
        <v>147189.58257500001</v>
      </c>
      <c r="H106" s="178">
        <f t="shared" si="82"/>
        <v>147864.2060976325</v>
      </c>
      <c r="I106" s="178">
        <f t="shared" si="82"/>
        <v>148247.06493318308</v>
      </c>
      <c r="J106" s="178">
        <f t="shared" si="82"/>
        <v>148329.08132463097</v>
      </c>
      <c r="K106" s="178">
        <f t="shared" si="82"/>
        <v>148100.89702935296</v>
      </c>
      <c r="L106" s="178">
        <f t="shared" si="82"/>
        <v>147552.86469991767</v>
      </c>
      <c r="M106" s="178">
        <f t="shared" si="82"/>
        <v>138011.11998719719</v>
      </c>
      <c r="N106" s="178">
        <f t="shared" si="82"/>
        <v>127388.92635630726</v>
      </c>
      <c r="O106" s="178">
        <f t="shared" si="82"/>
        <v>115418.12691423038</v>
      </c>
      <c r="P106" s="178">
        <f t="shared" si="82"/>
        <v>101987.07820347098</v>
      </c>
      <c r="Q106" s="178">
        <f t="shared" si="82"/>
        <v>86975.884014200448</v>
      </c>
      <c r="R106" s="178">
        <f t="shared" si="82"/>
        <v>70255.810452139514</v>
      </c>
      <c r="S106" s="178">
        <f t="shared" si="82"/>
        <v>51688.660259735567</v>
      </c>
      <c r="T106" s="178">
        <f t="shared" si="82"/>
        <v>31126.103573170716</v>
      </c>
      <c r="U106" s="178">
        <f t="shared" si="82"/>
        <v>8408.9621035479577</v>
      </c>
      <c r="V106" s="178">
        <f t="shared" si="82"/>
        <v>0</v>
      </c>
      <c r="W106" s="178">
        <f t="shared" si="82"/>
        <v>0</v>
      </c>
      <c r="X106" s="178">
        <f t="shared" si="82"/>
        <v>0</v>
      </c>
      <c r="Y106" s="178">
        <f t="shared" si="82"/>
        <v>0</v>
      </c>
      <c r="Z106" s="178">
        <f t="shared" si="82"/>
        <v>0</v>
      </c>
      <c r="AA106" s="178">
        <f t="shared" si="82"/>
        <v>0</v>
      </c>
      <c r="AB106" s="178">
        <f t="shared" si="82"/>
        <v>0</v>
      </c>
      <c r="AC106" s="178">
        <f t="shared" si="82"/>
        <v>0</v>
      </c>
      <c r="AD106" s="178">
        <f t="shared" si="82"/>
        <v>0</v>
      </c>
      <c r="AE106" s="179"/>
      <c r="AF106" s="180"/>
      <c r="AG106" s="180"/>
      <c r="AH106" s="180"/>
      <c r="AI106" s="181"/>
      <c r="AJ106" s="87"/>
      <c r="AK106" s="87"/>
      <c r="AL106" s="87"/>
      <c r="AM106" s="87"/>
      <c r="AN106" s="87"/>
      <c r="AO106" s="87"/>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c r="HS106" s="12"/>
      <c r="HT106" s="12"/>
      <c r="HU106" s="12"/>
      <c r="HV106" s="12"/>
      <c r="HW106" s="12"/>
      <c r="HX106" s="12"/>
      <c r="HY106" s="12"/>
      <c r="HZ106" s="12"/>
      <c r="IA106" s="12"/>
      <c r="IB106" s="12"/>
      <c r="IC106" s="12"/>
      <c r="ID106" s="12"/>
      <c r="IE106" s="12"/>
      <c r="IF106" s="12"/>
      <c r="IG106" s="12"/>
      <c r="IH106" s="12"/>
      <c r="II106" s="12"/>
      <c r="IJ106" s="12"/>
      <c r="IK106" s="12"/>
      <c r="IL106" s="12"/>
      <c r="IM106" s="12"/>
      <c r="IN106" s="12"/>
      <c r="IO106" s="12"/>
      <c r="IP106" s="12"/>
      <c r="IQ106" s="12"/>
      <c r="IR106" s="12"/>
      <c r="IS106" s="12"/>
      <c r="IT106" s="12"/>
      <c r="IU106" s="12"/>
      <c r="IV106" s="12"/>
      <c r="IW106" s="12"/>
      <c r="IX106" s="12"/>
      <c r="IY106" s="12"/>
      <c r="IZ106" s="12"/>
      <c r="JA106" s="12"/>
      <c r="JB106" s="12"/>
      <c r="JC106" s="12"/>
      <c r="JD106" s="12"/>
      <c r="JE106" s="12"/>
      <c r="JF106" s="12"/>
      <c r="JG106" s="12"/>
      <c r="JH106" s="12"/>
      <c r="JI106" s="12"/>
      <c r="JJ106" s="12"/>
      <c r="JK106" s="12"/>
      <c r="JL106" s="12"/>
      <c r="JM106" s="12"/>
      <c r="JN106" s="12"/>
      <c r="JO106" s="12"/>
      <c r="JP106" s="12"/>
      <c r="JQ106" s="12"/>
      <c r="JR106" s="12"/>
      <c r="JS106" s="12"/>
      <c r="JT106" s="12"/>
      <c r="JU106" s="12"/>
      <c r="JV106" s="12"/>
      <c r="JW106" s="12"/>
      <c r="JX106" s="12"/>
      <c r="JY106" s="12"/>
      <c r="JZ106" s="12"/>
      <c r="KA106" s="12"/>
      <c r="KB106" s="12"/>
      <c r="KC106" s="12"/>
      <c r="KD106" s="12"/>
      <c r="KE106" s="12"/>
      <c r="KF106" s="12"/>
      <c r="KG106" s="12"/>
      <c r="KH106" s="12"/>
      <c r="KI106" s="12"/>
      <c r="KJ106" s="12"/>
      <c r="KK106" s="12"/>
      <c r="KL106" s="12"/>
      <c r="KM106" s="12"/>
      <c r="KN106" s="12"/>
      <c r="KO106" s="12"/>
      <c r="KP106" s="12"/>
      <c r="KQ106" s="12"/>
      <c r="KR106" s="12"/>
      <c r="KS106" s="12"/>
      <c r="KT106" s="12"/>
      <c r="KU106" s="12"/>
      <c r="KV106" s="12"/>
      <c r="KW106" s="12"/>
      <c r="KX106" s="12"/>
      <c r="KY106" s="12"/>
      <c r="KZ106" s="12"/>
      <c r="LA106" s="12"/>
      <c r="LB106" s="12"/>
      <c r="LC106" s="12"/>
      <c r="LD106" s="12"/>
      <c r="LE106" s="12"/>
      <c r="LF106" s="12"/>
      <c r="LG106" s="12"/>
      <c r="LH106" s="12"/>
      <c r="LI106" s="12"/>
      <c r="LJ106" s="12"/>
      <c r="LK106" s="12"/>
      <c r="LL106" s="12"/>
      <c r="LM106" s="12"/>
      <c r="LN106" s="12"/>
      <c r="LO106" s="12"/>
      <c r="LP106" s="12"/>
      <c r="LQ106" s="12"/>
      <c r="LR106" s="12"/>
      <c r="LS106" s="12"/>
      <c r="LT106" s="12"/>
      <c r="LU106" s="12"/>
      <c r="LV106" s="12"/>
      <c r="LW106" s="12"/>
      <c r="LX106" s="12"/>
      <c r="LY106" s="12"/>
      <c r="LZ106" s="12"/>
      <c r="MA106" s="12"/>
      <c r="MB106" s="12"/>
      <c r="MC106" s="12"/>
      <c r="MD106" s="12"/>
      <c r="ME106" s="12"/>
      <c r="MF106" s="12"/>
      <c r="MG106" s="12"/>
      <c r="MH106" s="12"/>
      <c r="MI106" s="12"/>
      <c r="MJ106" s="12"/>
      <c r="MK106" s="12"/>
      <c r="ML106" s="12"/>
      <c r="MM106" s="12"/>
      <c r="MN106" s="12"/>
      <c r="MO106" s="12"/>
      <c r="MP106" s="12"/>
      <c r="MQ106" s="12"/>
      <c r="MR106" s="12"/>
      <c r="MS106" s="12"/>
      <c r="MT106" s="12"/>
      <c r="MU106" s="12"/>
      <c r="MV106" s="12"/>
      <c r="MW106" s="12"/>
      <c r="MX106" s="12"/>
      <c r="MY106" s="12"/>
      <c r="MZ106" s="12"/>
      <c r="NA106" s="12"/>
      <c r="NB106" s="12"/>
      <c r="NC106" s="12"/>
      <c r="ND106" s="12"/>
      <c r="NE106" s="12"/>
      <c r="NF106" s="12"/>
      <c r="NG106" s="12"/>
      <c r="NH106" s="12"/>
      <c r="NI106" s="12"/>
      <c r="NJ106" s="12"/>
      <c r="NK106" s="12"/>
      <c r="NL106" s="12"/>
      <c r="NM106" s="12"/>
      <c r="NN106" s="12"/>
      <c r="NO106" s="12"/>
      <c r="NP106" s="12"/>
      <c r="NQ106" s="12"/>
      <c r="NR106" s="12"/>
      <c r="NS106" s="12"/>
      <c r="NT106" s="12"/>
      <c r="NU106" s="12"/>
      <c r="NV106" s="12"/>
      <c r="NW106" s="12"/>
      <c r="NX106" s="12"/>
      <c r="NY106" s="12"/>
      <c r="NZ106" s="12"/>
      <c r="OA106" s="12"/>
      <c r="OB106" s="12"/>
      <c r="OC106" s="12"/>
      <c r="OD106" s="12"/>
      <c r="OE106" s="12"/>
      <c r="OF106" s="12"/>
      <c r="OG106" s="12"/>
      <c r="OH106" s="12"/>
      <c r="OI106" s="12"/>
      <c r="OJ106" s="12"/>
      <c r="OK106" s="12"/>
      <c r="OL106" s="12"/>
      <c r="OM106" s="12"/>
      <c r="ON106" s="12"/>
      <c r="OO106" s="12"/>
      <c r="OP106" s="12"/>
      <c r="OQ106" s="12"/>
      <c r="OR106" s="12"/>
      <c r="OS106" s="12"/>
      <c r="OT106" s="12"/>
      <c r="OU106" s="12"/>
      <c r="OV106" s="12"/>
      <c r="OW106" s="12"/>
      <c r="OX106" s="12"/>
      <c r="OY106" s="12"/>
      <c r="OZ106" s="12"/>
      <c r="PA106" s="12"/>
      <c r="PB106" s="12"/>
      <c r="PC106" s="12"/>
      <c r="PD106" s="12"/>
      <c r="PE106" s="12"/>
      <c r="PF106" s="12"/>
      <c r="PG106" s="12"/>
      <c r="PH106" s="12"/>
      <c r="PI106" s="12"/>
      <c r="PJ106" s="12"/>
      <c r="PK106" s="12"/>
      <c r="PL106" s="12"/>
      <c r="PM106" s="12"/>
      <c r="PN106" s="12"/>
      <c r="PO106" s="12"/>
      <c r="PP106" s="12"/>
      <c r="PQ106" s="12"/>
      <c r="PR106" s="12"/>
      <c r="PS106" s="12"/>
      <c r="PT106" s="12"/>
      <c r="PU106" s="12"/>
      <c r="PV106" s="12"/>
      <c r="PW106" s="12"/>
      <c r="PX106" s="12"/>
      <c r="PY106" s="12"/>
      <c r="PZ106" s="12"/>
      <c r="QA106" s="12"/>
      <c r="QB106" s="12"/>
      <c r="QC106" s="12"/>
      <c r="QD106" s="12"/>
      <c r="QE106" s="12"/>
      <c r="QF106" s="12"/>
      <c r="QG106" s="12"/>
      <c r="QH106" s="12"/>
      <c r="QI106" s="12"/>
      <c r="QJ106" s="12"/>
      <c r="QK106" s="12"/>
      <c r="QL106" s="12"/>
      <c r="QM106" s="12"/>
      <c r="QN106" s="12"/>
      <c r="QO106" s="12"/>
      <c r="QP106" s="12"/>
      <c r="QQ106" s="12"/>
      <c r="QR106" s="12"/>
      <c r="QS106" s="12"/>
      <c r="QT106" s="12"/>
      <c r="QU106" s="12"/>
      <c r="QV106" s="12"/>
      <c r="QW106" s="12"/>
      <c r="QX106" s="12"/>
      <c r="QY106" s="12"/>
      <c r="QZ106" s="12"/>
      <c r="RA106" s="12"/>
      <c r="RB106" s="12"/>
      <c r="RC106" s="12"/>
      <c r="RD106" s="12"/>
      <c r="RE106" s="12"/>
      <c r="RF106" s="12"/>
      <c r="RG106" s="12"/>
      <c r="RH106" s="12"/>
      <c r="RI106" s="12"/>
      <c r="RJ106" s="12"/>
      <c r="RK106" s="12"/>
      <c r="RL106" s="12"/>
      <c r="RM106" s="12"/>
      <c r="RN106" s="12"/>
      <c r="RO106" s="12"/>
      <c r="RP106" s="12"/>
      <c r="RQ106" s="12"/>
      <c r="RR106" s="12"/>
      <c r="RS106" s="12"/>
      <c r="RT106" s="12"/>
      <c r="RU106" s="12"/>
      <c r="RV106" s="12"/>
      <c r="RW106" s="12"/>
      <c r="RX106" s="12"/>
      <c r="RY106" s="12"/>
      <c r="RZ106" s="12"/>
      <c r="SA106" s="12"/>
      <c r="SB106" s="12"/>
      <c r="SC106" s="12"/>
      <c r="SD106" s="12"/>
    </row>
    <row r="107" spans="1:498">
      <c r="A107" s="24"/>
      <c r="B107" s="24"/>
      <c r="C107" s="24"/>
      <c r="D107" s="182"/>
      <c r="E107" s="182"/>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row>
    <row r="108" spans="1:498" hidden="1">
      <c r="A108" s="24"/>
      <c r="B108" s="24"/>
      <c r="C108" s="24"/>
      <c r="D108" s="183"/>
      <c r="E108" s="183"/>
      <c r="F108" s="184">
        <f>IF(F96&lt;=0,0,
IF(AND(F53&gt;((F55+(F56*F51))*3),((F96*0.15)/12)&gt;($D$58/12))+N("If AGI is above 300 percent of poverty and IBR payment would be greater than 15 of discretionary income THEN"),
"Ineligible",
IF(AND(F53&lt;=((F55+(F56*F51))*3),((F96*0.1)/12)&gt;($D$58/12)+N("If AGI is less than or equal to 300 percent of poverty and IBR payment would be greater than 10 of discretionary income THEN")),
"Ineligible",
IF(
F53&lt;((F55+(F56*F51))*3)+N("If AGI is less than 300 percent of poverty THEN"),
(F96*0.1)/12+N("The IBR payment at ten percent")+N("If the income is greater than 300 percent of poverty THEN"),
(F96*0.15)/12+N("The IBR payment at 15 percent")))))</f>
        <v>728.0625</v>
      </c>
      <c r="G108" s="184">
        <f>IF(
AND(
G50&gt;20+N("If it is past the 20th year AND"),
$D$62&lt;=40000+N("The loan balance is greater than 40k THEN")),
0+N("The loan balance is zero")+N("If not, THEN"),
IF(F106=0,
0+N("If loan balance from the preceding year is zero then IBR payment is zero, if not then"),
IF(
G96&lt;0,
0+N("This makes the IBR payment zero is Income minus exemption is negative"),
IF(G53&lt;((G55+(G56*G51))*3)+N("If AGI is less than 300 percent baseline poverty THEN"),
((G96*0.1)/12)+N("IBR at 10 percent"),
((G96*0.15)/12)+N("Then the IBR payment")))))</f>
        <v>750.93061875000001</v>
      </c>
      <c r="H108" s="184">
        <f t="shared" ref="H108:X108" si="83">IF(
AND(
H50&gt;20+N("If it is past the 20th year AND"),
$D$62&lt;=40000+N("The loan balance is greater than 40k THEN")),
0+N("The loan balance is zero")+N("If not, THEN"),
IF(G106=0,
0+N("If loan balance from the preceding year is zero then IBR payment is zero, if not then"),
IF(
H96&lt;0,
0+N("This makes the IBR payment zero is Income minus exemption is negative"),
IF(H53&lt;((H55+(H56*H51))*3)+N("If AGI is less than 300 percent baseline poverty THEN"),
((H96*0.1)/12)+N("IBR at 10 percent"),
((H96*0.15)/12)+N("Then the IBR payment")))))</f>
        <v>774.51053978062498</v>
      </c>
      <c r="I108" s="184">
        <f t="shared" si="83"/>
        <v>798.82426370411883</v>
      </c>
      <c r="J108" s="184">
        <f t="shared" si="83"/>
        <v>823.89446737934225</v>
      </c>
      <c r="K108" s="184">
        <f t="shared" si="83"/>
        <v>849.74452460650127</v>
      </c>
      <c r="L108" s="184">
        <f t="shared" si="83"/>
        <v>876.39852745294002</v>
      </c>
      <c r="M108" s="184">
        <f t="shared" si="83"/>
        <v>1625.8745593933734</v>
      </c>
      <c r="N108" s="184">
        <f t="shared" si="83"/>
        <v>1675.8715108341473</v>
      </c>
      <c r="O108" s="184">
        <f t="shared" si="83"/>
        <v>1727.399010756084</v>
      </c>
      <c r="P108" s="184">
        <f t="shared" si="83"/>
        <v>1780.5037446760618</v>
      </c>
      <c r="Q108" s="184">
        <f t="shared" si="83"/>
        <v>1835.2338179799315</v>
      </c>
      <c r="R108" s="184">
        <f t="shared" si="83"/>
        <v>1891.6387990031026</v>
      </c>
      <c r="S108" s="184">
        <f t="shared" si="83"/>
        <v>1949.7697634157119</v>
      </c>
      <c r="T108" s="184">
        <f t="shared" si="83"/>
        <v>2009.6793399518065</v>
      </c>
      <c r="U108" s="184">
        <f t="shared" si="83"/>
        <v>2071.4217575231874</v>
      </c>
      <c r="V108" s="184">
        <f t="shared" si="83"/>
        <v>2135.0528937597687</v>
      </c>
      <c r="W108" s="184">
        <f t="shared" si="83"/>
        <v>0</v>
      </c>
      <c r="X108" s="184">
        <f t="shared" si="83"/>
        <v>0</v>
      </c>
      <c r="Y108" s="184">
        <f>IF(
AND(
Y50&gt;20+N("If it is past the 20th year AND"),
$D$62&lt;=40000+N("The loan balance is greater than 40k THEN")),
0+N("The loan balance is zero")+N("If not, THEN"),
IF(X106=0,
0+N("If loan balance from the preceding year is zero then IBR payment is zero, if not then"),
IF(
Y96&lt;0,
0+N("This makes the IBR payment zero is Income minus exemption is negative"),
IF(Y53&lt;((Y55+(Y56*Y51))*3)+N("If AGI is less than 300 percent baseline poverty THEN"),
((Y96*0.1)/12)+N("IBR at 10 percent"),
((Y96*0.15)/12)+N("Then the IBR payment")))))</f>
        <v>0</v>
      </c>
      <c r="Z108" s="184">
        <f t="shared" ref="Z108:AD108" si="84">IF(
AND(
Z50&gt;20+N("If it is past the 20th year AND"),
$D$62&lt;=40000+N("The loan balance is greater than 40k THEN")),
0+N("The loan balance is zero")+N("If not, THEN"),
IF(Y106=0,
0+N("If loan balance from the preceding year is zero then IBR payment is zero, if not then"),
IF(
Z96&lt;0,
0+N("This makes the IBR payment zero is Income minus exemption is negative"),
IF(Z53&lt;((Z55+(Z56*Z51))*3)+N("If AGI is less than 300 percent baseline poverty THEN"),
((Z96*0.1)/12)+N("IBR at 10 percent"),
((Z96*0.15)/12)+N("Then the IBR payment")))))</f>
        <v>0</v>
      </c>
      <c r="AA108" s="184">
        <f t="shared" si="84"/>
        <v>0</v>
      </c>
      <c r="AB108" s="184">
        <f t="shared" si="84"/>
        <v>0</v>
      </c>
      <c r="AC108" s="184">
        <f t="shared" si="84"/>
        <v>0</v>
      </c>
      <c r="AD108" s="184">
        <f t="shared" si="84"/>
        <v>0</v>
      </c>
      <c r="AE108" s="24"/>
      <c r="AF108" s="24"/>
      <c r="AG108" s="24"/>
      <c r="AH108" s="24"/>
      <c r="AI108" s="24"/>
      <c r="AJ108" s="24"/>
      <c r="AK108" s="24"/>
      <c r="AL108" s="24"/>
      <c r="AM108" s="24"/>
      <c r="AN108" s="24"/>
      <c r="AO108" s="24"/>
    </row>
    <row r="109" spans="1:498" s="4" customFormat="1" hidden="1">
      <c r="A109" s="24"/>
      <c r="B109" s="24"/>
      <c r="C109" s="24"/>
      <c r="D109" s="185" t="s">
        <v>26</v>
      </c>
      <c r="E109" s="183"/>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24"/>
      <c r="AF109" s="24"/>
      <c r="AG109" s="24"/>
      <c r="AH109" s="24"/>
      <c r="AI109" s="24"/>
      <c r="AJ109" s="24"/>
      <c r="AK109" s="24"/>
      <c r="AL109" s="24"/>
      <c r="AM109" s="24"/>
      <c r="AN109" s="24"/>
      <c r="AO109" s="24"/>
    </row>
    <row r="110" spans="1:498" hidden="1">
      <c r="A110" s="24"/>
      <c r="B110" s="52" t="s">
        <v>27</v>
      </c>
      <c r="C110" s="24"/>
      <c r="D110" s="41">
        <f>AVERAGE(F110:W110)</f>
        <v>0.1179813263240275</v>
      </c>
      <c r="E110" s="24"/>
      <c r="F110" s="41">
        <f>(F108*12)/F52</f>
        <v>0.11649</v>
      </c>
      <c r="G110" s="41">
        <f t="shared" ref="G110:AD110" si="85">(G108*12)/G52</f>
        <v>0.11664941650485436</v>
      </c>
      <c r="H110" s="41">
        <f t="shared" si="85"/>
        <v>0.11680807462051088</v>
      </c>
      <c r="I110" s="41">
        <f t="shared" si="85"/>
        <v>0.1169659779548405</v>
      </c>
      <c r="J110" s="41">
        <f t="shared" si="85"/>
        <v>0.11712313009855049</v>
      </c>
      <c r="K110" s="41">
        <f t="shared" si="85"/>
        <v>0.11727953462526612</v>
      </c>
      <c r="L110" s="41">
        <f t="shared" si="85"/>
        <v>0.11743519509161193</v>
      </c>
      <c r="M110" s="41">
        <f t="shared" si="85"/>
        <v>0.13006996475146987</v>
      </c>
      <c r="N110" s="41">
        <f t="shared" si="85"/>
        <v>0.13016477754051628</v>
      </c>
      <c r="O110" s="41">
        <f t="shared" si="85"/>
        <v>0.1302591392784303</v>
      </c>
      <c r="P110" s="41">
        <f t="shared" si="85"/>
        <v>0.13035305211098924</v>
      </c>
      <c r="Q110" s="41">
        <f t="shared" si="85"/>
        <v>0.13044651817376224</v>
      </c>
      <c r="R110" s="41">
        <f t="shared" si="85"/>
        <v>0.13053953959215889</v>
      </c>
      <c r="S110" s="41">
        <f t="shared" si="85"/>
        <v>0.13063211848147774</v>
      </c>
      <c r="T110" s="41">
        <f t="shared" si="85"/>
        <v>0.13072425694695422</v>
      </c>
      <c r="U110" s="41">
        <f t="shared" si="85"/>
        <v>0.1308159570838085</v>
      </c>
      <c r="V110" s="41">
        <f t="shared" si="85"/>
        <v>0.13090722097729332</v>
      </c>
      <c r="W110" s="41">
        <f t="shared" si="85"/>
        <v>0</v>
      </c>
      <c r="X110" s="41">
        <f t="shared" si="85"/>
        <v>0</v>
      </c>
      <c r="Y110" s="41">
        <f t="shared" si="85"/>
        <v>0</v>
      </c>
      <c r="Z110" s="41">
        <f t="shared" si="85"/>
        <v>0</v>
      </c>
      <c r="AA110" s="41">
        <f t="shared" si="85"/>
        <v>0</v>
      </c>
      <c r="AB110" s="41">
        <f t="shared" si="85"/>
        <v>0</v>
      </c>
      <c r="AC110" s="41">
        <f t="shared" si="85"/>
        <v>0</v>
      </c>
      <c r="AD110" s="41">
        <f t="shared" si="85"/>
        <v>0</v>
      </c>
      <c r="AE110" s="24"/>
      <c r="AF110" s="24"/>
      <c r="AG110" s="24"/>
      <c r="AH110" s="24"/>
      <c r="AI110" s="24"/>
      <c r="AJ110" s="24"/>
      <c r="AK110" s="24"/>
      <c r="AL110" s="24"/>
      <c r="AM110" s="24"/>
      <c r="AN110" s="24"/>
      <c r="AO110" s="24"/>
    </row>
    <row r="111" spans="1:498" ht="14" customHeight="1">
      <c r="A111" s="24"/>
      <c r="B111" s="24"/>
      <c r="C111" s="24"/>
      <c r="D111" s="24"/>
      <c r="E111" s="24"/>
      <c r="F111" s="193" t="s">
        <v>73</v>
      </c>
      <c r="G111" s="193"/>
      <c r="H111" s="193"/>
      <c r="I111" s="193"/>
      <c r="J111" s="193"/>
      <c r="K111" s="193"/>
      <c r="L111" s="193"/>
      <c r="M111" s="193"/>
      <c r="N111" s="193"/>
      <c r="O111" s="193"/>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row>
    <row r="112" spans="1:498">
      <c r="A112" s="24"/>
      <c r="B112" s="24"/>
      <c r="C112" s="24"/>
      <c r="D112" s="24"/>
      <c r="E112" s="24"/>
      <c r="F112" s="193"/>
      <c r="G112" s="193"/>
      <c r="H112" s="193"/>
      <c r="I112" s="193"/>
      <c r="J112" s="193"/>
      <c r="K112" s="193"/>
      <c r="L112" s="193"/>
      <c r="M112" s="193"/>
      <c r="N112" s="193"/>
      <c r="O112" s="193"/>
      <c r="P112" s="24"/>
      <c r="Q112" s="24"/>
      <c r="R112" s="24"/>
      <c r="S112" s="24"/>
      <c r="T112" s="24"/>
      <c r="U112" s="24"/>
      <c r="V112" s="24"/>
      <c r="W112" s="24"/>
      <c r="X112" s="24"/>
      <c r="Y112" s="24"/>
      <c r="Z112" s="186"/>
      <c r="AA112" s="24"/>
      <c r="AB112" s="24"/>
      <c r="AC112" s="24"/>
      <c r="AD112" s="24"/>
      <c r="AE112" s="24"/>
      <c r="AF112" s="24"/>
      <c r="AG112" s="24"/>
      <c r="AH112" s="24"/>
      <c r="AI112" s="24"/>
      <c r="AJ112" s="24"/>
      <c r="AK112" s="24"/>
      <c r="AL112" s="24"/>
      <c r="AM112" s="24"/>
      <c r="AN112" s="24"/>
      <c r="AO112" s="24"/>
    </row>
    <row r="113" spans="1:41">
      <c r="A113" s="24"/>
      <c r="B113" s="24"/>
      <c r="C113" s="24"/>
      <c r="D113" s="24"/>
      <c r="E113" s="24"/>
      <c r="F113" s="193"/>
      <c r="G113" s="193"/>
      <c r="H113" s="193"/>
      <c r="I113" s="193"/>
      <c r="J113" s="193"/>
      <c r="K113" s="193"/>
      <c r="L113" s="193"/>
      <c r="M113" s="193"/>
      <c r="N113" s="193"/>
      <c r="O113" s="193"/>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row>
    <row r="114" spans="1:41">
      <c r="A114" s="24"/>
      <c r="B114" s="24"/>
      <c r="C114" s="24"/>
      <c r="D114" s="24"/>
      <c r="E114" s="24"/>
      <c r="F114" s="193"/>
      <c r="G114" s="193"/>
      <c r="H114" s="193"/>
      <c r="I114" s="193"/>
      <c r="J114" s="193"/>
      <c r="K114" s="193"/>
      <c r="L114" s="193"/>
      <c r="M114" s="193"/>
      <c r="N114" s="193"/>
      <c r="O114" s="193"/>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row>
    <row r="115" spans="1:41" s="7" customFormat="1">
      <c r="A115" s="24"/>
      <c r="B115" s="24"/>
      <c r="C115" s="24"/>
      <c r="D115" s="24"/>
      <c r="E115" s="24"/>
      <c r="F115" s="193"/>
      <c r="G115" s="193"/>
      <c r="H115" s="193"/>
      <c r="I115" s="193"/>
      <c r="J115" s="193"/>
      <c r="K115" s="193"/>
      <c r="L115" s="193"/>
      <c r="M115" s="193"/>
      <c r="N115" s="193"/>
      <c r="O115" s="193"/>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row>
    <row r="116" spans="1:41" s="7" customFormat="1">
      <c r="A116" s="24"/>
      <c r="B116" s="24"/>
      <c r="C116" s="24"/>
      <c r="D116" s="24"/>
      <c r="E116" s="24"/>
      <c r="F116" s="193"/>
      <c r="G116" s="193"/>
      <c r="H116" s="193"/>
      <c r="I116" s="193"/>
      <c r="J116" s="193"/>
      <c r="K116" s="193"/>
      <c r="L116" s="193"/>
      <c r="M116" s="193"/>
      <c r="N116" s="193"/>
      <c r="O116" s="193"/>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row>
    <row r="117" spans="1:41" s="7" customFormat="1">
      <c r="A117" s="24"/>
      <c r="B117" s="24"/>
      <c r="C117" s="24"/>
      <c r="D117" s="24"/>
      <c r="E117" s="24"/>
      <c r="F117" s="193"/>
      <c r="G117" s="193"/>
      <c r="H117" s="193"/>
      <c r="I117" s="193"/>
      <c r="J117" s="193"/>
      <c r="K117" s="193"/>
      <c r="L117" s="193"/>
      <c r="M117" s="193"/>
      <c r="N117" s="193"/>
      <c r="O117" s="193"/>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row>
    <row r="118" spans="1:41" s="7" customFormat="1">
      <c r="A118" s="24"/>
      <c r="B118" s="24"/>
      <c r="C118" s="24"/>
      <c r="D118" s="24"/>
      <c r="E118" s="24"/>
      <c r="F118" s="193"/>
      <c r="G118" s="193"/>
      <c r="H118" s="193"/>
      <c r="I118" s="193"/>
      <c r="J118" s="193"/>
      <c r="K118" s="193"/>
      <c r="L118" s="193"/>
      <c r="M118" s="193"/>
      <c r="N118" s="193"/>
      <c r="O118" s="193"/>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row>
    <row r="119" spans="1:41" s="7" customFormat="1">
      <c r="A119" s="24"/>
      <c r="B119" s="24"/>
      <c r="C119" s="24"/>
      <c r="D119" s="24"/>
      <c r="E119" s="24"/>
      <c r="F119" s="193"/>
      <c r="G119" s="193"/>
      <c r="H119" s="193"/>
      <c r="I119" s="193"/>
      <c r="J119" s="193"/>
      <c r="K119" s="193"/>
      <c r="L119" s="193"/>
      <c r="M119" s="193"/>
      <c r="N119" s="193"/>
      <c r="O119" s="193"/>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row>
    <row r="120" spans="1:41" s="7" customFormat="1"/>
  </sheetData>
  <sheetProtection password="91FB" sheet="1" objects="1" scenarios="1"/>
  <mergeCells count="22">
    <mergeCell ref="B3:D3"/>
    <mergeCell ref="C73:E73"/>
    <mergeCell ref="C74:E74"/>
    <mergeCell ref="C79:E79"/>
    <mergeCell ref="C80:E80"/>
    <mergeCell ref="C76:E76"/>
    <mergeCell ref="C77:E77"/>
    <mergeCell ref="F21:O37"/>
    <mergeCell ref="F38:O38"/>
    <mergeCell ref="F39:O41"/>
    <mergeCell ref="F111:O119"/>
    <mergeCell ref="C50:E50"/>
    <mergeCell ref="C52:E52"/>
    <mergeCell ref="C53:E53"/>
    <mergeCell ref="C104:E104"/>
    <mergeCell ref="C105:E105"/>
    <mergeCell ref="C81:E81"/>
    <mergeCell ref="F1:O2"/>
    <mergeCell ref="F3:O4"/>
    <mergeCell ref="F5:O6"/>
    <mergeCell ref="F7:O10"/>
    <mergeCell ref="F13:O20"/>
  </mergeCells>
  <pageMargins left="0.7" right="0.7" top="0.75" bottom="0.75" header="0.3" footer="0.3"/>
  <pageSetup orientation="landscape"/>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IBR Calculator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Holt</dc:creator>
  <cp:lastModifiedBy>Alexander Holt</cp:lastModifiedBy>
  <dcterms:created xsi:type="dcterms:W3CDTF">2012-08-18T20:45:09Z</dcterms:created>
  <dcterms:modified xsi:type="dcterms:W3CDTF">2012-10-17T18:58:07Z</dcterms:modified>
</cp:coreProperties>
</file>