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7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feld\Dropbox (Wall Street Prep)\Website\"/>
    </mc:Choice>
  </mc:AlternateContent>
  <xr:revisionPtr revIDLastSave="0" documentId="8_{B28D92FB-D4FB-492B-BBD3-0BB71E40D63B}" xr6:coauthVersionLast="46" xr6:coauthVersionMax="46" xr10:uidLastSave="{00000000-0000-0000-0000-000000000000}"/>
  <bookViews>
    <workbookView xWindow="-120" yWindow="-120" windowWidth="29040" windowHeight="15840" xr2:uid="{B7231AC8-F1D7-464A-961D-E0654EEF8650}"/>
  </bookViews>
  <sheets>
    <sheet name="Intro" sheetId="2" r:id="rId1"/>
    <sheet name="Calculations" sheetId="1" r:id="rId2"/>
  </sheets>
  <definedNames>
    <definedName name="CAGR" comment="vfinal = value at final period | vbegin = value at beginning period | t = number of periods ">_xlfn.LAMBDA(_xlpm.vfinal,_xlpm.vbegin,_xlpm.t,(_xlpm.vfinal/_xlpm.vbegin)^(1/_xlpm.t)-1)</definedName>
    <definedName name="DSO" comment="AR = End of period AR | Revenue = Revenue during period | DaysinPeriod = Days in the Period">_xlfn.LAMBDA(_xlpm.AR,_xlpm.Revenue,_xlpm.DaysinPeriod,_xlpm.DaysinPeriod/(_xlpm.Revenue/_xlpm.AR))</definedName>
    <definedName name="EOQUARTER" comment="This function takes a user defined date, converts it to the nearest upcoming end of quarter dates, and allows for incrementing to future quarters   Date = User input for date | Quarters = Number of quarters from the quarter end date">_xlfn.LAMBDA(_xlpm.date,_xlpm.quarters,EOMONTH(EOMONTH(_xlpm.date,(ROUNDUP(MONTH(_xlpm.date)/3,0)*3-MONTH(_xlpm.date))),_xlpm.quarters*3))</definedName>
    <definedName name="GRATE" comment="base = base for the calculation | growthrate = the growth rate">_xlfn.LAMBDA(_xlpm.base,_xlpm.growthrate,_xlpm.base*(1+_xlpm.growthrate))</definedName>
    <definedName name="IMPLIEDG" comment="Rate = discount rate | Cashflow = first period cash flow | Value = present value of the annuity">_xlfn.LAMBDA(_xlpm.rate,_xlpm.cashflow,_xlpm.value,(_xlpm.rate-_xlpm.cashflow/_xlpm.value)/(1+_xlpm.cashflow/_xlpm.value))</definedName>
    <definedName name="SHEETNAME">_xlfn.LAMBDA(_xlpm.reference,RIGHT(CELL("filename"),LEN(CELL("filename"))-FIND("]",CELL("filename"))))</definedName>
    <definedName name="TSM" comment="This formula calculates net share dilution from options using the treasury stock method.  numoptions = number of stock options, strikeprice = the strike price, currentprice = current share price">_xlfn.LAMBDA(_xlpm.numoptions,_xlpm.strikeprice,_xlpm.currentprice,SUMIF(_xlpm.strikeprice,"&lt;"&amp;_xlpm.currentprice,_xlpm.numoptions)-SUMPRODUCT(_xlpm.numoptions,_xlpm.strikeprice*(_xlpm.strikeprice&lt;_xlpm.currentprice))/_xlpm.currentprice)</definedName>
  </definedNames>
  <calcPr calcId="191029" calcMode="autoNoTable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0" i="1" l="1" a="1"/>
  <c r="C70" i="1" s="1"/>
  <c r="C100" i="1" a="1"/>
  <c r="C100" i="1" s="1"/>
  <c r="C99" i="1" a="1"/>
  <c r="C99" i="1" s="1"/>
  <c r="F82" i="1" a="1"/>
  <c r="F82" i="1" s="1"/>
  <c r="C93" i="1" a="1"/>
  <c r="C93" i="1" s="1"/>
  <c r="C79" i="1"/>
  <c r="C67" i="1"/>
  <c r="C53" i="1"/>
  <c r="C54" i="1"/>
  <c r="C48" i="1" a="1"/>
  <c r="C48" i="1" s="1"/>
  <c r="C47" i="1"/>
  <c r="F32" i="1" a="1"/>
  <c r="F32" i="1" s="1"/>
  <c r="F30" i="1"/>
  <c r="H20" i="1" a="1"/>
  <c r="H20" i="1" s="1"/>
  <c r="C23" i="1" a="1"/>
  <c r="C23" i="1"/>
  <c r="D9" i="1" a="1"/>
  <c r="D9" i="1" s="1"/>
  <c r="E9" i="1" s="1" a="1"/>
  <c r="E9" i="1" s="1"/>
  <c r="F9" i="1" s="1" a="1"/>
  <c r="F9" i="1" s="1"/>
  <c r="G9" i="1" s="1" a="1"/>
  <c r="G9" i="1" s="1"/>
  <c r="C12" i="1" a="1"/>
  <c r="C12" i="1" s="1"/>
  <c r="B97" i="1" a="1"/>
  <c r="B97" i="1" s="1"/>
  <c r="D8" i="1" l="1"/>
  <c r="E8" i="1" s="1"/>
  <c r="F8" i="1" s="1"/>
  <c r="G8" i="1" s="1"/>
  <c r="D20" i="1"/>
  <c r="D19" i="1"/>
  <c r="E19" i="1" s="1"/>
  <c r="F19" i="1" s="1"/>
  <c r="G19" i="1" s="1"/>
  <c r="E20" i="1" l="1"/>
  <c r="F20" i="1" s="1"/>
  <c r="G20" i="1" s="1"/>
  <c r="E53" i="1" l="1"/>
  <c r="E67" i="1"/>
  <c r="E66" i="1"/>
  <c r="E65" i="1"/>
  <c r="E61" i="1"/>
  <c r="E59" i="1"/>
  <c r="E57" i="1"/>
  <c r="C66" i="1"/>
  <c r="C65" i="1"/>
  <c r="C64" i="1"/>
  <c r="C63" i="1"/>
  <c r="C62" i="1"/>
  <c r="C61" i="1"/>
  <c r="C60" i="1"/>
  <c r="C59" i="1"/>
  <c r="C58" i="1"/>
  <c r="C57" i="1"/>
  <c r="C56" i="1"/>
  <c r="C55" i="1"/>
  <c r="C92" i="1" a="1"/>
  <c r="C92" i="1" s="1"/>
  <c r="C88" i="1" a="1"/>
  <c r="C88" i="1" s="1"/>
  <c r="C89" i="1" s="1"/>
  <c r="C87" i="1"/>
  <c r="D78" i="1"/>
  <c r="F78" i="1" s="1"/>
  <c r="D77" i="1"/>
  <c r="F77" i="1" s="1"/>
  <c r="D76" i="1"/>
  <c r="F76" i="1" s="1"/>
  <c r="D75" i="1"/>
  <c r="C69" i="1" l="1"/>
  <c r="F67" i="1"/>
  <c r="F75" i="1"/>
  <c r="F79" i="1" s="1"/>
  <c r="D79" i="1"/>
  <c r="F59" i="1"/>
  <c r="F57" i="1"/>
  <c r="F61" i="1"/>
  <c r="F65" i="1"/>
  <c r="F66" i="1"/>
  <c r="F53" i="1"/>
  <c r="E55" i="1"/>
  <c r="F55" i="1" s="1"/>
  <c r="E60" i="1"/>
  <c r="F60" i="1" s="1"/>
  <c r="E63" i="1"/>
  <c r="F63" i="1" s="1"/>
  <c r="E54" i="1"/>
  <c r="F54" i="1" s="1"/>
  <c r="E62" i="1"/>
  <c r="F62" i="1" s="1"/>
  <c r="E56" i="1"/>
  <c r="F56" i="1" s="1"/>
  <c r="E64" i="1"/>
  <c r="F64" i="1" s="1"/>
  <c r="E58" i="1"/>
  <c r="F58" i="1" s="1"/>
  <c r="C81" i="1"/>
  <c r="C90" i="1"/>
  <c r="C82" i="1" l="1"/>
  <c r="C83" i="1" s="1"/>
  <c r="C84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<sst xmlns="http://schemas.openxmlformats.org/spreadsheetml/2006/main" count="76" uniqueCount="66">
  <si>
    <t xml:space="preserve">GRATE </t>
  </si>
  <si>
    <t>Grows data by a growth rate</t>
  </si>
  <si>
    <t xml:space="preserve">CAGR </t>
  </si>
  <si>
    <t xml:space="preserve">Calculates a CAGR </t>
  </si>
  <si>
    <t>DSO</t>
  </si>
  <si>
    <t>Calculates Days Sales Outstanding (Using ending period AR)</t>
  </si>
  <si>
    <t>IMPLIEDG</t>
  </si>
  <si>
    <t>EOQUARTER</t>
  </si>
  <si>
    <t>Options</t>
  </si>
  <si>
    <t>Strike</t>
  </si>
  <si>
    <t>Share price</t>
  </si>
  <si>
    <t>In-the-$</t>
  </si>
  <si>
    <t>TSM</t>
  </si>
  <si>
    <t>Calculates share dilution from stock options using the treasury stock method</t>
  </si>
  <si>
    <t>Tranche 1</t>
  </si>
  <si>
    <t>Tranche 2</t>
  </si>
  <si>
    <t>Tranche 3</t>
  </si>
  <si>
    <t>Tranche 4</t>
  </si>
  <si>
    <t>Proceeds</t>
  </si>
  <si>
    <t>Gross Dilution</t>
  </si>
  <si>
    <t>Option Proceeds</t>
  </si>
  <si>
    <t>Shares Repurched with Option Proceeds</t>
  </si>
  <si>
    <t>Net Dilution using TSM</t>
  </si>
  <si>
    <t>Using SUMIFS and SUMPRODUCT</t>
  </si>
  <si>
    <t>Manual Approach</t>
  </si>
  <si>
    <t>Setting up for LAMBDA</t>
  </si>
  <si>
    <t>TSM Calculations</t>
  </si>
  <si>
    <t>Date (m/d/yy)</t>
  </si>
  <si>
    <t>from date</t>
  </si>
  <si>
    <t xml:space="preserve">Quarters </t>
  </si>
  <si>
    <t>Months</t>
  </si>
  <si>
    <t>Result</t>
  </si>
  <si>
    <t>(m/d/yy)</t>
  </si>
  <si>
    <t xml:space="preserve">Quarter-end date </t>
  </si>
  <si>
    <t>Calculates the quarter-end date, x quarters from a provided date</t>
  </si>
  <si>
    <t>EOQUARTER Calculations</t>
  </si>
  <si>
    <t xml:space="preserve">Calculates the implied growth rate of an annuity, given the PV of the annuity and first period cash flows. Implied growth </t>
  </si>
  <si>
    <t>Discount rate (WACC)</t>
  </si>
  <si>
    <r>
      <t>Cash Flow (Free Cash Flow</t>
    </r>
    <r>
      <rPr>
        <vertAlign val="superscript"/>
        <sz val="20"/>
        <color theme="1"/>
        <rFont val="Times New Roman"/>
        <family val="1"/>
      </rPr>
      <t>t</t>
    </r>
    <r>
      <rPr>
        <sz val="20"/>
        <color theme="1"/>
        <rFont val="Times New Roman"/>
        <family val="1"/>
      </rPr>
      <t>)</t>
    </r>
  </si>
  <si>
    <r>
      <t>Value of Annuity (Terminal Value</t>
    </r>
    <r>
      <rPr>
        <vertAlign val="superscript"/>
        <sz val="20"/>
        <color theme="1"/>
        <rFont val="Times New Roman"/>
        <family val="1"/>
      </rPr>
      <t>t</t>
    </r>
    <r>
      <rPr>
        <sz val="20"/>
        <color theme="1"/>
        <rFont val="Times New Roman"/>
        <family val="2"/>
      </rPr>
      <t>)</t>
    </r>
  </si>
  <si>
    <t>Implied Growth Rate</t>
  </si>
  <si>
    <t>IMPLIED G Calculations</t>
  </si>
  <si>
    <t>CAGR Calculations</t>
  </si>
  <si>
    <t>Revenue</t>
  </si>
  <si>
    <t>CAGR</t>
  </si>
  <si>
    <t>Growth rate</t>
  </si>
  <si>
    <t>LAMBDA for CAGR</t>
  </si>
  <si>
    <t>Accounts Receivable (EOP)</t>
  </si>
  <si>
    <t>Days in Period</t>
  </si>
  <si>
    <t>Days Sales Outstanding Calculations</t>
  </si>
  <si>
    <t>LAMBDA for DSO</t>
  </si>
  <si>
    <t>LAMBDA for IMPLIEDG</t>
  </si>
  <si>
    <t>LAMBDA for TSM</t>
  </si>
  <si>
    <t>LAMBDA for EOQUARTER</t>
  </si>
  <si>
    <t>GRATE Calculations</t>
  </si>
  <si>
    <t>LAMBDA for GRATE</t>
  </si>
  <si>
    <t>NAME</t>
  </si>
  <si>
    <t>DESCRIPTION</t>
  </si>
  <si>
    <t xml:space="preserve">SHEETNAME </t>
  </si>
  <si>
    <t>Outputs the name of an Excel worksheet (Source: Mr. Excel!)</t>
  </si>
  <si>
    <t>SHEETNAME Calculations</t>
  </si>
  <si>
    <t>Extracting Worksheet Name:</t>
  </si>
  <si>
    <t>LAMBDA for SHEETNAME</t>
  </si>
  <si>
    <t>Let's build the following Lambda functions!</t>
  </si>
  <si>
    <t>Actual</t>
  </si>
  <si>
    <t>Projections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</si>
</sst>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#,##0.0%_);\(#,##0.0%\);_(&quot;–&quot;_)_%;_(@_)_%"/>
    <numFmt numFmtId="165" formatCode="_([$$]#,##0_)_%;\([$$]#,##0\)_%;_(&quot;–&quot;_)_%;_(@_)_%"/>
    <numFmt numFmtId="166" formatCode="#,##0.0_);\(#,##0.0\)"/>
    <numFmt numFmtId="169" formatCode="m/d/yy;@"/>
  </numFmts>
  <fonts count="9">
    <font>
      <sz val="20"/>
      <color theme="1"/>
      <name val="Times New Roman"/>
      <family val="2"/>
    </font>
    <font>
      <sz val="20"/>
      <color rgb="FF0000FF"/>
      <name val="Times New Roman"/>
      <family val="2"/>
    </font>
    <font>
      <sz val="20"/>
      <color rgb="FF000000"/>
      <name val="Times New Roman"/>
      <family val="2"/>
    </font>
    <font>
      <b/>
      <sz val="20"/>
      <color theme="1"/>
      <name val="Times New Roman"/>
      <family val="1"/>
    </font>
    <font>
      <u/>
      <sz val="20"/>
      <color theme="1"/>
      <name val="Times New Roman"/>
      <family val="2"/>
    </font>
    <font>
      <vertAlign val="superscript"/>
      <sz val="20"/>
      <color theme="1"/>
      <name val="Times New Roman"/>
      <family val="1"/>
    </font>
    <font>
      <sz val="20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rgb="FF141414"/>
      <name val="Inherit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000000"/>
      </patternFill>
    </fill>
    <fill>
      <patternFill patternType="solid">
        <fgColor rgb="FFF4CCC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9" fontId="0" fillId="0" borderId="0" xfId="0" applyNumberFormat="1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65" fontId="1" fillId="0" borderId="0" xfId="0" applyNumberFormat="1" applyFont="1"/>
    <xf numFmtId="0" fontId="1" fillId="0" borderId="0" xfId="0" applyFont="1"/>
    <xf numFmtId="0" fontId="2" fillId="0" borderId="0" xfId="0" applyFont="1"/>
    <xf numFmtId="37" fontId="0" fillId="0" borderId="0" xfId="0" applyNumberFormat="1"/>
    <xf numFmtId="166" fontId="3" fillId="0" borderId="0" xfId="0" applyNumberFormat="1" applyFont="1"/>
    <xf numFmtId="166" fontId="0" fillId="0" borderId="0" xfId="0" applyNumberFormat="1"/>
    <xf numFmtId="0" fontId="4" fillId="0" borderId="0" xfId="0" applyFont="1"/>
    <xf numFmtId="0" fontId="3" fillId="0" borderId="0" xfId="0" applyFont="1"/>
    <xf numFmtId="14" fontId="0" fillId="0" borderId="0" xfId="0" applyNumberFormat="1"/>
    <xf numFmtId="169" fontId="0" fillId="0" borderId="0" xfId="0" applyNumberFormat="1"/>
    <xf numFmtId="9" fontId="1" fillId="0" borderId="0" xfId="0" applyNumberFormat="1" applyFont="1"/>
    <xf numFmtId="9" fontId="2" fillId="0" borderId="0" xfId="0" applyNumberFormat="1" applyFont="1"/>
    <xf numFmtId="37" fontId="1" fillId="0" borderId="0" xfId="0" applyNumberFormat="1" applyFont="1"/>
    <xf numFmtId="0" fontId="0" fillId="2" borderId="0" xfId="0" applyFill="1"/>
    <xf numFmtId="164" fontId="0" fillId="2" borderId="0" xfId="0" applyNumberFormat="1" applyFill="1"/>
    <xf numFmtId="169" fontId="0" fillId="2" borderId="0" xfId="0" applyNumberFormat="1" applyFill="1"/>
    <xf numFmtId="0" fontId="3" fillId="3" borderId="0" xfId="0" applyFont="1" applyFill="1"/>
    <xf numFmtId="0" fontId="0" fillId="3" borderId="0" xfId="0" applyFill="1"/>
    <xf numFmtId="0" fontId="7" fillId="0" borderId="0" xfId="0" applyFont="1"/>
    <xf numFmtId="0" fontId="8" fillId="0" borderId="0" xfId="0" applyFont="1" applyAlignment="1">
      <alignment horizontal="left" vertical="center" readingOrder="1"/>
    </xf>
    <xf numFmtId="14" fontId="0" fillId="0" borderId="0" xfId="0" applyNumberFormat="1" applyBorder="1"/>
    <xf numFmtId="0" fontId="0" fillId="0" borderId="1" xfId="0" applyBorder="1" applyAlignment="1">
      <alignment horizontal="centerContinuous"/>
    </xf>
    <xf numFmtId="166" fontId="2" fillId="0" borderId="0" xfId="0" applyNumberFormat="1" applyFont="1"/>
    <xf numFmtId="169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4152900</xdr:colOff>
      <xdr:row>1</xdr:row>
      <xdr:rowOff>66675</xdr:rowOff>
    </xdr:from>
    <xdr:to>
      <xdr:col>2</xdr:col>
      <xdr:colOff>7110942</xdr:colOff>
      <xdr:row>5</xdr:row>
      <xdr:rowOff>100543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098176-3801-4C00-BC77-2863A3EF4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400050"/>
          <a:ext cx="2958042" cy="13673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42333</xdr:colOff>
      <xdr:row>34</xdr:row>
      <xdr:rowOff>158750</xdr:rowOff>
    </xdr:from>
    <xdr:to>
      <xdr:col>3</xdr:col>
      <xdr:colOff>579190</xdr:colOff>
      <xdr:row>40</xdr:row>
      <xdr:rowOff>174369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850838-DA11-428D-BB81-C218C2E73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9416" y="5577417"/>
          <a:ext cx="6209524" cy="2047619"/>
        </a:xfrm>
        <a:prstGeom prst="rect">
          <a:avLst/>
        </a:prstGeom>
      </xdr:spPr>
    </xdr:pic>
    <xdr:clientData/>
  </xdr:twoCellAnchor>
  <xdr:twoCellAnchor editAs="oneCell">
    <xdr:from>
      <xdr:col>1</xdr:col>
      <xdr:colOff>52916</xdr:colOff>
      <xdr:row>14</xdr:row>
      <xdr:rowOff>179917</xdr:rowOff>
    </xdr:from>
    <xdr:to>
      <xdr:col>1</xdr:col>
      <xdr:colOff>4262440</xdr:colOff>
      <xdr:row>17</xdr:row>
      <xdr:rowOff>268679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5399C3-4173-4DAB-85EC-DE6A67AB2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9999" y="3227917"/>
          <a:ext cx="4209524" cy="1104762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1238250</xdr:colOff>
      <xdr:row>0</xdr:row>
      <xdr:rowOff>254000</xdr:rowOff>
    </xdr:from>
    <xdr:to>
      <xdr:col>5</xdr:col>
      <xdr:colOff>225862</xdr:colOff>
      <xdr:row>4</xdr:row>
      <xdr:rowOff>277907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7717795-A3D1-4660-B2D4-90A04D5A5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5083" y="254000"/>
          <a:ext cx="2956362" cy="137857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1F7FD-98F1-47C2-8E89-B6F0C9B6787E}">
  <dimension ref="B7:C18"/>
  <sheetViews>
    <sheetView showGridLines="0" tabSelected="1" workbookViewId="0"/>
  </sheetViews>
  <sheetFormatPr defaultRowHeight="26.25"/>
  <cols>
    <col min="1" max="1" width="1.640625" customWidth="1"/>
    <col min="2" max="2" width="13.35546875" bestFit="1" customWidth="1"/>
    <col min="3" max="3" width="96.5" bestFit="1" customWidth="1"/>
  </cols>
  <sheetData>
    <row r="7" spans="2:3">
      <c r="B7" t="s">
        <v>63</v>
      </c>
    </row>
    <row r="9" spans="2:3">
      <c r="B9" s="12" t="s">
        <v>56</v>
      </c>
      <c r="C9" s="12" t="s">
        <v>57</v>
      </c>
    </row>
    <row r="10" spans="2:3">
      <c r="B10" s="23" t="s">
        <v>0</v>
      </c>
      <c r="C10" t="s">
        <v>1</v>
      </c>
    </row>
    <row r="11" spans="2:3">
      <c r="B11" s="23" t="s">
        <v>2</v>
      </c>
      <c r="C11" t="s">
        <v>3</v>
      </c>
    </row>
    <row r="12" spans="2:3">
      <c r="B12" s="23" t="s">
        <v>4</v>
      </c>
      <c r="C12" t="s">
        <v>5</v>
      </c>
    </row>
    <row r="13" spans="2:3">
      <c r="B13" s="23" t="s">
        <v>6</v>
      </c>
      <c r="C13" t="s">
        <v>36</v>
      </c>
    </row>
    <row r="14" spans="2:3">
      <c r="B14" s="23" t="s">
        <v>7</v>
      </c>
      <c r="C14" t="s">
        <v>34</v>
      </c>
    </row>
    <row r="15" spans="2:3">
      <c r="B15" s="23" t="s">
        <v>12</v>
      </c>
      <c r="C15" t="s">
        <v>13</v>
      </c>
    </row>
    <row r="16" spans="2:3">
      <c r="B16" s="23" t="s">
        <v>58</v>
      </c>
      <c r="C16" t="s">
        <v>59</v>
      </c>
    </row>
    <row r="17" spans="2:2">
      <c r="B17" s="23"/>
    </row>
    <row r="18" spans="2:2">
      <c r="B18" s="1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FF8C6-5A05-4DBE-8BF8-2360157E02B3}">
  <dimension ref="B7:M102"/>
  <sheetViews>
    <sheetView showGridLines="0" zoomScale="90" zoomScaleNormal="90" workbookViewId="0"/>
  </sheetViews>
  <sheetFormatPr defaultRowHeight="26.25"/>
  <cols>
    <col min="1" max="1" width="1.640625" customWidth="1"/>
    <col min="2" max="2" width="32.640625" bestFit="1" customWidth="1"/>
    <col min="3" max="7" width="9.92578125" bestFit="1" customWidth="1"/>
    <col min="9" max="10" width="9.92578125" bestFit="1" customWidth="1"/>
  </cols>
  <sheetData>
    <row r="7" spans="2:8">
      <c r="B7" s="21" t="s">
        <v>54</v>
      </c>
      <c r="C7" s="22"/>
      <c r="D7" s="22"/>
      <c r="E7" s="22"/>
      <c r="F7" s="22"/>
      <c r="G7" s="22"/>
      <c r="H7" s="22"/>
    </row>
    <row r="8" spans="2:8">
      <c r="C8" s="13">
        <v>44561</v>
      </c>
      <c r="D8" s="13">
        <f>EOMONTH(C8,12)</f>
        <v>44926</v>
      </c>
      <c r="E8" s="13">
        <f t="shared" ref="E8:G8" si="0">EOMONTH(D8,12)</f>
        <v>45291</v>
      </c>
      <c r="F8" s="13">
        <f t="shared" si="0"/>
        <v>45657</v>
      </c>
      <c r="G8" s="13">
        <f t="shared" si="0"/>
        <v>46022</v>
      </c>
    </row>
    <row r="9" spans="2:8">
      <c r="B9" t="s">
        <v>43</v>
      </c>
      <c r="C9" s="17">
        <v>100</v>
      </c>
      <c r="D9" s="8" cm="1">
        <f t="array" ref="D9">GRATE(C9,D10)</f>
        <v>114.99999999999999</v>
      </c>
      <c r="E9" s="8" cm="1">
        <f t="array" ref="E9">GRATE(D9,E10)</f>
        <v>137.99999999999997</v>
      </c>
      <c r="F9" s="8" cm="1">
        <f t="array" ref="F9">GRATE(E9,F10)</f>
        <v>172.49999999999997</v>
      </c>
      <c r="G9" s="8" cm="1">
        <f t="array" ref="G9">GRATE(F9,G10)</f>
        <v>181.12499999999997</v>
      </c>
    </row>
    <row r="10" spans="2:8">
      <c r="B10" t="s">
        <v>45</v>
      </c>
      <c r="D10" s="1">
        <v>0.15</v>
      </c>
      <c r="E10" s="1">
        <v>0.2</v>
      </c>
      <c r="F10" s="1">
        <v>0.25</v>
      </c>
      <c r="G10" s="1">
        <v>0.05</v>
      </c>
    </row>
    <row r="12" spans="2:8">
      <c r="B12" t="s">
        <v>55</v>
      </c>
      <c r="C12" s="18" cm="1">
        <f t="array" ref="C12">_xlfn.LAMBDA(_xlpm.base,_xlpm.growthrate,_xlpm.base*(1+_xlpm.growthrate))(C9,D10)</f>
        <v>114.99999999999999</v>
      </c>
    </row>
    <row r="14" spans="2:8">
      <c r="B14" s="21" t="s">
        <v>42</v>
      </c>
      <c r="C14" s="22"/>
      <c r="D14" s="22"/>
      <c r="E14" s="22"/>
      <c r="F14" s="22"/>
      <c r="G14" s="22"/>
      <c r="H14" s="22"/>
    </row>
    <row r="18" spans="2:8">
      <c r="C18" t="s">
        <v>64</v>
      </c>
      <c r="D18" s="26" t="s">
        <v>65</v>
      </c>
      <c r="E18" s="26"/>
      <c r="F18" s="26"/>
      <c r="G18" s="26"/>
    </row>
    <row r="19" spans="2:8">
      <c r="C19" s="13">
        <v>44561</v>
      </c>
      <c r="D19" s="25">
        <f>EOMONTH(C19,12)</f>
        <v>44926</v>
      </c>
      <c r="E19" s="25">
        <f t="shared" ref="E19:G19" si="1">EOMONTH(D19,12)</f>
        <v>45291</v>
      </c>
      <c r="F19" s="25">
        <f t="shared" si="1"/>
        <v>45657</v>
      </c>
      <c r="G19" s="25">
        <f t="shared" si="1"/>
        <v>46022</v>
      </c>
      <c r="H19" t="s">
        <v>44</v>
      </c>
    </row>
    <row r="20" spans="2:8">
      <c r="B20" t="s">
        <v>43</v>
      </c>
      <c r="C20" s="8">
        <v>100</v>
      </c>
      <c r="D20" s="8">
        <f>C20*(1+D21)</f>
        <v>114.99999999999999</v>
      </c>
      <c r="E20" s="8">
        <f t="shared" ref="E20:G20" si="2">D20*(1+E21)</f>
        <v>126.5</v>
      </c>
      <c r="F20" s="8">
        <f t="shared" si="2"/>
        <v>135.35500000000002</v>
      </c>
      <c r="G20" s="8">
        <f t="shared" si="2"/>
        <v>134.00145000000001</v>
      </c>
      <c r="H20" s="3" cm="1">
        <f t="array" ref="H20">CAGR(G20,C20,COLUMNS(D19:G19))</f>
        <v>7.5913543602907252E-2</v>
      </c>
    </row>
    <row r="21" spans="2:8">
      <c r="B21" t="s">
        <v>45</v>
      </c>
      <c r="D21" s="15">
        <v>0.15</v>
      </c>
      <c r="E21" s="16">
        <v>0.1</v>
      </c>
      <c r="F21" s="16">
        <v>7.0000000000000007E-2</v>
      </c>
      <c r="G21" s="16">
        <v>-0.01</v>
      </c>
    </row>
    <row r="23" spans="2:8">
      <c r="B23" t="s">
        <v>46</v>
      </c>
      <c r="C23" s="19" cm="1">
        <f t="array" ref="C23">_xlfn.LAMBDA(_xlpm.vfinal,_xlpm.vbegin,_xlpm.t,(_xlpm.vfinal/_xlpm.vbegin)^(1/_xlpm.t)-1)(G20,C20,4)</f>
        <v>7.5913543602907252E-2</v>
      </c>
    </row>
    <row r="26" spans="2:8">
      <c r="B26" s="21" t="s">
        <v>49</v>
      </c>
      <c r="C26" s="22"/>
      <c r="D26" s="22"/>
      <c r="E26" s="22"/>
      <c r="F26" s="22"/>
      <c r="G26" s="22"/>
      <c r="H26" s="22"/>
    </row>
    <row r="27" spans="2:8">
      <c r="C27" t="s">
        <v>47</v>
      </c>
      <c r="F27" s="17">
        <v>100</v>
      </c>
    </row>
    <row r="28" spans="2:8">
      <c r="C28" t="s">
        <v>43</v>
      </c>
      <c r="F28" s="17">
        <v>1000</v>
      </c>
    </row>
    <row r="29" spans="2:8">
      <c r="C29" t="s">
        <v>48</v>
      </c>
      <c r="F29" s="17">
        <v>365</v>
      </c>
    </row>
    <row r="30" spans="2:8">
      <c r="C30" t="s">
        <v>4</v>
      </c>
      <c r="F30" s="27">
        <f>F29/(F28/F27)</f>
        <v>36.5</v>
      </c>
    </row>
    <row r="32" spans="2:8">
      <c r="C32" t="s">
        <v>50</v>
      </c>
      <c r="F32" s="18" cm="1">
        <f t="array" ref="F32">_xlfn.LAMBDA(_xlpm.AR,_xlpm.Revenue,_xlpm.DaysinPeriod,_xlpm.DaysinPeriod/(_xlpm.Revenue/_xlpm.AR))(F27,F28,F29)</f>
        <v>36.5</v>
      </c>
    </row>
    <row r="34" spans="2:8">
      <c r="B34" s="21" t="s">
        <v>41</v>
      </c>
      <c r="C34" s="22"/>
      <c r="D34" s="22"/>
      <c r="E34" s="22"/>
      <c r="F34" s="22"/>
      <c r="G34" s="22"/>
      <c r="H34" s="22"/>
    </row>
    <row r="35" spans="2:8">
      <c r="B35" s="12"/>
    </row>
    <row r="36" spans="2:8">
      <c r="B36" s="12"/>
    </row>
    <row r="37" spans="2:8">
      <c r="B37" s="12"/>
    </row>
    <row r="38" spans="2:8">
      <c r="B38" s="12"/>
    </row>
    <row r="39" spans="2:8">
      <c r="B39" s="12"/>
    </row>
    <row r="40" spans="2:8">
      <c r="B40" s="12"/>
    </row>
    <row r="41" spans="2:8">
      <c r="B41" s="12"/>
    </row>
    <row r="42" spans="2:8">
      <c r="B42" t="s">
        <v>37</v>
      </c>
      <c r="C42" s="15">
        <v>0.09</v>
      </c>
    </row>
    <row r="43" spans="2:8" ht="30">
      <c r="B43" t="s">
        <v>38</v>
      </c>
      <c r="C43" s="17">
        <v>75389.626442328808</v>
      </c>
    </row>
    <row r="44" spans="2:8" ht="30">
      <c r="B44" t="s">
        <v>39</v>
      </c>
      <c r="C44" s="17">
        <v>1276732.1290294377</v>
      </c>
    </row>
    <row r="45" spans="2:8">
      <c r="E45" s="3"/>
    </row>
    <row r="47" spans="2:8">
      <c r="B47" t="s">
        <v>40</v>
      </c>
      <c r="C47" s="3">
        <f>(C42-C43/C44)/(1+C43/C44)</f>
        <v>2.9225374867615402E-2</v>
      </c>
    </row>
    <row r="48" spans="2:8">
      <c r="B48" t="s">
        <v>51</v>
      </c>
      <c r="C48" s="19" cm="1">
        <f t="array" ref="C48">_xlfn.LAMBDA(_xlpm.rate,_xlpm.cashflow,_xlpm.value,(_xlpm.rate-_xlpm.cashflow/_xlpm.value)/(1+_xlpm.cashflow/_xlpm.value))(C42,C43,C44)</f>
        <v>2.9225374867615402E-2</v>
      </c>
    </row>
    <row r="50" spans="2:11">
      <c r="B50" s="21" t="s">
        <v>35</v>
      </c>
      <c r="C50" s="22"/>
      <c r="D50" s="22"/>
      <c r="E50" s="22"/>
      <c r="F50" s="22"/>
      <c r="G50" s="22"/>
      <c r="H50" s="22"/>
    </row>
    <row r="51" spans="2:11">
      <c r="C51" t="s">
        <v>33</v>
      </c>
      <c r="D51" t="s">
        <v>29</v>
      </c>
      <c r="E51" t="s">
        <v>30</v>
      </c>
    </row>
    <row r="52" spans="2:11">
      <c r="B52" t="s">
        <v>27</v>
      </c>
      <c r="C52" t="s">
        <v>32</v>
      </c>
      <c r="D52" t="s">
        <v>28</v>
      </c>
      <c r="E52" t="s">
        <v>28</v>
      </c>
      <c r="F52" t="s">
        <v>31</v>
      </c>
      <c r="G52" s="6">
        <v>3</v>
      </c>
    </row>
    <row r="53" spans="2:11">
      <c r="B53" s="13">
        <v>40433</v>
      </c>
      <c r="C53" s="14">
        <f>EOMONTH(B53,(ROUNDUP(MONTH(B53)/3,0)*3-MONTH(B53)))</f>
        <v>40451</v>
      </c>
      <c r="D53">
        <v>0</v>
      </c>
      <c r="E53">
        <f>D53*$G$52</f>
        <v>0</v>
      </c>
      <c r="F53" s="14">
        <f>EOMONTH(C53,E53)</f>
        <v>40451</v>
      </c>
      <c r="H53" s="8"/>
    </row>
    <row r="54" spans="2:11">
      <c r="B54" s="13">
        <v>43011</v>
      </c>
      <c r="C54" s="14">
        <f>EOMONTH(B54,(ROUNDUP(MONTH(B54)/3,0)*3-MONTH(B54)))</f>
        <v>43100</v>
      </c>
      <c r="D54">
        <v>0</v>
      </c>
      <c r="E54">
        <f>D54*$G$52</f>
        <v>0</v>
      </c>
      <c r="F54" s="14">
        <f t="shared" ref="F54:F67" si="3">EOMONTH(C54,E54)</f>
        <v>43100</v>
      </c>
      <c r="H54" s="8"/>
    </row>
    <row r="55" spans="2:11">
      <c r="B55" s="13">
        <v>43041</v>
      </c>
      <c r="C55" s="14">
        <f>EOMONTH(B55,(ROUNDUP(MONTH(B55)/3,0)*3-MONTH(B55)))</f>
        <v>43100</v>
      </c>
      <c r="D55">
        <v>0</v>
      </c>
      <c r="E55">
        <f>D55*$G$52</f>
        <v>0</v>
      </c>
      <c r="F55" s="14">
        <f t="shared" si="3"/>
        <v>43100</v>
      </c>
      <c r="J55" s="13"/>
      <c r="K55" s="13"/>
    </row>
    <row r="56" spans="2:11">
      <c r="B56" s="13">
        <v>42726</v>
      </c>
      <c r="C56" s="14">
        <f>EOMONTH(B56,(ROUNDUP(MONTH(B56)/3,0)*3-MONTH(B56)))</f>
        <v>42735</v>
      </c>
      <c r="D56">
        <v>0</v>
      </c>
      <c r="E56">
        <f>D56*$G$52</f>
        <v>0</v>
      </c>
      <c r="F56" s="14">
        <f t="shared" si="3"/>
        <v>42735</v>
      </c>
    </row>
    <row r="57" spans="2:11">
      <c r="B57" s="13">
        <v>43103</v>
      </c>
      <c r="C57" s="14">
        <f>EOMONTH(B57,(ROUNDUP(MONTH(B57)/3,0)*3-MONTH(B57)))</f>
        <v>43190</v>
      </c>
      <c r="D57">
        <v>1</v>
      </c>
      <c r="E57">
        <f>D57*$G$52</f>
        <v>3</v>
      </c>
      <c r="F57" s="14">
        <f t="shared" si="3"/>
        <v>43281</v>
      </c>
    </row>
    <row r="58" spans="2:11">
      <c r="B58" s="13">
        <v>43136</v>
      </c>
      <c r="C58" s="14">
        <f>EOMONTH(B58,(ROUNDUP(MONTH(B58)/3,0)*3-MONTH(B58)))</f>
        <v>43190</v>
      </c>
      <c r="D58">
        <v>2</v>
      </c>
      <c r="E58">
        <f>D58*$G$52</f>
        <v>6</v>
      </c>
      <c r="F58" s="14">
        <f t="shared" si="3"/>
        <v>43373</v>
      </c>
    </row>
    <row r="59" spans="2:11">
      <c r="B59" s="13">
        <v>43915</v>
      </c>
      <c r="C59" s="14">
        <f>EOMONTH(B59,(ROUNDUP(MONTH(B59)/3,0)*3-MONTH(B59)))</f>
        <v>43921</v>
      </c>
      <c r="D59">
        <v>3</v>
      </c>
      <c r="E59">
        <f>D59*$G$52</f>
        <v>9</v>
      </c>
      <c r="F59" s="14">
        <f t="shared" si="3"/>
        <v>44196</v>
      </c>
    </row>
    <row r="60" spans="2:11">
      <c r="B60" s="13">
        <v>43939</v>
      </c>
      <c r="C60" s="14">
        <f>EOMONTH(B60,(ROUNDUP(MONTH(B60)/3,0)*3-MONTH(B60)))</f>
        <v>44012</v>
      </c>
      <c r="D60">
        <v>1</v>
      </c>
      <c r="E60">
        <f>D60*$G$52</f>
        <v>3</v>
      </c>
      <c r="F60" s="14">
        <f t="shared" si="3"/>
        <v>44104</v>
      </c>
    </row>
    <row r="61" spans="2:11">
      <c r="B61" s="13">
        <v>43238</v>
      </c>
      <c r="C61" s="14">
        <f>EOMONTH(B61,(ROUNDUP(MONTH(B61)/3,0)*3-MONTH(B61)))</f>
        <v>43281</v>
      </c>
      <c r="D61">
        <v>9</v>
      </c>
      <c r="E61">
        <f>D61*$G$52</f>
        <v>27</v>
      </c>
      <c r="F61" s="14">
        <f t="shared" si="3"/>
        <v>44104</v>
      </c>
    </row>
    <row r="62" spans="2:11">
      <c r="B62" s="13">
        <v>42905</v>
      </c>
      <c r="C62" s="14">
        <f>EOMONTH(B62,(ROUNDUP(MONTH(B62)/3,0)*3-MONTH(B62)))</f>
        <v>42916</v>
      </c>
      <c r="D62">
        <v>0</v>
      </c>
      <c r="E62">
        <f>D62*$G$52</f>
        <v>0</v>
      </c>
      <c r="F62" s="14">
        <f t="shared" si="3"/>
        <v>42916</v>
      </c>
    </row>
    <row r="63" spans="2:11">
      <c r="B63" s="13">
        <v>43663</v>
      </c>
      <c r="C63" s="14">
        <f>EOMONTH(B63,(ROUNDUP(MONTH(B63)/3,0)*3-MONTH(B63)))</f>
        <v>43738</v>
      </c>
      <c r="D63">
        <v>11</v>
      </c>
      <c r="E63">
        <f>D63*$G$52</f>
        <v>33</v>
      </c>
      <c r="F63" s="14">
        <f t="shared" si="3"/>
        <v>44742</v>
      </c>
      <c r="I63" s="13"/>
    </row>
    <row r="64" spans="2:11">
      <c r="B64" s="13">
        <v>42969</v>
      </c>
      <c r="C64" s="14">
        <f>EOMONTH(B64,(ROUNDUP(MONTH(B64)/3,0)*3-MONTH(B64)))</f>
        <v>43008</v>
      </c>
      <c r="D64">
        <v>1</v>
      </c>
      <c r="E64">
        <f>D64*$G$52</f>
        <v>3</v>
      </c>
      <c r="F64" s="14">
        <f t="shared" si="3"/>
        <v>43100</v>
      </c>
      <c r="I64" s="13"/>
    </row>
    <row r="65" spans="2:13">
      <c r="B65" s="13">
        <v>42380</v>
      </c>
      <c r="C65" s="14">
        <f>EOMONTH(B65,(ROUNDUP(MONTH(B65)/3,0)*3-MONTH(B65)))</f>
        <v>42460</v>
      </c>
      <c r="D65">
        <v>2</v>
      </c>
      <c r="E65">
        <f>D65*$G$52</f>
        <v>6</v>
      </c>
      <c r="F65" s="14">
        <f t="shared" si="3"/>
        <v>42643</v>
      </c>
    </row>
    <row r="66" spans="2:13">
      <c r="B66" s="13">
        <v>43140</v>
      </c>
      <c r="C66" s="14">
        <f>EOMONTH(B66,(ROUNDUP(MONTH(B66)/3,0)*3-MONTH(B66)))</f>
        <v>43190</v>
      </c>
      <c r="D66">
        <v>1</v>
      </c>
      <c r="E66">
        <f>D66*$G$52</f>
        <v>3</v>
      </c>
      <c r="F66" s="14">
        <f t="shared" si="3"/>
        <v>43281</v>
      </c>
    </row>
    <row r="67" spans="2:13">
      <c r="B67" s="13">
        <v>43182</v>
      </c>
      <c r="C67" s="14">
        <f>EOMONTH(B67,(ROUNDUP(MONTH(B67)/3,0)*3-MONTH(B67)))</f>
        <v>43190</v>
      </c>
      <c r="D67">
        <v>4</v>
      </c>
      <c r="E67">
        <f>D67*$G$52</f>
        <v>12</v>
      </c>
      <c r="F67" s="14">
        <f>EOMONTH(C67,E67)</f>
        <v>43555</v>
      </c>
    </row>
    <row r="69" spans="2:13">
      <c r="B69" t="s">
        <v>25</v>
      </c>
      <c r="C69" s="14">
        <f>EOMONTH(EOMONTH(B67,(ROUNDUP(MONTH(B67)/3,0)*3-MONTH(B67))),E67)</f>
        <v>43555</v>
      </c>
    </row>
    <row r="70" spans="2:13">
      <c r="B70" t="s">
        <v>53</v>
      </c>
      <c r="C70" s="20" cm="1">
        <f t="array" ref="C70">_xlfn.LAMBDA(_xlpm.date,_xlpm.quarters,EOMONTH(EOMONTH(_xlpm.date,(ROUNDUP(MONTH(_xlpm.date)/3,0)*3-MONTH(_xlpm.date))),_xlpm.quarters*3))(B67,D67)</f>
        <v>43555</v>
      </c>
    </row>
    <row r="71" spans="2:13">
      <c r="C71" s="14"/>
      <c r="E71" s="28"/>
    </row>
    <row r="72" spans="2:13">
      <c r="B72" s="21" t="s">
        <v>26</v>
      </c>
      <c r="C72" s="22"/>
      <c r="D72" s="22"/>
      <c r="E72" s="22"/>
      <c r="F72" s="22"/>
      <c r="G72" s="22"/>
      <c r="H72" s="22"/>
      <c r="I72" s="2"/>
      <c r="J72" s="2"/>
      <c r="K72" s="2"/>
      <c r="M72" s="3"/>
    </row>
    <row r="73" spans="2:13">
      <c r="B73" t="s">
        <v>10</v>
      </c>
      <c r="C73" s="5">
        <v>29</v>
      </c>
      <c r="G73" s="1"/>
      <c r="H73" s="1"/>
      <c r="I73" s="1"/>
      <c r="J73" s="1"/>
      <c r="K73" s="1"/>
    </row>
    <row r="74" spans="2:13">
      <c r="C74" t="s">
        <v>8</v>
      </c>
      <c r="D74" t="s">
        <v>11</v>
      </c>
      <c r="E74" t="s">
        <v>9</v>
      </c>
      <c r="F74" t="s">
        <v>18</v>
      </c>
    </row>
    <row r="75" spans="2:13">
      <c r="B75" t="s">
        <v>14</v>
      </c>
      <c r="C75" s="6">
        <v>3</v>
      </c>
      <c r="D75" s="7">
        <f>IF(E75&lt;$C$73,C75,0)</f>
        <v>3</v>
      </c>
      <c r="E75" s="6">
        <v>15</v>
      </c>
      <c r="F75" s="7">
        <f>D75*E75</f>
        <v>45</v>
      </c>
      <c r="J75" s="6"/>
      <c r="K75" s="6"/>
    </row>
    <row r="76" spans="2:13">
      <c r="B76" t="s">
        <v>15</v>
      </c>
      <c r="C76" s="6">
        <v>4</v>
      </c>
      <c r="D76" s="7">
        <f t="shared" ref="D76:D78" si="4">IF(E76&lt;$C$73,C76,0)</f>
        <v>4</v>
      </c>
      <c r="E76" s="6">
        <v>20</v>
      </c>
      <c r="F76" s="7">
        <f t="shared" ref="F76:F78" si="5">D76*E76</f>
        <v>80</v>
      </c>
      <c r="J76" s="6"/>
      <c r="K76" s="6"/>
    </row>
    <row r="77" spans="2:13">
      <c r="B77" t="s">
        <v>16</v>
      </c>
      <c r="C77" s="6">
        <v>5</v>
      </c>
      <c r="D77" s="7">
        <f t="shared" si="4"/>
        <v>5</v>
      </c>
      <c r="E77" s="6">
        <v>25</v>
      </c>
      <c r="F77" s="7">
        <f t="shared" si="5"/>
        <v>125</v>
      </c>
      <c r="J77" s="6"/>
      <c r="K77" s="6"/>
    </row>
    <row r="78" spans="2:13">
      <c r="B78" t="s">
        <v>17</v>
      </c>
      <c r="C78" s="6">
        <v>6</v>
      </c>
      <c r="D78" s="7">
        <f t="shared" si="4"/>
        <v>0</v>
      </c>
      <c r="E78" s="6">
        <v>30</v>
      </c>
      <c r="F78" s="7">
        <f t="shared" si="5"/>
        <v>0</v>
      </c>
      <c r="J78" s="6"/>
      <c r="K78" s="6"/>
    </row>
    <row r="79" spans="2:13">
      <c r="C79" s="7">
        <f>SUM(C75:C78)</f>
        <v>18</v>
      </c>
      <c r="D79" s="7">
        <f>SUM(D75:D78)</f>
        <v>12</v>
      </c>
      <c r="E79" s="6"/>
      <c r="F79" s="7">
        <f>SUM(F75:F78)</f>
        <v>250</v>
      </c>
      <c r="J79" s="6"/>
      <c r="K79" s="6"/>
    </row>
    <row r="80" spans="2:13">
      <c r="B80" s="11" t="s">
        <v>24</v>
      </c>
      <c r="C80" s="6"/>
      <c r="D80" s="7"/>
      <c r="E80" s="6"/>
      <c r="F80" s="7"/>
      <c r="J80" s="6"/>
      <c r="K80" s="6"/>
    </row>
    <row r="81" spans="2:11">
      <c r="B81" t="s">
        <v>19</v>
      </c>
      <c r="C81" s="10">
        <f>SUM(D75:D78)</f>
        <v>12</v>
      </c>
      <c r="J81" s="6"/>
      <c r="K81" s="6"/>
    </row>
    <row r="82" spans="2:11">
      <c r="B82" t="s">
        <v>20</v>
      </c>
      <c r="C82" s="4">
        <f>SUM(F75:F78)</f>
        <v>250</v>
      </c>
      <c r="F82" s="10" cm="1">
        <f t="array" ref="F82">TSM(C75:C78,E75:E78,C73)</f>
        <v>3.3793103448275854</v>
      </c>
      <c r="J82" s="6"/>
      <c r="K82" s="6"/>
    </row>
    <row r="83" spans="2:11">
      <c r="B83" t="s">
        <v>21</v>
      </c>
      <c r="C83" s="10">
        <f>C82/C73</f>
        <v>8.6206896551724146</v>
      </c>
      <c r="J83" s="6"/>
      <c r="K83" s="6"/>
    </row>
    <row r="84" spans="2:11">
      <c r="B84" s="12" t="s">
        <v>22</v>
      </c>
      <c r="C84" s="9">
        <f>C81-C83</f>
        <v>3.3793103448275854</v>
      </c>
      <c r="J84" s="6"/>
      <c r="K84" s="6"/>
    </row>
    <row r="85" spans="2:11">
      <c r="J85" s="6"/>
    </row>
    <row r="86" spans="2:11">
      <c r="B86" s="11" t="s">
        <v>23</v>
      </c>
    </row>
    <row r="87" spans="2:11">
      <c r="B87" t="s">
        <v>19</v>
      </c>
      <c r="C87" s="10">
        <f>SUMIF(E75:E78,"&lt;"&amp;C73,C75:C78)</f>
        <v>12</v>
      </c>
    </row>
    <row r="88" spans="2:11">
      <c r="B88" t="s">
        <v>20</v>
      </c>
      <c r="C88" s="4" cm="1">
        <f t="array" ref="C88">SUMPRODUCT(C75:C78,E75:E78*(E75:E78&lt;C73))</f>
        <v>250</v>
      </c>
    </row>
    <row r="89" spans="2:11">
      <c r="B89" t="s">
        <v>21</v>
      </c>
      <c r="C89" s="10">
        <f>C88/C73</f>
        <v>8.6206896551724146</v>
      </c>
    </row>
    <row r="90" spans="2:11">
      <c r="B90" s="12" t="s">
        <v>22</v>
      </c>
      <c r="C90" s="9">
        <f>C87-C89</f>
        <v>3.3793103448275854</v>
      </c>
    </row>
    <row r="92" spans="2:11">
      <c r="B92" t="s">
        <v>25</v>
      </c>
      <c r="C92" s="9" cm="1">
        <f t="array" ref="C92">SUMIF(E75:E78,"&lt;"&amp;C73,C75:C78)-SUMPRODUCT(C75:C78,E75:E78*(E75:E78&lt;C73))/C73</f>
        <v>3.3793103448275854</v>
      </c>
    </row>
    <row r="93" spans="2:11">
      <c r="B93" t="s">
        <v>52</v>
      </c>
      <c r="C93" s="9" cm="1">
        <f t="array" ref="C93">_xlfn.LAMBDA(_xlpm.numoptions,_xlpm.strikeprice,_xlpm.currentprice,SUMIF(_xlpm.strikeprice,"&lt;"&amp;_xlpm.currentprice,_xlpm.numoptions)-SUMPRODUCT(_xlpm.numoptions,_xlpm.strikeprice*(_xlpm.strikeprice&lt;_xlpm.currentprice))/_xlpm.currentprice)(C75:C78,E75:E78,C73)</f>
        <v>3.3793103448275854</v>
      </c>
    </row>
    <row r="95" spans="2:11">
      <c r="B95" s="21" t="s">
        <v>60</v>
      </c>
      <c r="C95" s="22"/>
      <c r="D95" s="22"/>
      <c r="E95" s="22"/>
      <c r="F95" s="22"/>
      <c r="G95" s="22"/>
      <c r="H95" s="22"/>
    </row>
    <row r="97" spans="2:3">
      <c r="B97" t="str" cm="1">
        <f t="array" aca="1" ref="B97" ca="1">CELL("filename")</f>
        <v>C:\Users\mfeld\Dropbox (Wall Street Prep)\Course Materials- WSP\excel crash course - 2013\Lambda Videos 2021\[Lambda Exercises.xlsx]Calculations</v>
      </c>
    </row>
    <row r="99" spans="2:3">
      <c r="B99" t="s">
        <v>61</v>
      </c>
      <c r="C99" t="str" cm="1">
        <f t="array" aca="1" ref="C99" ca="1">RIGHT(CELL("filename"),LEN(CELL("filename"))-FIND("]",CELL("filename")))</f>
        <v>Calculations</v>
      </c>
    </row>
    <row r="100" spans="2:3">
      <c r="B100" t="s">
        <v>62</v>
      </c>
      <c r="C100" s="18" t="str" cm="1">
        <f t="array" aca="1" ref="C100" ca="1">_xlfn.LAMBDA(_xlpm.reference,RIGHT(CELL("filename"),LEN(CELL("filename"))-FIND("]",CELL("filename"))))(D98)</f>
        <v>Calculations</v>
      </c>
    </row>
    <row r="101" spans="2:3">
      <c r="C101" s="24"/>
    </row>
    <row r="102" spans="2:3">
      <c r="C102" s="24"/>
    </row>
  </sheetData>
  <pageMargins left="0.7" right="0.7" top="0.75" bottom="0.75" header="0.3" footer="0.3"/>
  <pageSetup scale="2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</vt:lpstr>
      <vt:lpstr>Calculations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Matan Feldman</dc:creator>
  <cp:lastModifiedBy>Matan Feldman</cp:lastModifiedBy>
  <cp:lastPrinted>2021-01-13T18:46:57Z</cp:lastPrinted>
  <dcterms:created xsi:type="dcterms:W3CDTF">2021-01-08T19:04:02Z</dcterms:created>
  <dcterms:modified xsi:type="dcterms:W3CDTF">2021-01-14T20:45:03Z</dcterms:modified>
</cp:coreProperties>
</file>