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Vs项目\Syncfusion测试\综合演示\Data\"/>
    </mc:Choice>
  </mc:AlternateContent>
  <bookViews>
    <workbookView xWindow="0" yWindow="0" windowWidth="20490" windowHeight="7860" tabRatio="906"/>
  </bookViews>
  <sheets>
    <sheet name="Sheet1" sheetId="14" r:id="rId1"/>
    <sheet name="Sheet2" sheetId="15" r:id="rId2"/>
    <sheet name="Sheet3" sheetId="16" r:id="rId3"/>
    <sheet name="Sheet4" sheetId="18" r:id="rId4"/>
    <sheet name="Sheet5" sheetId="19" r:id="rId5"/>
    <sheet name="Sheet6" sheetId="35" r:id="rId6"/>
    <sheet name="Sheet7" sheetId="5" r:id="rId7"/>
    <sheet name="Sheet8" sheetId="31" r:id="rId8"/>
    <sheet name="Sheet9" sheetId="25" r:id="rId9"/>
    <sheet name="Sheet10" sheetId="4" r:id="rId10"/>
    <sheet name="Sheet11" sheetId="10" r:id="rId11"/>
    <sheet name="Sheet12" sheetId="6" r:id="rId12"/>
    <sheet name="Sheet13" sheetId="11" r:id="rId13"/>
    <sheet name="Sheet14" sheetId="2" r:id="rId14"/>
    <sheet name="Sheet15" sheetId="12" r:id="rId15"/>
    <sheet name="Sheet16" sheetId="22" r:id="rId16"/>
    <sheet name="Sheet17" sheetId="30" r:id="rId17"/>
    <sheet name="Sheet18" sheetId="34" r:id="rId18"/>
    <sheet name="Sheet19" sheetId="32" r:id="rId19"/>
    <sheet name="Sheet20" sheetId="33" r:id="rId20"/>
    <sheet name="Sheet21" sheetId="23" r:id="rId21"/>
    <sheet name="Sheet22" sheetId="3" r:id="rId22"/>
    <sheet name="Sheet23" sheetId="28" r:id="rId23"/>
    <sheet name="Sheet24" sheetId="17" r:id="rId24"/>
    <sheet name="Sheet25" sheetId="20" r:id="rId25"/>
    <sheet name="Sheet26" sheetId="21" r:id="rId26"/>
  </sheets>
  <externalReferences>
    <externalReference r:id="rId27"/>
    <externalReference r:id="rId28"/>
  </externalReferences>
  <definedNames>
    <definedName name="_xlnm._FilterDatabase" localSheetId="9" hidden="1">Sheet10!$A$3:$N$20</definedName>
    <definedName name="_xlnm._FilterDatabase" localSheetId="11" hidden="1">Sheet12!$A$3:$S$81</definedName>
    <definedName name="_xlnm._FilterDatabase" localSheetId="13" hidden="1">Sheet14!$A$3:$N$19</definedName>
    <definedName name="_xlnm._FilterDatabase" localSheetId="21" hidden="1">Sheet22!$A$3:$IQ$69</definedName>
    <definedName name="_xlnm._FilterDatabase" localSheetId="24" hidden="1">Sheet25!$A$6:$M$148</definedName>
    <definedName name="_xlnm._FilterDatabase" localSheetId="25" hidden="1">Sheet26!$A$6:$I$62</definedName>
    <definedName name="_xlnm._FilterDatabase" localSheetId="4" hidden="1">Sheet5!$A$5:$IV$405</definedName>
    <definedName name="_xlnm._FilterDatabase" localSheetId="6" hidden="1">Sheet7!$A$3:$IS$9</definedName>
    <definedName name="_xlnm._FilterDatabase" localSheetId="8" hidden="1">Sheet9!$A$3:$N$3</definedName>
    <definedName name="AS2DocOpenMode" hidden="1">"AS2DocumentEdit"</definedName>
    <definedName name="dd">[1]下拉选项!$E$2:$E$32</definedName>
    <definedName name="_xlnm.Print_Area" localSheetId="11">Sheet12!$A$1:$N$72</definedName>
    <definedName name="_xlnm.Print_Area" localSheetId="12">Sheet13!$A$1:$R$17</definedName>
    <definedName name="_xlnm.Print_Area" localSheetId="13">Sheet14!$A$1:$N$19</definedName>
    <definedName name="_xlnm.Print_Area" localSheetId="15">Sheet16!$A$1:$N$9</definedName>
    <definedName name="_xlnm.Print_Area" localSheetId="1">Sheet2!$A$1:$I$24</definedName>
    <definedName name="_xlnm.Print_Area" localSheetId="25">Sheet26!$A$1:$I$51</definedName>
    <definedName name="_xlnm.Print_Area" localSheetId="4">Sheet5!$A$1:$P$405</definedName>
    <definedName name="_xlnm.Print_Area" localSheetId="6">Sheet7!$A$1:$N$10</definedName>
    <definedName name="_xlnm.Print_Area" localSheetId="8">Sheet9!$A$1:$N$12</definedName>
    <definedName name="_xlnm.Print_Titles" localSheetId="9">Sheet10!$3:$5</definedName>
    <definedName name="_xlnm.Print_Titles" localSheetId="10">Sheet11!$3:$3</definedName>
    <definedName name="_xlnm.Print_Titles" localSheetId="11">Sheet12!$3:$5</definedName>
    <definedName name="_xlnm.Print_Titles" localSheetId="12">Sheet13!$3:$3</definedName>
    <definedName name="_xlnm.Print_Titles" localSheetId="13">Sheet14!$3:$5</definedName>
    <definedName name="_xlnm.Print_Titles" localSheetId="14">Sheet15!$3:$3</definedName>
    <definedName name="_xlnm.Print_Titles" localSheetId="15">Sheet16!$3:$3</definedName>
    <definedName name="_xlnm.Print_Titles" localSheetId="21">Sheet22!$3:$5</definedName>
    <definedName name="_xlnm.Print_Titles" localSheetId="23">Sheet24!$3:$3</definedName>
    <definedName name="_xlnm.Print_Titles" localSheetId="24">Sheet25!$3:$4</definedName>
    <definedName name="_xlnm.Print_Titles" localSheetId="25">Sheet26!$3:$6</definedName>
    <definedName name="_xlnm.Print_Titles" localSheetId="2">Sheet3!$3:$4</definedName>
    <definedName name="_xlnm.Print_Titles" localSheetId="3">Sheet4!$3:$4</definedName>
    <definedName name="_xlnm.Print_Titles" localSheetId="4">Sheet5!$3:$6</definedName>
    <definedName name="_xlnm.Print_Titles" localSheetId="6">Sheet7!$3:$5</definedName>
    <definedName name="_xlnm.Print_Titles" localSheetId="8">Sheet9!$3:$5</definedName>
    <definedName name="TextRefCopyRangeCount" hidden="1">25</definedName>
    <definedName name="本循环科目" hidden="1">[2]索引!$D$15:$D$76</definedName>
  </definedNames>
  <calcPr calcId="162913"/>
</workbook>
</file>

<file path=xl/calcChain.xml><?xml version="1.0" encoding="utf-8"?>
<calcChain xmlns="http://schemas.openxmlformats.org/spreadsheetml/2006/main">
  <c r="F7" i="11" l="1"/>
  <c r="G5" i="11"/>
  <c r="H5" i="11"/>
  <c r="G35" i="21" l="1"/>
  <c r="G10" i="21"/>
  <c r="G8" i="21"/>
  <c r="G7" i="21"/>
  <c r="G6" i="21"/>
  <c r="F6" i="21"/>
  <c r="A2" i="21"/>
  <c r="K148" i="20"/>
  <c r="F148" i="20"/>
  <c r="F6" i="20" s="1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K109" i="20"/>
  <c r="K108" i="20"/>
  <c r="K107" i="20"/>
  <c r="K106" i="20"/>
  <c r="K105" i="20"/>
  <c r="K104" i="20"/>
  <c r="K103" i="20"/>
  <c r="K102" i="20"/>
  <c r="K101" i="20"/>
  <c r="K100" i="20"/>
  <c r="K99" i="20"/>
  <c r="K98" i="20"/>
  <c r="K97" i="20"/>
  <c r="K96" i="20"/>
  <c r="K95" i="20"/>
  <c r="K94" i="20"/>
  <c r="K93" i="20"/>
  <c r="K92" i="20"/>
  <c r="K91" i="20"/>
  <c r="K90" i="20"/>
  <c r="K89" i="20"/>
  <c r="K88" i="20"/>
  <c r="K87" i="20"/>
  <c r="K86" i="20"/>
  <c r="K85" i="20"/>
  <c r="K84" i="20"/>
  <c r="K83" i="20"/>
  <c r="K82" i="20"/>
  <c r="K81" i="20"/>
  <c r="K80" i="20"/>
  <c r="K79" i="20"/>
  <c r="K78" i="20"/>
  <c r="K77" i="20"/>
  <c r="K76" i="20"/>
  <c r="K75" i="20"/>
  <c r="K74" i="20"/>
  <c r="K73" i="20"/>
  <c r="K72" i="20"/>
  <c r="K71" i="20"/>
  <c r="K70" i="20"/>
  <c r="K69" i="20"/>
  <c r="K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K9" i="20"/>
  <c r="K8" i="20"/>
  <c r="K7" i="20"/>
  <c r="K6" i="20"/>
  <c r="J6" i="20"/>
  <c r="I6" i="20"/>
  <c r="H6" i="20"/>
  <c r="G6" i="20"/>
  <c r="A2" i="20"/>
  <c r="A2" i="17"/>
  <c r="G9" i="28"/>
  <c r="E9" i="28"/>
  <c r="D9" i="28"/>
  <c r="F9" i="28" s="1"/>
  <c r="G8" i="28"/>
  <c r="E8" i="28"/>
  <c r="D8" i="28"/>
  <c r="F8" i="28" s="1"/>
  <c r="G7" i="28"/>
  <c r="E7" i="28"/>
  <c r="D7" i="28"/>
  <c r="F7" i="28" s="1"/>
  <c r="G6" i="28"/>
  <c r="E6" i="28"/>
  <c r="D6" i="28"/>
  <c r="F6" i="28" s="1"/>
  <c r="G5" i="28"/>
  <c r="G10" i="28" s="1"/>
  <c r="E5" i="28"/>
  <c r="E10" i="28" s="1"/>
  <c r="D5" i="28"/>
  <c r="F5" i="28" s="1"/>
  <c r="D4" i="28"/>
  <c r="D10" i="28" s="1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 s="1"/>
  <c r="L5" i="3"/>
  <c r="K5" i="3"/>
  <c r="I5" i="3"/>
  <c r="H5" i="3"/>
  <c r="A2" i="3"/>
  <c r="O7" i="23"/>
  <c r="N7" i="23"/>
  <c r="M7" i="23"/>
  <c r="L7" i="23"/>
  <c r="J7" i="23"/>
  <c r="N6" i="23"/>
  <c r="M6" i="23"/>
  <c r="L6" i="23"/>
  <c r="J6" i="23"/>
  <c r="N5" i="23"/>
  <c r="N4" i="23" s="1"/>
  <c r="M5" i="23"/>
  <c r="L5" i="23"/>
  <c r="L4" i="23" s="1"/>
  <c r="J5" i="23"/>
  <c r="Q4" i="23"/>
  <c r="P4" i="23"/>
  <c r="O4" i="23"/>
  <c r="M4" i="23"/>
  <c r="K4" i="23"/>
  <c r="I4" i="23"/>
  <c r="H4" i="23"/>
  <c r="G4" i="23"/>
  <c r="F4" i="23"/>
  <c r="A2" i="23"/>
  <c r="E3" i="33"/>
  <c r="E28" i="32"/>
  <c r="D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7" i="32"/>
  <c r="F6" i="32"/>
  <c r="F5" i="32"/>
  <c r="F4" i="32"/>
  <c r="F3" i="32"/>
  <c r="F28" i="32" s="1"/>
  <c r="E5" i="33" s="1"/>
  <c r="D5" i="33" s="1"/>
  <c r="D9" i="34"/>
  <c r="B9" i="34"/>
  <c r="C8" i="34"/>
  <c r="C9" i="34" s="1"/>
  <c r="C7" i="34"/>
  <c r="D6" i="34"/>
  <c r="B7" i="34" s="1"/>
  <c r="C4" i="34"/>
  <c r="D3" i="34"/>
  <c r="B4" i="34" s="1"/>
  <c r="C5" i="30"/>
  <c r="B4" i="30"/>
  <c r="D4" i="30" s="1"/>
  <c r="D3" i="30"/>
  <c r="C4" i="30" s="1"/>
  <c r="M9" i="22"/>
  <c r="M8" i="22"/>
  <c r="M7" i="22"/>
  <c r="M6" i="22"/>
  <c r="M5" i="22"/>
  <c r="L5" i="22"/>
  <c r="K5" i="22"/>
  <c r="H5" i="22"/>
  <c r="A2" i="22"/>
  <c r="N8" i="12"/>
  <c r="O8" i="12" s="1"/>
  <c r="M8" i="12"/>
  <c r="L8" i="12"/>
  <c r="J8" i="12"/>
  <c r="P7" i="12"/>
  <c r="L7" i="12"/>
  <c r="K7" i="12"/>
  <c r="M7" i="12" s="1"/>
  <c r="J7" i="12"/>
  <c r="P6" i="12"/>
  <c r="K6" i="12"/>
  <c r="M6" i="12" s="1"/>
  <c r="J6" i="12"/>
  <c r="P5" i="12"/>
  <c r="L5" i="12"/>
  <c r="K5" i="12"/>
  <c r="M5" i="12" s="1"/>
  <c r="J5" i="12"/>
  <c r="Q4" i="12"/>
  <c r="P4" i="12"/>
  <c r="I4" i="12"/>
  <c r="H4" i="12"/>
  <c r="G4" i="12"/>
  <c r="F4" i="12"/>
  <c r="A2" i="1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 s="1"/>
  <c r="L5" i="2"/>
  <c r="K5" i="2"/>
  <c r="H5" i="2"/>
  <c r="A2" i="2"/>
  <c r="P19" i="11"/>
  <c r="N19" i="11"/>
  <c r="M19" i="11"/>
  <c r="L19" i="11"/>
  <c r="J19" i="11"/>
  <c r="N18" i="11"/>
  <c r="P18" i="11" s="1"/>
  <c r="M18" i="11"/>
  <c r="L18" i="11"/>
  <c r="J18" i="11"/>
  <c r="P17" i="11"/>
  <c r="N17" i="11"/>
  <c r="M17" i="11"/>
  <c r="L17" i="11"/>
  <c r="J17" i="11"/>
  <c r="N16" i="11"/>
  <c r="P16" i="11" s="1"/>
  <c r="M16" i="11"/>
  <c r="L16" i="11"/>
  <c r="J16" i="11"/>
  <c r="N15" i="11"/>
  <c r="M15" i="11"/>
  <c r="L15" i="11"/>
  <c r="N14" i="11"/>
  <c r="M14" i="11"/>
  <c r="J14" i="11"/>
  <c r="F14" i="11"/>
  <c r="L14" i="11" s="1"/>
  <c r="N13" i="11"/>
  <c r="M13" i="11"/>
  <c r="L13" i="11"/>
  <c r="J13" i="11"/>
  <c r="N12" i="11"/>
  <c r="M12" i="11"/>
  <c r="L12" i="11"/>
  <c r="J12" i="11"/>
  <c r="N11" i="11"/>
  <c r="M11" i="11"/>
  <c r="L11" i="11"/>
  <c r="J11" i="11"/>
  <c r="N10" i="11"/>
  <c r="M10" i="11"/>
  <c r="L10" i="11"/>
  <c r="J10" i="11"/>
  <c r="N5" i="11"/>
  <c r="N4" i="11" s="1"/>
  <c r="L5" i="11"/>
  <c r="J5" i="11"/>
  <c r="M5" i="11"/>
  <c r="M4" i="11" s="1"/>
  <c r="Q4" i="11"/>
  <c r="O4" i="11"/>
  <c r="K4" i="11"/>
  <c r="I4" i="11"/>
  <c r="H4" i="11"/>
  <c r="G4" i="11"/>
  <c r="F4" i="11"/>
  <c r="A2" i="11"/>
  <c r="M77" i="6"/>
  <c r="M76" i="6"/>
  <c r="M75" i="6"/>
  <c r="M74" i="6"/>
  <c r="M7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 s="1"/>
  <c r="L5" i="6"/>
  <c r="K5" i="6"/>
  <c r="J5" i="6"/>
  <c r="I5" i="6"/>
  <c r="H5" i="6"/>
  <c r="A2" i="6"/>
  <c r="Q10" i="10"/>
  <c r="M10" i="10"/>
  <c r="K10" i="10"/>
  <c r="Q9" i="10"/>
  <c r="N9" i="10"/>
  <c r="L9" i="10"/>
  <c r="K9" i="10"/>
  <c r="M9" i="10" s="1"/>
  <c r="Q8" i="10"/>
  <c r="K8" i="10"/>
  <c r="Q7" i="10"/>
  <c r="N7" i="10"/>
  <c r="L7" i="10"/>
  <c r="K7" i="10"/>
  <c r="M7" i="10" s="1"/>
  <c r="N6" i="10"/>
  <c r="L6" i="10"/>
  <c r="K6" i="10"/>
  <c r="M6" i="10" s="1"/>
  <c r="Q5" i="10"/>
  <c r="K5" i="10"/>
  <c r="P4" i="10"/>
  <c r="O4" i="10"/>
  <c r="J4" i="10"/>
  <c r="I4" i="10"/>
  <c r="H4" i="10"/>
  <c r="G4" i="10"/>
  <c r="F4" i="10"/>
  <c r="A2" i="10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 s="1"/>
  <c r="L5" i="4"/>
  <c r="K5" i="4"/>
  <c r="H5" i="4"/>
  <c r="A2" i="4"/>
  <c r="M9" i="25"/>
  <c r="M8" i="25"/>
  <c r="M5" i="25"/>
  <c r="L5" i="25"/>
  <c r="K5" i="25"/>
  <c r="H5" i="25"/>
  <c r="A2" i="25"/>
  <c r="F6" i="31"/>
  <c r="G4" i="31"/>
  <c r="C5" i="31" s="1"/>
  <c r="M9" i="5"/>
  <c r="K9" i="5"/>
  <c r="M8" i="5"/>
  <c r="K8" i="5"/>
  <c r="M7" i="5"/>
  <c r="K7" i="5"/>
  <c r="M6" i="5"/>
  <c r="K6" i="5"/>
  <c r="M5" i="5"/>
  <c r="L5" i="5"/>
  <c r="K5" i="5"/>
  <c r="J5" i="5"/>
  <c r="I5" i="5"/>
  <c r="H5" i="5"/>
  <c r="A2" i="5"/>
  <c r="A2" i="31" s="1"/>
  <c r="H51" i="35"/>
  <c r="H50" i="35"/>
  <c r="I50" i="35" s="1"/>
  <c r="K49" i="35"/>
  <c r="I49" i="35"/>
  <c r="H43" i="35"/>
  <c r="K42" i="35"/>
  <c r="I42" i="35"/>
  <c r="I40" i="35"/>
  <c r="I39" i="35"/>
  <c r="I38" i="35"/>
  <c r="I37" i="35"/>
  <c r="I36" i="35"/>
  <c r="I35" i="35"/>
  <c r="I34" i="35"/>
  <c r="I33" i="35"/>
  <c r="I32" i="35"/>
  <c r="K31" i="35"/>
  <c r="I31" i="35"/>
  <c r="K25" i="35"/>
  <c r="K4" i="35" s="1"/>
  <c r="H25" i="35"/>
  <c r="K24" i="35"/>
  <c r="I24" i="35"/>
  <c r="H24" i="35"/>
  <c r="I22" i="35"/>
  <c r="I21" i="35"/>
  <c r="I20" i="35"/>
  <c r="K19" i="35"/>
  <c r="I19" i="35"/>
  <c r="K18" i="35"/>
  <c r="I18" i="35"/>
  <c r="I16" i="35"/>
  <c r="I15" i="35"/>
  <c r="I14" i="35"/>
  <c r="I13" i="35"/>
  <c r="H13" i="35"/>
  <c r="K12" i="35"/>
  <c r="I12" i="35"/>
  <c r="K5" i="35"/>
  <c r="I5" i="35"/>
  <c r="P405" i="19"/>
  <c r="M405" i="19"/>
  <c r="H405" i="19"/>
  <c r="Q405" i="19" s="1"/>
  <c r="P404" i="19"/>
  <c r="M404" i="19"/>
  <c r="H404" i="19"/>
  <c r="Q404" i="19" s="1"/>
  <c r="P403" i="19"/>
  <c r="M403" i="19"/>
  <c r="H403" i="19"/>
  <c r="Q403" i="19" s="1"/>
  <c r="P402" i="19"/>
  <c r="M402" i="19"/>
  <c r="H402" i="19"/>
  <c r="Q402" i="19" s="1"/>
  <c r="P401" i="19"/>
  <c r="M401" i="19"/>
  <c r="H401" i="19"/>
  <c r="Q401" i="19" s="1"/>
  <c r="P400" i="19"/>
  <c r="M400" i="19"/>
  <c r="H400" i="19"/>
  <c r="Q400" i="19" s="1"/>
  <c r="P399" i="19"/>
  <c r="M399" i="19"/>
  <c r="H399" i="19"/>
  <c r="Q399" i="19" s="1"/>
  <c r="P398" i="19"/>
  <c r="M398" i="19"/>
  <c r="H398" i="19"/>
  <c r="Q398" i="19" s="1"/>
  <c r="P397" i="19"/>
  <c r="M397" i="19"/>
  <c r="H397" i="19"/>
  <c r="Q397" i="19" s="1"/>
  <c r="P396" i="19"/>
  <c r="M396" i="19"/>
  <c r="H396" i="19"/>
  <c r="Q396" i="19" s="1"/>
  <c r="N395" i="19"/>
  <c r="P395" i="19" s="1"/>
  <c r="M395" i="19"/>
  <c r="H395" i="19"/>
  <c r="Q395" i="19" s="1"/>
  <c r="N394" i="19"/>
  <c r="P394" i="19" s="1"/>
  <c r="M394" i="19"/>
  <c r="H394" i="19"/>
  <c r="Q394" i="19" s="1"/>
  <c r="N393" i="19"/>
  <c r="P393" i="19" s="1"/>
  <c r="M393" i="19"/>
  <c r="H393" i="19"/>
  <c r="Q393" i="19" s="1"/>
  <c r="N392" i="19"/>
  <c r="P392" i="19" s="1"/>
  <c r="M392" i="19"/>
  <c r="H392" i="19"/>
  <c r="Q392" i="19" s="1"/>
  <c r="N391" i="19"/>
  <c r="P391" i="19" s="1"/>
  <c r="M391" i="19"/>
  <c r="H391" i="19"/>
  <c r="Q391" i="19" s="1"/>
  <c r="N390" i="19"/>
  <c r="P390" i="19" s="1"/>
  <c r="M390" i="19"/>
  <c r="H390" i="19"/>
  <c r="Q390" i="19" s="1"/>
  <c r="N389" i="19"/>
  <c r="P389" i="19" s="1"/>
  <c r="M389" i="19"/>
  <c r="H389" i="19"/>
  <c r="Q389" i="19" s="1"/>
  <c r="N388" i="19"/>
  <c r="P388" i="19" s="1"/>
  <c r="M388" i="19"/>
  <c r="H388" i="19"/>
  <c r="Q388" i="19" s="1"/>
  <c r="N387" i="19"/>
  <c r="P387" i="19" s="1"/>
  <c r="M387" i="19"/>
  <c r="H387" i="19"/>
  <c r="Q387" i="19" s="1"/>
  <c r="N386" i="19"/>
  <c r="P386" i="19" s="1"/>
  <c r="M386" i="19"/>
  <c r="H386" i="19"/>
  <c r="Q386" i="19" s="1"/>
  <c r="N385" i="19"/>
  <c r="P385" i="19" s="1"/>
  <c r="M385" i="19"/>
  <c r="H385" i="19"/>
  <c r="Q385" i="19" s="1"/>
  <c r="N384" i="19"/>
  <c r="P384" i="19" s="1"/>
  <c r="M384" i="19"/>
  <c r="H384" i="19"/>
  <c r="Q384" i="19" s="1"/>
  <c r="N383" i="19"/>
  <c r="P383" i="19" s="1"/>
  <c r="M383" i="19"/>
  <c r="H383" i="19"/>
  <c r="Q383" i="19" s="1"/>
  <c r="N382" i="19"/>
  <c r="P382" i="19" s="1"/>
  <c r="M382" i="19"/>
  <c r="H382" i="19"/>
  <c r="Q382" i="19" s="1"/>
  <c r="N381" i="19"/>
  <c r="P381" i="19" s="1"/>
  <c r="M381" i="19"/>
  <c r="H381" i="19"/>
  <c r="Q381" i="19" s="1"/>
  <c r="N380" i="19"/>
  <c r="P380" i="19" s="1"/>
  <c r="M380" i="19"/>
  <c r="H380" i="19"/>
  <c r="Q380" i="19" s="1"/>
  <c r="N379" i="19"/>
  <c r="P379" i="19" s="1"/>
  <c r="M379" i="19"/>
  <c r="H379" i="19"/>
  <c r="Q379" i="19" s="1"/>
  <c r="P378" i="19"/>
  <c r="M378" i="19"/>
  <c r="H378" i="19"/>
  <c r="Q378" i="19" s="1"/>
  <c r="N377" i="19"/>
  <c r="P377" i="19" s="1"/>
  <c r="M377" i="19"/>
  <c r="H377" i="19"/>
  <c r="Q377" i="19" s="1"/>
  <c r="N376" i="19"/>
  <c r="P376" i="19" s="1"/>
  <c r="M376" i="19"/>
  <c r="H376" i="19"/>
  <c r="Q376" i="19" s="1"/>
  <c r="N375" i="19"/>
  <c r="P375" i="19" s="1"/>
  <c r="M375" i="19"/>
  <c r="H375" i="19"/>
  <c r="Q375" i="19" s="1"/>
  <c r="N374" i="19"/>
  <c r="P374" i="19" s="1"/>
  <c r="M374" i="19"/>
  <c r="H374" i="19"/>
  <c r="Q374" i="19" s="1"/>
  <c r="N373" i="19"/>
  <c r="P373" i="19" s="1"/>
  <c r="M373" i="19"/>
  <c r="H373" i="19"/>
  <c r="Q373" i="19" s="1"/>
  <c r="N372" i="19"/>
  <c r="P372" i="19" s="1"/>
  <c r="M372" i="19"/>
  <c r="H372" i="19"/>
  <c r="Q372" i="19" s="1"/>
  <c r="N371" i="19"/>
  <c r="P371" i="19" s="1"/>
  <c r="M371" i="19"/>
  <c r="H371" i="19"/>
  <c r="Q371" i="19" s="1"/>
  <c r="N370" i="19"/>
  <c r="P370" i="19" s="1"/>
  <c r="M370" i="19"/>
  <c r="H370" i="19"/>
  <c r="Q370" i="19" s="1"/>
  <c r="N369" i="19"/>
  <c r="P369" i="19" s="1"/>
  <c r="M369" i="19"/>
  <c r="H369" i="19"/>
  <c r="Q369" i="19" s="1"/>
  <c r="N368" i="19"/>
  <c r="P368" i="19" s="1"/>
  <c r="M368" i="19"/>
  <c r="H368" i="19"/>
  <c r="Q368" i="19" s="1"/>
  <c r="N367" i="19"/>
  <c r="P367" i="19" s="1"/>
  <c r="M367" i="19"/>
  <c r="H367" i="19"/>
  <c r="Q367" i="19" s="1"/>
  <c r="N366" i="19"/>
  <c r="P366" i="19" s="1"/>
  <c r="M366" i="19"/>
  <c r="H366" i="19"/>
  <c r="Q366" i="19" s="1"/>
  <c r="N365" i="19"/>
  <c r="P365" i="19" s="1"/>
  <c r="M365" i="19"/>
  <c r="H365" i="19"/>
  <c r="Q365" i="19" s="1"/>
  <c r="H364" i="19"/>
  <c r="F364" i="19"/>
  <c r="L364" i="19" s="1"/>
  <c r="N364" i="19" s="1"/>
  <c r="P364" i="19" s="1"/>
  <c r="N363" i="19"/>
  <c r="P363" i="19" s="1"/>
  <c r="M363" i="19"/>
  <c r="H363" i="19"/>
  <c r="Q363" i="19" s="1"/>
  <c r="P362" i="19"/>
  <c r="M362" i="19"/>
  <c r="H362" i="19"/>
  <c r="Q362" i="19" s="1"/>
  <c r="N361" i="19"/>
  <c r="P361" i="19" s="1"/>
  <c r="M361" i="19"/>
  <c r="H361" i="19"/>
  <c r="Q361" i="19" s="1"/>
  <c r="N360" i="19"/>
  <c r="P360" i="19" s="1"/>
  <c r="M360" i="19"/>
  <c r="H360" i="19"/>
  <c r="Q360" i="19" s="1"/>
  <c r="N359" i="19"/>
  <c r="P359" i="19" s="1"/>
  <c r="M359" i="19"/>
  <c r="H359" i="19"/>
  <c r="Q359" i="19" s="1"/>
  <c r="N358" i="19"/>
  <c r="P358" i="19" s="1"/>
  <c r="M358" i="19"/>
  <c r="H358" i="19"/>
  <c r="Q358" i="19" s="1"/>
  <c r="N357" i="19"/>
  <c r="P357" i="19" s="1"/>
  <c r="M357" i="19"/>
  <c r="H357" i="19"/>
  <c r="Q357" i="19" s="1"/>
  <c r="N356" i="19"/>
  <c r="P356" i="19" s="1"/>
  <c r="M356" i="19"/>
  <c r="H356" i="19"/>
  <c r="Q356" i="19" s="1"/>
  <c r="N355" i="19"/>
  <c r="P355" i="19" s="1"/>
  <c r="M355" i="19"/>
  <c r="H355" i="19"/>
  <c r="Q355" i="19" s="1"/>
  <c r="P354" i="19"/>
  <c r="M354" i="19"/>
  <c r="H354" i="19"/>
  <c r="F354" i="19"/>
  <c r="N353" i="19"/>
  <c r="P353" i="19" s="1"/>
  <c r="M353" i="19"/>
  <c r="H353" i="19"/>
  <c r="Q353" i="19" s="1"/>
  <c r="N352" i="19"/>
  <c r="P352" i="19" s="1"/>
  <c r="M352" i="19"/>
  <c r="H352" i="19"/>
  <c r="Q352" i="19" s="1"/>
  <c r="N351" i="19"/>
  <c r="P351" i="19" s="1"/>
  <c r="M351" i="19"/>
  <c r="H351" i="19"/>
  <c r="Q351" i="19" s="1"/>
  <c r="N350" i="19"/>
  <c r="P350" i="19" s="1"/>
  <c r="M350" i="19"/>
  <c r="H350" i="19"/>
  <c r="Q350" i="19" s="1"/>
  <c r="N349" i="19"/>
  <c r="P349" i="19" s="1"/>
  <c r="M349" i="19"/>
  <c r="H349" i="19"/>
  <c r="Q349" i="19" s="1"/>
  <c r="N348" i="19"/>
  <c r="P348" i="19" s="1"/>
  <c r="M348" i="19"/>
  <c r="H348" i="19"/>
  <c r="Q348" i="19" s="1"/>
  <c r="N347" i="19"/>
  <c r="P347" i="19" s="1"/>
  <c r="M347" i="19"/>
  <c r="H347" i="19"/>
  <c r="Q347" i="19" s="1"/>
  <c r="N346" i="19"/>
  <c r="P346" i="19" s="1"/>
  <c r="M346" i="19"/>
  <c r="H346" i="19"/>
  <c r="Q346" i="19" s="1"/>
  <c r="N345" i="19"/>
  <c r="P345" i="19" s="1"/>
  <c r="M345" i="19"/>
  <c r="H345" i="19"/>
  <c r="Q345" i="19" s="1"/>
  <c r="N344" i="19"/>
  <c r="P344" i="19" s="1"/>
  <c r="M344" i="19"/>
  <c r="H344" i="19"/>
  <c r="Q344" i="19" s="1"/>
  <c r="N343" i="19"/>
  <c r="P343" i="19" s="1"/>
  <c r="M343" i="19"/>
  <c r="H343" i="19"/>
  <c r="Q343" i="19" s="1"/>
  <c r="N342" i="19"/>
  <c r="P342" i="19" s="1"/>
  <c r="M342" i="19"/>
  <c r="H342" i="19"/>
  <c r="Q342" i="19" s="1"/>
  <c r="N341" i="19"/>
  <c r="P341" i="19" s="1"/>
  <c r="M341" i="19"/>
  <c r="H341" i="19"/>
  <c r="Q341" i="19" s="1"/>
  <c r="N340" i="19"/>
  <c r="P340" i="19" s="1"/>
  <c r="M340" i="19"/>
  <c r="H340" i="19"/>
  <c r="Q340" i="19" s="1"/>
  <c r="N339" i="19"/>
  <c r="P339" i="19" s="1"/>
  <c r="M339" i="19"/>
  <c r="H339" i="19"/>
  <c r="Q339" i="19" s="1"/>
  <c r="N338" i="19"/>
  <c r="P338" i="19" s="1"/>
  <c r="M338" i="19"/>
  <c r="H338" i="19"/>
  <c r="Q338" i="19" s="1"/>
  <c r="N337" i="19"/>
  <c r="P337" i="19" s="1"/>
  <c r="M337" i="19"/>
  <c r="H337" i="19"/>
  <c r="Q337" i="19" s="1"/>
  <c r="N336" i="19"/>
  <c r="P336" i="19" s="1"/>
  <c r="M336" i="19"/>
  <c r="H336" i="19"/>
  <c r="Q336" i="19" s="1"/>
  <c r="N335" i="19"/>
  <c r="P335" i="19" s="1"/>
  <c r="M335" i="19"/>
  <c r="H335" i="19"/>
  <c r="Q335" i="19" s="1"/>
  <c r="N334" i="19"/>
  <c r="P334" i="19" s="1"/>
  <c r="M334" i="19"/>
  <c r="H334" i="19"/>
  <c r="Q334" i="19" s="1"/>
  <c r="M333" i="19"/>
  <c r="H333" i="19"/>
  <c r="F333" i="19"/>
  <c r="L333" i="19" s="1"/>
  <c r="N333" i="19" s="1"/>
  <c r="P333" i="19" s="1"/>
  <c r="P332" i="19"/>
  <c r="M332" i="19"/>
  <c r="H332" i="19"/>
  <c r="Q332" i="19" s="1"/>
  <c r="N331" i="19"/>
  <c r="P331" i="19" s="1"/>
  <c r="M331" i="19"/>
  <c r="H331" i="19"/>
  <c r="Q331" i="19" s="1"/>
  <c r="N330" i="19"/>
  <c r="P330" i="19" s="1"/>
  <c r="M330" i="19"/>
  <c r="H330" i="19"/>
  <c r="Q330" i="19" s="1"/>
  <c r="N329" i="19"/>
  <c r="P329" i="19" s="1"/>
  <c r="M329" i="19"/>
  <c r="H329" i="19"/>
  <c r="Q329" i="19" s="1"/>
  <c r="N328" i="19"/>
  <c r="P328" i="19" s="1"/>
  <c r="M328" i="19"/>
  <c r="H328" i="19"/>
  <c r="Q328" i="19" s="1"/>
  <c r="N327" i="19"/>
  <c r="P327" i="19" s="1"/>
  <c r="M327" i="19"/>
  <c r="H327" i="19"/>
  <c r="Q327" i="19" s="1"/>
  <c r="N326" i="19"/>
  <c r="P326" i="19" s="1"/>
  <c r="M326" i="19"/>
  <c r="H326" i="19"/>
  <c r="Q326" i="19" s="1"/>
  <c r="N325" i="19"/>
  <c r="P325" i="19" s="1"/>
  <c r="M325" i="19"/>
  <c r="H325" i="19"/>
  <c r="Q325" i="19" s="1"/>
  <c r="N324" i="19"/>
  <c r="P324" i="19" s="1"/>
  <c r="M324" i="19"/>
  <c r="H324" i="19"/>
  <c r="Q324" i="19" s="1"/>
  <c r="N323" i="19"/>
  <c r="P323" i="19" s="1"/>
  <c r="M323" i="19"/>
  <c r="H323" i="19"/>
  <c r="Q323" i="19" s="1"/>
  <c r="N322" i="19"/>
  <c r="P322" i="19" s="1"/>
  <c r="M322" i="19"/>
  <c r="H322" i="19"/>
  <c r="Q322" i="19" s="1"/>
  <c r="N321" i="19"/>
  <c r="P321" i="19" s="1"/>
  <c r="M321" i="19"/>
  <c r="H321" i="19"/>
  <c r="Q321" i="19" s="1"/>
  <c r="N320" i="19"/>
  <c r="P320" i="19" s="1"/>
  <c r="M320" i="19"/>
  <c r="H320" i="19"/>
  <c r="Q320" i="19" s="1"/>
  <c r="N319" i="19"/>
  <c r="P319" i="19" s="1"/>
  <c r="M319" i="19"/>
  <c r="H319" i="19"/>
  <c r="Q319" i="19" s="1"/>
  <c r="N318" i="19"/>
  <c r="P318" i="19" s="1"/>
  <c r="M318" i="19"/>
  <c r="H318" i="19"/>
  <c r="Q318" i="19" s="1"/>
  <c r="N317" i="19"/>
  <c r="P317" i="19" s="1"/>
  <c r="M317" i="19"/>
  <c r="H317" i="19"/>
  <c r="Q317" i="19" s="1"/>
  <c r="P316" i="19"/>
  <c r="N316" i="19"/>
  <c r="M316" i="19"/>
  <c r="H316" i="19"/>
  <c r="Q316" i="19" s="1"/>
  <c r="Q315" i="19"/>
  <c r="N315" i="19"/>
  <c r="P315" i="19" s="1"/>
  <c r="M315" i="19"/>
  <c r="H315" i="19"/>
  <c r="P314" i="19"/>
  <c r="N314" i="19"/>
  <c r="M314" i="19"/>
  <c r="H314" i="19"/>
  <c r="Q314" i="19" s="1"/>
  <c r="Q313" i="19"/>
  <c r="P313" i="19"/>
  <c r="M313" i="19"/>
  <c r="H313" i="19"/>
  <c r="Q312" i="19"/>
  <c r="N312" i="19"/>
  <c r="P312" i="19" s="1"/>
  <c r="M312" i="19"/>
  <c r="H312" i="19"/>
  <c r="P311" i="19"/>
  <c r="N311" i="19"/>
  <c r="M311" i="19"/>
  <c r="H311" i="19"/>
  <c r="Q311" i="19" s="1"/>
  <c r="Q310" i="19"/>
  <c r="N310" i="19"/>
  <c r="P310" i="19" s="1"/>
  <c r="M310" i="19"/>
  <c r="H310" i="19"/>
  <c r="P309" i="19"/>
  <c r="N309" i="19"/>
  <c r="M309" i="19"/>
  <c r="H309" i="19"/>
  <c r="Q309" i="19" s="1"/>
  <c r="Q308" i="19"/>
  <c r="N308" i="19"/>
  <c r="P308" i="19" s="1"/>
  <c r="M308" i="19"/>
  <c r="H308" i="19"/>
  <c r="P307" i="19"/>
  <c r="N307" i="19"/>
  <c r="M307" i="19"/>
  <c r="H307" i="19"/>
  <c r="Q307" i="19" s="1"/>
  <c r="Q306" i="19"/>
  <c r="N306" i="19"/>
  <c r="P306" i="19" s="1"/>
  <c r="M306" i="19"/>
  <c r="H306" i="19"/>
  <c r="P305" i="19"/>
  <c r="N305" i="19"/>
  <c r="M305" i="19"/>
  <c r="H305" i="19"/>
  <c r="Q305" i="19" s="1"/>
  <c r="Q304" i="19"/>
  <c r="N304" i="19"/>
  <c r="P304" i="19" s="1"/>
  <c r="M304" i="19"/>
  <c r="H304" i="19"/>
  <c r="P303" i="19"/>
  <c r="N303" i="19"/>
  <c r="M303" i="19"/>
  <c r="H303" i="19"/>
  <c r="Q303" i="19" s="1"/>
  <c r="Q302" i="19"/>
  <c r="N302" i="19"/>
  <c r="P302" i="19" s="1"/>
  <c r="M302" i="19"/>
  <c r="H302" i="19"/>
  <c r="P301" i="19"/>
  <c r="N301" i="19"/>
  <c r="M301" i="19"/>
  <c r="H301" i="19"/>
  <c r="Q301" i="19" s="1"/>
  <c r="Q300" i="19"/>
  <c r="N300" i="19"/>
  <c r="P300" i="19" s="1"/>
  <c r="M300" i="19"/>
  <c r="H300" i="19"/>
  <c r="P299" i="19"/>
  <c r="N299" i="19"/>
  <c r="M299" i="19"/>
  <c r="H299" i="19"/>
  <c r="Q299" i="19" s="1"/>
  <c r="Q298" i="19"/>
  <c r="N298" i="19"/>
  <c r="P298" i="19" s="1"/>
  <c r="M298" i="19"/>
  <c r="H298" i="19"/>
  <c r="P297" i="19"/>
  <c r="N297" i="19"/>
  <c r="M297" i="19"/>
  <c r="H297" i="19"/>
  <c r="Q297" i="19" s="1"/>
  <c r="Q296" i="19"/>
  <c r="N296" i="19"/>
  <c r="P296" i="19" s="1"/>
  <c r="M296" i="19"/>
  <c r="H296" i="19"/>
  <c r="P295" i="19"/>
  <c r="N295" i="19"/>
  <c r="M295" i="19"/>
  <c r="H295" i="19"/>
  <c r="Q295" i="19" s="1"/>
  <c r="Q294" i="19"/>
  <c r="N294" i="19"/>
  <c r="P294" i="19" s="1"/>
  <c r="M294" i="19"/>
  <c r="H294" i="19"/>
  <c r="P293" i="19"/>
  <c r="N293" i="19"/>
  <c r="M293" i="19"/>
  <c r="H293" i="19"/>
  <c r="Q293" i="19" s="1"/>
  <c r="Q292" i="19"/>
  <c r="N292" i="19"/>
  <c r="P292" i="19" s="1"/>
  <c r="M292" i="19"/>
  <c r="H292" i="19"/>
  <c r="P291" i="19"/>
  <c r="N291" i="19"/>
  <c r="M291" i="19"/>
  <c r="H291" i="19"/>
  <c r="Q291" i="19" s="1"/>
  <c r="Q290" i="19"/>
  <c r="N290" i="19"/>
  <c r="P290" i="19" s="1"/>
  <c r="M290" i="19"/>
  <c r="H290" i="19"/>
  <c r="H289" i="19"/>
  <c r="F289" i="19"/>
  <c r="L289" i="19" s="1"/>
  <c r="N289" i="19" s="1"/>
  <c r="P289" i="19" s="1"/>
  <c r="Q288" i="19"/>
  <c r="P288" i="19"/>
  <c r="M288" i="19"/>
  <c r="H288" i="19"/>
  <c r="N287" i="19"/>
  <c r="P287" i="19" s="1"/>
  <c r="M287" i="19"/>
  <c r="H287" i="19"/>
  <c r="Q287" i="19" s="1"/>
  <c r="N286" i="19"/>
  <c r="P286" i="19" s="1"/>
  <c r="M286" i="19"/>
  <c r="H286" i="19"/>
  <c r="Q286" i="19" s="1"/>
  <c r="N285" i="19"/>
  <c r="P285" i="19" s="1"/>
  <c r="M285" i="19"/>
  <c r="H285" i="19"/>
  <c r="Q285" i="19" s="1"/>
  <c r="P284" i="19"/>
  <c r="N284" i="19"/>
  <c r="M284" i="19"/>
  <c r="H284" i="19"/>
  <c r="Q284" i="19" s="1"/>
  <c r="N283" i="19"/>
  <c r="P283" i="19" s="1"/>
  <c r="M283" i="19"/>
  <c r="H283" i="19"/>
  <c r="Q283" i="19" s="1"/>
  <c r="N282" i="19"/>
  <c r="P282" i="19" s="1"/>
  <c r="M282" i="19"/>
  <c r="H282" i="19"/>
  <c r="Q282" i="19" s="1"/>
  <c r="N281" i="19"/>
  <c r="P281" i="19" s="1"/>
  <c r="M281" i="19"/>
  <c r="H281" i="19"/>
  <c r="Q281" i="19" s="1"/>
  <c r="P280" i="19"/>
  <c r="N280" i="19"/>
  <c r="M280" i="19"/>
  <c r="H280" i="19"/>
  <c r="Q280" i="19" s="1"/>
  <c r="N279" i="19"/>
  <c r="P279" i="19" s="1"/>
  <c r="M279" i="19"/>
  <c r="H279" i="19"/>
  <c r="Q279" i="19" s="1"/>
  <c r="H278" i="19"/>
  <c r="F278" i="19"/>
  <c r="L278" i="19" s="1"/>
  <c r="N278" i="19" s="1"/>
  <c r="P278" i="19" s="1"/>
  <c r="N277" i="19"/>
  <c r="P277" i="19" s="1"/>
  <c r="M277" i="19"/>
  <c r="H277" i="19"/>
  <c r="Q277" i="19" s="1"/>
  <c r="N276" i="19"/>
  <c r="P276" i="19" s="1"/>
  <c r="M276" i="19"/>
  <c r="H276" i="19"/>
  <c r="Q276" i="19" s="1"/>
  <c r="N275" i="19"/>
  <c r="P275" i="19" s="1"/>
  <c r="M275" i="19"/>
  <c r="H275" i="19"/>
  <c r="Q275" i="19" s="1"/>
  <c r="N274" i="19"/>
  <c r="P274" i="19" s="1"/>
  <c r="M274" i="19"/>
  <c r="H274" i="19"/>
  <c r="Q274" i="19" s="1"/>
  <c r="N273" i="19"/>
  <c r="P273" i="19" s="1"/>
  <c r="M273" i="19"/>
  <c r="H273" i="19"/>
  <c r="Q273" i="19" s="1"/>
  <c r="N272" i="19"/>
  <c r="P272" i="19" s="1"/>
  <c r="M272" i="19"/>
  <c r="H272" i="19"/>
  <c r="Q272" i="19" s="1"/>
  <c r="N271" i="19"/>
  <c r="P271" i="19" s="1"/>
  <c r="M271" i="19"/>
  <c r="H271" i="19"/>
  <c r="Q271" i="19" s="1"/>
  <c r="N270" i="19"/>
  <c r="P270" i="19" s="1"/>
  <c r="M270" i="19"/>
  <c r="H270" i="19"/>
  <c r="Q270" i="19" s="1"/>
  <c r="F269" i="19"/>
  <c r="P268" i="19"/>
  <c r="N268" i="19"/>
  <c r="M268" i="19"/>
  <c r="H268" i="19"/>
  <c r="Q268" i="19" s="1"/>
  <c r="N267" i="19"/>
  <c r="P267" i="19" s="1"/>
  <c r="M267" i="19"/>
  <c r="H267" i="19"/>
  <c r="Q267" i="19" s="1"/>
  <c r="N266" i="19"/>
  <c r="P266" i="19" s="1"/>
  <c r="M266" i="19"/>
  <c r="H266" i="19"/>
  <c r="Q266" i="19" s="1"/>
  <c r="N265" i="19"/>
  <c r="P265" i="19" s="1"/>
  <c r="M265" i="19"/>
  <c r="H265" i="19"/>
  <c r="Q265" i="19" s="1"/>
  <c r="P264" i="19"/>
  <c r="N264" i="19"/>
  <c r="M264" i="19"/>
  <c r="H264" i="19"/>
  <c r="Q264" i="19" s="1"/>
  <c r="N263" i="19"/>
  <c r="P263" i="19" s="1"/>
  <c r="M263" i="19"/>
  <c r="H263" i="19"/>
  <c r="Q263" i="19" s="1"/>
  <c r="N262" i="19"/>
  <c r="P262" i="19" s="1"/>
  <c r="M262" i="19"/>
  <c r="H262" i="19"/>
  <c r="Q262" i="19" s="1"/>
  <c r="N261" i="19"/>
  <c r="P261" i="19" s="1"/>
  <c r="M261" i="19"/>
  <c r="H261" i="19"/>
  <c r="Q261" i="19" s="1"/>
  <c r="P260" i="19"/>
  <c r="N260" i="19"/>
  <c r="M260" i="19"/>
  <c r="H260" i="19"/>
  <c r="Q260" i="19" s="1"/>
  <c r="N259" i="19"/>
  <c r="P259" i="19" s="1"/>
  <c r="M259" i="19"/>
  <c r="H259" i="19"/>
  <c r="Q259" i="19" s="1"/>
  <c r="N258" i="19"/>
  <c r="P258" i="19" s="1"/>
  <c r="M258" i="19"/>
  <c r="H258" i="19"/>
  <c r="Q258" i="19" s="1"/>
  <c r="N257" i="19"/>
  <c r="P257" i="19" s="1"/>
  <c r="M257" i="19"/>
  <c r="H257" i="19"/>
  <c r="Q257" i="19" s="1"/>
  <c r="P256" i="19"/>
  <c r="N256" i="19"/>
  <c r="M256" i="19"/>
  <c r="H256" i="19"/>
  <c r="Q256" i="19" s="1"/>
  <c r="N255" i="19"/>
  <c r="P255" i="19" s="1"/>
  <c r="M255" i="19"/>
  <c r="H255" i="19"/>
  <c r="Q255" i="19" s="1"/>
  <c r="N254" i="19"/>
  <c r="P254" i="19" s="1"/>
  <c r="M254" i="19"/>
  <c r="H254" i="19"/>
  <c r="Q254" i="19" s="1"/>
  <c r="N253" i="19"/>
  <c r="P253" i="19" s="1"/>
  <c r="M253" i="19"/>
  <c r="H253" i="19"/>
  <c r="Q253" i="19" s="1"/>
  <c r="P252" i="19"/>
  <c r="N252" i="19"/>
  <c r="M252" i="19"/>
  <c r="H252" i="19"/>
  <c r="Q252" i="19" s="1"/>
  <c r="N251" i="19"/>
  <c r="P251" i="19" s="1"/>
  <c r="M251" i="19"/>
  <c r="H251" i="19"/>
  <c r="Q251" i="19" s="1"/>
  <c r="N250" i="19"/>
  <c r="P250" i="19" s="1"/>
  <c r="M250" i="19"/>
  <c r="H250" i="19"/>
  <c r="Q250" i="19" s="1"/>
  <c r="N249" i="19"/>
  <c r="P249" i="19" s="1"/>
  <c r="M249" i="19"/>
  <c r="H249" i="19"/>
  <c r="Q249" i="19" s="1"/>
  <c r="P248" i="19"/>
  <c r="N248" i="19"/>
  <c r="M248" i="19"/>
  <c r="H248" i="19"/>
  <c r="Q248" i="19" s="1"/>
  <c r="N247" i="19"/>
  <c r="P247" i="19" s="1"/>
  <c r="M247" i="19"/>
  <c r="H247" i="19"/>
  <c r="Q247" i="19" s="1"/>
  <c r="N246" i="19"/>
  <c r="P246" i="19" s="1"/>
  <c r="M246" i="19"/>
  <c r="H246" i="19"/>
  <c r="Q246" i="19" s="1"/>
  <c r="L245" i="19"/>
  <c r="N245" i="19" s="1"/>
  <c r="P245" i="19" s="1"/>
  <c r="F245" i="19"/>
  <c r="H245" i="19" s="1"/>
  <c r="N244" i="19"/>
  <c r="P244" i="19" s="1"/>
  <c r="M244" i="19"/>
  <c r="H244" i="19"/>
  <c r="Q244" i="19" s="1"/>
  <c r="N243" i="19"/>
  <c r="P243" i="19" s="1"/>
  <c r="M243" i="19"/>
  <c r="H243" i="19"/>
  <c r="Q243" i="19" s="1"/>
  <c r="N242" i="19"/>
  <c r="P242" i="19" s="1"/>
  <c r="M242" i="19"/>
  <c r="H242" i="19"/>
  <c r="Q242" i="19" s="1"/>
  <c r="N241" i="19"/>
  <c r="P241" i="19" s="1"/>
  <c r="M241" i="19"/>
  <c r="H241" i="19"/>
  <c r="Q241" i="19" s="1"/>
  <c r="N240" i="19"/>
  <c r="P240" i="19" s="1"/>
  <c r="M240" i="19"/>
  <c r="H240" i="19"/>
  <c r="Q240" i="19" s="1"/>
  <c r="N239" i="19"/>
  <c r="P239" i="19" s="1"/>
  <c r="M239" i="19"/>
  <c r="H239" i="19"/>
  <c r="Q239" i="19" s="1"/>
  <c r="N238" i="19"/>
  <c r="P238" i="19" s="1"/>
  <c r="M238" i="19"/>
  <c r="H238" i="19"/>
  <c r="Q238" i="19" s="1"/>
  <c r="N237" i="19"/>
  <c r="P237" i="19" s="1"/>
  <c r="M237" i="19"/>
  <c r="H237" i="19"/>
  <c r="Q237" i="19" s="1"/>
  <c r="N236" i="19"/>
  <c r="P236" i="19" s="1"/>
  <c r="M236" i="19"/>
  <c r="H236" i="19"/>
  <c r="Q236" i="19" s="1"/>
  <c r="N235" i="19"/>
  <c r="P235" i="19" s="1"/>
  <c r="M235" i="19"/>
  <c r="H235" i="19"/>
  <c r="Q235" i="19" s="1"/>
  <c r="M234" i="19"/>
  <c r="F234" i="19"/>
  <c r="H234" i="19" s="1"/>
  <c r="M233" i="19"/>
  <c r="F233" i="19"/>
  <c r="H233" i="19" s="1"/>
  <c r="N232" i="19"/>
  <c r="P232" i="19" s="1"/>
  <c r="M232" i="19"/>
  <c r="H232" i="19"/>
  <c r="Q232" i="19" s="1"/>
  <c r="N231" i="19"/>
  <c r="P231" i="19" s="1"/>
  <c r="M231" i="19"/>
  <c r="H231" i="19"/>
  <c r="Q231" i="19" s="1"/>
  <c r="P230" i="19"/>
  <c r="N230" i="19"/>
  <c r="M230" i="19"/>
  <c r="H230" i="19"/>
  <c r="Q230" i="19" s="1"/>
  <c r="N229" i="19"/>
  <c r="P229" i="19" s="1"/>
  <c r="M229" i="19"/>
  <c r="H229" i="19"/>
  <c r="Q229" i="19" s="1"/>
  <c r="N228" i="19"/>
  <c r="P228" i="19" s="1"/>
  <c r="M228" i="19"/>
  <c r="H228" i="19"/>
  <c r="Q228" i="19" s="1"/>
  <c r="N227" i="19"/>
  <c r="P227" i="19" s="1"/>
  <c r="M227" i="19"/>
  <c r="H227" i="19"/>
  <c r="Q227" i="19" s="1"/>
  <c r="P226" i="19"/>
  <c r="N226" i="19"/>
  <c r="M226" i="19"/>
  <c r="H226" i="19"/>
  <c r="Q226" i="19" s="1"/>
  <c r="N225" i="19"/>
  <c r="P225" i="19" s="1"/>
  <c r="M225" i="19"/>
  <c r="H225" i="19"/>
  <c r="Q225" i="19" s="1"/>
  <c r="M224" i="19"/>
  <c r="F224" i="19"/>
  <c r="H224" i="19" s="1"/>
  <c r="N223" i="19"/>
  <c r="P223" i="19" s="1"/>
  <c r="M223" i="19"/>
  <c r="H223" i="19"/>
  <c r="Q223" i="19" s="1"/>
  <c r="N222" i="19"/>
  <c r="P222" i="19" s="1"/>
  <c r="M222" i="19"/>
  <c r="H222" i="19"/>
  <c r="Q222" i="19" s="1"/>
  <c r="P221" i="19"/>
  <c r="N221" i="19"/>
  <c r="M221" i="19"/>
  <c r="H221" i="19"/>
  <c r="Q221" i="19" s="1"/>
  <c r="N220" i="19"/>
  <c r="P220" i="19" s="1"/>
  <c r="M220" i="19"/>
  <c r="H220" i="19"/>
  <c r="Q220" i="19" s="1"/>
  <c r="N219" i="19"/>
  <c r="P219" i="19" s="1"/>
  <c r="M219" i="19"/>
  <c r="H219" i="19"/>
  <c r="Q219" i="19" s="1"/>
  <c r="N218" i="19"/>
  <c r="P218" i="19" s="1"/>
  <c r="M218" i="19"/>
  <c r="H218" i="19"/>
  <c r="Q218" i="19" s="1"/>
  <c r="P217" i="19"/>
  <c r="N217" i="19"/>
  <c r="M217" i="19"/>
  <c r="H217" i="19"/>
  <c r="Q217" i="19" s="1"/>
  <c r="N216" i="19"/>
  <c r="P216" i="19" s="1"/>
  <c r="M216" i="19"/>
  <c r="H216" i="19"/>
  <c r="Q216" i="19" s="1"/>
  <c r="N215" i="19"/>
  <c r="P215" i="19" s="1"/>
  <c r="M215" i="19"/>
  <c r="H215" i="19"/>
  <c r="Q215" i="19" s="1"/>
  <c r="N214" i="19"/>
  <c r="P214" i="19" s="1"/>
  <c r="M214" i="19"/>
  <c r="H214" i="19"/>
  <c r="Q214" i="19" s="1"/>
  <c r="P213" i="19"/>
  <c r="N213" i="19"/>
  <c r="M213" i="19"/>
  <c r="H213" i="19"/>
  <c r="Q213" i="19" s="1"/>
  <c r="N212" i="19"/>
  <c r="P212" i="19" s="1"/>
  <c r="M212" i="19"/>
  <c r="H212" i="19"/>
  <c r="Q212" i="19" s="1"/>
  <c r="N211" i="19"/>
  <c r="P211" i="19" s="1"/>
  <c r="M211" i="19"/>
  <c r="H211" i="19"/>
  <c r="Q211" i="19" s="1"/>
  <c r="N210" i="19"/>
  <c r="P210" i="19" s="1"/>
  <c r="M210" i="19"/>
  <c r="H210" i="19"/>
  <c r="Q210" i="19" s="1"/>
  <c r="P209" i="19"/>
  <c r="N209" i="19"/>
  <c r="M209" i="19"/>
  <c r="H209" i="19"/>
  <c r="Q209" i="19" s="1"/>
  <c r="N208" i="19"/>
  <c r="P208" i="19" s="1"/>
  <c r="M208" i="19"/>
  <c r="H208" i="19"/>
  <c r="Q208" i="19" s="1"/>
  <c r="N207" i="19"/>
  <c r="P207" i="19" s="1"/>
  <c r="M207" i="19"/>
  <c r="H207" i="19"/>
  <c r="Q207" i="19" s="1"/>
  <c r="N206" i="19"/>
  <c r="P206" i="19" s="1"/>
  <c r="M206" i="19"/>
  <c r="H206" i="19"/>
  <c r="Q206" i="19" s="1"/>
  <c r="P205" i="19"/>
  <c r="N205" i="19"/>
  <c r="M205" i="19"/>
  <c r="H205" i="19"/>
  <c r="Q205" i="19" s="1"/>
  <c r="N204" i="19"/>
  <c r="P204" i="19" s="1"/>
  <c r="M204" i="19"/>
  <c r="H204" i="19"/>
  <c r="Q204" i="19" s="1"/>
  <c r="P203" i="19"/>
  <c r="M203" i="19"/>
  <c r="H203" i="19"/>
  <c r="Q203" i="19" s="1"/>
  <c r="P202" i="19"/>
  <c r="N202" i="19"/>
  <c r="M202" i="19"/>
  <c r="H202" i="19"/>
  <c r="Q202" i="19" s="1"/>
  <c r="F201" i="19"/>
  <c r="H201" i="19" s="1"/>
  <c r="N200" i="19"/>
  <c r="P200" i="19" s="1"/>
  <c r="M200" i="19"/>
  <c r="H200" i="19"/>
  <c r="Q200" i="19" s="1"/>
  <c r="N199" i="19"/>
  <c r="P199" i="19" s="1"/>
  <c r="M199" i="19"/>
  <c r="H199" i="19"/>
  <c r="Q199" i="19" s="1"/>
  <c r="P198" i="19"/>
  <c r="N198" i="19"/>
  <c r="M198" i="19"/>
  <c r="H198" i="19"/>
  <c r="Q198" i="19" s="1"/>
  <c r="N197" i="19"/>
  <c r="P197" i="19" s="1"/>
  <c r="M197" i="19"/>
  <c r="H197" i="19"/>
  <c r="Q197" i="19" s="1"/>
  <c r="N196" i="19"/>
  <c r="P196" i="19" s="1"/>
  <c r="M196" i="19"/>
  <c r="H196" i="19"/>
  <c r="Q196" i="19" s="1"/>
  <c r="N195" i="19"/>
  <c r="P195" i="19" s="1"/>
  <c r="M195" i="19"/>
  <c r="H195" i="19"/>
  <c r="Q195" i="19" s="1"/>
  <c r="P194" i="19"/>
  <c r="N194" i="19"/>
  <c r="M194" i="19"/>
  <c r="H194" i="19"/>
  <c r="Q194" i="19" s="1"/>
  <c r="N193" i="19"/>
  <c r="P193" i="19" s="1"/>
  <c r="M193" i="19"/>
  <c r="H193" i="19"/>
  <c r="Q193" i="19" s="1"/>
  <c r="N192" i="19"/>
  <c r="P192" i="19" s="1"/>
  <c r="M192" i="19"/>
  <c r="H192" i="19"/>
  <c r="Q192" i="19" s="1"/>
  <c r="L191" i="19"/>
  <c r="N191" i="19" s="1"/>
  <c r="P191" i="19" s="1"/>
  <c r="F191" i="19"/>
  <c r="H191" i="19" s="1"/>
  <c r="N190" i="19"/>
  <c r="P190" i="19" s="1"/>
  <c r="M190" i="19"/>
  <c r="H190" i="19"/>
  <c r="Q190" i="19" s="1"/>
  <c r="N189" i="19"/>
  <c r="P189" i="19" s="1"/>
  <c r="M189" i="19"/>
  <c r="H189" i="19"/>
  <c r="Q189" i="19" s="1"/>
  <c r="N188" i="19"/>
  <c r="P188" i="19" s="1"/>
  <c r="M188" i="19"/>
  <c r="H188" i="19"/>
  <c r="Q188" i="19" s="1"/>
  <c r="N187" i="19"/>
  <c r="P187" i="19" s="1"/>
  <c r="M187" i="19"/>
  <c r="H187" i="19"/>
  <c r="Q187" i="19" s="1"/>
  <c r="N186" i="19"/>
  <c r="P186" i="19" s="1"/>
  <c r="M186" i="19"/>
  <c r="H186" i="19"/>
  <c r="Q186" i="19" s="1"/>
  <c r="N185" i="19"/>
  <c r="P185" i="19" s="1"/>
  <c r="M185" i="19"/>
  <c r="H185" i="19"/>
  <c r="Q185" i="19" s="1"/>
  <c r="N184" i="19"/>
  <c r="P184" i="19" s="1"/>
  <c r="M184" i="19"/>
  <c r="H184" i="19"/>
  <c r="Q184" i="19" s="1"/>
  <c r="N183" i="19"/>
  <c r="P183" i="19" s="1"/>
  <c r="M183" i="19"/>
  <c r="H183" i="19"/>
  <c r="Q183" i="19" s="1"/>
  <c r="N182" i="19"/>
  <c r="P182" i="19" s="1"/>
  <c r="M182" i="19"/>
  <c r="H182" i="19"/>
  <c r="Q182" i="19" s="1"/>
  <c r="N181" i="19"/>
  <c r="P181" i="19" s="1"/>
  <c r="M181" i="19"/>
  <c r="H181" i="19"/>
  <c r="Q181" i="19" s="1"/>
  <c r="N180" i="19"/>
  <c r="P180" i="19" s="1"/>
  <c r="M180" i="19"/>
  <c r="H180" i="19"/>
  <c r="Q180" i="19" s="1"/>
  <c r="M179" i="19"/>
  <c r="H179" i="19"/>
  <c r="F179" i="19"/>
  <c r="L179" i="19" s="1"/>
  <c r="N179" i="19" s="1"/>
  <c r="P179" i="19" s="1"/>
  <c r="N178" i="19"/>
  <c r="P178" i="19" s="1"/>
  <c r="M178" i="19"/>
  <c r="H178" i="19"/>
  <c r="Q178" i="19" s="1"/>
  <c r="N177" i="19"/>
  <c r="P177" i="19" s="1"/>
  <c r="M177" i="19"/>
  <c r="H177" i="19"/>
  <c r="Q177" i="19" s="1"/>
  <c r="N176" i="19"/>
  <c r="P176" i="19" s="1"/>
  <c r="M176" i="19"/>
  <c r="H176" i="19"/>
  <c r="Q176" i="19" s="1"/>
  <c r="N175" i="19"/>
  <c r="P175" i="19" s="1"/>
  <c r="M175" i="19"/>
  <c r="H175" i="19"/>
  <c r="Q175" i="19" s="1"/>
  <c r="H174" i="19"/>
  <c r="F174" i="19"/>
  <c r="N174" i="19" s="1"/>
  <c r="P174" i="19" s="1"/>
  <c r="N173" i="19"/>
  <c r="P173" i="19" s="1"/>
  <c r="M173" i="19"/>
  <c r="H173" i="19"/>
  <c r="Q173" i="19" s="1"/>
  <c r="P172" i="19"/>
  <c r="N172" i="19"/>
  <c r="M172" i="19"/>
  <c r="H172" i="19"/>
  <c r="Q172" i="19" s="1"/>
  <c r="N171" i="19"/>
  <c r="P171" i="19" s="1"/>
  <c r="M171" i="19"/>
  <c r="H171" i="19"/>
  <c r="Q171" i="19" s="1"/>
  <c r="M170" i="19"/>
  <c r="F170" i="19"/>
  <c r="H170" i="19" s="1"/>
  <c r="M169" i="19"/>
  <c r="F169" i="19"/>
  <c r="H169" i="19" s="1"/>
  <c r="N168" i="19"/>
  <c r="P168" i="19" s="1"/>
  <c r="M168" i="19"/>
  <c r="H168" i="19"/>
  <c r="Q168" i="19" s="1"/>
  <c r="N167" i="19"/>
  <c r="P167" i="19" s="1"/>
  <c r="M167" i="19"/>
  <c r="H167" i="19"/>
  <c r="Q167" i="19" s="1"/>
  <c r="P166" i="19"/>
  <c r="N166" i="19"/>
  <c r="M166" i="19"/>
  <c r="H166" i="19"/>
  <c r="Q166" i="19" s="1"/>
  <c r="N165" i="19"/>
  <c r="P165" i="19" s="1"/>
  <c r="M165" i="19"/>
  <c r="H165" i="19"/>
  <c r="Q165" i="19" s="1"/>
  <c r="N164" i="19"/>
  <c r="P164" i="19" s="1"/>
  <c r="M164" i="19"/>
  <c r="H164" i="19"/>
  <c r="Q164" i="19" s="1"/>
  <c r="N163" i="19"/>
  <c r="P163" i="19" s="1"/>
  <c r="M163" i="19"/>
  <c r="H163" i="19"/>
  <c r="Q163" i="19" s="1"/>
  <c r="H162" i="19"/>
  <c r="F162" i="19"/>
  <c r="L162" i="19" s="1"/>
  <c r="N162" i="19" s="1"/>
  <c r="Q161" i="19"/>
  <c r="N161" i="19"/>
  <c r="P161" i="19" s="1"/>
  <c r="M161" i="19"/>
  <c r="H161" i="19"/>
  <c r="P160" i="19"/>
  <c r="N160" i="19"/>
  <c r="M160" i="19"/>
  <c r="H160" i="19"/>
  <c r="Q160" i="19" s="1"/>
  <c r="P159" i="19"/>
  <c r="M159" i="19"/>
  <c r="H159" i="19"/>
  <c r="F159" i="19"/>
  <c r="L159" i="19" s="1"/>
  <c r="N159" i="19" s="1"/>
  <c r="Q158" i="19"/>
  <c r="N158" i="19"/>
  <c r="P158" i="19" s="1"/>
  <c r="M158" i="19"/>
  <c r="H158" i="19"/>
  <c r="P157" i="19"/>
  <c r="N157" i="19"/>
  <c r="M157" i="19"/>
  <c r="H157" i="19"/>
  <c r="Q157" i="19" s="1"/>
  <c r="Q156" i="19"/>
  <c r="N156" i="19"/>
  <c r="P156" i="19" s="1"/>
  <c r="M156" i="19"/>
  <c r="H156" i="19"/>
  <c r="P155" i="19"/>
  <c r="N155" i="19"/>
  <c r="M155" i="19"/>
  <c r="H155" i="19"/>
  <c r="Q155" i="19" s="1"/>
  <c r="Q154" i="19"/>
  <c r="N154" i="19"/>
  <c r="P154" i="19" s="1"/>
  <c r="M154" i="19"/>
  <c r="H154" i="19"/>
  <c r="P153" i="19"/>
  <c r="N153" i="19"/>
  <c r="M153" i="19"/>
  <c r="H153" i="19"/>
  <c r="Q153" i="19" s="1"/>
  <c r="Q152" i="19"/>
  <c r="N152" i="19"/>
  <c r="P152" i="19" s="1"/>
  <c r="M152" i="19"/>
  <c r="H152" i="19"/>
  <c r="P151" i="19"/>
  <c r="N151" i="19"/>
  <c r="M151" i="19"/>
  <c r="H151" i="19"/>
  <c r="Q151" i="19" s="1"/>
  <c r="Q150" i="19"/>
  <c r="N150" i="19"/>
  <c r="P150" i="19" s="1"/>
  <c r="M150" i="19"/>
  <c r="H150" i="19"/>
  <c r="P149" i="19"/>
  <c r="N149" i="19"/>
  <c r="M149" i="19"/>
  <c r="H149" i="19"/>
  <c r="Q149" i="19" s="1"/>
  <c r="M148" i="19"/>
  <c r="H148" i="19"/>
  <c r="F148" i="19"/>
  <c r="L148" i="19" s="1"/>
  <c r="N148" i="19" s="1"/>
  <c r="P148" i="19" s="1"/>
  <c r="N147" i="19"/>
  <c r="P147" i="19" s="1"/>
  <c r="M147" i="19"/>
  <c r="H147" i="19"/>
  <c r="Q147" i="19" s="1"/>
  <c r="P146" i="19"/>
  <c r="N146" i="19"/>
  <c r="M146" i="19"/>
  <c r="H146" i="19"/>
  <c r="Q146" i="19" s="1"/>
  <c r="N145" i="19"/>
  <c r="P145" i="19" s="1"/>
  <c r="M145" i="19"/>
  <c r="H145" i="19"/>
  <c r="Q145" i="19" s="1"/>
  <c r="N144" i="19"/>
  <c r="P144" i="19" s="1"/>
  <c r="M144" i="19"/>
  <c r="H144" i="19"/>
  <c r="Q144" i="19" s="1"/>
  <c r="N143" i="19"/>
  <c r="P143" i="19" s="1"/>
  <c r="M143" i="19"/>
  <c r="H143" i="19"/>
  <c r="Q143" i="19" s="1"/>
  <c r="P142" i="19"/>
  <c r="N142" i="19"/>
  <c r="M142" i="19"/>
  <c r="H142" i="19"/>
  <c r="Q142" i="19" s="1"/>
  <c r="N141" i="19"/>
  <c r="P141" i="19" s="1"/>
  <c r="M141" i="19"/>
  <c r="H141" i="19"/>
  <c r="Q141" i="19" s="1"/>
  <c r="N140" i="19"/>
  <c r="P140" i="19" s="1"/>
  <c r="M140" i="19"/>
  <c r="H140" i="19"/>
  <c r="Q140" i="19" s="1"/>
  <c r="N139" i="19"/>
  <c r="P139" i="19" s="1"/>
  <c r="M139" i="19"/>
  <c r="H139" i="19"/>
  <c r="Q139" i="19" s="1"/>
  <c r="P138" i="19"/>
  <c r="N138" i="19"/>
  <c r="M138" i="19"/>
  <c r="H138" i="19"/>
  <c r="Q138" i="19" s="1"/>
  <c r="N137" i="19"/>
  <c r="P137" i="19" s="1"/>
  <c r="M137" i="19"/>
  <c r="H137" i="19"/>
  <c r="Q137" i="19" s="1"/>
  <c r="N136" i="19"/>
  <c r="P136" i="19" s="1"/>
  <c r="M136" i="19"/>
  <c r="H136" i="19"/>
  <c r="Q136" i="19" s="1"/>
  <c r="N135" i="19"/>
  <c r="P135" i="19" s="1"/>
  <c r="M135" i="19"/>
  <c r="H135" i="19"/>
  <c r="Q135" i="19" s="1"/>
  <c r="P134" i="19"/>
  <c r="N134" i="19"/>
  <c r="M134" i="19"/>
  <c r="H134" i="19"/>
  <c r="Q134" i="19" s="1"/>
  <c r="N133" i="19"/>
  <c r="P133" i="19" s="1"/>
  <c r="M133" i="19"/>
  <c r="H133" i="19"/>
  <c r="Q133" i="19" s="1"/>
  <c r="N132" i="19"/>
  <c r="P132" i="19" s="1"/>
  <c r="M132" i="19"/>
  <c r="H132" i="19"/>
  <c r="Q132" i="19" s="1"/>
  <c r="N131" i="19"/>
  <c r="P131" i="19" s="1"/>
  <c r="M131" i="19"/>
  <c r="H131" i="19"/>
  <c r="Q131" i="19" s="1"/>
  <c r="P130" i="19"/>
  <c r="N130" i="19"/>
  <c r="M130" i="19"/>
  <c r="H130" i="19"/>
  <c r="Q130" i="19" s="1"/>
  <c r="N129" i="19"/>
  <c r="P129" i="19" s="1"/>
  <c r="M129" i="19"/>
  <c r="H129" i="19"/>
  <c r="Q129" i="19" s="1"/>
  <c r="N128" i="19"/>
  <c r="P128" i="19" s="1"/>
  <c r="M128" i="19"/>
  <c r="H128" i="19"/>
  <c r="Q128" i="19" s="1"/>
  <c r="N127" i="19"/>
  <c r="P127" i="19" s="1"/>
  <c r="M127" i="19"/>
  <c r="H127" i="19"/>
  <c r="Q127" i="19" s="1"/>
  <c r="P126" i="19"/>
  <c r="N126" i="19"/>
  <c r="M126" i="19"/>
  <c r="H126" i="19"/>
  <c r="Q126" i="19" s="1"/>
  <c r="N125" i="19"/>
  <c r="P125" i="19" s="1"/>
  <c r="M125" i="19"/>
  <c r="H125" i="19"/>
  <c r="Q125" i="19" s="1"/>
  <c r="N124" i="19"/>
  <c r="P124" i="19" s="1"/>
  <c r="M124" i="19"/>
  <c r="H124" i="19"/>
  <c r="Q124" i="19" s="1"/>
  <c r="N123" i="19"/>
  <c r="P123" i="19" s="1"/>
  <c r="M123" i="19"/>
  <c r="H123" i="19"/>
  <c r="Q123" i="19" s="1"/>
  <c r="P122" i="19"/>
  <c r="N122" i="19"/>
  <c r="M122" i="19"/>
  <c r="H122" i="19"/>
  <c r="Q122" i="19" s="1"/>
  <c r="N121" i="19"/>
  <c r="P121" i="19" s="1"/>
  <c r="M121" i="19"/>
  <c r="H121" i="19"/>
  <c r="Q121" i="19" s="1"/>
  <c r="N120" i="19"/>
  <c r="P120" i="19" s="1"/>
  <c r="M120" i="19"/>
  <c r="H120" i="19"/>
  <c r="Q120" i="19" s="1"/>
  <c r="N119" i="19"/>
  <c r="P119" i="19" s="1"/>
  <c r="M119" i="19"/>
  <c r="H119" i="19"/>
  <c r="Q119" i="19" s="1"/>
  <c r="P118" i="19"/>
  <c r="N118" i="19"/>
  <c r="M118" i="19"/>
  <c r="H118" i="19"/>
  <c r="Q118" i="19" s="1"/>
  <c r="N117" i="19"/>
  <c r="P117" i="19" s="1"/>
  <c r="M117" i="19"/>
  <c r="H117" i="19"/>
  <c r="Q117" i="19" s="1"/>
  <c r="N116" i="19"/>
  <c r="P116" i="19" s="1"/>
  <c r="M116" i="19"/>
  <c r="H116" i="19"/>
  <c r="Q116" i="19" s="1"/>
  <c r="N115" i="19"/>
  <c r="P115" i="19" s="1"/>
  <c r="M115" i="19"/>
  <c r="H115" i="19"/>
  <c r="Q115" i="19" s="1"/>
  <c r="P114" i="19"/>
  <c r="N114" i="19"/>
  <c r="M114" i="19"/>
  <c r="H114" i="19"/>
  <c r="Q114" i="19" s="1"/>
  <c r="N113" i="19"/>
  <c r="P113" i="19" s="1"/>
  <c r="M113" i="19"/>
  <c r="H113" i="19"/>
  <c r="Q113" i="19" s="1"/>
  <c r="N112" i="19"/>
  <c r="P112" i="19" s="1"/>
  <c r="M112" i="19"/>
  <c r="H112" i="19"/>
  <c r="Q112" i="19" s="1"/>
  <c r="N111" i="19"/>
  <c r="P111" i="19" s="1"/>
  <c r="M111" i="19"/>
  <c r="H111" i="19"/>
  <c r="Q111" i="19" s="1"/>
  <c r="P110" i="19"/>
  <c r="N110" i="19"/>
  <c r="M110" i="19"/>
  <c r="H110" i="19"/>
  <c r="Q110" i="19" s="1"/>
  <c r="N109" i="19"/>
  <c r="P109" i="19" s="1"/>
  <c r="M109" i="19"/>
  <c r="H109" i="19"/>
  <c r="Q109" i="19" s="1"/>
  <c r="N108" i="19"/>
  <c r="P108" i="19" s="1"/>
  <c r="M108" i="19"/>
  <c r="H108" i="19"/>
  <c r="Q108" i="19" s="1"/>
  <c r="N107" i="19"/>
  <c r="P107" i="19" s="1"/>
  <c r="M107" i="19"/>
  <c r="H107" i="19"/>
  <c r="Q107" i="19" s="1"/>
  <c r="P106" i="19"/>
  <c r="N106" i="19"/>
  <c r="M106" i="19"/>
  <c r="H106" i="19"/>
  <c r="Q106" i="19" s="1"/>
  <c r="N105" i="19"/>
  <c r="P105" i="19" s="1"/>
  <c r="M105" i="19"/>
  <c r="H105" i="19"/>
  <c r="Q105" i="19" s="1"/>
  <c r="N104" i="19"/>
  <c r="P104" i="19" s="1"/>
  <c r="M104" i="19"/>
  <c r="H104" i="19"/>
  <c r="Q104" i="19" s="1"/>
  <c r="N103" i="19"/>
  <c r="P103" i="19" s="1"/>
  <c r="M103" i="19"/>
  <c r="H103" i="19"/>
  <c r="Q103" i="19" s="1"/>
  <c r="P102" i="19"/>
  <c r="N102" i="19"/>
  <c r="M102" i="19"/>
  <c r="H102" i="19"/>
  <c r="Q102" i="19" s="1"/>
  <c r="N101" i="19"/>
  <c r="P101" i="19" s="1"/>
  <c r="M101" i="19"/>
  <c r="H101" i="19"/>
  <c r="Q101" i="19" s="1"/>
  <c r="N100" i="19"/>
  <c r="P100" i="19" s="1"/>
  <c r="M100" i="19"/>
  <c r="H100" i="19"/>
  <c r="Q100" i="19" s="1"/>
  <c r="N99" i="19"/>
  <c r="P99" i="19" s="1"/>
  <c r="M99" i="19"/>
  <c r="H99" i="19"/>
  <c r="Q99" i="19" s="1"/>
  <c r="P98" i="19"/>
  <c r="N98" i="19"/>
  <c r="M98" i="19"/>
  <c r="H98" i="19"/>
  <c r="Q98" i="19" s="1"/>
  <c r="N97" i="19"/>
  <c r="P97" i="19" s="1"/>
  <c r="M97" i="19"/>
  <c r="H97" i="19"/>
  <c r="Q97" i="19" s="1"/>
  <c r="N96" i="19"/>
  <c r="P96" i="19" s="1"/>
  <c r="M96" i="19"/>
  <c r="H96" i="19"/>
  <c r="Q96" i="19" s="1"/>
  <c r="N95" i="19"/>
  <c r="P95" i="19" s="1"/>
  <c r="M95" i="19"/>
  <c r="H95" i="19"/>
  <c r="Q95" i="19" s="1"/>
  <c r="P94" i="19"/>
  <c r="N94" i="19"/>
  <c r="M94" i="19"/>
  <c r="H94" i="19"/>
  <c r="Q94" i="19" s="1"/>
  <c r="N93" i="19"/>
  <c r="P93" i="19" s="1"/>
  <c r="M93" i="19"/>
  <c r="H93" i="19"/>
  <c r="Q93" i="19" s="1"/>
  <c r="N92" i="19"/>
  <c r="P92" i="19" s="1"/>
  <c r="M92" i="19"/>
  <c r="H92" i="19"/>
  <c r="Q92" i="19" s="1"/>
  <c r="N91" i="19"/>
  <c r="P91" i="19" s="1"/>
  <c r="M91" i="19"/>
  <c r="H91" i="19"/>
  <c r="Q91" i="19" s="1"/>
  <c r="P90" i="19"/>
  <c r="N90" i="19"/>
  <c r="M90" i="19"/>
  <c r="H90" i="19"/>
  <c r="Q90" i="19" s="1"/>
  <c r="N89" i="19"/>
  <c r="P89" i="19" s="1"/>
  <c r="M89" i="19"/>
  <c r="H89" i="19"/>
  <c r="Q89" i="19" s="1"/>
  <c r="N88" i="19"/>
  <c r="P88" i="19" s="1"/>
  <c r="M88" i="19"/>
  <c r="H88" i="19"/>
  <c r="Q88" i="19" s="1"/>
  <c r="N87" i="19"/>
  <c r="P87" i="19" s="1"/>
  <c r="M87" i="19"/>
  <c r="H87" i="19"/>
  <c r="Q87" i="19" s="1"/>
  <c r="P86" i="19"/>
  <c r="N86" i="19"/>
  <c r="M86" i="19"/>
  <c r="H86" i="19"/>
  <c r="Q86" i="19" s="1"/>
  <c r="N85" i="19"/>
  <c r="P85" i="19" s="1"/>
  <c r="M85" i="19"/>
  <c r="H85" i="19"/>
  <c r="Q85" i="19" s="1"/>
  <c r="N84" i="19"/>
  <c r="P84" i="19" s="1"/>
  <c r="M84" i="19"/>
  <c r="H84" i="19"/>
  <c r="Q84" i="19" s="1"/>
  <c r="N83" i="19"/>
  <c r="P83" i="19" s="1"/>
  <c r="M83" i="19"/>
  <c r="H83" i="19"/>
  <c r="Q83" i="19" s="1"/>
  <c r="P82" i="19"/>
  <c r="N82" i="19"/>
  <c r="M82" i="19"/>
  <c r="H82" i="19"/>
  <c r="Q82" i="19" s="1"/>
  <c r="N81" i="19"/>
  <c r="P81" i="19" s="1"/>
  <c r="M81" i="19"/>
  <c r="H81" i="19"/>
  <c r="Q81" i="19" s="1"/>
  <c r="N80" i="19"/>
  <c r="P80" i="19" s="1"/>
  <c r="M80" i="19"/>
  <c r="H80" i="19"/>
  <c r="Q80" i="19" s="1"/>
  <c r="N79" i="19"/>
  <c r="P79" i="19" s="1"/>
  <c r="M79" i="19"/>
  <c r="H79" i="19"/>
  <c r="Q79" i="19" s="1"/>
  <c r="P78" i="19"/>
  <c r="N78" i="19"/>
  <c r="M78" i="19"/>
  <c r="H78" i="19"/>
  <c r="Q78" i="19" s="1"/>
  <c r="N77" i="19"/>
  <c r="P77" i="19" s="1"/>
  <c r="M77" i="19"/>
  <c r="H77" i="19"/>
  <c r="Q77" i="19" s="1"/>
  <c r="N76" i="19"/>
  <c r="P76" i="19" s="1"/>
  <c r="M76" i="19"/>
  <c r="H76" i="19"/>
  <c r="Q76" i="19" s="1"/>
  <c r="N75" i="19"/>
  <c r="P75" i="19" s="1"/>
  <c r="M75" i="19"/>
  <c r="H75" i="19"/>
  <c r="Q75" i="19" s="1"/>
  <c r="P74" i="19"/>
  <c r="N74" i="19"/>
  <c r="M74" i="19"/>
  <c r="H74" i="19"/>
  <c r="Q74" i="19" s="1"/>
  <c r="N73" i="19"/>
  <c r="P73" i="19" s="1"/>
  <c r="M73" i="19"/>
  <c r="H73" i="19"/>
  <c r="Q73" i="19" s="1"/>
  <c r="N72" i="19"/>
  <c r="P72" i="19" s="1"/>
  <c r="M72" i="19"/>
  <c r="H72" i="19"/>
  <c r="Q72" i="19" s="1"/>
  <c r="N71" i="19"/>
  <c r="P71" i="19" s="1"/>
  <c r="M71" i="19"/>
  <c r="H71" i="19"/>
  <c r="Q71" i="19" s="1"/>
  <c r="P70" i="19"/>
  <c r="N70" i="19"/>
  <c r="M70" i="19"/>
  <c r="H70" i="19"/>
  <c r="Q70" i="19" s="1"/>
  <c r="N69" i="19"/>
  <c r="P69" i="19" s="1"/>
  <c r="M69" i="19"/>
  <c r="H69" i="19"/>
  <c r="Q69" i="19" s="1"/>
  <c r="N68" i="19"/>
  <c r="P68" i="19" s="1"/>
  <c r="M68" i="19"/>
  <c r="H68" i="19"/>
  <c r="Q68" i="19" s="1"/>
  <c r="N67" i="19"/>
  <c r="P67" i="19" s="1"/>
  <c r="M67" i="19"/>
  <c r="H67" i="19"/>
  <c r="Q67" i="19" s="1"/>
  <c r="P66" i="19"/>
  <c r="N66" i="19"/>
  <c r="M66" i="19"/>
  <c r="H66" i="19"/>
  <c r="Q66" i="19" s="1"/>
  <c r="N65" i="19"/>
  <c r="P65" i="19" s="1"/>
  <c r="M65" i="19"/>
  <c r="H65" i="19"/>
  <c r="Q65" i="19" s="1"/>
  <c r="N64" i="19"/>
  <c r="P64" i="19" s="1"/>
  <c r="M64" i="19"/>
  <c r="H64" i="19"/>
  <c r="Q64" i="19" s="1"/>
  <c r="P63" i="19"/>
  <c r="M63" i="19"/>
  <c r="H63" i="19"/>
  <c r="Q63" i="19" s="1"/>
  <c r="N62" i="19"/>
  <c r="P62" i="19" s="1"/>
  <c r="M62" i="19"/>
  <c r="H62" i="19"/>
  <c r="Q62" i="19" s="1"/>
  <c r="P61" i="19"/>
  <c r="N61" i="19"/>
  <c r="M61" i="19"/>
  <c r="H61" i="19"/>
  <c r="Q61" i="19" s="1"/>
  <c r="N60" i="19"/>
  <c r="P60" i="19" s="1"/>
  <c r="M60" i="19"/>
  <c r="H60" i="19"/>
  <c r="Q60" i="19" s="1"/>
  <c r="N59" i="19"/>
  <c r="P59" i="19" s="1"/>
  <c r="M59" i="19"/>
  <c r="H59" i="19"/>
  <c r="Q59" i="19" s="1"/>
  <c r="N58" i="19"/>
  <c r="P58" i="19" s="1"/>
  <c r="M58" i="19"/>
  <c r="H58" i="19"/>
  <c r="Q58" i="19" s="1"/>
  <c r="P57" i="19"/>
  <c r="N57" i="19"/>
  <c r="M57" i="19"/>
  <c r="H57" i="19"/>
  <c r="Q57" i="19" s="1"/>
  <c r="N56" i="19"/>
  <c r="P56" i="19" s="1"/>
  <c r="M56" i="19"/>
  <c r="H56" i="19"/>
  <c r="Q56" i="19" s="1"/>
  <c r="N55" i="19"/>
  <c r="P55" i="19" s="1"/>
  <c r="M55" i="19"/>
  <c r="H55" i="19"/>
  <c r="Q55" i="19" s="1"/>
  <c r="N54" i="19"/>
  <c r="P54" i="19" s="1"/>
  <c r="M54" i="19"/>
  <c r="H54" i="19"/>
  <c r="Q54" i="19" s="1"/>
  <c r="P53" i="19"/>
  <c r="N53" i="19"/>
  <c r="M53" i="19"/>
  <c r="H53" i="19"/>
  <c r="Q53" i="19" s="1"/>
  <c r="N52" i="19"/>
  <c r="P52" i="19" s="1"/>
  <c r="M52" i="19"/>
  <c r="H52" i="19"/>
  <c r="Q52" i="19" s="1"/>
  <c r="N51" i="19"/>
  <c r="P51" i="19" s="1"/>
  <c r="M51" i="19"/>
  <c r="H51" i="19"/>
  <c r="Q51" i="19" s="1"/>
  <c r="N50" i="19"/>
  <c r="P50" i="19" s="1"/>
  <c r="M50" i="19"/>
  <c r="H50" i="19"/>
  <c r="Q50" i="19" s="1"/>
  <c r="P49" i="19"/>
  <c r="N49" i="19"/>
  <c r="M49" i="19"/>
  <c r="H49" i="19"/>
  <c r="Q49" i="19" s="1"/>
  <c r="N48" i="19"/>
  <c r="P48" i="19" s="1"/>
  <c r="M48" i="19"/>
  <c r="H48" i="19"/>
  <c r="Q48" i="19" s="1"/>
  <c r="N47" i="19"/>
  <c r="P47" i="19" s="1"/>
  <c r="M47" i="19"/>
  <c r="H47" i="19"/>
  <c r="Q47" i="19" s="1"/>
  <c r="N46" i="19"/>
  <c r="P46" i="19" s="1"/>
  <c r="M46" i="19"/>
  <c r="H46" i="19"/>
  <c r="Q46" i="19" s="1"/>
  <c r="P45" i="19"/>
  <c r="N45" i="19"/>
  <c r="M45" i="19"/>
  <c r="H45" i="19"/>
  <c r="Q45" i="19" s="1"/>
  <c r="N44" i="19"/>
  <c r="P44" i="19" s="1"/>
  <c r="M44" i="19"/>
  <c r="H44" i="19"/>
  <c r="Q44" i="19" s="1"/>
  <c r="N43" i="19"/>
  <c r="P43" i="19" s="1"/>
  <c r="M43" i="19"/>
  <c r="H43" i="19"/>
  <c r="Q43" i="19" s="1"/>
  <c r="N42" i="19"/>
  <c r="P42" i="19" s="1"/>
  <c r="M42" i="19"/>
  <c r="H42" i="19"/>
  <c r="Q42" i="19" s="1"/>
  <c r="P41" i="19"/>
  <c r="N41" i="19"/>
  <c r="M41" i="19"/>
  <c r="H41" i="19"/>
  <c r="Q41" i="19" s="1"/>
  <c r="N40" i="19"/>
  <c r="P40" i="19" s="1"/>
  <c r="M40" i="19"/>
  <c r="H40" i="19"/>
  <c r="Q40" i="19" s="1"/>
  <c r="P39" i="19"/>
  <c r="M39" i="19"/>
  <c r="H39" i="19"/>
  <c r="Q39" i="19" s="1"/>
  <c r="P38" i="19"/>
  <c r="N38" i="19"/>
  <c r="M38" i="19"/>
  <c r="H38" i="19"/>
  <c r="Q38" i="19" s="1"/>
  <c r="Q37" i="19"/>
  <c r="N37" i="19"/>
  <c r="P37" i="19" s="1"/>
  <c r="M37" i="19"/>
  <c r="H37" i="19"/>
  <c r="P36" i="19"/>
  <c r="N36" i="19"/>
  <c r="M36" i="19"/>
  <c r="H36" i="19"/>
  <c r="Q36" i="19" s="1"/>
  <c r="Q35" i="19"/>
  <c r="N35" i="19"/>
  <c r="P35" i="19" s="1"/>
  <c r="M35" i="19"/>
  <c r="H35" i="19"/>
  <c r="P34" i="19"/>
  <c r="N34" i="19"/>
  <c r="M34" i="19"/>
  <c r="H34" i="19"/>
  <c r="Q34" i="19" s="1"/>
  <c r="Q33" i="19"/>
  <c r="N33" i="19"/>
  <c r="P33" i="19" s="1"/>
  <c r="M33" i="19"/>
  <c r="H33" i="19"/>
  <c r="P32" i="19"/>
  <c r="N32" i="19"/>
  <c r="M32" i="19"/>
  <c r="H32" i="19"/>
  <c r="Q32" i="19" s="1"/>
  <c r="Q31" i="19"/>
  <c r="N31" i="19"/>
  <c r="P31" i="19" s="1"/>
  <c r="M31" i="19"/>
  <c r="H31" i="19"/>
  <c r="P30" i="19"/>
  <c r="N30" i="19"/>
  <c r="M30" i="19"/>
  <c r="H30" i="19"/>
  <c r="Q30" i="19" s="1"/>
  <c r="Q29" i="19"/>
  <c r="N29" i="19"/>
  <c r="P29" i="19" s="1"/>
  <c r="M29" i="19"/>
  <c r="H29" i="19"/>
  <c r="P28" i="19"/>
  <c r="N28" i="19"/>
  <c r="M28" i="19"/>
  <c r="H28" i="19"/>
  <c r="Q28" i="19" s="1"/>
  <c r="Q27" i="19"/>
  <c r="N27" i="19"/>
  <c r="P27" i="19" s="1"/>
  <c r="M27" i="19"/>
  <c r="H27" i="19"/>
  <c r="P26" i="19"/>
  <c r="N26" i="19"/>
  <c r="M26" i="19"/>
  <c r="H26" i="19"/>
  <c r="Q26" i="19" s="1"/>
  <c r="Q25" i="19"/>
  <c r="N25" i="19"/>
  <c r="P25" i="19" s="1"/>
  <c r="M25" i="19"/>
  <c r="H25" i="19"/>
  <c r="P24" i="19"/>
  <c r="N24" i="19"/>
  <c r="M24" i="19"/>
  <c r="H24" i="19"/>
  <c r="Q24" i="19" s="1"/>
  <c r="Q23" i="19"/>
  <c r="N23" i="19"/>
  <c r="P23" i="19" s="1"/>
  <c r="M23" i="19"/>
  <c r="H23" i="19"/>
  <c r="P22" i="19"/>
  <c r="N22" i="19"/>
  <c r="M22" i="19"/>
  <c r="H22" i="19"/>
  <c r="Q22" i="19" s="1"/>
  <c r="Q21" i="19"/>
  <c r="N21" i="19"/>
  <c r="P21" i="19" s="1"/>
  <c r="M21" i="19"/>
  <c r="H21" i="19"/>
  <c r="P20" i="19"/>
  <c r="N20" i="19"/>
  <c r="M20" i="19"/>
  <c r="H20" i="19"/>
  <c r="Q20" i="19" s="1"/>
  <c r="Q19" i="19"/>
  <c r="N19" i="19"/>
  <c r="P19" i="19" s="1"/>
  <c r="M19" i="19"/>
  <c r="H19" i="19"/>
  <c r="P18" i="19"/>
  <c r="N18" i="19"/>
  <c r="M18" i="19"/>
  <c r="H18" i="19"/>
  <c r="Q18" i="19" s="1"/>
  <c r="Q17" i="19"/>
  <c r="N17" i="19"/>
  <c r="P17" i="19" s="1"/>
  <c r="M17" i="19"/>
  <c r="H17" i="19"/>
  <c r="P16" i="19"/>
  <c r="N16" i="19"/>
  <c r="M16" i="19"/>
  <c r="H16" i="19"/>
  <c r="Q16" i="19" s="1"/>
  <c r="Q15" i="19"/>
  <c r="N15" i="19"/>
  <c r="P15" i="19" s="1"/>
  <c r="M15" i="19"/>
  <c r="H15" i="19"/>
  <c r="P14" i="19"/>
  <c r="N14" i="19"/>
  <c r="M14" i="19"/>
  <c r="H14" i="19"/>
  <c r="Q14" i="19" s="1"/>
  <c r="Q13" i="19"/>
  <c r="N13" i="19"/>
  <c r="P13" i="19" s="1"/>
  <c r="M13" i="19"/>
  <c r="H13" i="19"/>
  <c r="P12" i="19"/>
  <c r="N12" i="19"/>
  <c r="M12" i="19"/>
  <c r="H12" i="19"/>
  <c r="Q12" i="19" s="1"/>
  <c r="Q11" i="19"/>
  <c r="N11" i="19"/>
  <c r="P11" i="19" s="1"/>
  <c r="M11" i="19"/>
  <c r="H11" i="19"/>
  <c r="P10" i="19"/>
  <c r="N10" i="19"/>
  <c r="M10" i="19"/>
  <c r="H10" i="19"/>
  <c r="Q10" i="19" s="1"/>
  <c r="Q9" i="19"/>
  <c r="N9" i="19"/>
  <c r="P9" i="19" s="1"/>
  <c r="M9" i="19"/>
  <c r="H9" i="19"/>
  <c r="P8" i="19"/>
  <c r="N8" i="19"/>
  <c r="M8" i="19"/>
  <c r="M7" i="19" s="1"/>
  <c r="H8" i="19"/>
  <c r="Q8" i="19" s="1"/>
  <c r="O7" i="19"/>
  <c r="K7" i="19"/>
  <c r="J7" i="19"/>
  <c r="F7" i="19"/>
  <c r="E7" i="19"/>
  <c r="D7" i="19"/>
  <c r="C7" i="19"/>
  <c r="A2" i="19"/>
  <c r="A2" i="35" s="1"/>
  <c r="R10" i="18"/>
  <c r="Q10" i="18"/>
  <c r="L10" i="18"/>
  <c r="K10" i="18"/>
  <c r="M10" i="18" s="1"/>
  <c r="I10" i="18"/>
  <c r="J10" i="18" s="1"/>
  <c r="Q9" i="18"/>
  <c r="L9" i="18"/>
  <c r="K9" i="18"/>
  <c r="M9" i="18" s="1"/>
  <c r="I9" i="18"/>
  <c r="J9" i="18" s="1"/>
  <c r="Q8" i="18"/>
  <c r="L8" i="18"/>
  <c r="K8" i="18"/>
  <c r="M8" i="18" s="1"/>
  <c r="I8" i="18"/>
  <c r="J8" i="18" s="1"/>
  <c r="Q7" i="18"/>
  <c r="L7" i="18"/>
  <c r="K7" i="18"/>
  <c r="M7" i="18" s="1"/>
  <c r="I7" i="18"/>
  <c r="Q6" i="18"/>
  <c r="L6" i="18"/>
  <c r="K6" i="18"/>
  <c r="M6" i="18" s="1"/>
  <c r="J6" i="18"/>
  <c r="I6" i="18"/>
  <c r="P5" i="18"/>
  <c r="O5" i="18"/>
  <c r="N5" i="18"/>
  <c r="H5" i="18"/>
  <c r="G5" i="18"/>
  <c r="F5" i="18"/>
  <c r="E5" i="18"/>
  <c r="D5" i="18"/>
  <c r="D14" i="18" s="1"/>
  <c r="A2" i="18"/>
  <c r="H56" i="16"/>
  <c r="H55" i="16"/>
  <c r="F52" i="16"/>
  <c r="E52" i="16"/>
  <c r="D52" i="16"/>
  <c r="E51" i="16"/>
  <c r="F51" i="16" s="1"/>
  <c r="D51" i="16"/>
  <c r="H50" i="16"/>
  <c r="E50" i="16"/>
  <c r="I50" i="16" s="1"/>
  <c r="D50" i="16"/>
  <c r="H49" i="16"/>
  <c r="E49" i="16"/>
  <c r="D49" i="16"/>
  <c r="H48" i="16"/>
  <c r="E48" i="16"/>
  <c r="I48" i="16" s="1"/>
  <c r="D48" i="16"/>
  <c r="E47" i="16"/>
  <c r="F47" i="16" s="1"/>
  <c r="D47" i="16"/>
  <c r="F46" i="16"/>
  <c r="F45" i="16" s="1"/>
  <c r="E14" i="15" s="1"/>
  <c r="M20" i="14" s="1"/>
  <c r="E46" i="16"/>
  <c r="D46" i="16"/>
  <c r="D45" i="16" s="1"/>
  <c r="C14" i="15" s="1"/>
  <c r="E45" i="16"/>
  <c r="D14" i="15" s="1"/>
  <c r="H44" i="16"/>
  <c r="I44" i="16" s="1"/>
  <c r="E43" i="16"/>
  <c r="F43" i="16" s="1"/>
  <c r="D43" i="16"/>
  <c r="F42" i="16"/>
  <c r="E42" i="16"/>
  <c r="D42" i="16"/>
  <c r="E41" i="16"/>
  <c r="F41" i="16" s="1"/>
  <c r="F39" i="16" s="1"/>
  <c r="E13" i="15" s="1"/>
  <c r="M19" i="14" s="1"/>
  <c r="D41" i="16"/>
  <c r="E40" i="16"/>
  <c r="E39" i="16" s="1"/>
  <c r="D13" i="15" s="1"/>
  <c r="D40" i="16"/>
  <c r="D39" i="16"/>
  <c r="C13" i="15" s="1"/>
  <c r="F38" i="16"/>
  <c r="E38" i="16"/>
  <c r="I37" i="16"/>
  <c r="H37" i="16"/>
  <c r="G36" i="16"/>
  <c r="F36" i="16"/>
  <c r="H36" i="16" s="1"/>
  <c r="I36" i="16" s="1"/>
  <c r="I35" i="16"/>
  <c r="H35" i="16"/>
  <c r="I34" i="16"/>
  <c r="H34" i="16"/>
  <c r="I33" i="16"/>
  <c r="H33" i="16"/>
  <c r="G32" i="16"/>
  <c r="F32" i="16"/>
  <c r="G31" i="16"/>
  <c r="F31" i="16"/>
  <c r="H31" i="16" s="1"/>
  <c r="I31" i="16" s="1"/>
  <c r="G30" i="16"/>
  <c r="F29" i="16"/>
  <c r="E29" i="16"/>
  <c r="D29" i="16"/>
  <c r="E28" i="16"/>
  <c r="D28" i="16"/>
  <c r="H27" i="16"/>
  <c r="E27" i="16"/>
  <c r="I27" i="16" s="1"/>
  <c r="D27" i="16"/>
  <c r="H26" i="16"/>
  <c r="E26" i="16"/>
  <c r="I26" i="16" s="1"/>
  <c r="D26" i="16"/>
  <c r="E25" i="16"/>
  <c r="F25" i="16" s="1"/>
  <c r="D25" i="16"/>
  <c r="E24" i="16"/>
  <c r="F24" i="16" s="1"/>
  <c r="D24" i="16"/>
  <c r="E22" i="16"/>
  <c r="G22" i="16" s="1"/>
  <c r="H22" i="16" s="1"/>
  <c r="D22" i="16"/>
  <c r="F21" i="16"/>
  <c r="E21" i="16"/>
  <c r="D21" i="16"/>
  <c r="E20" i="16"/>
  <c r="F20" i="16" s="1"/>
  <c r="D20" i="16"/>
  <c r="E19" i="16"/>
  <c r="F19" i="16" s="1"/>
  <c r="D19" i="16"/>
  <c r="E18" i="16"/>
  <c r="F18" i="16" s="1"/>
  <c r="D18" i="16"/>
  <c r="F17" i="16"/>
  <c r="E17" i="16"/>
  <c r="D17" i="16"/>
  <c r="E16" i="16"/>
  <c r="F16" i="16" s="1"/>
  <c r="D16" i="16"/>
  <c r="E15" i="16"/>
  <c r="F15" i="16" s="1"/>
  <c r="D15" i="16"/>
  <c r="E14" i="16"/>
  <c r="F14" i="16" s="1"/>
  <c r="D14" i="16"/>
  <c r="D13" i="16"/>
  <c r="C9" i="15" s="1"/>
  <c r="I11" i="16"/>
  <c r="H11" i="16"/>
  <c r="G11" i="16"/>
  <c r="F11" i="16"/>
  <c r="E11" i="16"/>
  <c r="D11" i="16"/>
  <c r="H10" i="16"/>
  <c r="I10" i="16" s="1"/>
  <c r="H9" i="16"/>
  <c r="I9" i="16" s="1"/>
  <c r="G9" i="16"/>
  <c r="I8" i="16"/>
  <c r="H8" i="16"/>
  <c r="E7" i="16"/>
  <c r="F7" i="16" s="1"/>
  <c r="D7" i="16"/>
  <c r="E6" i="16"/>
  <c r="D6" i="15" s="1"/>
  <c r="D6" i="16"/>
  <c r="A2" i="16"/>
  <c r="F22" i="15"/>
  <c r="E22" i="15"/>
  <c r="G22" i="15" s="1"/>
  <c r="D22" i="15"/>
  <c r="H22" i="15" s="1"/>
  <c r="F21" i="15"/>
  <c r="E21" i="15"/>
  <c r="M28" i="14" s="1"/>
  <c r="D21" i="15"/>
  <c r="F20" i="15"/>
  <c r="E20" i="15"/>
  <c r="E18" i="15" s="1"/>
  <c r="G18" i="15" s="1"/>
  <c r="D20" i="15"/>
  <c r="G19" i="15"/>
  <c r="E19" i="15"/>
  <c r="D19" i="15"/>
  <c r="H19" i="15" s="1"/>
  <c r="F18" i="15"/>
  <c r="D18" i="15"/>
  <c r="C18" i="15"/>
  <c r="F16" i="15"/>
  <c r="G16" i="15" s="1"/>
  <c r="E12" i="15"/>
  <c r="D12" i="15"/>
  <c r="C12" i="15"/>
  <c r="H11" i="15"/>
  <c r="G11" i="15"/>
  <c r="J11" i="15" s="1"/>
  <c r="F8" i="15"/>
  <c r="E8" i="15"/>
  <c r="D8" i="15"/>
  <c r="C8" i="15"/>
  <c r="C6" i="15"/>
  <c r="N37" i="14"/>
  <c r="M37" i="14"/>
  <c r="K37" i="14" s="1"/>
  <c r="K36" i="14"/>
  <c r="N29" i="14"/>
  <c r="M29" i="14"/>
  <c r="K29" i="14" s="1"/>
  <c r="N28" i="14"/>
  <c r="N27" i="14"/>
  <c r="M27" i="14"/>
  <c r="K27" i="14" s="1"/>
  <c r="N26" i="14"/>
  <c r="N25" i="14" s="1"/>
  <c r="M26" i="14"/>
  <c r="K26" i="14"/>
  <c r="K21" i="14"/>
  <c r="M18" i="14"/>
  <c r="N15" i="14"/>
  <c r="K11" i="14"/>
  <c r="K10" i="14"/>
  <c r="N9" i="14"/>
  <c r="K9" i="14" s="1"/>
  <c r="N8" i="14"/>
  <c r="M8" i="14"/>
  <c r="K8" i="14"/>
  <c r="N7" i="12" l="1"/>
  <c r="O7" i="12" s="1"/>
  <c r="M4" i="12"/>
  <c r="N5" i="12"/>
  <c r="O5" i="12" s="1"/>
  <c r="F13" i="16"/>
  <c r="E9" i="15" s="1"/>
  <c r="I22" i="16"/>
  <c r="E13" i="16"/>
  <c r="D9" i="15" s="1"/>
  <c r="D23" i="16"/>
  <c r="C10" i="15" s="1"/>
  <c r="C7" i="15" s="1"/>
  <c r="C23" i="15" s="1"/>
  <c r="E23" i="16"/>
  <c r="D10" i="15" s="1"/>
  <c r="D7" i="15" s="1"/>
  <c r="D17" i="15" s="1"/>
  <c r="J16" i="15"/>
  <c r="H16" i="15"/>
  <c r="J22" i="15"/>
  <c r="M16" i="14"/>
  <c r="K28" i="14"/>
  <c r="M25" i="14"/>
  <c r="K25" i="14" s="1"/>
  <c r="G8" i="15"/>
  <c r="H8" i="15" s="1"/>
  <c r="H18" i="15"/>
  <c r="J18" i="15" s="1"/>
  <c r="J19" i="15"/>
  <c r="G20" i="15"/>
  <c r="H20" i="15" s="1"/>
  <c r="G21" i="15"/>
  <c r="F6" i="16"/>
  <c r="E6" i="15" s="1"/>
  <c r="M15" i="14"/>
  <c r="N23" i="14"/>
  <c r="G7" i="16"/>
  <c r="G6" i="16" s="1"/>
  <c r="F6" i="15" s="1"/>
  <c r="P162" i="19"/>
  <c r="F28" i="16"/>
  <c r="H28" i="16" s="1"/>
  <c r="I28" i="16" s="1"/>
  <c r="H30" i="16"/>
  <c r="K5" i="18"/>
  <c r="M5" i="18" s="1"/>
  <c r="L5" i="18"/>
  <c r="J7" i="18"/>
  <c r="J5" i="18" s="1"/>
  <c r="I5" i="18"/>
  <c r="N5" i="10"/>
  <c r="L5" i="10"/>
  <c r="K4" i="10"/>
  <c r="M5" i="10"/>
  <c r="G14" i="16"/>
  <c r="G15" i="16"/>
  <c r="H15" i="16" s="1"/>
  <c r="I15" i="16" s="1"/>
  <c r="G16" i="16"/>
  <c r="H16" i="16" s="1"/>
  <c r="I16" i="16" s="1"/>
  <c r="G24" i="16"/>
  <c r="G25" i="16"/>
  <c r="H25" i="16" s="1"/>
  <c r="I25" i="16" s="1"/>
  <c r="H32" i="16"/>
  <c r="I32" i="16" s="1"/>
  <c r="I49" i="16"/>
  <c r="R6" i="18"/>
  <c r="R5" i="18" s="1"/>
  <c r="Q5" i="18"/>
  <c r="L169" i="19"/>
  <c r="L170" i="19"/>
  <c r="N170" i="19" s="1"/>
  <c r="P170" i="19" s="1"/>
  <c r="L201" i="19"/>
  <c r="N201" i="19" s="1"/>
  <c r="P201" i="19" s="1"/>
  <c r="L224" i="19"/>
  <c r="N224" i="19" s="1"/>
  <c r="P224" i="19" s="1"/>
  <c r="L233" i="19"/>
  <c r="N233" i="19" s="1"/>
  <c r="P233" i="19" s="1"/>
  <c r="L234" i="19"/>
  <c r="N234" i="19" s="1"/>
  <c r="P234" i="19" s="1"/>
  <c r="H269" i="19"/>
  <c r="H7" i="19" s="1"/>
  <c r="L269" i="19"/>
  <c r="N269" i="19" s="1"/>
  <c r="P269" i="19" s="1"/>
  <c r="G17" i="16"/>
  <c r="H17" i="16" s="1"/>
  <c r="I17" i="16" s="1"/>
  <c r="G18" i="16"/>
  <c r="H18" i="16" s="1"/>
  <c r="I18" i="16" s="1"/>
  <c r="G19" i="16"/>
  <c r="H19" i="16" s="1"/>
  <c r="I19" i="16" s="1"/>
  <c r="G20" i="16"/>
  <c r="H20" i="16" s="1"/>
  <c r="I20" i="16" s="1"/>
  <c r="G21" i="16"/>
  <c r="H21" i="16" s="1"/>
  <c r="I21" i="16" s="1"/>
  <c r="G38" i="16"/>
  <c r="H38" i="16" s="1"/>
  <c r="I38" i="16" s="1"/>
  <c r="G41" i="16"/>
  <c r="G42" i="16"/>
  <c r="H42" i="16" s="1"/>
  <c r="I42" i="16" s="1"/>
  <c r="G43" i="16"/>
  <c r="H43" i="16" s="1"/>
  <c r="I43" i="16" s="1"/>
  <c r="G46" i="16"/>
  <c r="G47" i="16"/>
  <c r="H47" i="16" s="1"/>
  <c r="I47" i="16" s="1"/>
  <c r="G51" i="16"/>
  <c r="H51" i="16" s="1"/>
  <c r="I51" i="16" s="1"/>
  <c r="G52" i="16"/>
  <c r="H52" i="16" s="1"/>
  <c r="I52" i="16" s="1"/>
  <c r="I43" i="35"/>
  <c r="H44" i="35"/>
  <c r="I51" i="35"/>
  <c r="H52" i="35"/>
  <c r="Q4" i="10"/>
  <c r="N8" i="10"/>
  <c r="L8" i="10"/>
  <c r="M8" i="10"/>
  <c r="D4" i="33"/>
  <c r="B4" i="33"/>
  <c r="E4" i="33" s="1"/>
  <c r="C4" i="33"/>
  <c r="H26" i="35"/>
  <c r="I25" i="35"/>
  <c r="F5" i="31"/>
  <c r="D5" i="31"/>
  <c r="B5" i="31"/>
  <c r="G5" i="31" s="1"/>
  <c r="E5" i="31"/>
  <c r="N10" i="10"/>
  <c r="L10" i="10"/>
  <c r="L4" i="11"/>
  <c r="P4" i="11"/>
  <c r="N6" i="12"/>
  <c r="L6" i="12"/>
  <c r="L4" i="12" s="1"/>
  <c r="K4" i="12"/>
  <c r="D4" i="34"/>
  <c r="D7" i="34"/>
  <c r="F10" i="28"/>
  <c r="D53" i="16" l="1"/>
  <c r="D63" i="16" s="1"/>
  <c r="C17" i="15"/>
  <c r="C15" i="15" s="1"/>
  <c r="C24" i="15" s="1"/>
  <c r="E53" i="16"/>
  <c r="E63" i="16" s="1"/>
  <c r="G23" i="16"/>
  <c r="F10" i="15" s="1"/>
  <c r="N17" i="14" s="1"/>
  <c r="D23" i="15"/>
  <c r="G45" i="16"/>
  <c r="N4" i="10"/>
  <c r="I30" i="16"/>
  <c r="I29" i="16" s="1"/>
  <c r="H29" i="16"/>
  <c r="H46" i="16"/>
  <c r="N13" i="14"/>
  <c r="K15" i="14"/>
  <c r="F23" i="16"/>
  <c r="H7" i="16"/>
  <c r="H21" i="15"/>
  <c r="J21" i="15" s="1"/>
  <c r="O6" i="12"/>
  <c r="O4" i="12" s="1"/>
  <c r="N4" i="12"/>
  <c r="H27" i="35"/>
  <c r="I26" i="35"/>
  <c r="I52" i="35"/>
  <c r="H53" i="35"/>
  <c r="I44" i="35"/>
  <c r="H45" i="35"/>
  <c r="G39" i="16"/>
  <c r="F13" i="15" s="1"/>
  <c r="H41" i="16"/>
  <c r="N169" i="19"/>
  <c r="L7" i="19"/>
  <c r="G13" i="16"/>
  <c r="F9" i="15" s="1"/>
  <c r="M4" i="10"/>
  <c r="L4" i="10"/>
  <c r="G29" i="16"/>
  <c r="F12" i="15" s="1"/>
  <c r="K23" i="14"/>
  <c r="H24" i="16"/>
  <c r="M13" i="14"/>
  <c r="G6" i="15"/>
  <c r="J20" i="15"/>
  <c r="J8" i="15"/>
  <c r="H14" i="16"/>
  <c r="D15" i="15"/>
  <c r="D57" i="16" l="1"/>
  <c r="E57" i="16"/>
  <c r="E66" i="16"/>
  <c r="D24" i="15"/>
  <c r="H6" i="15"/>
  <c r="J6" i="15"/>
  <c r="H13" i="16"/>
  <c r="I14" i="16"/>
  <c r="I13" i="16" s="1"/>
  <c r="K13" i="14"/>
  <c r="H23" i="16"/>
  <c r="I23" i="16" s="1"/>
  <c r="I24" i="16"/>
  <c r="N16" i="14"/>
  <c r="G9" i="15"/>
  <c r="P169" i="19"/>
  <c r="P7" i="19" s="1"/>
  <c r="N7" i="19"/>
  <c r="N19" i="14"/>
  <c r="K19" i="14" s="1"/>
  <c r="G13" i="15"/>
  <c r="H28" i="35"/>
  <c r="I27" i="35"/>
  <c r="H6" i="16"/>
  <c r="I7" i="16"/>
  <c r="I6" i="16" s="1"/>
  <c r="H45" i="16"/>
  <c r="I46" i="16"/>
  <c r="I45" i="16" s="1"/>
  <c r="G53" i="16"/>
  <c r="G63" i="16" s="1"/>
  <c r="F14" i="15"/>
  <c r="F7" i="15" s="1"/>
  <c r="N18" i="14"/>
  <c r="K18" i="14" s="1"/>
  <c r="G12" i="15"/>
  <c r="H39" i="16"/>
  <c r="I41" i="16"/>
  <c r="I39" i="16" s="1"/>
  <c r="I45" i="35"/>
  <c r="H46" i="35"/>
  <c r="I53" i="35"/>
  <c r="H54" i="35"/>
  <c r="E10" i="15"/>
  <c r="F53" i="16"/>
  <c r="F63" i="16" s="1"/>
  <c r="F23" i="15" l="1"/>
  <c r="F17" i="15"/>
  <c r="M17" i="14"/>
  <c r="G10" i="15"/>
  <c r="E7" i="15"/>
  <c r="H53" i="16"/>
  <c r="H29" i="35"/>
  <c r="I29" i="35" s="1"/>
  <c r="I28" i="35"/>
  <c r="I54" i="35"/>
  <c r="H55" i="35"/>
  <c r="I46" i="35"/>
  <c r="H47" i="35"/>
  <c r="I47" i="35" s="1"/>
  <c r="J12" i="15"/>
  <c r="H12" i="15"/>
  <c r="N20" i="14"/>
  <c r="K20" i="14" s="1"/>
  <c r="G14" i="15"/>
  <c r="I53" i="16"/>
  <c r="H13" i="15"/>
  <c r="J13" i="15" s="1"/>
  <c r="H9" i="15"/>
  <c r="J9" i="15" s="1"/>
  <c r="K16" i="14"/>
  <c r="N14" i="14" l="1"/>
  <c r="H14" i="15"/>
  <c r="J14" i="15" s="1"/>
  <c r="I55" i="35"/>
  <c r="H56" i="35"/>
  <c r="I56" i="35" s="1"/>
  <c r="G7" i="15"/>
  <c r="E17" i="15"/>
  <c r="E23" i="15"/>
  <c r="G23" i="15" s="1"/>
  <c r="K17" i="14"/>
  <c r="M14" i="14"/>
  <c r="H10" i="15"/>
  <c r="J10" i="15" s="1"/>
  <c r="F15" i="15"/>
  <c r="F24" i="15" s="1"/>
  <c r="N24" i="14"/>
  <c r="N22" i="14" s="1"/>
  <c r="H23" i="15" l="1"/>
  <c r="J23" i="15" s="1"/>
  <c r="H7" i="15"/>
  <c r="J7" i="15" s="1"/>
  <c r="K14" i="14"/>
  <c r="M30" i="14"/>
  <c r="E15" i="15"/>
  <c r="M24" i="14"/>
  <c r="G17" i="15"/>
  <c r="N30" i="14"/>
  <c r="N12" i="14" s="1"/>
  <c r="N31" i="14" s="1"/>
  <c r="N32" i="14" l="1"/>
  <c r="N35" i="14"/>
  <c r="N38" i="14" s="1"/>
  <c r="H17" i="15"/>
  <c r="J17" i="15" s="1"/>
  <c r="G15" i="15"/>
  <c r="E24" i="15"/>
  <c r="G24" i="15" s="1"/>
  <c r="K30" i="14"/>
  <c r="K24" i="14"/>
  <c r="M22" i="14"/>
  <c r="K22" i="14" l="1"/>
  <c r="M12" i="14"/>
  <c r="H15" i="15"/>
  <c r="H24" i="15" s="1"/>
  <c r="J24" i="15" s="1"/>
  <c r="J15" i="15" l="1"/>
  <c r="K12" i="14"/>
  <c r="M31" i="14"/>
  <c r="M35" i="14" l="1"/>
  <c r="K31" i="14"/>
  <c r="M32" i="14"/>
  <c r="M38" i="14" l="1"/>
  <c r="K38" i="14" s="1"/>
  <c r="K35" i="14"/>
</calcChain>
</file>

<file path=xl/comments1.xml><?xml version="1.0" encoding="utf-8"?>
<comments xmlns="http://schemas.openxmlformats.org/spreadsheetml/2006/main">
  <authors>
    <author>作者</author>
  </authors>
  <commentList>
    <comment ref="M3" authorId="0" shapeId="0">
      <text>
        <r>
          <rPr>
            <sz val="9"/>
            <rFont val="宋体"/>
            <family val="3"/>
            <charset val="134"/>
          </rPr>
          <t xml:space="preserve">微软用户:关于土地增值税清算时收入确认的问题
　　依据国税函[2010]220号第一条，土地增值税清算时，已全额开具商品房销售发票的，按照发票所载金额确认收入；未开具发票或未全额开具发票的，以交易双方签订的销售合同所载的售房金额及其他收益确认收入。销售合同所载商品房面积与有关部门实际测量面积不一致，在清算前已发生补、退房款的，应在计算土地增值税时予以调整。
</t>
        </r>
      </text>
    </comment>
  </commentList>
</comments>
</file>

<file path=xl/sharedStrings.xml><?xml version="1.0" encoding="utf-8"?>
<sst xmlns="http://schemas.openxmlformats.org/spreadsheetml/2006/main" count="2891" uniqueCount="663">
  <si>
    <r>
      <rPr>
        <sz val="10"/>
        <rFont val="宋体"/>
        <family val="3"/>
        <charset val="134"/>
      </rPr>
      <t>银行账号</t>
    </r>
  </si>
  <si>
    <r>
      <rPr>
        <sz val="10"/>
        <rFont val="宋体"/>
        <family val="3"/>
        <charset val="134"/>
      </rPr>
      <t>主管部门</t>
    </r>
  </si>
  <si>
    <r>
      <rPr>
        <sz val="10"/>
        <rFont val="宋体"/>
        <family val="3"/>
        <charset val="134"/>
      </rPr>
      <t>电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话</t>
    </r>
  </si>
  <si>
    <r>
      <rPr>
        <sz val="10"/>
        <rFont val="宋体"/>
        <family val="3"/>
        <charset val="134"/>
      </rPr>
      <t>清算方式是否为核定征收</t>
    </r>
  </si>
  <si>
    <r>
      <rPr>
        <sz val="10"/>
        <rFont val="宋体"/>
        <family val="3"/>
        <charset val="134"/>
      </rPr>
      <t>否</t>
    </r>
  </si>
  <si>
    <r>
      <rPr>
        <sz val="10"/>
        <rFont val="宋体"/>
        <family val="3"/>
        <charset val="134"/>
      </rPr>
      <t>项　　　　　　目</t>
    </r>
  </si>
  <si>
    <r>
      <rPr>
        <sz val="10"/>
        <rFont val="宋体"/>
        <family val="3"/>
        <charset val="134"/>
      </rPr>
      <t>行次</t>
    </r>
  </si>
  <si>
    <r>
      <rPr>
        <sz val="10"/>
        <rFont val="宋体"/>
        <family val="3"/>
        <charset val="134"/>
      </rPr>
      <t>非普通住宅</t>
    </r>
  </si>
  <si>
    <r>
      <rPr>
        <sz val="10"/>
        <rFont val="宋体"/>
        <family val="3"/>
        <charset val="134"/>
      </rPr>
      <t>其中</t>
    </r>
  </si>
  <si>
    <r>
      <rPr>
        <sz val="10"/>
        <rFont val="宋体"/>
        <family val="3"/>
        <charset val="134"/>
      </rPr>
      <t>土地征用及拆迁补偿费</t>
    </r>
  </si>
  <si>
    <r>
      <rPr>
        <sz val="10"/>
        <rFont val="宋体"/>
        <family val="3"/>
        <charset val="134"/>
      </rPr>
      <t>前期工程费</t>
    </r>
  </si>
  <si>
    <r>
      <rPr>
        <sz val="10"/>
        <rFont val="宋体"/>
        <family val="3"/>
        <charset val="134"/>
      </rPr>
      <t>建筑安装工程费</t>
    </r>
  </si>
  <si>
    <r>
      <rPr>
        <sz val="10"/>
        <rFont val="宋体"/>
        <family val="3"/>
        <charset val="134"/>
      </rPr>
      <t>基础设施费</t>
    </r>
  </si>
  <si>
    <r>
      <rPr>
        <sz val="10"/>
        <rFont val="宋体"/>
        <family val="3"/>
        <charset val="134"/>
      </rPr>
      <t>公共配套设施费</t>
    </r>
  </si>
  <si>
    <r>
      <rPr>
        <sz val="10"/>
        <rFont val="宋体"/>
        <family val="3"/>
        <charset val="134"/>
      </rPr>
      <t>开发间接费用</t>
    </r>
  </si>
  <si>
    <r>
      <rPr>
        <sz val="10"/>
        <rFont val="宋体"/>
        <family val="3"/>
        <charset val="134"/>
      </rPr>
      <t>利息支出　</t>
    </r>
    <r>
      <rPr>
        <sz val="10"/>
        <rFont val="Times New Roman"/>
        <family val="1"/>
      </rPr>
      <t xml:space="preserve"> </t>
    </r>
  </si>
  <si>
    <r>
      <rPr>
        <sz val="10"/>
        <rFont val="宋体"/>
        <family val="3"/>
        <charset val="134"/>
      </rPr>
      <t>营业税</t>
    </r>
  </si>
  <si>
    <r>
      <rPr>
        <sz val="10"/>
        <rFont val="宋体"/>
        <family val="3"/>
        <charset val="134"/>
      </rPr>
      <t>教育费附加</t>
    </r>
  </si>
  <si>
    <r>
      <rPr>
        <sz val="10"/>
        <rFont val="宋体"/>
        <family val="3"/>
        <charset val="134"/>
      </rPr>
      <t>地方教育附加</t>
    </r>
  </si>
  <si>
    <r>
      <rPr>
        <sz val="10"/>
        <rFont val="宋体"/>
        <family val="3"/>
        <charset val="134"/>
      </rPr>
      <t>备注</t>
    </r>
  </si>
  <si>
    <r>
      <rPr>
        <sz val="10"/>
        <rFont val="宋体"/>
        <family val="3"/>
        <charset val="134"/>
      </rPr>
      <t>合计</t>
    </r>
  </si>
  <si>
    <t>6=4+5</t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</si>
  <si>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、取得土地使用权所支付的金额</t>
    </r>
  </si>
  <si>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、房地产开发项目</t>
    </r>
  </si>
  <si>
    <r>
      <rPr>
        <sz val="10"/>
        <rFont val="Times New Roman"/>
        <family val="1"/>
      </rPr>
      <t xml:space="preserve">       </t>
    </r>
    <r>
      <rPr>
        <sz val="10"/>
        <rFont val="宋体"/>
        <family val="3"/>
        <charset val="134"/>
      </rPr>
      <t>其中</t>
    </r>
    <r>
      <rPr>
        <sz val="10"/>
        <rFont val="Times New Roman"/>
        <family val="1"/>
      </rPr>
      <t>:</t>
    </r>
    <r>
      <rPr>
        <sz val="10"/>
        <rFont val="宋体"/>
        <family val="3"/>
        <charset val="134"/>
      </rPr>
      <t>家电物品</t>
    </r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</si>
  <si>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、房地产开发费用</t>
    </r>
  </si>
  <si>
    <r>
      <rPr>
        <sz val="10"/>
        <rFont val="宋体"/>
        <family val="3"/>
        <charset val="134"/>
      </rPr>
      <t>利息支出</t>
    </r>
  </si>
  <si>
    <r>
      <rPr>
        <sz val="10"/>
        <rFont val="宋体"/>
        <family val="3"/>
        <charset val="134"/>
      </rPr>
      <t>其他房地产开发费用</t>
    </r>
  </si>
  <si>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、与转让房地产有关的税金</t>
    </r>
  </si>
  <si>
    <r>
      <rPr>
        <sz val="10"/>
        <rFont val="宋体"/>
        <family val="3"/>
        <charset val="134"/>
      </rPr>
      <t>城市维护建设费</t>
    </r>
  </si>
  <si>
    <r>
      <rPr>
        <sz val="10"/>
        <rFont val="宋体"/>
        <family val="3"/>
        <charset val="134"/>
      </rPr>
      <t>地方教育费附加</t>
    </r>
  </si>
  <si>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、财政部规定的加计</t>
    </r>
    <r>
      <rPr>
        <sz val="10"/>
        <rFont val="Times New Roman"/>
        <family val="1"/>
      </rPr>
      <t>20%</t>
    </r>
    <r>
      <rPr>
        <sz val="10"/>
        <rFont val="宋体"/>
        <family val="3"/>
        <charset val="134"/>
      </rPr>
      <t>扣除数</t>
    </r>
  </si>
  <si>
    <t>金额单位：元</t>
  </si>
  <si>
    <t>级次</t>
  </si>
  <si>
    <t>序号</t>
  </si>
  <si>
    <t>合计</t>
  </si>
  <si>
    <t>一</t>
  </si>
  <si>
    <t>支付的土地出让金</t>
  </si>
  <si>
    <t>支付地价款金额</t>
  </si>
  <si>
    <t>交纳的有关税费</t>
  </si>
  <si>
    <t>市政配套费</t>
  </si>
  <si>
    <t>二</t>
  </si>
  <si>
    <t>土地征用及拆迁补偿费</t>
  </si>
  <si>
    <t>地上地下附着物拆迁补偿净支出</t>
  </si>
  <si>
    <t>三</t>
  </si>
  <si>
    <t>前期工程费</t>
  </si>
  <si>
    <t>规划费用</t>
  </si>
  <si>
    <t>设计费用</t>
  </si>
  <si>
    <t>项目可行性研究费用</t>
  </si>
  <si>
    <t>水文费用</t>
  </si>
  <si>
    <t>地质费用</t>
  </si>
  <si>
    <t>勘探费用</t>
  </si>
  <si>
    <t>测绘费用</t>
  </si>
  <si>
    <t>七通一平支出</t>
  </si>
  <si>
    <t>其他前期工程费</t>
  </si>
  <si>
    <t>四</t>
  </si>
  <si>
    <t>建筑工程费</t>
  </si>
  <si>
    <t>安装工程费</t>
  </si>
  <si>
    <t>电梯</t>
  </si>
  <si>
    <t>五</t>
  </si>
  <si>
    <t>供水工程支出</t>
  </si>
  <si>
    <t>供电工程支出</t>
  </si>
  <si>
    <t>通讯工程支出</t>
  </si>
  <si>
    <t>其他设施工程发生的支出</t>
  </si>
  <si>
    <t>六</t>
  </si>
  <si>
    <t>游泳池</t>
  </si>
  <si>
    <t>会馆</t>
  </si>
  <si>
    <t>其他非营业性公共设施费</t>
  </si>
  <si>
    <t>商铺单独成本</t>
  </si>
  <si>
    <t>七</t>
  </si>
  <si>
    <t>管理人员工资</t>
  </si>
  <si>
    <t>职工福利费</t>
  </si>
  <si>
    <t>折旧费</t>
  </si>
  <si>
    <t>其他间接费用</t>
  </si>
  <si>
    <t>单位：平方米</t>
  </si>
  <si>
    <r>
      <rPr>
        <sz val="10"/>
        <rFont val="宋体"/>
        <family val="3"/>
        <charset val="134"/>
      </rPr>
      <t>序号</t>
    </r>
  </si>
  <si>
    <r>
      <rPr>
        <sz val="10"/>
        <rFont val="宋体"/>
        <family val="3"/>
        <charset val="134"/>
      </rPr>
      <t>总建筑面积</t>
    </r>
  </si>
  <si>
    <r>
      <rPr>
        <sz val="10"/>
        <rFont val="宋体"/>
        <family val="3"/>
        <charset val="134"/>
      </rPr>
      <t>已销售面积占可售面积比例</t>
    </r>
  </si>
  <si>
    <r>
      <rPr>
        <sz val="10"/>
        <rFont val="宋体"/>
        <family val="3"/>
        <charset val="134"/>
      </rPr>
      <t>已售套数</t>
    </r>
  </si>
  <si>
    <r>
      <rPr>
        <sz val="10"/>
        <rFont val="宋体"/>
        <family val="3"/>
        <charset val="134"/>
      </rPr>
      <t>小计</t>
    </r>
  </si>
  <si>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#</t>
    </r>
  </si>
  <si>
    <r>
      <rPr>
        <sz val="10"/>
        <rFont val="宋体"/>
        <family val="3"/>
        <charset val="134"/>
      </rPr>
      <t>10#</t>
    </r>
  </si>
  <si>
    <r>
      <rPr>
        <sz val="10"/>
        <rFont val="宋体"/>
        <family val="3"/>
        <charset val="134"/>
      </rPr>
      <t>11#</t>
    </r>
  </si>
  <si>
    <r>
      <rPr>
        <sz val="10"/>
        <rFont val="宋体"/>
        <family val="3"/>
        <charset val="134"/>
      </rPr>
      <t>12#</t>
    </r>
  </si>
  <si>
    <t>商铺</t>
  </si>
  <si>
    <t>企业申报情况</t>
  </si>
  <si>
    <t>7</t>
  </si>
  <si>
    <t>8=6/4</t>
  </si>
  <si>
    <t>15=11</t>
  </si>
  <si>
    <t>18=16-6</t>
  </si>
  <si>
    <t>（其他方式）银行按揭</t>
  </si>
  <si>
    <t>分期付款</t>
  </si>
  <si>
    <t>一次性付款</t>
  </si>
  <si>
    <t>价税分离</t>
  </si>
  <si>
    <r>
      <rPr>
        <sz val="10"/>
        <rFont val="宋体"/>
        <family val="3"/>
        <charset val="134"/>
      </rPr>
      <t>金额单位：元</t>
    </r>
  </si>
  <si>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</si>
  <si>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成本类别</t>
    </r>
  </si>
  <si>
    <r>
      <rPr>
        <b/>
        <sz val="10"/>
        <rFont val="宋体"/>
        <family val="3"/>
        <charset val="134"/>
      </rPr>
      <t>合计</t>
    </r>
  </si>
  <si>
    <t>记98</t>
  </si>
  <si>
    <t>分配明细表</t>
  </si>
  <si>
    <t>已核对</t>
  </si>
  <si>
    <r>
      <rPr>
        <sz val="10"/>
        <rFont val="宋体"/>
        <family val="3"/>
        <charset val="134"/>
      </rPr>
      <t>土地成本</t>
    </r>
    <r>
      <rPr>
        <sz val="10"/>
        <rFont val="Times New Roman"/>
        <family val="1"/>
      </rPr>
      <t>10,556,357.47</t>
    </r>
    <r>
      <rPr>
        <sz val="10"/>
        <rFont val="宋体"/>
        <family val="3"/>
        <charset val="134"/>
      </rPr>
      <t>，其中土地成本</t>
    </r>
    <r>
      <rPr>
        <sz val="10"/>
        <rFont val="Times New Roman"/>
        <family val="1"/>
      </rPr>
      <t>8,036,357.47</t>
    </r>
    <r>
      <rPr>
        <sz val="10"/>
        <rFont val="宋体"/>
        <family val="3"/>
        <charset val="134"/>
      </rPr>
      <t>，增容费</t>
    </r>
    <r>
      <rPr>
        <sz val="10"/>
        <rFont val="Times New Roman"/>
        <family val="1"/>
      </rPr>
      <t>2,520,000.00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</si>
  <si>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119</t>
    </r>
  </si>
  <si>
    <r>
      <rPr>
        <sz val="10"/>
        <rFont val="宋体"/>
        <family val="3"/>
        <charset val="134"/>
      </rPr>
      <t>一期审核报告调减土地成本</t>
    </r>
    <r>
      <rPr>
        <sz val="10"/>
        <rFont val="Times New Roman"/>
        <family val="1"/>
      </rPr>
      <t>3,088,844.18</t>
    </r>
    <r>
      <rPr>
        <sz val="10"/>
        <rFont val="宋体"/>
        <family val="3"/>
        <charset val="134"/>
      </rPr>
      <t>元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按报建面积进行分摊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本次分摊比例</t>
    </r>
    <r>
      <rPr>
        <sz val="10"/>
        <rFont val="Times New Roman"/>
        <family val="1"/>
      </rPr>
      <t>15.059%</t>
    </r>
  </si>
  <si>
    <t>转167</t>
  </si>
  <si>
    <t>项目</t>
  </si>
  <si>
    <t>一期</t>
  </si>
  <si>
    <t>二期一段</t>
  </si>
  <si>
    <t>二期二段</t>
  </si>
  <si>
    <t>会所</t>
  </si>
  <si>
    <t>三期</t>
  </si>
  <si>
    <t>按报建面积</t>
  </si>
  <si>
    <t>分摊比例</t>
  </si>
  <si>
    <t>土地成本</t>
  </si>
  <si>
    <r>
      <rPr>
        <b/>
        <sz val="10"/>
        <color indexed="8"/>
        <rFont val="宋体"/>
        <family val="3"/>
        <charset val="134"/>
      </rPr>
      <t>合计</t>
    </r>
  </si>
  <si>
    <t>预付账款</t>
  </si>
  <si>
    <t>02866-09700</t>
  </si>
  <si>
    <t>已付款</t>
  </si>
  <si>
    <t>发票看不清</t>
  </si>
  <si>
    <t>46000971522-0677985</t>
  </si>
  <si>
    <t>2460000972423-00076048</t>
  </si>
  <si>
    <t>246001072423-00046729至00046734</t>
  </si>
  <si>
    <t>发票金额456109.09</t>
  </si>
  <si>
    <t>发票未注明是哪期的设计费</t>
  </si>
  <si>
    <t>2460000972423-00046883</t>
  </si>
  <si>
    <t>246000901118-00120453</t>
  </si>
  <si>
    <t>246001071522-00232023</t>
  </si>
  <si>
    <t>发票未注明哪期费用</t>
  </si>
  <si>
    <t>0308-996183</t>
  </si>
  <si>
    <r>
      <rPr>
        <sz val="10"/>
        <rFont val="宋体"/>
        <family val="3"/>
        <charset val="134"/>
      </rPr>
      <t>费用报销单上写</t>
    </r>
    <r>
      <rPr>
        <sz val="10"/>
        <rFont val="Times New Roman"/>
        <family val="1"/>
      </rPr>
      <t>13#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14#</t>
    </r>
    <r>
      <rPr>
        <sz val="10"/>
        <rFont val="宋体"/>
        <family val="3"/>
        <charset val="134"/>
      </rPr>
      <t>号楼成本</t>
    </r>
  </si>
  <si>
    <t>发票未注明哪期费用 但是标注的面积是13#14#</t>
  </si>
  <si>
    <t>银行存款</t>
  </si>
  <si>
    <t>246001172423-00014623</t>
  </si>
  <si>
    <t>0309-074199</t>
  </si>
  <si>
    <t>246001072423-00140785</t>
  </si>
  <si>
    <t>246000972423-00081355</t>
  </si>
  <si>
    <t>其他应交款</t>
  </si>
  <si>
    <t>已核对，无发票无银行回单</t>
  </si>
  <si>
    <r>
      <rPr>
        <sz val="10"/>
        <rFont val="宋体"/>
        <family val="3"/>
        <charset val="134"/>
      </rPr>
      <t>按报建面积进行分摊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分摊比例</t>
    </r>
    <r>
      <rPr>
        <sz val="10"/>
        <rFont val="Times New Roman"/>
        <family val="1"/>
      </rPr>
      <t>15.059%</t>
    </r>
  </si>
  <si>
    <t>分摊比例错误22.716%</t>
  </si>
  <si>
    <t>记93</t>
  </si>
  <si>
    <t>246001260413-00779003</t>
  </si>
  <si>
    <r>
      <rPr>
        <sz val="10"/>
        <rFont val="宋体"/>
        <family val="3"/>
        <charset val="134"/>
      </rPr>
      <t>10#</t>
    </r>
    <r>
      <rPr>
        <sz val="10"/>
        <rFont val="宋体"/>
        <family val="3"/>
        <charset val="134"/>
      </rPr>
      <t>楼施工勘察</t>
    </r>
  </si>
  <si>
    <t>盈滨绿生花园9.10.11.12号楼</t>
  </si>
  <si>
    <t>绿生花园2期项目景观设计</t>
  </si>
  <si>
    <t>14.4万㎡，6-18层11层，图审费（1.041元每平方）</t>
  </si>
  <si>
    <t>海南绿生花园工程设计</t>
  </si>
  <si>
    <r>
      <rPr>
        <sz val="10"/>
        <rFont val="宋体"/>
        <family val="3"/>
        <charset val="134"/>
      </rPr>
      <t>预付账款</t>
    </r>
  </si>
  <si>
    <t>246001001118-00122264</t>
  </si>
  <si>
    <r>
      <rPr>
        <sz val="10"/>
        <rFont val="宋体"/>
        <family val="3"/>
        <charset val="134"/>
      </rPr>
      <t>发票不清晰，无银行回单</t>
    </r>
  </si>
  <si>
    <t>246001001118-00147673</t>
  </si>
  <si>
    <t>246001001118-00148567</t>
  </si>
  <si>
    <r>
      <rPr>
        <sz val="10"/>
        <rFont val="宋体"/>
        <family val="3"/>
        <charset val="134"/>
      </rPr>
      <t>已核对</t>
    </r>
  </si>
  <si>
    <t>4400093650-02273173</t>
  </si>
  <si>
    <r>
      <rPr>
        <sz val="10"/>
        <rFont val="宋体"/>
        <family val="3"/>
        <charset val="134"/>
      </rPr>
      <t>主合同已包含</t>
    </r>
  </si>
  <si>
    <r>
      <rPr>
        <sz val="10"/>
        <rFont val="宋体"/>
        <family val="3"/>
        <charset val="134"/>
      </rPr>
      <t>发票未注明哪期</t>
    </r>
  </si>
  <si>
    <r>
      <rPr>
        <sz val="10"/>
        <rFont val="宋体"/>
        <family val="3"/>
        <charset val="134"/>
      </rPr>
      <t>看不清</t>
    </r>
  </si>
  <si>
    <r>
      <rPr>
        <sz val="10"/>
        <rFont val="宋体"/>
        <family val="3"/>
        <charset val="134"/>
      </rPr>
      <t>已核对，发票抬头，编号，银行回单看不清</t>
    </r>
  </si>
  <si>
    <t>4400093650-02292020</t>
  </si>
  <si>
    <r>
      <rPr>
        <sz val="10"/>
        <rFont val="宋体"/>
        <family val="3"/>
        <charset val="134"/>
      </rPr>
      <t>已核对，凭证号看不见</t>
    </r>
  </si>
  <si>
    <t>246001001118-00205406</t>
  </si>
  <si>
    <r>
      <rPr>
        <sz val="10"/>
        <rFont val="宋体"/>
        <family val="3"/>
        <charset val="134"/>
      </rPr>
      <t>已核对，无银行回单，发票内容看不清</t>
    </r>
  </si>
  <si>
    <t>4400093650-02292519</t>
  </si>
  <si>
    <r>
      <rPr>
        <sz val="10"/>
        <rFont val="宋体"/>
        <family val="3"/>
        <charset val="134"/>
      </rPr>
      <t>已核对，银行回单看不清</t>
    </r>
  </si>
  <si>
    <t>246001001118-00207573</t>
  </si>
  <si>
    <r>
      <rPr>
        <sz val="10"/>
        <rFont val="宋体"/>
        <family val="3"/>
        <charset val="134"/>
      </rPr>
      <t>已核对，无银行回单</t>
    </r>
  </si>
  <si>
    <t>146011021033-00255988</t>
  </si>
  <si>
    <r>
      <rPr>
        <sz val="10"/>
        <rFont val="宋体"/>
        <family val="3"/>
        <charset val="134"/>
      </rPr>
      <t>已核对，无银行回单，有张发票号码看不见</t>
    </r>
  </si>
  <si>
    <t>4400093650-02294800</t>
  </si>
  <si>
    <t>246001001118-00207887</t>
  </si>
  <si>
    <r>
      <rPr>
        <sz val="10"/>
        <rFont val="Times New Roman"/>
        <family val="1"/>
      </rPr>
      <t>2011.8.142#</t>
    </r>
    <r>
      <rPr>
        <sz val="10"/>
        <rFont val="宋体"/>
        <family val="3"/>
        <charset val="134"/>
      </rPr>
      <t>和</t>
    </r>
    <r>
      <rPr>
        <sz val="10"/>
        <rFont val="Times New Roman"/>
        <family val="1"/>
      </rPr>
      <t>2011.11.40#</t>
    </r>
    <r>
      <rPr>
        <sz val="10"/>
        <rFont val="宋体"/>
        <family val="3"/>
        <charset val="134"/>
      </rPr>
      <t>已冲平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一期成本</t>
    </r>
  </si>
  <si>
    <t>4400101650-00308801</t>
  </si>
  <si>
    <r>
      <rPr>
        <sz val="10"/>
        <rFont val="Times New Roman"/>
        <family val="1"/>
      </rPr>
      <t>4400101650-00308724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00320620</t>
    </r>
  </si>
  <si>
    <t>246001001118-00208254</t>
  </si>
  <si>
    <t>4400101650-00320713</t>
  </si>
  <si>
    <t>246001001118-00262866</t>
  </si>
  <si>
    <r>
      <rPr>
        <sz val="10"/>
        <rFont val="宋体"/>
        <family val="3"/>
        <charset val="134"/>
      </rPr>
      <t>室外及会所工程</t>
    </r>
  </si>
  <si>
    <r>
      <rPr>
        <sz val="10"/>
        <rFont val="宋体"/>
        <family val="3"/>
        <charset val="134"/>
      </rPr>
      <t>？</t>
    </r>
  </si>
  <si>
    <t>0103650-02323026</t>
  </si>
  <si>
    <r>
      <rPr>
        <sz val="10"/>
        <rFont val="宋体"/>
        <family val="3"/>
        <charset val="134"/>
      </rPr>
      <t>已核对，发票、银行回单看不清</t>
    </r>
  </si>
  <si>
    <t>146001010202-00025097</t>
  </si>
  <si>
    <r>
      <rPr>
        <sz val="10"/>
        <rFont val="宋体"/>
        <family val="3"/>
        <charset val="134"/>
      </rPr>
      <t>发票抬头为个人，无银行回单，发票金额只有</t>
    </r>
    <r>
      <rPr>
        <sz val="10"/>
        <rFont val="Times New Roman"/>
        <family val="1"/>
      </rPr>
      <t>9480</t>
    </r>
    <r>
      <rPr>
        <sz val="10"/>
        <rFont val="宋体"/>
        <family val="3"/>
        <charset val="134"/>
      </rPr>
      <t>。主合同已包含。重复进成本</t>
    </r>
  </si>
  <si>
    <t>246001001118-00262672</t>
  </si>
  <si>
    <t>246001001118-00263760</t>
  </si>
  <si>
    <r>
      <rPr>
        <sz val="10"/>
        <rFont val="Times New Roman"/>
        <family val="1"/>
      </rPr>
      <t>2011.11.1#</t>
    </r>
    <r>
      <rPr>
        <sz val="10"/>
        <rFont val="宋体"/>
        <family val="3"/>
        <charset val="134"/>
      </rPr>
      <t>已冲平</t>
    </r>
  </si>
  <si>
    <r>
      <rPr>
        <sz val="10"/>
        <rFont val="宋体"/>
        <family val="3"/>
        <charset val="134"/>
      </rPr>
      <t>有银行付款，无发票</t>
    </r>
  </si>
  <si>
    <t>0308-674686</t>
  </si>
  <si>
    <r>
      <rPr>
        <sz val="10"/>
        <rFont val="宋体"/>
        <family val="3"/>
        <charset val="134"/>
      </rPr>
      <t>已核对，无银行回单，发票抬头看不清</t>
    </r>
  </si>
  <si>
    <t>246001101118-00066864</t>
  </si>
  <si>
    <r>
      <rPr>
        <sz val="10"/>
        <rFont val="宋体"/>
        <family val="3"/>
        <charset val="134"/>
      </rPr>
      <t>已核对，无法分清是哪期成本。</t>
    </r>
  </si>
  <si>
    <t>246001101118-00066930</t>
  </si>
  <si>
    <t>146001010202-00332413—16</t>
  </si>
  <si>
    <r>
      <rPr>
        <sz val="10"/>
        <rFont val="宋体"/>
        <family val="3"/>
        <charset val="134"/>
      </rPr>
      <t>看合同，装修属于包工包料。应取得建安发票</t>
    </r>
  </si>
  <si>
    <t>246001160315-00007584</t>
  </si>
  <si>
    <t>0248-522372</t>
  </si>
  <si>
    <r>
      <rPr>
        <sz val="10"/>
        <rFont val="Times New Roman"/>
        <family val="1"/>
      </rPr>
      <t>246001160315-00029913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00029923</t>
    </r>
  </si>
  <si>
    <r>
      <rPr>
        <sz val="10"/>
        <rFont val="Times New Roman"/>
        <family val="1"/>
      </rPr>
      <t>146001110202-00294588/00294624
146011021033-00255977-81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84-86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88</t>
    </r>
  </si>
  <si>
    <r>
      <rPr>
        <sz val="10"/>
        <rFont val="Times New Roman"/>
        <family val="1"/>
      </rPr>
      <t>183216</t>
    </r>
    <r>
      <rPr>
        <sz val="10"/>
        <rFont val="宋体"/>
        <family val="3"/>
        <charset val="134"/>
      </rPr>
      <t>无发票，无付款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主合同已包含</t>
    </r>
  </si>
  <si>
    <r>
      <rPr>
        <sz val="10"/>
        <rFont val="宋体"/>
        <family val="3"/>
        <charset val="134"/>
      </rPr>
      <t>其他应付款</t>
    </r>
  </si>
  <si>
    <r>
      <rPr>
        <sz val="10"/>
        <rFont val="宋体"/>
        <family val="3"/>
        <charset val="134"/>
      </rPr>
      <t>冲</t>
    </r>
    <r>
      <rPr>
        <sz val="10"/>
        <rFont val="Times New Roman"/>
        <family val="1"/>
      </rPr>
      <t>2010.12.37#</t>
    </r>
  </si>
  <si>
    <t>246001160211-00028093</t>
  </si>
  <si>
    <r>
      <rPr>
        <sz val="10"/>
        <rFont val="宋体"/>
        <family val="3"/>
        <charset val="134"/>
      </rPr>
      <t>电梯保险费</t>
    </r>
  </si>
  <si>
    <r>
      <rPr>
        <sz val="10"/>
        <rFont val="Times New Roman"/>
        <family val="1"/>
      </rPr>
      <t>(</t>
    </r>
    <r>
      <rPr>
        <sz val="10"/>
        <rFont val="宋体"/>
        <family val="3"/>
        <charset val="134"/>
      </rPr>
      <t>发票由阳光财产保险股份有限公司海南分公司开具</t>
    </r>
    <r>
      <rPr>
        <sz val="10"/>
        <rFont val="Times New Roman"/>
        <family val="1"/>
      </rPr>
      <t>)</t>
    </r>
  </si>
  <si>
    <r>
      <rPr>
        <sz val="10"/>
        <rFont val="宋体"/>
        <family val="3"/>
        <charset val="134"/>
      </rPr>
      <t>冲平</t>
    </r>
    <r>
      <rPr>
        <sz val="10"/>
        <rFont val="Times New Roman"/>
        <family val="1"/>
      </rPr>
      <t>2011.01.132#</t>
    </r>
  </si>
  <si>
    <t>246001160315-00170089</t>
  </si>
  <si>
    <r>
      <rPr>
        <sz val="10"/>
        <rFont val="宋体"/>
        <family val="3"/>
        <charset val="134"/>
      </rPr>
      <t>银行存款</t>
    </r>
  </si>
  <si>
    <r>
      <rPr>
        <sz val="10"/>
        <rFont val="Times New Roman"/>
        <family val="1"/>
      </rPr>
      <t>246001160315-00174993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00174996</t>
    </r>
  </si>
  <si>
    <r>
      <rPr>
        <sz val="10"/>
        <rFont val="宋体"/>
        <family val="3"/>
        <charset val="134"/>
      </rPr>
      <t>样板间装修</t>
    </r>
  </si>
  <si>
    <r>
      <rPr>
        <sz val="10"/>
        <rFont val="宋体"/>
        <family val="3"/>
        <charset val="134"/>
      </rPr>
      <t>已核对，发票抬头看不清</t>
    </r>
  </si>
  <si>
    <r>
      <rPr>
        <sz val="10"/>
        <rFont val="宋体"/>
        <family val="3"/>
        <charset val="134"/>
      </rPr>
      <t>已核对，无发票无银行回单</t>
    </r>
  </si>
  <si>
    <r>
      <rPr>
        <sz val="10"/>
        <rFont val="Times New Roman"/>
        <family val="1"/>
      </rPr>
      <t>246001160315-00229983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84</t>
    </r>
  </si>
  <si>
    <r>
      <rPr>
        <sz val="10"/>
        <rFont val="宋体"/>
        <family val="3"/>
        <charset val="134"/>
      </rPr>
      <t>已核对，有发票，无银行回单。</t>
    </r>
  </si>
  <si>
    <r>
      <rPr>
        <sz val="10"/>
        <rFont val="宋体"/>
        <family val="3"/>
        <charset val="134"/>
      </rPr>
      <t>钢材运费</t>
    </r>
  </si>
  <si>
    <r>
      <rPr>
        <sz val="10"/>
        <rFont val="宋体"/>
        <family val="3"/>
        <charset val="134"/>
      </rPr>
      <t>已核对，发票、银行回单看不清开票公司，发票是定额发票</t>
    </r>
  </si>
  <si>
    <r>
      <rPr>
        <sz val="10"/>
        <rFont val="宋体"/>
        <family val="3"/>
        <charset val="134"/>
      </rPr>
      <t>英德海螺型材有限公司</t>
    </r>
  </si>
  <si>
    <t>246001160315-00232113</t>
  </si>
  <si>
    <t>246001160315-00232128</t>
  </si>
  <si>
    <r>
      <rPr>
        <sz val="10"/>
        <rFont val="宋体"/>
        <family val="3"/>
        <charset val="134"/>
      </rPr>
      <t>从二期二段调整过来的成本</t>
    </r>
  </si>
  <si>
    <r>
      <rPr>
        <sz val="10"/>
        <rFont val="宋体"/>
        <family val="3"/>
        <charset val="134"/>
      </rPr>
      <t>无附件</t>
    </r>
  </si>
  <si>
    <t>246001160315-00331144</t>
  </si>
  <si>
    <r>
      <rPr>
        <sz val="10"/>
        <rFont val="宋体"/>
        <family val="3"/>
        <charset val="134"/>
      </rPr>
      <t>合同金额</t>
    </r>
    <r>
      <rPr>
        <sz val="10"/>
        <rFont val="Times New Roman"/>
        <family val="1"/>
      </rPr>
      <t>137000</t>
    </r>
  </si>
  <si>
    <t>246001120719-00043137</t>
  </si>
  <si>
    <t>246001160315-00232165</t>
  </si>
  <si>
    <t>246001160315-00235035</t>
  </si>
  <si>
    <r>
      <rPr>
        <sz val="10"/>
        <rFont val="Times New Roman"/>
        <family val="1"/>
      </rPr>
      <t>246001120719-00036405</t>
    </r>
    <r>
      <rPr>
        <sz val="10"/>
        <rFont val="宋体"/>
        <family val="3"/>
        <charset val="134"/>
      </rPr>
      <t>至</t>
    </r>
    <r>
      <rPr>
        <sz val="10"/>
        <rFont val="Times New Roman"/>
        <family val="1"/>
      </rPr>
      <t>246001120719-00036406</t>
    </r>
  </si>
  <si>
    <r>
      <rPr>
        <sz val="10"/>
        <rFont val="宋体"/>
        <family val="3"/>
        <charset val="134"/>
      </rPr>
      <t>无相关发票、附件</t>
    </r>
  </si>
  <si>
    <t>246001120719-00044988</t>
  </si>
  <si>
    <t>246001120719-00044986</t>
  </si>
  <si>
    <t>246001120719-00044987</t>
  </si>
  <si>
    <t>246001120719-00207717</t>
  </si>
  <si>
    <r>
      <rPr>
        <sz val="10"/>
        <rFont val="宋体"/>
        <family val="3"/>
        <charset val="134"/>
      </rPr>
      <t>发票标明是一期工程。不在二期成本扣除</t>
    </r>
  </si>
  <si>
    <t>246001120719-00207716</t>
  </si>
  <si>
    <t>246001120719-00209737</t>
  </si>
  <si>
    <t>246001120719-00209811</t>
  </si>
  <si>
    <t>246001120719-00209812</t>
  </si>
  <si>
    <t>246001120719-00209829</t>
  </si>
  <si>
    <t>246001120719-00209831</t>
  </si>
  <si>
    <t>246001120719-00209866</t>
  </si>
  <si>
    <t>246001120719-00209867</t>
  </si>
  <si>
    <t>246001120719-00209868</t>
  </si>
  <si>
    <r>
      <rPr>
        <sz val="10"/>
        <rFont val="宋体"/>
        <family val="3"/>
        <charset val="134"/>
      </rPr>
      <t>开发成本</t>
    </r>
  </si>
  <si>
    <r>
      <rPr>
        <sz val="10"/>
        <rFont val="宋体"/>
        <family val="3"/>
        <charset val="134"/>
      </rPr>
      <t>会所成本</t>
    </r>
  </si>
  <si>
    <r>
      <rPr>
        <sz val="10"/>
        <rFont val="宋体"/>
        <family val="3"/>
        <charset val="134"/>
      </rPr>
      <t>配套成本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在二期一段、二段分摊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已在配套成本中列支</t>
    </r>
  </si>
  <si>
    <r>
      <rPr>
        <sz val="10"/>
        <rFont val="宋体"/>
        <family val="3"/>
        <charset val="134"/>
      </rPr>
      <t>商铺前道路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在二期一段、二段商铺面积分摊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已在配套成本中列支</t>
    </r>
  </si>
  <si>
    <t>03853960-03853961</t>
  </si>
  <si>
    <r>
      <rPr>
        <b/>
        <sz val="10"/>
        <rFont val="宋体"/>
        <family val="3"/>
        <charset val="134"/>
      </rPr>
      <t>成本项目</t>
    </r>
  </si>
  <si>
    <r>
      <rPr>
        <b/>
        <sz val="10"/>
        <rFont val="宋体"/>
        <family val="3"/>
        <charset val="134"/>
      </rPr>
      <t>对方单位</t>
    </r>
  </si>
  <si>
    <r>
      <rPr>
        <b/>
        <sz val="10"/>
        <rFont val="宋体"/>
        <family val="3"/>
        <charset val="134"/>
      </rPr>
      <t>签订时间</t>
    </r>
  </si>
  <si>
    <r>
      <rPr>
        <b/>
        <sz val="10"/>
        <rFont val="宋体"/>
        <family val="3"/>
        <charset val="134"/>
      </rPr>
      <t>合同内容</t>
    </r>
  </si>
  <si>
    <r>
      <rPr>
        <b/>
        <sz val="10"/>
        <rFont val="宋体"/>
        <family val="3"/>
        <charset val="134"/>
      </rPr>
      <t>合同金额</t>
    </r>
  </si>
  <si>
    <r>
      <rPr>
        <b/>
        <sz val="10"/>
        <rFont val="宋体"/>
        <family val="3"/>
        <charset val="134"/>
      </rPr>
      <t>付款金额</t>
    </r>
  </si>
  <si>
    <r>
      <rPr>
        <b/>
        <sz val="10"/>
        <rFont val="宋体"/>
        <family val="3"/>
        <charset val="134"/>
      </rPr>
      <t>发票金额</t>
    </r>
  </si>
  <si>
    <r>
      <rPr>
        <b/>
        <sz val="10"/>
        <rFont val="宋体"/>
        <family val="3"/>
        <charset val="134"/>
      </rPr>
      <t>决算金额</t>
    </r>
  </si>
  <si>
    <r>
      <rPr>
        <b/>
        <sz val="10"/>
        <rFont val="宋体"/>
        <family val="3"/>
        <charset val="134"/>
      </rPr>
      <t>决算与合同差异比</t>
    </r>
  </si>
  <si>
    <r>
      <rPr>
        <b/>
        <sz val="10"/>
        <rFont val="宋体"/>
        <family val="3"/>
        <charset val="134"/>
      </rPr>
      <t>企业申报金额汇总</t>
    </r>
  </si>
  <si>
    <r>
      <rPr>
        <b/>
        <sz val="10"/>
        <rFont val="宋体"/>
        <family val="3"/>
        <charset val="134"/>
      </rPr>
      <t>合同金额与企业申报差异金额</t>
    </r>
  </si>
  <si>
    <r>
      <rPr>
        <b/>
        <sz val="10"/>
        <rFont val="宋体"/>
        <family val="3"/>
        <charset val="134"/>
      </rPr>
      <t>付款与企业申报差异金额</t>
    </r>
  </si>
  <si>
    <r>
      <rPr>
        <b/>
        <sz val="10"/>
        <rFont val="宋体"/>
        <family val="3"/>
        <charset val="134"/>
      </rPr>
      <t>发票与企业申报金额差异</t>
    </r>
  </si>
  <si>
    <r>
      <rPr>
        <b/>
        <sz val="10"/>
        <rFont val="宋体"/>
        <family val="3"/>
        <charset val="134"/>
      </rPr>
      <t>决算与企业申报差异金额</t>
    </r>
  </si>
  <si>
    <r>
      <rPr>
        <b/>
        <sz val="10"/>
        <rFont val="宋体"/>
        <family val="3"/>
        <charset val="134"/>
      </rPr>
      <t>审定数</t>
    </r>
  </si>
  <si>
    <r>
      <rPr>
        <b/>
        <sz val="10"/>
        <rFont val="宋体"/>
        <family val="3"/>
        <charset val="134"/>
      </rPr>
      <t>调减金额</t>
    </r>
  </si>
  <si>
    <r>
      <rPr>
        <b/>
        <sz val="10"/>
        <rFont val="宋体"/>
        <family val="3"/>
        <charset val="134"/>
      </rPr>
      <t>审核说明</t>
    </r>
  </si>
  <si>
    <t>建筑工程费用</t>
  </si>
  <si>
    <r>
      <rPr>
        <sz val="10"/>
        <rFont val="宋体"/>
        <family val="3"/>
        <charset val="134"/>
      </rPr>
      <t>6,780,000.00元发票标明是一期工程。</t>
    </r>
    <r>
      <rPr>
        <sz val="10"/>
        <rFont val="宋体"/>
        <family val="3"/>
        <charset val="134"/>
      </rPr>
      <t>6940000元发票为二期二段。</t>
    </r>
  </si>
  <si>
    <t>监理费</t>
  </si>
  <si>
    <t>2010.04.05</t>
  </si>
  <si>
    <t>2011.08.24</t>
  </si>
  <si>
    <t>安装工程费用</t>
  </si>
  <si>
    <t>2010.07.13</t>
  </si>
  <si>
    <t>2010.09.02</t>
  </si>
  <si>
    <r>
      <rPr>
        <sz val="10"/>
        <rFont val="宋体"/>
        <family val="3"/>
        <charset val="134"/>
      </rPr>
      <t>2</t>
    </r>
    <r>
      <rPr>
        <sz val="10"/>
        <rFont val="宋体"/>
        <family val="3"/>
        <charset val="134"/>
      </rPr>
      <t>010.5.28</t>
    </r>
  </si>
  <si>
    <r>
      <rPr>
        <sz val="10"/>
        <rFont val="宋体"/>
        <family val="3"/>
        <charset val="134"/>
      </rPr>
      <t>安装工程费用</t>
    </r>
  </si>
  <si>
    <t>记-0039</t>
  </si>
  <si>
    <t>146010821033-01230060</t>
  </si>
  <si>
    <t>记-0197</t>
  </si>
  <si>
    <t>146011021033-00072133至00072136</t>
  </si>
  <si>
    <t>已核对，手写发票，开票单位看不清，无银行回单</t>
  </si>
  <si>
    <t>发票未注明哪期</t>
  </si>
  <si>
    <t>记-0094</t>
  </si>
  <si>
    <t>246001001118-00207956</t>
  </si>
  <si>
    <t>已核对，无银行回单，发票内容看不清</t>
  </si>
  <si>
    <t>记-0118</t>
  </si>
  <si>
    <t>4600071650-00558519、21至00558523</t>
  </si>
  <si>
    <t>已核对，无银行回单</t>
  </si>
  <si>
    <t>记-0065</t>
  </si>
  <si>
    <t>246001160315-00029661</t>
  </si>
  <si>
    <t>记-0018</t>
  </si>
  <si>
    <t>246001120719-00036002</t>
  </si>
  <si>
    <t>记-0001</t>
  </si>
  <si>
    <t>4600083650-00183994-98</t>
  </si>
  <si>
    <t>记-0002</t>
  </si>
  <si>
    <t>已核对，未见46.4万发票，但在12.5.31#凭证调为一期成本。</t>
  </si>
  <si>
    <t>记-0077</t>
  </si>
  <si>
    <t>已核对，未见1128731.50发票，但在12.5.31#凭证调为一期成本。</t>
  </si>
  <si>
    <t>记21</t>
  </si>
  <si>
    <t>24600116015-00232265</t>
  </si>
  <si>
    <t>二期一段的白蚁防治款应为37860</t>
  </si>
  <si>
    <t>调整2010年11-2#和2011年1-77号</t>
  </si>
  <si>
    <t>一期审核报告已认定该成本 按报建面积在一、二、三期和会所之间分摊 964965.98</t>
  </si>
  <si>
    <t>开发成本</t>
  </si>
  <si>
    <t>记170</t>
  </si>
  <si>
    <t>一期审核报告已调减 调减原因是报价比企业列支的金额低</t>
  </si>
  <si>
    <t>2010.05.13</t>
  </si>
  <si>
    <t>2010.10.15</t>
  </si>
  <si>
    <t>2010.12.22</t>
  </si>
  <si>
    <t>2010.09.05</t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</si>
  <si>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-0079</t>
    </r>
  </si>
  <si>
    <t>海南省地方税务局代开发票</t>
  </si>
  <si>
    <t>246001001118-00205274</t>
  </si>
  <si>
    <t>未见发票</t>
  </si>
  <si>
    <t>记-0173</t>
  </si>
  <si>
    <t>分摊表</t>
  </si>
  <si>
    <t>从建安成本调整过来</t>
  </si>
  <si>
    <t>记-0174</t>
  </si>
  <si>
    <t>日期</t>
  </si>
  <si>
    <t>备注</t>
  </si>
  <si>
    <r>
      <rPr>
        <b/>
        <sz val="18"/>
        <rFont val="方正小标宋简体"/>
        <family val="3"/>
        <charset val="134"/>
      </rPr>
      <t>公共配套费合同审核明细表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</si>
  <si>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-0129</t>
    </r>
  </si>
  <si>
    <t>无工资明细表</t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</si>
  <si>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-0090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</si>
  <si>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-0102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</si>
  <si>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-0045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</si>
  <si>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-0080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</si>
  <si>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</si>
  <si>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-0084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</si>
  <si>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</si>
  <si>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-0100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</si>
  <si>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-0116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</si>
  <si>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-0053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</si>
  <si>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</si>
  <si>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-0054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</si>
  <si>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</si>
  <si>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31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</si>
  <si>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43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</si>
  <si>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119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</si>
  <si>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-0148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</si>
  <si>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-0015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</si>
  <si>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-0144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</si>
  <si>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-0091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</si>
  <si>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</si>
  <si>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-0044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</si>
  <si>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-0051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</si>
  <si>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-0066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</si>
  <si>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-0010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</si>
  <si>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-0063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</si>
  <si>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-0001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</si>
  <si>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-0081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</si>
  <si>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-0002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</si>
  <si>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-0070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</si>
  <si>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-0077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</si>
  <si>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-0007</t>
    </r>
  </si>
  <si>
    <t>已核对，有自写清单，无发票</t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</si>
  <si>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-0024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</si>
  <si>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-0125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</si>
  <si>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-0031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</si>
  <si>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-0013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</si>
  <si>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-0021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</si>
  <si>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-0057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</si>
  <si>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39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</si>
  <si>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42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</si>
  <si>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18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</si>
  <si>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21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</si>
  <si>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29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</si>
  <si>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-0056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</si>
  <si>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-0076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</si>
  <si>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-0098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</si>
  <si>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-0111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</si>
  <si>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-0039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</si>
  <si>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-0061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</si>
  <si>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-0049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</si>
  <si>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-0041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</si>
  <si>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8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</si>
  <si>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-0115</t>
    </r>
  </si>
  <si>
    <r>
      <rPr>
        <sz val="10"/>
        <rFont val="宋体"/>
        <family val="3"/>
        <charset val="134"/>
      </rPr>
      <t>记</t>
    </r>
    <r>
      <rPr>
        <sz val="10"/>
        <rFont val="Arial Narrow"/>
        <family val="2"/>
      </rPr>
      <t>-0086</t>
    </r>
  </si>
  <si>
    <t>246001072524-00025983</t>
  </si>
  <si>
    <t>已核对，无合同，企业未提供</t>
  </si>
  <si>
    <r>
      <rPr>
        <b/>
        <sz val="11"/>
        <rFont val="宋体"/>
        <family val="3"/>
        <charset val="134"/>
      </rPr>
      <t>年度</t>
    </r>
  </si>
  <si>
    <t>分摊</t>
  </si>
  <si>
    <r>
      <rPr>
        <b/>
        <sz val="18"/>
        <rFont val="方正小标宋简体"/>
        <family val="3"/>
        <charset val="134"/>
      </rPr>
      <t>发票抽查审核明细表</t>
    </r>
  </si>
  <si>
    <t>26009321</t>
  </si>
  <si>
    <t>04712838</t>
  </si>
  <si>
    <t>26881730</t>
  </si>
  <si>
    <t>68386883</t>
  </si>
  <si>
    <t>14112702</t>
  </si>
  <si>
    <r>
      <rPr>
        <b/>
        <sz val="18"/>
        <rFont val="方正小标宋简体"/>
        <family val="3"/>
        <charset val="134"/>
      </rPr>
      <t>营业税金缴纳情况表</t>
    </r>
  </si>
  <si>
    <r>
      <rPr>
        <sz val="10"/>
        <rFont val="迷你简小隶书"/>
        <charset val="134"/>
      </rPr>
      <t>金额单位：元</t>
    </r>
  </si>
  <si>
    <r>
      <rPr>
        <sz val="10"/>
        <rFont val="宋体"/>
        <family val="3"/>
        <charset val="134"/>
      </rPr>
      <t>日期</t>
    </r>
  </si>
  <si>
    <t>记19</t>
  </si>
  <si>
    <t>记112</t>
  </si>
  <si>
    <t>记50</t>
  </si>
  <si>
    <t>记36</t>
  </si>
  <si>
    <t>记108</t>
  </si>
  <si>
    <t>记45</t>
  </si>
  <si>
    <t>记59</t>
  </si>
  <si>
    <t>记47</t>
  </si>
  <si>
    <t>记85</t>
  </si>
  <si>
    <t>记38</t>
  </si>
  <si>
    <t>记70</t>
  </si>
  <si>
    <t>记12</t>
  </si>
  <si>
    <t>记17</t>
  </si>
  <si>
    <t>2012-2-30</t>
  </si>
  <si>
    <t>记3</t>
  </si>
  <si>
    <t>记33</t>
  </si>
  <si>
    <t>记9</t>
  </si>
  <si>
    <t>记10</t>
  </si>
  <si>
    <t>记51</t>
  </si>
  <si>
    <t>记35</t>
  </si>
  <si>
    <t>记28</t>
  </si>
  <si>
    <t>记81</t>
  </si>
  <si>
    <t>记11</t>
  </si>
  <si>
    <t>记16</t>
  </si>
  <si>
    <t>记31</t>
  </si>
  <si>
    <t>记24</t>
  </si>
  <si>
    <t>记30</t>
  </si>
  <si>
    <t>记25</t>
  </si>
  <si>
    <t>（2012）琼地电转03143243</t>
  </si>
  <si>
    <t>记37</t>
  </si>
  <si>
    <t>（2012）琼地电转03485027</t>
  </si>
  <si>
    <t>（2012）琼地电转03487278</t>
  </si>
  <si>
    <t>记67</t>
  </si>
  <si>
    <t>（2012）琼地电转03490809</t>
  </si>
  <si>
    <t>（2012）琼地电转03501812</t>
  </si>
  <si>
    <t>记86</t>
  </si>
  <si>
    <t>（2012）琼地电转03501494</t>
  </si>
  <si>
    <t>记88</t>
  </si>
  <si>
    <t>（2012）琼地电转0434032</t>
  </si>
  <si>
    <t>记110</t>
  </si>
  <si>
    <t>2013-1-12-13</t>
  </si>
  <si>
    <t>（141）琼地证00238664</t>
  </si>
  <si>
    <t>记120</t>
  </si>
  <si>
    <t>（141）琼地证00242657</t>
  </si>
  <si>
    <t>记84</t>
  </si>
  <si>
    <t>（141）琼地证00245499</t>
  </si>
  <si>
    <t>记79</t>
  </si>
  <si>
    <t>（141）琼地证00239035</t>
  </si>
  <si>
    <t>（141）琼地证00351458</t>
  </si>
  <si>
    <t>记102</t>
  </si>
  <si>
    <t>（141）琼地证00354970</t>
  </si>
  <si>
    <t>（141）琼地证00850632</t>
  </si>
  <si>
    <t>记75</t>
  </si>
  <si>
    <t xml:space="preserve">（141）琼地证00850734 </t>
  </si>
  <si>
    <t>记91</t>
  </si>
  <si>
    <t>记94</t>
  </si>
  <si>
    <t>（141）琼地证01798070</t>
  </si>
  <si>
    <t>记151</t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</si>
  <si>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144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</si>
  <si>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137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</si>
  <si>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101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</si>
  <si>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116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</si>
  <si>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128</t>
    </r>
  </si>
  <si>
    <r>
      <rPr>
        <sz val="10"/>
        <color indexed="8"/>
        <rFont val="宋体"/>
        <family val="3"/>
        <charset val="134"/>
      </rPr>
      <t>记</t>
    </r>
    <r>
      <rPr>
        <sz val="10"/>
        <color indexed="8"/>
        <rFont val="Arial Narrow"/>
        <family val="2"/>
      </rPr>
      <t>191</t>
    </r>
  </si>
  <si>
    <t>记-0136</t>
  </si>
  <si>
    <t>记-0182</t>
  </si>
  <si>
    <t>记-0142</t>
  </si>
  <si>
    <t>记-84</t>
  </si>
  <si>
    <t>记-0119</t>
  </si>
  <si>
    <t>会计凭证</t>
  </si>
  <si>
    <t>核对</t>
  </si>
  <si>
    <t>全部在一期抵扣完，详见一期工作底稿</t>
  </si>
  <si>
    <t>（141）琼地证01362944</t>
  </si>
  <si>
    <t>（141）琼地证02867949</t>
  </si>
  <si>
    <t>记144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</si>
  <si>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）琼地证03247589</t>
    </r>
  </si>
  <si>
    <t>记137</t>
  </si>
  <si>
    <t>（141）琼地证03884451</t>
  </si>
  <si>
    <t>记101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</si>
  <si>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）琼地证03884446</t>
    </r>
  </si>
  <si>
    <t>记116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</si>
  <si>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）琼地证03892349</t>
    </r>
  </si>
  <si>
    <t>记128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</si>
  <si>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）琼地证04640353</t>
    </r>
  </si>
  <si>
    <t>记191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</si>
  <si>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</t>
    </r>
    <r>
      <rPr>
        <sz val="10"/>
        <rFont val="Arial Narrow"/>
        <family val="2"/>
      </rPr>
      <t>04951369</t>
    </r>
  </si>
  <si>
    <t>记0136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</si>
  <si>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</t>
    </r>
    <r>
      <rPr>
        <sz val="10"/>
        <rFont val="Arial Narrow"/>
        <family val="2"/>
      </rPr>
      <t>04944946</t>
    </r>
  </si>
  <si>
    <t>记0182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</si>
  <si>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</t>
    </r>
    <r>
      <rPr>
        <sz val="10"/>
        <rFont val="Arial Narrow"/>
        <family val="2"/>
      </rPr>
      <t>04952666</t>
    </r>
  </si>
  <si>
    <t>记0142</t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</si>
  <si>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141</t>
    </r>
    <r>
      <rPr>
        <sz val="10"/>
        <rFont val="宋体"/>
        <family val="3"/>
        <charset val="134"/>
      </rPr>
      <t>）琼地证06399231</t>
    </r>
  </si>
  <si>
    <r>
      <rPr>
        <sz val="12"/>
        <rFont val="宋体"/>
        <family val="3"/>
        <charset val="134"/>
      </rPr>
      <t>记</t>
    </r>
    <r>
      <rPr>
        <sz val="12"/>
        <rFont val="Times New Roman"/>
        <family val="1"/>
      </rPr>
      <t>84</t>
    </r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</si>
  <si>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171</t>
    </r>
    <r>
      <rPr>
        <sz val="10"/>
        <rFont val="宋体"/>
        <family val="3"/>
        <charset val="134"/>
      </rPr>
      <t>）琼地证00545236</t>
    </r>
  </si>
  <si>
    <r>
      <rPr>
        <sz val="10"/>
        <rFont val="宋体"/>
        <family val="3"/>
        <charset val="134"/>
      </rPr>
      <t>（</t>
    </r>
    <r>
      <rPr>
        <sz val="10"/>
        <rFont val="Arial Narrow"/>
        <family val="2"/>
      </rPr>
      <t>171</t>
    </r>
    <r>
      <rPr>
        <sz val="10"/>
        <rFont val="宋体"/>
        <family val="3"/>
        <charset val="134"/>
      </rPr>
      <t>）琼地证00545238</t>
    </r>
  </si>
  <si>
    <t>kjlkj</t>
    <phoneticPr fontId="22" type="noConversion"/>
  </si>
  <si>
    <t>kljlj;l</t>
    <phoneticPr fontId="22" type="noConversion"/>
  </si>
  <si>
    <t>ghkjgkjh</t>
    <phoneticPr fontId="22" type="noConversion"/>
  </si>
  <si>
    <t>hjgkjh</t>
    <phoneticPr fontId="22" type="noConversion"/>
  </si>
  <si>
    <t>jhgkjgh</t>
    <phoneticPr fontId="22" type="noConversion"/>
  </si>
  <si>
    <t>gfjhfjh</t>
    <phoneticPr fontId="22" type="noConversion"/>
  </si>
  <si>
    <t>hgkjgkjhg</t>
    <phoneticPr fontId="22" type="noConversion"/>
  </si>
  <si>
    <t>看就会立刻就会老客户考虑减</t>
    <phoneticPr fontId="22" type="noConversion"/>
  </si>
  <si>
    <t>高科技个海经过海经过</t>
    <phoneticPr fontId="22" type="noConversion"/>
  </si>
  <si>
    <t>hkjhlkhklj分配表</t>
    <phoneticPr fontId="22" type="noConversion"/>
  </si>
  <si>
    <t>gkjg</t>
    <phoneticPr fontId="22" type="noConversion"/>
  </si>
  <si>
    <t>ggkjgh</t>
    <phoneticPr fontId="22" type="noConversion"/>
  </si>
  <si>
    <t>哥看见过</t>
    <phoneticPr fontId="22" type="noConversion"/>
  </si>
  <si>
    <t>赶紧回国</t>
    <phoneticPr fontId="22" type="noConversion"/>
  </si>
  <si>
    <t>钢结构</t>
    <phoneticPr fontId="22" type="noConversion"/>
  </si>
  <si>
    <t>个海口经过</t>
    <phoneticPr fontId="22" type="noConversion"/>
  </si>
  <si>
    <t>高科技高科技</t>
    <phoneticPr fontId="22" type="noConversion"/>
  </si>
  <si>
    <t>华工科技感觉和</t>
    <phoneticPr fontId="22" type="noConversion"/>
  </si>
  <si>
    <t>好几个客家话个</t>
    <phoneticPr fontId="22" type="noConversion"/>
  </si>
  <si>
    <t xml:space="preserve">就换过可劲花个 </t>
    <phoneticPr fontId="22" type="noConversion"/>
  </si>
  <si>
    <t>高科技韩国</t>
    <phoneticPr fontId="22" type="noConversion"/>
  </si>
  <si>
    <t>激活工具和</t>
    <phoneticPr fontId="22" type="noConversion"/>
  </si>
  <si>
    <t>华工科技</t>
    <phoneticPr fontId="22" type="noConversion"/>
  </si>
  <si>
    <t>好几个客家话</t>
    <phoneticPr fontId="22" type="noConversion"/>
  </si>
  <si>
    <t>控件会高合金钢</t>
    <phoneticPr fontId="22" type="noConversion"/>
  </si>
  <si>
    <t>计划给好几个</t>
    <phoneticPr fontId="22" type="noConversion"/>
  </si>
  <si>
    <t>了看见了看见</t>
    <phoneticPr fontId="22" type="noConversion"/>
  </si>
  <si>
    <t>和跨了好几列控件会</t>
    <phoneticPr fontId="22" type="noConversion"/>
  </si>
  <si>
    <t>了靠捡垃圾</t>
    <phoneticPr fontId="22" type="noConversion"/>
  </si>
  <si>
    <t>拉开距离</t>
    <phoneticPr fontId="22" type="noConversion"/>
  </si>
  <si>
    <t>看见了看见</t>
    <phoneticPr fontId="22" type="noConversion"/>
  </si>
  <si>
    <t>klj</t>
    <phoneticPr fontId="22" type="noConversion"/>
  </si>
  <si>
    <t>就</t>
    <phoneticPr fontId="22" type="noConversion"/>
  </si>
  <si>
    <t>理论框架了</t>
    <phoneticPr fontId="22" type="noConversion"/>
  </si>
  <si>
    <t>看了就立刻</t>
    <phoneticPr fontId="22" type="noConversion"/>
  </si>
  <si>
    <t>考虑减考虑减</t>
    <phoneticPr fontId="22" type="noConversion"/>
  </si>
  <si>
    <t>理解</t>
    <phoneticPr fontId="22" type="noConversion"/>
  </si>
  <si>
    <t>个华府大道</t>
    <phoneticPr fontId="22" type="noConversion"/>
  </si>
  <si>
    <t>看见好看了</t>
    <phoneticPr fontId="22" type="noConversion"/>
  </si>
  <si>
    <t>海陆空</t>
    <phoneticPr fontId="22" type="noConversion"/>
  </si>
  <si>
    <t>可好看了</t>
    <phoneticPr fontId="22" type="noConversion"/>
  </si>
  <si>
    <t>空军航空就</t>
    <phoneticPr fontId="22" type="noConversion"/>
  </si>
  <si>
    <t>解决</t>
    <phoneticPr fontId="22" type="noConversion"/>
  </si>
  <si>
    <t>kljklj</t>
    <phoneticPr fontId="22" type="noConversion"/>
  </si>
  <si>
    <t>hlkjh</t>
    <phoneticPr fontId="22" type="noConversion"/>
  </si>
  <si>
    <t>委员会</t>
    <phoneticPr fontId="22" type="noConversion"/>
  </si>
  <si>
    <t>tyrtre</t>
    <phoneticPr fontId="22" type="noConversion"/>
  </si>
  <si>
    <r>
      <rPr>
        <sz val="10"/>
        <rFont val="宋体"/>
        <family val="3"/>
        <charset val="134"/>
      </rPr>
      <t>我与</t>
    </r>
    <r>
      <rPr>
        <sz val="10"/>
        <rFont val="MS Sans Serif"/>
        <family val="2"/>
      </rPr>
      <t>UI</t>
    </r>
    <r>
      <rPr>
        <sz val="10"/>
        <rFont val="宋体"/>
        <family val="3"/>
        <charset val="134"/>
      </rPr>
      <t>国土局海陆空</t>
    </r>
    <phoneticPr fontId="22" type="noConversion"/>
  </si>
  <si>
    <t>jhklh很快就后</t>
    <phoneticPr fontId="22" type="noConversion"/>
  </si>
  <si>
    <t>本命年劳改犯</t>
    <phoneticPr fontId="22" type="noConversion"/>
  </si>
  <si>
    <t>和健康就好</t>
    <phoneticPr fontId="22" type="noConversion"/>
  </si>
  <si>
    <t>Uuioiu看见了</t>
    <phoneticPr fontId="22" type="noConversion"/>
  </si>
  <si>
    <t>UI羽绒服</t>
    <phoneticPr fontId="22" type="noConversion"/>
  </si>
  <si>
    <t>iuyiuyiu</t>
    <phoneticPr fontId="22" type="noConversion"/>
  </si>
  <si>
    <t>f空军航空就可怜</t>
    <phoneticPr fontId="22" type="noConversion"/>
  </si>
  <si>
    <t>从产销方式</t>
    <phoneticPr fontId="22" type="noConversion"/>
  </si>
  <si>
    <t>交换空间和</t>
    <phoneticPr fontId="22" type="noConversion"/>
  </si>
  <si>
    <t>换句话</t>
    <phoneticPr fontId="22" type="noConversion"/>
  </si>
  <si>
    <t>猜测当时</t>
    <phoneticPr fontId="22" type="noConversion"/>
  </si>
  <si>
    <t>空间和刻录机</t>
    <phoneticPr fontId="22" type="noConversion"/>
  </si>
  <si>
    <t>不能吃</t>
    <phoneticPr fontId="22" type="noConversion"/>
  </si>
  <si>
    <t>钢结构控件会</t>
    <phoneticPr fontId="22" type="noConversion"/>
  </si>
  <si>
    <t>从购房购房电热毯</t>
    <phoneticPr fontId="22" type="noConversion"/>
  </si>
  <si>
    <t>会尽快和</t>
    <phoneticPr fontId="22" type="noConversion"/>
  </si>
  <si>
    <t>高合金钢</t>
    <phoneticPr fontId="22" type="noConversion"/>
  </si>
  <si>
    <t>萨尔达</t>
    <phoneticPr fontId="22" type="noConversion"/>
  </si>
  <si>
    <t>kjh</t>
    <phoneticPr fontId="22" type="noConversion"/>
  </si>
  <si>
    <t>湖广会馆</t>
    <phoneticPr fontId="22" type="noConversion"/>
  </si>
  <si>
    <t>和股份</t>
    <phoneticPr fontId="22" type="noConversion"/>
  </si>
  <si>
    <t>公共配套会尽快交换空间和费审核明细表</t>
    <phoneticPr fontId="22" type="noConversion"/>
  </si>
  <si>
    <t xml:space="preserve">knjkljkl </t>
    <phoneticPr fontId="22" type="noConversion"/>
  </si>
  <si>
    <r>
      <t>j</t>
    </r>
    <r>
      <rPr>
        <sz val="12"/>
        <rFont val="宋体"/>
        <family val="3"/>
        <charset val="134"/>
      </rPr>
      <t>j;</t>
    </r>
    <phoneticPr fontId="22" type="noConversion"/>
  </si>
  <si>
    <r>
      <t>v</t>
    </r>
    <r>
      <rPr>
        <sz val="12"/>
        <rFont val="宋体"/>
        <family val="3"/>
        <charset val="134"/>
      </rPr>
      <t>gkjgv计划给和空格</t>
    </r>
    <phoneticPr fontId="22" type="noConversion"/>
  </si>
  <si>
    <t>很快就后</t>
    <phoneticPr fontId="22" type="noConversion"/>
  </si>
  <si>
    <t>几乎</t>
    <phoneticPr fontId="22" type="noConversion"/>
  </si>
  <si>
    <t>和感觉和</t>
    <phoneticPr fontId="22" type="noConversion"/>
  </si>
  <si>
    <t>结核杆菌</t>
    <phoneticPr fontId="22" type="noConversion"/>
  </si>
  <si>
    <t>讲话稿</t>
    <phoneticPr fontId="22" type="noConversion"/>
  </si>
  <si>
    <t>会尽快和</t>
    <phoneticPr fontId="22" type="noConversion"/>
  </si>
  <si>
    <t>好几个科技馆和</t>
    <phoneticPr fontId="22" type="noConversion"/>
  </si>
  <si>
    <t>规划局和</t>
    <phoneticPr fontId="22" type="noConversion"/>
  </si>
  <si>
    <t>空军航空就</t>
    <phoneticPr fontId="22" type="noConversion"/>
  </si>
  <si>
    <t>考虑减了</t>
    <phoneticPr fontId="22" type="noConversion"/>
  </si>
  <si>
    <t>共和国房价和</t>
    <phoneticPr fontId="22" type="noConversion"/>
  </si>
  <si>
    <t>极乐空间</t>
    <phoneticPr fontId="22" type="noConversion"/>
  </si>
  <si>
    <t>钢结构</t>
    <phoneticPr fontId="22" type="noConversion"/>
  </si>
  <si>
    <t>12321</t>
    <phoneticPr fontId="22" type="noConversion"/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</si>
  <si>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</si>
  <si>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</si>
  <si>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</si>
  <si>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</si>
  <si>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</si>
  <si>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</si>
  <si>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</si>
  <si>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</si>
  <si>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</si>
  <si>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</si>
  <si>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</si>
  <si>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</si>
  <si>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</si>
  <si>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</si>
  <si>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</si>
  <si>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考虑减了</t>
    <phoneticPr fontId="22" type="noConversion"/>
  </si>
  <si>
    <t>基金会</t>
    <phoneticPr fontId="22" type="noConversion"/>
  </si>
  <si>
    <t>狗汉奸</t>
    <phoneticPr fontId="22" type="noConversion"/>
  </si>
  <si>
    <t>看见好看的就</t>
    <phoneticPr fontId="22" type="noConversion"/>
  </si>
  <si>
    <t>拉开距离</t>
    <phoneticPr fontId="22" type="noConversion"/>
  </si>
  <si>
    <t>来看看记录</t>
    <phoneticPr fontId="22" type="noConversion"/>
  </si>
  <si>
    <t>;拉开了将</t>
    <phoneticPr fontId="22" type="noConversion"/>
  </si>
  <si>
    <t>看了看</t>
    <phoneticPr fontId="22" type="noConversion"/>
  </si>
  <si>
    <t>李经理看</t>
    <phoneticPr fontId="22" type="noConversion"/>
  </si>
  <si>
    <t>看见好看</t>
    <phoneticPr fontId="22" type="noConversion"/>
  </si>
  <si>
    <t>健康快乐</t>
    <phoneticPr fontId="22" type="noConversion"/>
  </si>
  <si>
    <t>法官</t>
    <phoneticPr fontId="22" type="noConversion"/>
  </si>
  <si>
    <t>就换过开几个</t>
    <phoneticPr fontId="22" type="noConversion"/>
  </si>
  <si>
    <t>交换空间</t>
    <phoneticPr fontId="22" type="noConversion"/>
  </si>
  <si>
    <t>好久了</t>
    <phoneticPr fontId="22" type="noConversion"/>
  </si>
  <si>
    <t>国际化</t>
    <phoneticPr fontId="22" type="noConversion"/>
  </si>
  <si>
    <t>很快就后</t>
    <phoneticPr fontId="22" type="noConversion"/>
  </si>
  <si>
    <t>看见好看</t>
    <phoneticPr fontId="22" type="noConversion"/>
  </si>
  <si>
    <t>空军航空就</t>
    <phoneticPr fontId="22" type="noConversion"/>
  </si>
  <si>
    <t>夹河口</t>
    <phoneticPr fontId="22" type="noConversion"/>
  </si>
  <si>
    <t>开了开了就</t>
    <phoneticPr fontId="22" type="noConversion"/>
  </si>
  <si>
    <t>凤凰阁</t>
    <phoneticPr fontId="22" type="noConversion"/>
  </si>
  <si>
    <t>规划</t>
    <phoneticPr fontId="22" type="noConversion"/>
  </si>
  <si>
    <t>换个发货</t>
    <phoneticPr fontId="22" type="noConversion"/>
  </si>
  <si>
    <t>很过分换个</t>
    <phoneticPr fontId="22" type="noConversion"/>
  </si>
  <si>
    <t>重复</t>
    <phoneticPr fontId="22" type="noConversion"/>
  </si>
  <si>
    <t>还更丰富</t>
    <phoneticPr fontId="22" type="noConversion"/>
  </si>
  <si>
    <t>防火规范</t>
    <phoneticPr fontId="22" type="noConversion"/>
  </si>
  <si>
    <t>好汉歌</t>
    <phoneticPr fontId="22" type="noConversion"/>
  </si>
  <si>
    <t>规范化</t>
    <phoneticPr fontId="22" type="noConversion"/>
  </si>
  <si>
    <t xml:space="preserve"> 规范化就</t>
    <phoneticPr fontId="22" type="noConversion"/>
  </si>
  <si>
    <t xml:space="preserve">防火规范 </t>
    <phoneticPr fontId="22" type="noConversion"/>
  </si>
  <si>
    <t>规范化发</t>
    <phoneticPr fontId="22" type="noConversion"/>
  </si>
  <si>
    <t>和股份</t>
    <phoneticPr fontId="22" type="noConversion"/>
  </si>
  <si>
    <t xml:space="preserve">供货方 </t>
    <phoneticPr fontId="22" type="noConversion"/>
  </si>
  <si>
    <t>回复</t>
    <phoneticPr fontId="22" type="noConversion"/>
  </si>
  <si>
    <t>或购房或购房</t>
    <phoneticPr fontId="22" type="noConversion"/>
  </si>
  <si>
    <t xml:space="preserve">个很符合 </t>
    <phoneticPr fontId="22" type="noConversion"/>
  </si>
  <si>
    <t xml:space="preserve">购房 </t>
    <phoneticPr fontId="22" type="noConversion"/>
  </si>
  <si>
    <t>科技馆和</t>
    <phoneticPr fontId="22" type="noConversion"/>
  </si>
  <si>
    <t>供货方</t>
    <phoneticPr fontId="22" type="noConversion"/>
  </si>
  <si>
    <t>挂号费改和</t>
    <phoneticPr fontId="22" type="noConversion"/>
  </si>
  <si>
    <t xml:space="preserve">供货方 </t>
    <phoneticPr fontId="22" type="noConversion"/>
  </si>
  <si>
    <t xml:space="preserve">和股份 </t>
    <phoneticPr fontId="22" type="noConversion"/>
  </si>
  <si>
    <t>换个发货 女女</t>
    <phoneticPr fontId="22" type="noConversion"/>
  </si>
  <si>
    <t>贵航股份</t>
    <phoneticPr fontId="22" type="noConversion"/>
  </si>
  <si>
    <t>规划换个发货个</t>
    <phoneticPr fontId="22" type="noConversion"/>
  </si>
  <si>
    <t>个合法合规</t>
    <phoneticPr fontId="22" type="noConversion"/>
  </si>
  <si>
    <t>女女</t>
    <phoneticPr fontId="22" type="noConversion"/>
  </si>
  <si>
    <t>供货方帝国的</t>
    <phoneticPr fontId="22" type="noConversion"/>
  </si>
  <si>
    <t>海仿古还原</t>
    <phoneticPr fontId="22" type="noConversion"/>
  </si>
  <si>
    <t>就换过就换过</t>
    <phoneticPr fontId="22" type="noConversion"/>
  </si>
  <si>
    <t>可交换机</t>
    <phoneticPr fontId="22" type="noConversion"/>
  </si>
  <si>
    <t xml:space="preserve">空间和刻录机和 </t>
    <phoneticPr fontId="22" type="noConversion"/>
  </si>
  <si>
    <t>交换机</t>
    <phoneticPr fontId="22" type="noConversion"/>
  </si>
  <si>
    <t>结核杆菌</t>
    <phoneticPr fontId="22" type="noConversion"/>
  </si>
  <si>
    <t xml:space="preserve">好几个 </t>
    <phoneticPr fontId="22" type="noConversion"/>
  </si>
  <si>
    <t>讲话稿</t>
    <phoneticPr fontId="22" type="noConversion"/>
  </si>
  <si>
    <t>好几个几乎</t>
    <phoneticPr fontId="22" type="noConversion"/>
  </si>
  <si>
    <t xml:space="preserve">讲话稿 </t>
    <phoneticPr fontId="22" type="noConversion"/>
  </si>
  <si>
    <t>.;理解</t>
    <phoneticPr fontId="22" type="noConversion"/>
  </si>
  <si>
    <t xml:space="preserve">xsgf </t>
    <phoneticPr fontId="22" type="noConversion"/>
  </si>
  <si>
    <t>地成jlj细表</t>
    <phoneticPr fontId="22" type="noConversion"/>
  </si>
  <si>
    <t>分摊明细表</t>
    <phoneticPr fontId="22" type="noConversion"/>
  </si>
  <si>
    <r>
      <rPr>
        <sz val="10"/>
        <color indexed="8"/>
        <rFont val="宋体"/>
        <family val="3"/>
        <charset val="134"/>
      </rPr>
      <t>纳税人名称：</t>
    </r>
    <r>
      <rPr>
        <sz val="10"/>
        <color indexed="8"/>
        <rFont val="Times New Roman"/>
        <family val="1"/>
      </rPr>
      <t>jhjhg</t>
    </r>
    <r>
      <rPr>
        <sz val="10"/>
        <color indexed="8"/>
        <rFont val="宋体"/>
        <family val="3"/>
        <charset val="134"/>
      </rPr>
      <t>花好几个园实</t>
    </r>
    <phoneticPr fontId="22" type="noConversion"/>
  </si>
  <si>
    <t>会根据</t>
    <phoneticPr fontId="22" type="noConversion"/>
  </si>
  <si>
    <t>就很尴尬</t>
    <phoneticPr fontId="22" type="noConversion"/>
  </si>
  <si>
    <t>好几个</t>
    <phoneticPr fontId="22" type="noConversion"/>
  </si>
  <si>
    <t xml:space="preserve">好几个 </t>
    <phoneticPr fontId="22" type="noConversion"/>
  </si>
  <si>
    <t>你刚刚好</t>
    <phoneticPr fontId="22" type="noConversion"/>
  </si>
  <si>
    <t>预款</t>
    <phoneticPr fontId="22" type="noConversion"/>
  </si>
  <si>
    <t>看见了海陆空就和</t>
    <phoneticPr fontId="22" type="noConversion"/>
  </si>
  <si>
    <t>审核就和快乐就好看明细表</t>
    <phoneticPr fontId="22" type="noConversion"/>
  </si>
  <si>
    <t>控件会价格会表</t>
    <phoneticPr fontId="22" type="noConversion"/>
  </si>
  <si>
    <t>几乎空间和刻录机</t>
    <phoneticPr fontId="22" type="noConversion"/>
  </si>
  <si>
    <t>会根据</t>
    <phoneticPr fontId="22" type="noConversion"/>
  </si>
  <si>
    <t>国家</t>
    <phoneticPr fontId="22" type="noConversion"/>
  </si>
  <si>
    <t>单位：吃</t>
    <phoneticPr fontId="22" type="noConversion"/>
  </si>
  <si>
    <r>
      <rPr>
        <sz val="10"/>
        <rFont val="宋体"/>
        <family val="3"/>
        <charset val="134"/>
      </rPr>
      <t>狗汉奸</t>
    </r>
    <r>
      <rPr>
        <sz val="10"/>
        <rFont val="Times New Roman"/>
        <family val="1"/>
      </rPr>
      <t xml:space="preserve">                                       </t>
    </r>
    <r>
      <rPr>
        <sz val="10"/>
        <rFont val="宋体"/>
        <family val="3"/>
        <charset val="134"/>
      </rPr>
      <t>　　　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　　　　　　　　　</t>
    </r>
    <r>
      <rPr>
        <sz val="10"/>
        <rFont val="Times New Roman"/>
        <family val="1"/>
      </rPr>
      <t> 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</si>
</sst>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1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\¥#,##0;\-\¥#,##0"/>
    <numFmt numFmtId="178" formatCode="_-* #,##0.00_-;\-* #,##0.00_-;_-* &quot;-&quot;_-;_-@_-"/>
    <numFmt numFmtId="179" formatCode="&quot;\&quot;#,##0;[Red]&quot;\&quot;&quot;\&quot;&quot;\&quot;&quot;\&quot;&quot;\&quot;&quot;\&quot;&quot;\&quot;&quot;\&quot;&quot;\&quot;&quot;\&quot;&quot;\&quot;&quot;\&quot;\-#,##0"/>
    <numFmt numFmtId="180" formatCode="_-\¥* #,##0.00_-;\-\¥* #,##0.00_-;_-\¥* &quot;-&quot;??_-;_-@_-"/>
    <numFmt numFmtId="181" formatCode="#,##0.0_);\(#,##0.0\)"/>
    <numFmt numFmtId="182" formatCode="0.00000&quot;  &quot;"/>
    <numFmt numFmtId="183" formatCode="_ [$€-2]* #,##0.00_ ;_ [$€-2]* \-#,##0.00_ ;_ [$€-2]* &quot;-&quot;??_ "/>
    <numFmt numFmtId="184" formatCode="&quot;$&quot;#,##0;[Red]&quot;$&quot;&quot;$&quot;&quot;$&quot;&quot;$&quot;&quot;$&quot;&quot;$&quot;&quot;$&quot;\-#,##0"/>
    <numFmt numFmtId="185" formatCode="&quot;$&quot;#,##0_);\(&quot;$&quot;#,##0\)"/>
    <numFmt numFmtId="186" formatCode="_ &quot;\&quot;* #,##0.00_ ;_ &quot;\&quot;* &quot;\&quot;&quot;\&quot;&quot;\&quot;&quot;\&quot;&quot;\&quot;&quot;\&quot;&quot;\&quot;&quot;\&quot;&quot;\&quot;&quot;\&quot;\-#,##0.00_ ;_ &quot;\&quot;* &quot;-&quot;??_ ;_ @_ "/>
    <numFmt numFmtId="187" formatCode="&quot;\&quot;#,##0;&quot;\&quot;&quot;\&quot;&quot;\&quot;&quot;\&quot;&quot;\&quot;&quot;\&quot;&quot;\&quot;&quot;\&quot;&quot;\&quot;&quot;\&quot;&quot;\&quot;&quot;\&quot;\-#,##0"/>
    <numFmt numFmtId="188" formatCode="_-* #,##0.0000000000_-;\-* #,##0.0000000000_-;_-* &quot;-&quot;??_-;_-@_-"/>
    <numFmt numFmtId="189" formatCode="0.00_);[Red]\(0.00\)"/>
    <numFmt numFmtId="190" formatCode="0.00_ "/>
    <numFmt numFmtId="191" formatCode="&quot;$&quot;#,##0\ ;\(&quot;$&quot;#,##0\)"/>
    <numFmt numFmtId="192" formatCode="_-&quot;$&quot;* #,##0.00_-;\-&quot;$&quot;* #,##0.00_-;_-&quot;$&quot;* &quot;-&quot;??_-;_-@_-"/>
    <numFmt numFmtId="193" formatCode="&quot;\&quot;#,##0.00;[Red]&quot;\&quot;&quot;\&quot;&quot;\&quot;&quot;\&quot;&quot;\&quot;&quot;\&quot;\-#,##0.00"/>
    <numFmt numFmtId="194" formatCode="#,##0_);[Red]\(#,##0\)"/>
    <numFmt numFmtId="195" formatCode="\$#,##0;\(\$#,##0\)"/>
    <numFmt numFmtId="196" formatCode="_(&quot;$&quot;* #,##0_);_(&quot;$&quot;* \(#,##0\);_(&quot;$&quot;* &quot;-&quot;_);_(@_)"/>
    <numFmt numFmtId="197" formatCode="&quot;$&quot;#,##0.00_);\(&quot;$&quot;#,##0.00\)"/>
    <numFmt numFmtId="198" formatCode="0.0%"/>
    <numFmt numFmtId="199" formatCode="_-* #,##0\ _k_r_-;\-* #,##0\ _k_r_-;_-* &quot;-&quot;\ _k_r_-;_-@_-"/>
    <numFmt numFmtId="200" formatCode="_-* #,##0_-;\-* #,##0_-;_-* &quot;-&quot;_-;_-@_-"/>
    <numFmt numFmtId="201" formatCode="&quot;\&quot;#,##0;[Red]&quot;\&quot;&quot;\&quot;\-#,##0"/>
    <numFmt numFmtId="202" formatCode="_-* #,##0.00\ _k_r_-;\-* #,##0.00\ _k_r_-;_-* &quot;-&quot;??\ _k_r_-;_-@_-"/>
    <numFmt numFmtId="203" formatCode="0.000000"/>
    <numFmt numFmtId="204" formatCode="_ &quot;\&quot;* #,##0.00_ ;_ &quot;\&quot;* &quot;\&quot;&quot;\&quot;&quot;\&quot;\-#,##0.00_ ;_ &quot;\&quot;* &quot;-&quot;??_ ;_ @_ "/>
    <numFmt numFmtId="205" formatCode="0.0"/>
    <numFmt numFmtId="206" formatCode="yyyy&quot;年&quot;m&quot;月&quot;;@"/>
    <numFmt numFmtId="207" formatCode="&quot;\&quot;#,##0.00;[Red]&quot;\&quot;\-#,##0.00"/>
    <numFmt numFmtId="208" formatCode="#,##0;\-#,##0;&quot;-&quot;"/>
    <numFmt numFmtId="209" formatCode="_(&quot;$&quot;* #,##0.00_);_(&quot;$&quot;* \(#,##0.00\);_(&quot;$&quot;* &quot;-&quot;??_);_(@_)"/>
    <numFmt numFmtId="210" formatCode="&quot;$&quot;#,##0.00_);[Red]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(&quot;$&quot;#,##0.00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)"/>
    <numFmt numFmtId="211" formatCode="\$#,##0.00;\(\$#,##0.00\)"/>
    <numFmt numFmtId="212" formatCode="_-&quot;$&quot;* #,##0_-;\-&quot;$&quot;* #,##0_-;_-&quot;$&quot;* &quot;-&quot;_-;_-@_-"/>
    <numFmt numFmtId="213" formatCode="yyyy/m/d;@"/>
    <numFmt numFmtId="214" formatCode="&quot;\&quot;#,##0;[Red]&quot;\&quot;\-#,##0"/>
    <numFmt numFmtId="215" formatCode="#,##0;\(#,##0\)"/>
    <numFmt numFmtId="216" formatCode="#,##0.00_);#,##0.00\)"/>
    <numFmt numFmtId="217" formatCode="_-* #,##0.00_-;\-* #,##0.00_-;_-* &quot;-&quot;??_-;_-@_-"/>
    <numFmt numFmtId="218" formatCode="0_);[Red]\(0\)"/>
    <numFmt numFmtId="219" formatCode="#,##0.00_);[Red]\(#,##0.00\)"/>
    <numFmt numFmtId="220" formatCode="_-* #,##0.000_-;\-* #,##0.000_-;_-* &quot;-&quot;_-;_-@_-"/>
    <numFmt numFmtId="221" formatCode="#,##0.0000"/>
    <numFmt numFmtId="222" formatCode="#,##0.00_ "/>
    <numFmt numFmtId="223" formatCode="#,##0_ "/>
    <numFmt numFmtId="224" formatCode="0_ "/>
  </numFmts>
  <fonts count="105">
    <font>
      <sz val="12"/>
      <name val="宋体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宋体"/>
      <family val="3"/>
      <charset val="134"/>
    </font>
    <font>
      <sz val="12"/>
      <name val="Times New Roman"/>
      <family val="1"/>
    </font>
    <font>
      <b/>
      <sz val="18"/>
      <name val="Times New Roman"/>
      <family val="1"/>
    </font>
    <font>
      <sz val="10"/>
      <name val="迷你简小隶书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Arial Narrow"/>
      <family val="2"/>
    </font>
    <font>
      <sz val="10"/>
      <color indexed="8"/>
      <name val="宋体"/>
      <family val="3"/>
      <charset val="134"/>
      <scheme val="maj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宋体"/>
      <family val="3"/>
      <charset val="134"/>
      <scheme val="minor"/>
    </font>
    <font>
      <sz val="11"/>
      <color indexed="8"/>
      <name val="Times New Roman"/>
      <family val="1"/>
    </font>
    <font>
      <b/>
      <sz val="18"/>
      <color indexed="8"/>
      <name val="宋体"/>
      <family val="3"/>
      <charset val="134"/>
    </font>
    <font>
      <b/>
      <sz val="18"/>
      <color indexed="8"/>
      <name val="Times New Roman"/>
      <family val="1"/>
    </font>
    <font>
      <b/>
      <sz val="11"/>
      <name val="Times New Roman"/>
      <family val="1"/>
    </font>
    <font>
      <b/>
      <sz val="11"/>
      <name val="宋体"/>
      <family val="3"/>
      <charset val="134"/>
    </font>
    <font>
      <sz val="12"/>
      <color indexed="8"/>
      <name val="Times New Roman"/>
      <family val="1"/>
    </font>
    <font>
      <b/>
      <sz val="18"/>
      <name val="方正小标宋简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18"/>
      <name val="宋体"/>
      <family val="3"/>
      <charset val="134"/>
    </font>
    <font>
      <sz val="9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Arial Narrow"/>
      <family val="2"/>
    </font>
    <font>
      <sz val="9"/>
      <color indexed="8"/>
      <name val="Times New Roman"/>
      <family val="1"/>
    </font>
    <font>
      <sz val="20"/>
      <name val="宋体"/>
      <family val="3"/>
      <charset val="134"/>
    </font>
    <font>
      <sz val="8"/>
      <color indexed="8"/>
      <name val="Arial Narrow"/>
      <family val="2"/>
    </font>
    <font>
      <sz val="14"/>
      <name val="Times New Roman"/>
      <family val="1"/>
    </font>
    <font>
      <b/>
      <sz val="24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20"/>
      <name val="宋体"/>
      <family val="3"/>
      <charset val="134"/>
    </font>
    <font>
      <sz val="10"/>
      <name val="Arial"/>
      <family val="2"/>
    </font>
    <font>
      <b/>
      <i/>
      <sz val="10"/>
      <name val="Times New Roman"/>
      <family val="1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8"/>
      <name val="Arial"/>
      <family val="2"/>
    </font>
    <font>
      <sz val="10"/>
      <color indexed="8"/>
      <name val="Arial"/>
      <family val="2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b/>
      <sz val="15"/>
      <color indexed="56"/>
      <name val="宋体"/>
      <family val="3"/>
      <charset val="134"/>
    </font>
    <font>
      <sz val="13"/>
      <name val="Tms Rmn"/>
      <family val="1"/>
    </font>
    <font>
      <sz val="11"/>
      <color indexed="38"/>
      <name val="宋体"/>
      <family val="3"/>
      <charset val="134"/>
    </font>
    <font>
      <sz val="10"/>
      <color indexed="8"/>
      <name val="MS Sans Serif"/>
      <family val="2"/>
    </font>
    <font>
      <sz val="11"/>
      <color indexed="10"/>
      <name val="宋体"/>
      <family val="3"/>
      <charset val="134"/>
    </font>
    <font>
      <sz val="11"/>
      <color indexed="26"/>
      <name val="宋体"/>
      <family val="3"/>
      <charset val="134"/>
    </font>
    <font>
      <sz val="12"/>
      <color indexed="9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color indexed="24"/>
      <name val="Arial"/>
      <family val="2"/>
    </font>
    <font>
      <sz val="11"/>
      <color indexed="21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0"/>
      <color indexed="8"/>
      <name val="Arial"/>
      <family val="2"/>
    </font>
    <font>
      <b/>
      <sz val="18"/>
      <color indexed="56"/>
      <name val="宋体"/>
      <family val="3"/>
      <charset val="134"/>
    </font>
    <font>
      <sz val="10"/>
      <color indexed="39"/>
      <name val="Arial"/>
      <family val="2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2"/>
      <name val="新細明體"/>
      <charset val="134"/>
    </font>
    <font>
      <sz val="11"/>
      <color indexed="60"/>
      <name val="宋体"/>
      <family val="3"/>
      <charset val="134"/>
    </font>
    <font>
      <sz val="18"/>
      <color indexed="24"/>
      <name val="Arial"/>
      <family val="2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name val="Arial"/>
      <family val="2"/>
    </font>
    <font>
      <b/>
      <sz val="24"/>
      <color indexed="20"/>
      <name val="隶书"/>
      <family val="3"/>
      <charset val="134"/>
    </font>
    <font>
      <b/>
      <sz val="12"/>
      <color indexed="8"/>
      <name val="Arial"/>
      <family val="2"/>
    </font>
    <font>
      <b/>
      <i/>
      <sz val="12"/>
      <name val="Times New Roman"/>
      <family val="1"/>
    </font>
    <font>
      <sz val="12"/>
      <name val="官帕眉"/>
      <charset val="134"/>
    </font>
    <font>
      <b/>
      <sz val="13"/>
      <color indexed="5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8"/>
      <color indexed="24"/>
      <name val="Arial"/>
      <family val="2"/>
    </font>
    <font>
      <b/>
      <sz val="18"/>
      <color indexed="62"/>
      <name val="宋体"/>
      <family val="3"/>
      <charset val="134"/>
    </font>
    <font>
      <sz val="11"/>
      <name val="ＭＳ Ｐゴシック"/>
      <charset val="134"/>
    </font>
    <font>
      <sz val="11"/>
      <color theme="1"/>
      <name val="Tahoma"/>
      <family val="2"/>
    </font>
    <font>
      <sz val="10"/>
      <name val="MS Sans Serif"/>
      <family val="2"/>
    </font>
    <font>
      <sz val="11"/>
      <name val="柧挬"/>
      <charset val="134"/>
    </font>
    <font>
      <sz val="12"/>
      <name val="바탕체"/>
      <charset val="134"/>
    </font>
    <font>
      <sz val="7"/>
      <name val="Small Fonts"/>
      <family val="2"/>
    </font>
    <font>
      <sz val="10"/>
      <color indexed="10"/>
      <name val="Arial"/>
      <family val="2"/>
    </font>
    <font>
      <sz val="12"/>
      <color indexed="16"/>
      <name val="宋体"/>
      <family val="3"/>
      <charset val="134"/>
    </font>
    <font>
      <sz val="19"/>
      <color indexed="48"/>
      <name val="Arial"/>
      <family val="2"/>
    </font>
    <font>
      <b/>
      <i/>
      <sz val="16"/>
      <name val="Helv"/>
      <family val="2"/>
    </font>
    <font>
      <b/>
      <sz val="10"/>
      <name val="Helv"/>
      <family val="2"/>
    </font>
    <font>
      <b/>
      <sz val="13"/>
      <name val="Tms Rmn"/>
      <family val="1"/>
    </font>
    <font>
      <b/>
      <sz val="12"/>
      <name val="Helv"/>
      <family val="2"/>
    </font>
    <font>
      <b/>
      <sz val="11"/>
      <name val="Helv"/>
      <family val="2"/>
    </font>
    <font>
      <sz val="8"/>
      <color indexed="16"/>
      <name val="Century Schoolbook"/>
      <family val="1"/>
    </font>
    <font>
      <sz val="11"/>
      <name val="明朝"/>
      <charset val="134"/>
    </font>
    <font>
      <b/>
      <sz val="10"/>
      <color indexed="39"/>
      <name val="Arial"/>
      <family val="2"/>
    </font>
    <font>
      <b/>
      <sz val="9"/>
      <name val="Times New Roman"/>
      <family val="1"/>
    </font>
    <font>
      <sz val="8"/>
      <name val="Century Schoolbook"/>
      <family val="1"/>
    </font>
    <font>
      <sz val="12"/>
      <color indexed="17"/>
      <name val="宋体"/>
      <family val="3"/>
      <charset val="134"/>
    </font>
    <font>
      <sz val="14"/>
      <name val="柧挬"/>
      <charset val="134"/>
    </font>
    <font>
      <sz val="11"/>
      <color indexed="8"/>
      <name val="Tahoma"/>
      <family val="2"/>
    </font>
    <font>
      <sz val="10"/>
      <name val="Geneva"/>
      <family val="2"/>
    </font>
    <font>
      <sz val="10"/>
      <name val="奔覆眉"/>
      <charset val="134"/>
    </font>
    <font>
      <b/>
      <sz val="18"/>
      <color indexed="8"/>
      <name val="方正小标宋简体"/>
      <family val="3"/>
      <charset val="134"/>
    </font>
    <font>
      <sz val="12"/>
      <name val="宋体"/>
      <family val="3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5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0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15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9"/>
        <bgColor indexed="29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11"/>
      </left>
      <right style="double">
        <color indexed="11"/>
      </right>
      <top style="double">
        <color indexed="11"/>
      </top>
      <bottom style="double">
        <color indexed="11"/>
      </bottom>
      <diagonal/>
    </border>
    <border>
      <left/>
      <right/>
      <top/>
      <bottom style="thick">
        <color indexed="2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auto="1"/>
      </bottom>
      <diagonal/>
    </border>
  </borders>
  <cellStyleXfs count="2025">
    <xf numFmtId="0" fontId="0" fillId="0" borderId="0"/>
    <xf numFmtId="0" fontId="39" fillId="0" borderId="0" applyNumberFormat="0" applyFill="0" applyBorder="0" applyAlignment="0" applyProtection="0"/>
    <xf numFmtId="41" fontId="39" fillId="0" borderId="0" applyFont="0" applyFill="0" applyBorder="0" applyAlignment="0" applyProtection="0"/>
    <xf numFmtId="0" fontId="104" fillId="0" borderId="0"/>
    <xf numFmtId="0" fontId="104" fillId="0" borderId="0"/>
    <xf numFmtId="0" fontId="36" fillId="5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4" fontId="45" fillId="11" borderId="19" applyNumberFormat="0" applyProtection="0">
      <alignment horizontal="left" vertical="center" indent="1"/>
    </xf>
    <xf numFmtId="0" fontId="48" fillId="0" borderId="20" applyNumberFormat="0" applyFill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41" fillId="13" borderId="0" applyNumberFormat="0" applyBorder="0" applyAlignment="0" applyProtection="0">
      <alignment vertical="center"/>
    </xf>
    <xf numFmtId="0" fontId="51" fillId="0" borderId="0"/>
    <xf numFmtId="43" fontId="104" fillId="0" borderId="0" applyFont="0" applyFill="0" applyBorder="0" applyAlignment="0" applyProtection="0"/>
    <xf numFmtId="0" fontId="41" fillId="12" borderId="0" applyNumberFormat="0" applyBorder="0" applyAlignment="0" applyProtection="0">
      <alignment vertical="center"/>
    </xf>
    <xf numFmtId="0" fontId="104" fillId="0" borderId="0"/>
    <xf numFmtId="0" fontId="47" fillId="0" borderId="0">
      <alignment horizontal="center" wrapText="1"/>
      <protection locked="0"/>
    </xf>
    <xf numFmtId="0" fontId="46" fillId="14" borderId="0" applyNumberFormat="0" applyBorder="0" applyAlignment="0" applyProtection="0"/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179" fontId="104" fillId="0" borderId="0" applyFill="0" applyBorder="0" applyAlignment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42" fillId="19" borderId="0" applyNumberFormat="0" applyBorder="0" applyAlignment="0" applyProtection="0">
      <alignment vertical="center"/>
    </xf>
    <xf numFmtId="0" fontId="54" fillId="25" borderId="0" applyNumberFormat="0" applyBorder="0" applyAlignment="0" applyProtection="0"/>
    <xf numFmtId="0" fontId="42" fillId="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23" borderId="0" applyNumberFormat="0" applyBorder="0" applyAlignment="0" applyProtection="0">
      <alignment vertical="center"/>
    </xf>
    <xf numFmtId="0" fontId="104" fillId="0" borderId="0"/>
    <xf numFmtId="0" fontId="25" fillId="0" borderId="0">
      <alignment horizontal="left"/>
    </xf>
    <xf numFmtId="0" fontId="54" fillId="19" borderId="0" applyNumberFormat="0" applyBorder="0" applyAlignment="0" applyProtection="0"/>
    <xf numFmtId="0" fontId="104" fillId="0" borderId="0"/>
    <xf numFmtId="0" fontId="38" fillId="6" borderId="0" applyNumberFormat="0" applyBorder="0" applyAlignment="0" applyProtection="0">
      <alignment vertical="center"/>
    </xf>
    <xf numFmtId="186" fontId="104" fillId="0" borderId="0" applyFill="0" applyBorder="0" applyAlignment="0"/>
    <xf numFmtId="0" fontId="59" fillId="0" borderId="0" applyNumberForma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3" fillId="0" borderId="0"/>
    <xf numFmtId="0" fontId="104" fillId="0" borderId="0">
      <alignment vertical="center"/>
    </xf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186" fontId="104" fillId="0" borderId="0" applyFill="0" applyBorder="0" applyAlignment="0"/>
    <xf numFmtId="0" fontId="41" fillId="24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104" fillId="0" borderId="0"/>
    <xf numFmtId="186" fontId="104" fillId="0" borderId="0" applyFill="0" applyBorder="0" applyAlignment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0" fontId="104" fillId="0" borderId="0"/>
    <xf numFmtId="188" fontId="104" fillId="0" borderId="0" applyFont="0" applyFill="0" applyBorder="0" applyAlignment="0" applyProtection="0"/>
    <xf numFmtId="0" fontId="41" fillId="24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54" fillId="19" borderId="0" applyNumberFormat="0" applyBorder="0" applyAlignment="0" applyProtection="0"/>
    <xf numFmtId="0" fontId="41" fillId="24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186" fontId="104" fillId="0" borderId="0" applyFill="0" applyBorder="0" applyAlignment="0"/>
    <xf numFmtId="0" fontId="104" fillId="0" borderId="0"/>
    <xf numFmtId="0" fontId="104" fillId="0" borderId="0"/>
    <xf numFmtId="0" fontId="104" fillId="0" borderId="0"/>
    <xf numFmtId="0" fontId="41" fillId="17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104" fillId="0" borderId="0"/>
    <xf numFmtId="186" fontId="104" fillId="0" borderId="0" applyFont="0" applyFill="0" applyBorder="0" applyAlignment="0" applyProtection="0"/>
    <xf numFmtId="0" fontId="41" fillId="8" borderId="0" applyNumberFormat="0" applyBorder="0" applyAlignment="0" applyProtection="0">
      <alignment vertical="center"/>
    </xf>
    <xf numFmtId="0" fontId="104" fillId="0" borderId="0">
      <alignment vertical="center"/>
    </xf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30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41" fillId="5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0" fontId="68" fillId="14" borderId="24" applyNumberFormat="0" applyAlignment="0" applyProtection="0">
      <alignment vertical="center"/>
    </xf>
    <xf numFmtId="198" fontId="49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0" fontId="46" fillId="14" borderId="0" applyNumberFormat="0" applyBorder="0" applyAlignment="0" applyProtection="0"/>
    <xf numFmtId="0" fontId="104" fillId="0" borderId="0"/>
    <xf numFmtId="186" fontId="104" fillId="0" borderId="0" applyFont="0" applyFill="0" applyBorder="0" applyAlignment="0" applyProtection="0"/>
    <xf numFmtId="0" fontId="104" fillId="0" borderId="0"/>
    <xf numFmtId="186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" fontId="60" fillId="29" borderId="19" applyNumberFormat="0" applyProtection="0">
      <alignment horizontal="left" vertical="center" indent="1"/>
    </xf>
    <xf numFmtId="43" fontId="104" fillId="0" borderId="0" applyFont="0" applyFill="0" applyBorder="0" applyAlignment="0" applyProtection="0"/>
    <xf numFmtId="4" fontId="45" fillId="31" borderId="19" applyNumberFormat="0" applyProtection="0">
      <alignment horizontal="left" vertical="center" indent="1"/>
    </xf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176" fontId="71" fillId="0" borderId="0">
      <alignment horizontal="center" vertical="center"/>
      <protection locked="0"/>
    </xf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9" fillId="18" borderId="19" applyNumberFormat="0" applyProtection="0">
      <alignment horizontal="left" vertical="top" indent="1"/>
    </xf>
    <xf numFmtId="0" fontId="104" fillId="0" borderId="0"/>
    <xf numFmtId="0" fontId="36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200" fontId="4" fillId="0" borderId="0" applyFont="0" applyFill="0" applyBorder="0" applyAlignment="0" applyProtection="0"/>
    <xf numFmtId="0" fontId="104" fillId="0" borderId="0"/>
    <xf numFmtId="0" fontId="39" fillId="0" borderId="0"/>
    <xf numFmtId="9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9" fillId="0" borderId="0"/>
    <xf numFmtId="184" fontId="39" fillId="0" borderId="0"/>
    <xf numFmtId="0" fontId="41" fillId="13" borderId="0" applyNumberFormat="0" applyBorder="0" applyAlignment="0" applyProtection="0">
      <alignment vertical="center"/>
    </xf>
    <xf numFmtId="4" fontId="45" fillId="11" borderId="19" applyNumberForma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9" fillId="0" borderId="0"/>
    <xf numFmtId="0" fontId="73" fillId="10" borderId="27">
      <alignment horizontal="center"/>
    </xf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1" fillId="22" borderId="0" applyNumberFormat="0" applyBorder="0" applyAlignment="0" applyProtection="0">
      <alignment vertical="center"/>
    </xf>
    <xf numFmtId="9" fontId="7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104" fillId="0" borderId="0"/>
    <xf numFmtId="186" fontId="104" fillId="0" borderId="0" applyFill="0" applyBorder="0" applyAlignment="0"/>
    <xf numFmtId="38" fontId="44" fillId="14" borderId="0" applyNumberFormat="0" applyBorder="0" applyAlignment="0" applyProtection="0"/>
    <xf numFmtId="188" fontId="104" fillId="0" borderId="0" applyFont="0" applyFill="0" applyBorder="0" applyAlignment="0" applyProtection="0"/>
    <xf numFmtId="10" fontId="49" fillId="0" borderId="0" applyFont="0" applyFill="0" applyBorder="0" applyAlignment="0" applyProtection="0"/>
    <xf numFmtId="0" fontId="41" fillId="8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177" fontId="104" fillId="0" borderId="0" applyFont="0" applyFill="0" applyBorder="0" applyAlignment="0" applyProtection="0"/>
    <xf numFmtId="0" fontId="54" fillId="32" borderId="0" applyNumberFormat="0" applyBorder="0" applyAlignment="0" applyProtection="0"/>
    <xf numFmtId="0" fontId="3" fillId="0" borderId="0">
      <alignment vertical="center"/>
    </xf>
    <xf numFmtId="0" fontId="104" fillId="0" borderId="0"/>
    <xf numFmtId="0" fontId="41" fillId="12" borderId="0" applyNumberFormat="0" applyBorder="0" applyAlignment="0" applyProtection="0">
      <alignment vertical="center"/>
    </xf>
    <xf numFmtId="177" fontId="104" fillId="0" borderId="0" applyFont="0" applyFill="0" applyBorder="0" applyAlignment="0" applyProtection="0"/>
    <xf numFmtId="0" fontId="54" fillId="32" borderId="0" applyNumberFormat="0" applyBorder="0" applyAlignment="0" applyProtection="0"/>
    <xf numFmtId="0" fontId="41" fillId="13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41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1" fillId="13" borderId="0" applyNumberFormat="0" applyBorder="0" applyAlignment="0" applyProtection="0">
      <alignment vertical="center"/>
    </xf>
    <xf numFmtId="0" fontId="46" fillId="24" borderId="0" applyNumberFormat="0" applyBorder="0" applyAlignment="0" applyProtection="0"/>
    <xf numFmtId="0" fontId="63" fillId="14" borderId="17" applyNumberFormat="0" applyAlignment="0" applyProtection="0">
      <alignment vertical="center"/>
    </xf>
    <xf numFmtId="0" fontId="104" fillId="0" borderId="2" applyBorder="0" applyAlignment="0">
      <alignment horizontal="center"/>
    </xf>
    <xf numFmtId="0" fontId="41" fillId="13" borderId="0" applyNumberFormat="0" applyBorder="0" applyAlignment="0" applyProtection="0">
      <alignment vertical="center"/>
    </xf>
    <xf numFmtId="0" fontId="39" fillId="31" borderId="19" applyNumberFormat="0" applyProtection="0">
      <alignment horizontal="left" vertical="top" indent="1"/>
    </xf>
    <xf numFmtId="0" fontId="41" fillId="17" borderId="0" applyNumberFormat="0" applyBorder="0" applyAlignment="0" applyProtection="0">
      <alignment vertical="center"/>
    </xf>
    <xf numFmtId="179" fontId="104" fillId="0" borderId="0" applyFill="0" applyBorder="0" applyAlignment="0"/>
    <xf numFmtId="0" fontId="63" fillId="14" borderId="17" applyNumberFormat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179" fontId="104" fillId="0" borderId="0" applyFill="0" applyBorder="0" applyAlignment="0"/>
    <xf numFmtId="0" fontId="41" fillId="17" borderId="0" applyNumberFormat="0" applyBorder="0" applyAlignment="0" applyProtection="0">
      <alignment vertical="center"/>
    </xf>
    <xf numFmtId="37" fontId="49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104" fillId="0" borderId="0"/>
    <xf numFmtId="0" fontId="63" fillId="14" borderId="17" applyNumberFormat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179" fontId="104" fillId="0" borderId="0" applyFill="0" applyBorder="0" applyAlignment="0"/>
    <xf numFmtId="0" fontId="41" fillId="17" borderId="0" applyNumberFormat="0" applyBorder="0" applyAlignment="0" applyProtection="0">
      <alignment vertical="center"/>
    </xf>
    <xf numFmtId="181" fontId="49" fillId="0" borderId="0" applyFont="0" applyFill="0" applyBorder="0" applyAlignment="0" applyProtection="0"/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/>
    <xf numFmtId="0" fontId="41" fillId="13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6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1" fillId="6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1" fillId="6" borderId="0" applyNumberFormat="0" applyBorder="0" applyAlignment="0" applyProtection="0">
      <alignment vertical="center"/>
    </xf>
    <xf numFmtId="0" fontId="76" fillId="33" borderId="0" applyNumberFormat="0" applyBorder="0" applyAlignment="0" applyProtection="0"/>
    <xf numFmtId="0" fontId="104" fillId="0" borderId="0"/>
    <xf numFmtId="0" fontId="104" fillId="0" borderId="0"/>
    <xf numFmtId="0" fontId="41" fillId="6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1" fillId="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6" borderId="0" applyNumberFormat="0" applyBorder="0" applyAlignment="0" applyProtection="0">
      <alignment vertical="center"/>
    </xf>
    <xf numFmtId="0" fontId="77" fillId="0" borderId="0" applyNumberForma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104" fillId="0" borderId="0">
      <alignment vertical="center"/>
    </xf>
    <xf numFmtId="0" fontId="41" fillId="5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0" fontId="9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180" fontId="104" fillId="0" borderId="0" applyFill="0" applyBorder="0" applyAlignment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0" fontId="46" fillId="11" borderId="0" applyNumberFormat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5" borderId="0" applyNumberFormat="0" applyBorder="0" applyAlignment="0" applyProtection="0">
      <alignment vertical="center"/>
    </xf>
    <xf numFmtId="0" fontId="39" fillId="0" borderId="0"/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6" fillId="8" borderId="0" applyNumberFormat="0" applyBorder="0" applyAlignment="0" applyProtection="0"/>
    <xf numFmtId="0" fontId="41" fillId="22" borderId="0" applyNumberFormat="0" applyBorder="0" applyAlignment="0" applyProtection="0">
      <alignment vertical="center"/>
    </xf>
    <xf numFmtId="0" fontId="104" fillId="0" borderId="0"/>
    <xf numFmtId="0" fontId="53" fillId="1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46" fillId="14" borderId="0" applyNumberFormat="0" applyBorder="0" applyAlignment="0" applyProtection="0"/>
    <xf numFmtId="0" fontId="41" fillId="2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201" fontId="39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104" fillId="0" borderId="0"/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" fillId="0" borderId="0"/>
    <xf numFmtId="0" fontId="39" fillId="18" borderId="19" applyNumberFormat="0" applyProtection="0">
      <alignment horizontal="left" vertical="center" indent="1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" fontId="45" fillId="17" borderId="19" applyNumberFormat="0" applyProtection="0">
      <alignment horizontal="right" vertical="center"/>
    </xf>
    <xf numFmtId="0" fontId="41" fillId="24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104" fillId="0" borderId="0"/>
    <xf numFmtId="0" fontId="42" fillId="1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54" fillId="14" borderId="0" applyNumberFormat="0" applyBorder="0" applyAlignment="0" applyProtection="0"/>
    <xf numFmtId="0" fontId="41" fillId="8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37" fontId="84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8" borderId="0" applyNumberFormat="0" applyBorder="0" applyAlignment="0" applyProtection="0">
      <alignment vertical="center"/>
    </xf>
    <xf numFmtId="0" fontId="104" fillId="0" borderId="0">
      <alignment vertical="center"/>
    </xf>
    <xf numFmtId="187" fontId="104" fillId="0" borderId="0" applyFill="0" applyBorder="0" applyAlignment="0"/>
    <xf numFmtId="9" fontId="104" fillId="0" borderId="0" applyFont="0" applyFill="0" applyBorder="0" applyAlignment="0" applyProtection="0"/>
    <xf numFmtId="0" fontId="41" fillId="8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38" fillId="6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205" fontId="81" fillId="0" borderId="0" applyFill="0" applyBorder="0" applyAlignment="0"/>
    <xf numFmtId="41" fontId="104" fillId="0" borderId="0" applyFont="0" applyFill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3" fillId="0" borderId="0"/>
    <xf numFmtId="0" fontId="41" fillId="12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104" fillId="0" borderId="0" applyProtection="0">
      <alignment vertical="center"/>
    </xf>
    <xf numFmtId="0" fontId="54" fillId="20" borderId="0" applyNumberFormat="0" applyBorder="0" applyAlignment="0" applyProtection="0"/>
    <xf numFmtId="43" fontId="104" fillId="0" borderId="0" applyFont="0" applyFill="0" applyBorder="0" applyAlignment="0" applyProtection="0"/>
    <xf numFmtId="0" fontId="104" fillId="0" borderId="0"/>
    <xf numFmtId="0" fontId="41" fillId="12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54" fillId="20" borderId="0" applyNumberFormat="0" applyBorder="0" applyAlignment="0" applyProtection="0"/>
    <xf numFmtId="43" fontId="104" fillId="0" borderId="0" applyFont="0" applyFill="0" applyBorder="0" applyAlignment="0" applyProtection="0"/>
    <xf numFmtId="0" fontId="104" fillId="0" borderId="0"/>
    <xf numFmtId="0" fontId="41" fillId="12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" fontId="72" fillId="20" borderId="0" applyNumberFormat="0" applyProtection="0">
      <alignment horizontal="left" vertical="center" indent="1"/>
    </xf>
    <xf numFmtId="43" fontId="104" fillId="0" borderId="0" applyFont="0" applyFill="0" applyBorder="0" applyAlignment="0" applyProtection="0"/>
    <xf numFmtId="192" fontId="4" fillId="0" borderId="0" applyFont="0" applyFill="0" applyBorder="0" applyAlignment="0" applyProtection="0"/>
    <xf numFmtId="0" fontId="104" fillId="0" borderId="0"/>
    <xf numFmtId="0" fontId="41" fillId="1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9" fillId="20" borderId="19" applyNumberFormat="0" applyProtection="0">
      <alignment horizontal="left" vertical="top" indent="1"/>
    </xf>
    <xf numFmtId="0" fontId="41" fillId="23" borderId="0" applyNumberFormat="0" applyBorder="0" applyAlignment="0" applyProtection="0">
      <alignment vertical="center"/>
    </xf>
    <xf numFmtId="0" fontId="104" fillId="0" borderId="0"/>
    <xf numFmtId="0" fontId="38" fillId="6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54" fillId="12" borderId="0" applyNumberFormat="0" applyBorder="0" applyAlignment="0" applyProtection="0"/>
    <xf numFmtId="0" fontId="41" fillId="23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41" fillId="11" borderId="21" applyNumberFormat="0" applyFont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179" fontId="104" fillId="0" borderId="0" applyFill="0" applyBorder="0" applyAlignment="0"/>
    <xf numFmtId="9" fontId="104" fillId="0" borderId="0" applyFont="0" applyFill="0" applyBorder="0" applyAlignment="0" applyProtection="0"/>
    <xf numFmtId="0" fontId="41" fillId="1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104" fillId="0" borderId="0"/>
    <xf numFmtId="0" fontId="104" fillId="0" borderId="0"/>
    <xf numFmtId="0" fontId="41" fillId="17" borderId="0" applyNumberFormat="0" applyBorder="0" applyAlignment="0" applyProtection="0">
      <alignment vertical="center"/>
    </xf>
    <xf numFmtId="179" fontId="104" fillId="0" borderId="0" applyFill="0" applyBorder="0" applyAlignment="0"/>
    <xf numFmtId="0" fontId="104" fillId="0" borderId="0"/>
    <xf numFmtId="0" fontId="104" fillId="0" borderId="0"/>
    <xf numFmtId="0" fontId="41" fillId="17" borderId="0" applyNumberFormat="0" applyBorder="0" applyAlignment="0" applyProtection="0">
      <alignment vertical="center"/>
    </xf>
    <xf numFmtId="4" fontId="85" fillId="18" borderId="19" applyNumberFormat="0" applyProtection="0">
      <alignment horizontal="right" vertical="center"/>
    </xf>
    <xf numFmtId="0" fontId="104" fillId="0" borderId="0"/>
    <xf numFmtId="0" fontId="104" fillId="0" borderId="0"/>
    <xf numFmtId="0" fontId="41" fillId="17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22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6" fillId="11" borderId="0" applyNumberFormat="0" applyBorder="0" applyAlignment="0" applyProtection="0"/>
    <xf numFmtId="0" fontId="36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65" fillId="0" borderId="0"/>
    <xf numFmtId="0" fontId="36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197" fontId="49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12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1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12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1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66" fillId="29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41" fillId="16" borderId="0" applyNumberFormat="0" applyBorder="0" applyAlignment="0" applyProtection="0">
      <alignment vertical="center"/>
    </xf>
    <xf numFmtId="0" fontId="57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3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4" fontId="45" fillId="26" borderId="19" applyNumberFormat="0" applyProtection="0">
      <alignment horizontal="right" vertical="center"/>
    </xf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1" fillId="1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10" fontId="44" fillId="11" borderId="1" applyNumberFormat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0" fontId="45" fillId="31" borderId="19" applyNumberFormat="0" applyProtection="0">
      <alignment horizontal="left" vertical="top" indent="1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1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60" fillId="29" borderId="19" applyNumberFormat="0" applyProtection="0">
      <alignment horizontal="left" vertical="top" indent="1"/>
    </xf>
    <xf numFmtId="0" fontId="38" fillId="6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4" fontId="60" fillId="29" borderId="19" applyNumberFormat="0" applyProtection="0">
      <alignment vertical="center"/>
    </xf>
    <xf numFmtId="4" fontId="45" fillId="18" borderId="19" applyNumberFormat="0" applyProtection="0">
      <alignment horizontal="right" vertical="center"/>
    </xf>
    <xf numFmtId="0" fontId="54" fillId="8" borderId="0" applyNumberFormat="0" applyBorder="0" applyAlignment="0" applyProtection="0"/>
    <xf numFmtId="0" fontId="41" fillId="0" borderId="0">
      <alignment vertical="center"/>
    </xf>
    <xf numFmtId="187" fontId="104" fillId="0" borderId="0" applyFill="0" applyBorder="0" applyAlignment="0"/>
    <xf numFmtId="0" fontId="41" fillId="11" borderId="21" applyNumberFormat="0" applyFont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187" fontId="104" fillId="0" borderId="0" applyFill="0" applyBorder="0" applyAlignment="0"/>
    <xf numFmtId="0" fontId="104" fillId="0" borderId="0">
      <alignment vertical="center"/>
    </xf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11" borderId="21" applyNumberFormat="0" applyFont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1" fillId="11" borderId="21" applyNumberFormat="0" applyFont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0" borderId="0">
      <alignment vertical="center"/>
    </xf>
    <xf numFmtId="4" fontId="45" fillId="18" borderId="0" applyNumberFormat="0" applyProtection="0">
      <alignment horizontal="left" vertical="center" indent="1"/>
    </xf>
    <xf numFmtId="0" fontId="42" fillId="23" borderId="0" applyNumberFormat="0" applyBorder="0" applyAlignment="0" applyProtection="0">
      <alignment vertical="center"/>
    </xf>
    <xf numFmtId="0" fontId="104" fillId="0" borderId="0"/>
    <xf numFmtId="0" fontId="42" fillId="17" borderId="0" applyNumberFormat="0" applyBorder="0" applyAlignment="0" applyProtection="0">
      <alignment vertical="center"/>
    </xf>
    <xf numFmtId="0" fontId="104" fillId="0" borderId="0"/>
    <xf numFmtId="0" fontId="42" fillId="17" borderId="0" applyNumberFormat="0" applyBorder="0" applyAlignment="0" applyProtection="0">
      <alignment vertical="center"/>
    </xf>
    <xf numFmtId="4" fontId="45" fillId="6" borderId="19" applyNumberFormat="0" applyProtection="0">
      <alignment horizontal="right" vertical="center"/>
    </xf>
    <xf numFmtId="43" fontId="104" fillId="0" borderId="0" applyFont="0" applyFill="0" applyBorder="0" applyAlignment="0" applyProtection="0"/>
    <xf numFmtId="212" fontId="4" fillId="0" borderId="0" applyFont="0" applyFill="0" applyBorder="0" applyAlignment="0" applyProtection="0"/>
    <xf numFmtId="0" fontId="42" fillId="1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2" fillId="17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104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104" fillId="0" borderId="0">
      <alignment vertical="center"/>
    </xf>
    <xf numFmtId="0" fontId="42" fillId="17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2" fillId="30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104" fillId="0" borderId="0"/>
    <xf numFmtId="0" fontId="104" fillId="0" borderId="0"/>
    <xf numFmtId="0" fontId="42" fillId="30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187" fontId="104" fillId="0" borderId="0" applyFill="0" applyBorder="0" applyAlignment="0"/>
    <xf numFmtId="0" fontId="36" fillId="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0" fontId="104" fillId="0" borderId="0">
      <alignment vertical="center"/>
    </xf>
    <xf numFmtId="0" fontId="42" fillId="19" borderId="0" applyNumberFormat="0" applyBorder="0" applyAlignment="0" applyProtection="0">
      <alignment vertical="center"/>
    </xf>
    <xf numFmtId="0" fontId="104" fillId="0" borderId="0">
      <alignment vertical="center"/>
    </xf>
    <xf numFmtId="0" fontId="42" fillId="19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70" fillId="0" borderId="6">
      <alignment horizontal="left" vertical="center"/>
    </xf>
    <xf numFmtId="0" fontId="104" fillId="0" borderId="0">
      <alignment vertical="center"/>
    </xf>
    <xf numFmtId="0" fontId="42" fillId="19" borderId="0" applyNumberFormat="0" applyBorder="0" applyAlignment="0" applyProtection="0">
      <alignment vertical="center"/>
    </xf>
    <xf numFmtId="0" fontId="104" fillId="0" borderId="0">
      <alignment vertical="center"/>
    </xf>
    <xf numFmtId="0" fontId="42" fillId="1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1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1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86" fillId="6" borderId="0" applyNumberFormat="0" applyBorder="0" applyAlignment="0" applyProtection="0"/>
    <xf numFmtId="0" fontId="42" fillId="19" borderId="0" applyNumberFormat="0" applyBorder="0" applyAlignment="0" applyProtection="0">
      <alignment vertical="center"/>
    </xf>
    <xf numFmtId="185" fontId="49" fillId="0" borderId="0" applyFont="0" applyFill="0" applyBorder="0" applyAlignment="0" applyProtection="0"/>
    <xf numFmtId="0" fontId="104" fillId="0" borderId="0">
      <alignment vertical="center"/>
    </xf>
    <xf numFmtId="9" fontId="104" fillId="0" borderId="0" applyFont="0" applyFill="0" applyBorder="0" applyAlignment="0" applyProtection="0"/>
    <xf numFmtId="0" fontId="42" fillId="1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0" fontId="46" fillId="13" borderId="0" applyNumberFormat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4" fillId="12" borderId="0" applyNumberFormat="0" applyBorder="0" applyAlignment="0" applyProtection="0"/>
    <xf numFmtId="0" fontId="38" fillId="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4" fillId="12" borderId="0" applyNumberFormat="0" applyBorder="0" applyAlignment="0" applyProtection="0"/>
    <xf numFmtId="0" fontId="54" fillId="20" borderId="0" applyNumberFormat="0" applyBorder="0" applyAlignment="0" applyProtection="0"/>
    <xf numFmtId="0" fontId="3" fillId="0" borderId="0"/>
    <xf numFmtId="0" fontId="46" fillId="11" borderId="0" applyNumberFormat="0" applyBorder="0" applyAlignment="0" applyProtection="0"/>
    <xf numFmtId="0" fontId="54" fillId="25" borderId="0" applyNumberFormat="0" applyBorder="0" applyAlignment="0" applyProtection="0"/>
    <xf numFmtId="0" fontId="54" fillId="32" borderId="0" applyNumberFormat="0" applyBorder="0" applyAlignment="0" applyProtection="0"/>
    <xf numFmtId="0" fontId="36" fillId="5" borderId="0" applyNumberFormat="0" applyBorder="0" applyAlignment="0" applyProtection="0">
      <alignment vertical="center"/>
    </xf>
    <xf numFmtId="0" fontId="54" fillId="25" borderId="0" applyNumberFormat="0" applyBorder="0" applyAlignment="0" applyProtection="0"/>
    <xf numFmtId="0" fontId="46" fillId="11" borderId="0" applyNumberFormat="0" applyBorder="0" applyAlignment="0" applyProtection="0"/>
    <xf numFmtId="184" fontId="39" fillId="0" borderId="0"/>
    <xf numFmtId="0" fontId="54" fillId="7" borderId="0" applyNumberFormat="0" applyBorder="0" applyAlignment="0" applyProtection="0"/>
    <xf numFmtId="0" fontId="104" fillId="0" borderId="0"/>
    <xf numFmtId="0" fontId="104" fillId="0" borderId="0"/>
    <xf numFmtId="0" fontId="46" fillId="11" borderId="0" applyNumberFormat="0" applyBorder="0" applyAlignment="0" applyProtection="0"/>
    <xf numFmtId="0" fontId="46" fillId="5" borderId="0" applyNumberFormat="0" applyBorder="0" applyAlignment="0" applyProtection="0"/>
    <xf numFmtId="9" fontId="104" fillId="0" borderId="0" applyFont="0" applyFill="0" applyBorder="0" applyAlignment="0" applyProtection="0"/>
    <xf numFmtId="0" fontId="46" fillId="5" borderId="0" applyNumberFormat="0" applyBorder="0" applyAlignment="0" applyProtection="0"/>
    <xf numFmtId="0" fontId="54" fillId="14" borderId="0" applyNumberFormat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4" fillId="14" borderId="0" applyNumberFormat="0" applyBorder="0" applyAlignment="0" applyProtection="0"/>
    <xf numFmtId="9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54" fillId="25" borderId="0" applyNumberFormat="0" applyBorder="0" applyAlignment="0" applyProtection="0"/>
    <xf numFmtId="0" fontId="64" fillId="25" borderId="23" applyNumberFormat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104" fillId="0" borderId="0"/>
    <xf numFmtId="0" fontId="54" fillId="25" borderId="0" applyNumberFormat="0" applyBorder="0" applyAlignment="0" applyProtection="0"/>
    <xf numFmtId="0" fontId="54" fillId="20" borderId="0" applyNumberFormat="0" applyBorder="0" applyAlignment="0" applyProtection="0"/>
    <xf numFmtId="0" fontId="46" fillId="13" borderId="0" applyNumberFormat="0" applyBorder="0" applyAlignment="0" applyProtection="0"/>
    <xf numFmtId="0" fontId="61" fillId="0" borderId="0" applyNumberForma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53" fillId="16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6" fillId="14" borderId="0" applyNumberFormat="0" applyBorder="0" applyAlignment="0" applyProtection="0"/>
    <xf numFmtId="9" fontId="104" fillId="0" borderId="0" applyFont="0" applyFill="0" applyBorder="0" applyAlignment="0" applyProtection="0"/>
    <xf numFmtId="4" fontId="45" fillId="15" borderId="19" applyNumberFormat="0" applyProtection="0">
      <alignment horizontal="right" vertical="center"/>
    </xf>
    <xf numFmtId="0" fontId="54" fillId="14" borderId="0" applyNumberFormat="0" applyBorder="0" applyAlignment="0" applyProtection="0"/>
    <xf numFmtId="0" fontId="54" fillId="20" borderId="0" applyNumberFormat="0" applyBorder="0" applyAlignment="0" applyProtection="0"/>
    <xf numFmtId="0" fontId="54" fillId="19" borderId="0" applyNumberFormat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4" fillId="20" borderId="0" applyNumberFormat="0" applyBorder="0" applyAlignment="0" applyProtection="0"/>
    <xf numFmtId="0" fontId="54" fillId="7" borderId="0" applyNumberFormat="0" applyBorder="0" applyAlignment="0" applyProtection="0"/>
    <xf numFmtId="43" fontId="104" fillId="0" borderId="0" applyFont="0" applyFill="0" applyBorder="0" applyAlignment="0" applyProtection="0"/>
    <xf numFmtId="0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6" fillId="24" borderId="0" applyNumberFormat="0" applyBorder="0" applyAlignment="0" applyProtection="0"/>
    <xf numFmtId="41" fontId="1" fillId="0" borderId="0" applyFont="0" applyFill="0" applyBorder="0" applyAlignment="0" applyProtection="0"/>
    <xf numFmtId="0" fontId="46" fillId="13" borderId="0" applyNumberFormat="0" applyBorder="0" applyAlignment="0" applyProtection="0"/>
    <xf numFmtId="9" fontId="104" fillId="0" borderId="0" applyFont="0" applyFill="0" applyBorder="0" applyAlignment="0" applyProtection="0"/>
    <xf numFmtId="191" fontId="57" fillId="0" borderId="0" applyFont="0" applyFill="0" applyBorder="0" applyAlignment="0" applyProtection="0"/>
    <xf numFmtId="0" fontId="54" fillId="12" borderId="0" applyNumberFormat="0" applyBorder="0" applyAlignment="0" applyProtection="0"/>
    <xf numFmtId="0" fontId="75" fillId="0" borderId="28" applyNumberFormat="0" applyFill="0" applyAlignment="0" applyProtection="0">
      <alignment vertical="center"/>
    </xf>
    <xf numFmtId="0" fontId="54" fillId="7" borderId="0" applyNumberFormat="0" applyBorder="0" applyAlignment="0" applyProtection="0"/>
    <xf numFmtId="4" fontId="60" fillId="37" borderId="29" applyNumberFormat="0" applyProtection="0">
      <alignment horizontal="left" vertical="center" indent="1"/>
    </xf>
    <xf numFmtId="0" fontId="36" fillId="5" borderId="0" applyNumberFormat="0" applyBorder="0" applyAlignment="0" applyProtection="0">
      <alignment vertical="center"/>
    </xf>
    <xf numFmtId="0" fontId="46" fillId="11" borderId="0" applyNumberFormat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6" fillId="8" borderId="0" applyNumberFormat="0" applyBorder="0" applyAlignment="0" applyProtection="0"/>
    <xf numFmtId="4" fontId="45" fillId="23" borderId="19" applyNumberFormat="0" applyProtection="0">
      <alignment horizontal="right" vertical="center"/>
    </xf>
    <xf numFmtId="0" fontId="54" fillId="8" borderId="0" applyNumberFormat="0" applyBorder="0" applyAlignment="0" applyProtection="0"/>
    <xf numFmtId="0" fontId="36" fillId="5" borderId="0" applyNumberFormat="0" applyBorder="0" applyAlignment="0" applyProtection="0">
      <alignment vertical="center"/>
    </xf>
    <xf numFmtId="0" fontId="104" fillId="0" borderId="0"/>
    <xf numFmtId="0" fontId="104" fillId="0" borderId="0"/>
    <xf numFmtId="208" fontId="45" fillId="0" borderId="0" applyFill="0" applyBorder="0" applyAlignment="0"/>
    <xf numFmtId="43" fontId="104" fillId="0" borderId="0" applyFont="0" applyFill="0" applyBorder="0" applyAlignment="0" applyProtection="0"/>
    <xf numFmtId="0" fontId="104" fillId="0" borderId="0"/>
    <xf numFmtId="0" fontId="104" fillId="0" borderId="0"/>
    <xf numFmtId="0" fontId="104" fillId="0" borderId="0"/>
    <xf numFmtId="0" fontId="104" fillId="0" borderId="0"/>
    <xf numFmtId="203" fontId="81" fillId="0" borderId="0" applyFill="0" applyBorder="0" applyAlignment="0"/>
    <xf numFmtId="187" fontId="104" fillId="0" borderId="0" applyFill="0" applyBorder="0" applyAlignment="0"/>
    <xf numFmtId="187" fontId="104" fillId="0" borderId="0" applyFill="0" applyBorder="0" applyAlignment="0"/>
    <xf numFmtId="0" fontId="104" fillId="0" borderId="0"/>
    <xf numFmtId="0" fontId="104" fillId="0" borderId="0"/>
    <xf numFmtId="180" fontId="104" fillId="0" borderId="0" applyFill="0" applyBorder="0" applyAlignment="0"/>
    <xf numFmtId="0" fontId="50" fillId="9" borderId="0" applyNumberFormat="0" applyBorder="0" applyAlignment="0" applyProtection="0">
      <alignment vertical="center"/>
    </xf>
    <xf numFmtId="180" fontId="104" fillId="0" borderId="0" applyFill="0" applyBorder="0" applyAlignment="0"/>
    <xf numFmtId="0" fontId="104" fillId="0" borderId="0"/>
    <xf numFmtId="0" fontId="104" fillId="0" borderId="0"/>
    <xf numFmtId="180" fontId="104" fillId="0" borderId="0" applyFill="0" applyBorder="0" applyAlignment="0"/>
    <xf numFmtId="180" fontId="104" fillId="0" borderId="0" applyFill="0" applyBorder="0" applyAlignment="0"/>
    <xf numFmtId="214" fontId="7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41" fillId="0" borderId="0"/>
    <xf numFmtId="0" fontId="104" fillId="0" borderId="0"/>
    <xf numFmtId="180" fontId="104" fillId="0" borderId="0" applyFill="0" applyBorder="0" applyAlignment="0"/>
    <xf numFmtId="9" fontId="4" fillId="0" borderId="0" applyFont="0" applyFill="0" applyBorder="0" applyAlignment="0" applyProtection="0"/>
    <xf numFmtId="186" fontId="104" fillId="0" borderId="0" applyFill="0" applyBorder="0" applyAlignment="0"/>
    <xf numFmtId="0" fontId="36" fillId="9" borderId="0" applyNumberFormat="0" applyBorder="0" applyAlignment="0" applyProtection="0">
      <alignment vertical="center"/>
    </xf>
    <xf numFmtId="203" fontId="81" fillId="0" borderId="0" applyFill="0" applyBorder="0" applyAlignment="0"/>
    <xf numFmtId="184" fontId="39" fillId="0" borderId="0"/>
    <xf numFmtId="0" fontId="89" fillId="0" borderId="0"/>
    <xf numFmtId="0" fontId="56" fillId="0" borderId="30" applyNumberFormat="0" applyFill="0" applyAlignment="0" applyProtection="0">
      <alignment vertical="center"/>
    </xf>
    <xf numFmtId="43" fontId="104" fillId="0" borderId="0" applyFont="0" applyFill="0" applyBorder="0" applyAlignment="0" applyProtection="0"/>
    <xf numFmtId="0" fontId="90" fillId="0" borderId="2" applyNumberFormat="0" applyFill="0" applyProtection="0">
      <alignment horizontal="center"/>
    </xf>
    <xf numFmtId="184" fontId="39" fillId="0" borderId="0"/>
    <xf numFmtId="184" fontId="39" fillId="0" borderId="0"/>
    <xf numFmtId="184" fontId="39" fillId="0" borderId="0"/>
    <xf numFmtId="0" fontId="48" fillId="0" borderId="20" applyNumberFormat="0" applyFill="0" applyAlignment="0" applyProtection="0">
      <alignment vertical="center"/>
    </xf>
    <xf numFmtId="184" fontId="39" fillId="0" borderId="0"/>
    <xf numFmtId="0" fontId="48" fillId="0" borderId="20" applyNumberFormat="0" applyFill="0" applyAlignment="0" applyProtection="0">
      <alignment vertical="center"/>
    </xf>
    <xf numFmtId="184" fontId="39" fillId="0" borderId="0"/>
    <xf numFmtId="0" fontId="48" fillId="0" borderId="20" applyNumberFormat="0" applyFill="0" applyAlignment="0" applyProtection="0">
      <alignment vertical="center"/>
    </xf>
    <xf numFmtId="0" fontId="39" fillId="0" borderId="0" applyFont="0" applyFill="0" applyBorder="0" applyAlignment="0" applyProtection="0"/>
    <xf numFmtId="0" fontId="104" fillId="0" borderId="0"/>
    <xf numFmtId="4" fontId="45" fillId="16" borderId="19" applyNumberFormat="0" applyProtection="0">
      <alignment horizontal="right" vertical="center"/>
    </xf>
    <xf numFmtId="0" fontId="39" fillId="0" borderId="0"/>
    <xf numFmtId="0" fontId="52" fillId="0" borderId="0" applyNumberFormat="0" applyFill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186" fontId="104" fillId="0" borderId="0" applyFont="0" applyFill="0" applyBorder="0" applyAlignment="0" applyProtection="0"/>
    <xf numFmtId="186" fontId="104" fillId="0" borderId="0" applyFont="0" applyFill="0" applyBorder="0" applyAlignment="0" applyProtection="0"/>
    <xf numFmtId="0" fontId="43" fillId="8" borderId="17" applyNumberFormat="0" applyAlignment="0" applyProtection="0">
      <alignment vertical="center"/>
    </xf>
    <xf numFmtId="41" fontId="104" fillId="0" borderId="0" applyFont="0" applyFill="0" applyBorder="0" applyAlignment="0" applyProtection="0"/>
    <xf numFmtId="186" fontId="104" fillId="0" borderId="0" applyFont="0" applyFill="0" applyBorder="0" applyAlignment="0" applyProtection="0"/>
    <xf numFmtId="215" fontId="1" fillId="0" borderId="0"/>
    <xf numFmtId="0" fontId="79" fillId="0" borderId="0" applyFont="0" applyFill="0" applyBorder="0" applyAlignment="0" applyProtection="0"/>
    <xf numFmtId="39" fontId="49" fillId="0" borderId="0" applyFont="0" applyFill="0" applyBorder="0" applyAlignment="0" applyProtection="0"/>
    <xf numFmtId="3" fontId="57" fillId="0" borderId="0" applyFont="0" applyFill="0" applyBorder="0" applyAlignment="0" applyProtection="0"/>
    <xf numFmtId="196" fontId="39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209" fontId="39" fillId="0" borderId="0" applyFont="0" applyFill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211" fontId="1" fillId="0" borderId="0"/>
    <xf numFmtId="195" fontId="1" fillId="0" borderId="0"/>
    <xf numFmtId="43" fontId="104" fillId="0" borderId="0" applyFont="0" applyFill="0" applyBorder="0" applyAlignment="0" applyProtection="0">
      <alignment vertical="center"/>
    </xf>
    <xf numFmtId="0" fontId="44" fillId="3" borderId="1"/>
    <xf numFmtId="0" fontId="36" fillId="5" borderId="0" applyNumberFormat="0" applyBorder="0" applyAlignment="0" applyProtection="0">
      <alignment vertical="center"/>
    </xf>
    <xf numFmtId="183" fontId="3" fillId="0" borderId="0" applyFont="0" applyFill="0" applyBorder="0" applyAlignment="0" applyProtection="0"/>
    <xf numFmtId="0" fontId="75" fillId="0" borderId="28" applyNumberFormat="0" applyFill="0" applyAlignment="0" applyProtection="0">
      <alignment vertical="center"/>
    </xf>
    <xf numFmtId="183" fontId="3" fillId="0" borderId="0" applyFont="0" applyFill="0" applyBorder="0" applyAlignment="0" applyProtection="0"/>
    <xf numFmtId="2" fontId="57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91" fillId="0" borderId="0">
      <alignment horizontal="left"/>
    </xf>
    <xf numFmtId="0" fontId="76" fillId="38" borderId="0" applyNumberFormat="0" applyBorder="0" applyAlignment="0" applyProtection="0"/>
    <xf numFmtId="0" fontId="70" fillId="0" borderId="26" applyNumberFormat="0" applyAlignment="0" applyProtection="0">
      <alignment horizontal="left" vertical="center"/>
    </xf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0" fontId="67" fillId="0" borderId="0" applyNumberForma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10" fontId="44" fillId="4" borderId="1" applyNumberFormat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10" fontId="44" fillId="4" borderId="1" applyNumberFormat="0" applyBorder="0" applyAlignment="0" applyProtection="0"/>
    <xf numFmtId="43" fontId="104" fillId="0" borderId="0" applyFont="0" applyFill="0" applyBorder="0" applyAlignment="0" applyProtection="0"/>
    <xf numFmtId="0" fontId="92" fillId="0" borderId="31"/>
    <xf numFmtId="204" fontId="104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204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88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4" fillId="14" borderId="1"/>
    <xf numFmtId="0" fontId="4" fillId="0" borderId="0"/>
    <xf numFmtId="0" fontId="88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9" fillId="0" borderId="0"/>
    <xf numFmtId="9" fontId="104" fillId="0" borderId="0" applyFont="0" applyFill="0" applyBorder="0" applyAlignment="0" applyProtection="0"/>
    <xf numFmtId="0" fontId="104" fillId="0" borderId="0">
      <alignment vertical="center"/>
    </xf>
    <xf numFmtId="10" fontId="39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" fontId="25" fillId="0" borderId="0">
      <alignment horizontal="right"/>
    </xf>
    <xf numFmtId="4" fontId="93" fillId="0" borderId="0">
      <alignment horizontal="right"/>
    </xf>
    <xf numFmtId="209" fontId="39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62" fillId="18" borderId="19" applyNumberFormat="0" applyProtection="0">
      <alignment horizontal="right"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" fontId="95" fillId="29" borderId="19" applyNumberFormat="0" applyProtection="0">
      <alignment vertical="center"/>
    </xf>
    <xf numFmtId="9" fontId="104" fillId="0" borderId="0" applyFont="0" applyFill="0" applyBorder="0" applyAlignment="0" applyProtection="0"/>
    <xf numFmtId="4" fontId="60" fillId="31" borderId="0" applyNumberFormat="0" applyProtection="0">
      <alignment horizontal="left" vertical="center" indent="1"/>
    </xf>
    <xf numFmtId="4" fontId="45" fillId="10" borderId="19" applyNumberFormat="0" applyProtection="0">
      <alignment horizontal="right" vertical="center"/>
    </xf>
    <xf numFmtId="4" fontId="45" fillId="19" borderId="19" applyNumberFormat="0" applyProtection="0">
      <alignment horizontal="right" vertical="center"/>
    </xf>
    <xf numFmtId="9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" fontId="45" fillId="34" borderId="19" applyNumberFormat="0" applyProtection="0">
      <alignment horizontal="right" vertical="center"/>
    </xf>
    <xf numFmtId="0" fontId="38" fillId="6" borderId="0" applyNumberFormat="0" applyBorder="0" applyAlignment="0" applyProtection="0">
      <alignment vertical="center"/>
    </xf>
    <xf numFmtId="4" fontId="45" fillId="18" borderId="0" applyNumberFormat="0" applyProtection="0">
      <alignment horizontal="left" vertical="center" indent="1"/>
    </xf>
    <xf numFmtId="0" fontId="42" fillId="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" fontId="45" fillId="31" borderId="19" applyNumberFormat="0" applyProtection="0">
      <alignment horizontal="right" vertical="center"/>
    </xf>
    <xf numFmtId="0" fontId="38" fillId="6" borderId="0" applyNumberFormat="0" applyBorder="0" applyAlignment="0" applyProtection="0">
      <alignment vertical="center"/>
    </xf>
    <xf numFmtId="4" fontId="45" fillId="31" borderId="0" applyNumberFormat="0" applyProtection="0">
      <alignment horizontal="left" vertical="center" indent="1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39" fillId="20" borderId="19" applyNumberFormat="0" applyProtection="0">
      <alignment horizontal="left" vertical="center" indent="1"/>
    </xf>
    <xf numFmtId="0" fontId="39" fillId="31" borderId="19" applyNumberFormat="0" applyProtection="0">
      <alignment horizontal="left" vertical="center" indent="1"/>
    </xf>
    <xf numFmtId="0" fontId="36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9" fillId="12" borderId="19" applyNumberFormat="0" applyProtection="0">
      <alignment horizontal="left" vertical="center" indent="1"/>
    </xf>
    <xf numFmtId="0" fontId="39" fillId="12" borderId="19" applyNumberFormat="0" applyProtection="0">
      <alignment horizontal="left" vertical="top" indent="1"/>
    </xf>
    <xf numFmtId="4" fontId="62" fillId="11" borderId="19" applyNumberFormat="0" applyProtection="0">
      <alignment vertical="center"/>
    </xf>
    <xf numFmtId="41" fontId="104" fillId="0" borderId="0" applyFont="0" applyFill="0" applyBorder="0" applyAlignment="0" applyProtection="0"/>
    <xf numFmtId="0" fontId="45" fillId="11" borderId="19" applyNumberFormat="0" applyProtection="0">
      <alignment horizontal="left" vertical="top" indent="1"/>
    </xf>
    <xf numFmtId="0" fontId="34" fillId="0" borderId="0" applyFont="0" applyBorder="0" applyAlignment="0" applyProtection="0">
      <alignment horizontal="center"/>
    </xf>
    <xf numFmtId="43" fontId="104" fillId="0" borderId="0" applyFont="0" applyFill="0" applyBorder="0" applyAlignment="0" applyProtection="0">
      <alignment vertical="center"/>
    </xf>
    <xf numFmtId="4" fontId="87" fillId="36" borderId="0" applyNumberFormat="0" applyProtection="0">
      <alignment horizontal="left" vertical="center" indent="1"/>
    </xf>
    <xf numFmtId="0" fontId="40" fillId="0" borderId="0">
      <alignment horizontal="left"/>
    </xf>
    <xf numFmtId="43" fontId="44" fillId="0" borderId="18"/>
    <xf numFmtId="0" fontId="92" fillId="0" borderId="0"/>
    <xf numFmtId="0" fontId="42" fillId="3" borderId="0" applyNumberFormat="0" applyBorder="0" applyAlignment="0" applyProtection="0">
      <alignment vertical="center"/>
    </xf>
    <xf numFmtId="0" fontId="96" fillId="0" borderId="0">
      <alignment horizontal="center"/>
    </xf>
    <xf numFmtId="0" fontId="104" fillId="0" borderId="0">
      <alignment vertical="center"/>
    </xf>
    <xf numFmtId="0" fontId="57" fillId="0" borderId="22" applyNumberFormat="0" applyFont="0" applyFill="0" applyAlignment="0" applyProtection="0"/>
    <xf numFmtId="0" fontId="48" fillId="0" borderId="20" applyNumberFormat="0" applyFill="0" applyAlignment="0" applyProtection="0">
      <alignment vertical="center"/>
    </xf>
    <xf numFmtId="199" fontId="39" fillId="0" borderId="0" applyFont="0" applyFill="0" applyBorder="0" applyAlignment="0" applyProtection="0"/>
    <xf numFmtId="0" fontId="41" fillId="0" borderId="0"/>
    <xf numFmtId="202" fontId="39" fillId="0" borderId="0" applyFont="0" applyFill="0" applyBorder="0" applyAlignment="0" applyProtection="0"/>
    <xf numFmtId="216" fontId="104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182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0" fontId="4" fillId="0" borderId="0"/>
    <xf numFmtId="217" fontId="4" fillId="0" borderId="0" applyFont="0" applyFill="0" applyBorder="0" applyAlignment="0" applyProtection="0"/>
    <xf numFmtId="0" fontId="43" fillId="8" borderId="17" applyNumberFormat="0" applyAlignment="0" applyProtection="0">
      <alignment vertical="center"/>
    </xf>
    <xf numFmtId="9" fontId="104" fillId="0" borderId="0" applyFont="0" applyFill="0" applyBorder="0" applyAlignment="0" applyProtection="0"/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104" fillId="0" borderId="0"/>
    <xf numFmtId="0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104" fillId="0" borderId="0"/>
    <xf numFmtId="0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28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28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41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41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98" fillId="5" borderId="0" applyNumberFormat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3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2" fillId="15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104" fillId="0" borderId="0"/>
    <xf numFmtId="0" fontId="104" fillId="0" borderId="0"/>
    <xf numFmtId="9" fontId="104" fillId="0" borderId="0" applyFont="0" applyFill="0" applyBorder="0" applyAlignment="0" applyProtection="0"/>
    <xf numFmtId="0" fontId="104" fillId="0" borderId="0"/>
    <xf numFmtId="0" fontId="104" fillId="0" borderId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48" fillId="0" borderId="20" applyNumberFormat="0" applyFill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75" fillId="0" borderId="28" applyNumberFormat="0" applyFill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75" fillId="0" borderId="28" applyNumberFormat="0" applyFill="0" applyAlignment="0" applyProtection="0">
      <alignment vertical="center"/>
    </xf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104" fillId="0" borderId="0" applyFon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9" fontId="104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99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56" fillId="0" borderId="30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4" fontId="97" fillId="0" borderId="0">
      <alignment horizontal="right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36" fillId="5" borderId="0" applyNumberFormat="0" applyBorder="0" applyAlignment="0" applyProtection="0">
      <alignment vertical="center"/>
    </xf>
    <xf numFmtId="43" fontId="4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86" fillId="6" borderId="0" applyNumberFormat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212" fontId="65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4" fillId="0" borderId="0" applyFont="0" applyBorder="0" applyAlignment="0" applyProtection="0">
      <alignment horizontal="center"/>
    </xf>
    <xf numFmtId="41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8" fillId="6" borderId="0" applyNumberFormat="0" applyBorder="0" applyAlignment="0" applyProtection="0">
      <alignment vertical="center"/>
    </xf>
    <xf numFmtId="0" fontId="104" fillId="0" borderId="0"/>
    <xf numFmtId="0" fontId="53" fillId="16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104" fillId="0" borderId="0"/>
    <xf numFmtId="0" fontId="37" fillId="0" borderId="0"/>
    <xf numFmtId="0" fontId="104" fillId="0" borderId="0"/>
    <xf numFmtId="0" fontId="37" fillId="0" borderId="0"/>
    <xf numFmtId="0" fontId="3" fillId="0" borderId="0"/>
    <xf numFmtId="0" fontId="104" fillId="0" borderId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41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0" fillId="0" borderId="0">
      <alignment vertical="center"/>
    </xf>
    <xf numFmtId="0" fontId="104" fillId="0" borderId="0"/>
    <xf numFmtId="0" fontId="64" fillId="25" borderId="23" applyNumberFormat="0" applyAlignment="0" applyProtection="0">
      <alignment vertical="center"/>
    </xf>
    <xf numFmtId="0" fontId="104" fillId="0" borderId="0"/>
    <xf numFmtId="0" fontId="64" fillId="25" borderId="23" applyNumberFormat="0" applyAlignment="0" applyProtection="0">
      <alignment vertical="center"/>
    </xf>
    <xf numFmtId="0" fontId="104" fillId="0" borderId="0"/>
    <xf numFmtId="0" fontId="64" fillId="25" borderId="23" applyNumberFormat="0" applyAlignment="0" applyProtection="0">
      <alignment vertical="center"/>
    </xf>
    <xf numFmtId="0" fontId="104" fillId="0" borderId="0"/>
    <xf numFmtId="0" fontId="64" fillId="25" borderId="23" applyNumberFormat="0" applyAlignment="0" applyProtection="0">
      <alignment vertical="center"/>
    </xf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41" fillId="0" borderId="0">
      <alignment vertical="center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39" fillId="0" borderId="0" applyProtection="0">
      <alignment vertical="center"/>
    </xf>
    <xf numFmtId="0" fontId="80" fillId="0" borderId="0">
      <alignment vertical="center"/>
    </xf>
    <xf numFmtId="0" fontId="104" fillId="0" borderId="0"/>
    <xf numFmtId="0" fontId="80" fillId="0" borderId="0">
      <alignment vertical="center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37" fillId="0" borderId="0"/>
    <xf numFmtId="0" fontId="37" fillId="0" borderId="0"/>
    <xf numFmtId="0" fontId="104" fillId="0" borderId="0"/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104" fillId="0" borderId="0"/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104" fillId="0" borderId="0"/>
    <xf numFmtId="0" fontId="104" fillId="0" borderId="0">
      <alignment vertical="center"/>
    </xf>
    <xf numFmtId="0" fontId="37" fillId="0" borderId="0">
      <alignment vertical="center"/>
    </xf>
    <xf numFmtId="0" fontId="104" fillId="0" borderId="0">
      <alignment vertical="center"/>
    </xf>
    <xf numFmtId="0" fontId="37" fillId="0" borderId="0">
      <alignment vertical="center"/>
    </xf>
    <xf numFmtId="0" fontId="104" fillId="0" borderId="0"/>
    <xf numFmtId="0" fontId="104" fillId="0" borderId="0"/>
    <xf numFmtId="0" fontId="104" fillId="0" borderId="0">
      <alignment vertical="center"/>
    </xf>
    <xf numFmtId="0" fontId="37" fillId="0" borderId="0">
      <alignment vertical="center"/>
    </xf>
    <xf numFmtId="0" fontId="104" fillId="0" borderId="0">
      <alignment vertical="center"/>
    </xf>
    <xf numFmtId="0" fontId="37" fillId="0" borderId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6" borderId="0" applyNumberFormat="0" applyBorder="0" applyAlignment="0" applyProtection="0">
      <alignment vertical="center"/>
    </xf>
    <xf numFmtId="0" fontId="104" fillId="0" borderId="0">
      <alignment vertical="center"/>
    </xf>
    <xf numFmtId="0" fontId="10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>
      <alignment vertical="center"/>
    </xf>
    <xf numFmtId="0" fontId="104" fillId="0" borderId="0">
      <alignment vertical="center"/>
    </xf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3" fillId="0" borderId="0"/>
    <xf numFmtId="0" fontId="3" fillId="0" borderId="0"/>
    <xf numFmtId="0" fontId="104" fillId="0" borderId="0">
      <alignment vertical="center"/>
    </xf>
    <xf numFmtId="0" fontId="41" fillId="0" borderId="0">
      <alignment vertical="center"/>
    </xf>
    <xf numFmtId="0" fontId="36" fillId="5" borderId="0" applyNumberFormat="0" applyBorder="0" applyAlignment="0" applyProtection="0">
      <alignment vertical="center"/>
    </xf>
    <xf numFmtId="0" fontId="43" fillId="8" borderId="17" applyNumberFormat="0" applyAlignment="0" applyProtection="0">
      <alignment vertical="center"/>
    </xf>
    <xf numFmtId="0" fontId="41" fillId="0" borderId="0">
      <alignment vertical="center"/>
    </xf>
    <xf numFmtId="0" fontId="43" fillId="8" borderId="17" applyNumberFormat="0" applyAlignment="0" applyProtection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0" fontId="104" fillId="0" borderId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36" fillId="9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0" fontId="3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43" fontId="104" fillId="0" borderId="0" applyFont="0" applyFill="0" applyBorder="0" applyAlignment="0" applyProtection="0"/>
    <xf numFmtId="0" fontId="3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37" fillId="0" borderId="0">
      <alignment vertical="center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41" fillId="0" borderId="0">
      <alignment vertical="center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41" fillId="0" borderId="0">
      <alignment vertical="center"/>
    </xf>
    <xf numFmtId="0" fontId="104" fillId="0" borderId="0"/>
    <xf numFmtId="0" fontId="104" fillId="0" borderId="0"/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0" fontId="104" fillId="0" borderId="0">
      <alignment vertical="center"/>
    </xf>
    <xf numFmtId="43" fontId="104" fillId="0" borderId="0" applyFont="0" applyFill="0" applyBorder="0" applyAlignment="0" applyProtection="0"/>
    <xf numFmtId="0" fontId="3" fillId="0" borderId="0"/>
    <xf numFmtId="0" fontId="104" fillId="0" borderId="0"/>
    <xf numFmtId="0" fontId="36" fillId="5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104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104" fillId="0" borderId="0"/>
    <xf numFmtId="0" fontId="36" fillId="5" borderId="0" applyNumberFormat="0" applyBorder="0" applyAlignment="0" applyProtection="0">
      <alignment vertical="center"/>
    </xf>
    <xf numFmtId="0" fontId="104" fillId="0" borderId="0"/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43" fontId="104" fillId="0" borderId="0" applyFont="0" applyFill="0" applyBorder="0" applyAlignment="0" applyProtection="0"/>
    <xf numFmtId="0" fontId="104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6" fillId="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98" fillId="5" borderId="0" applyNumberFormat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79" fillId="0" borderId="0" applyFont="0" applyFill="0" applyBorder="0" applyAlignment="0" applyProtection="0"/>
    <xf numFmtId="0" fontId="36" fillId="5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0" fillId="9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58" fillId="2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41" fillId="11" borderId="21" applyNumberFormat="0" applyFont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4" fontId="101" fillId="0" borderId="0" applyFont="0" applyFill="0" applyBorder="0" applyAlignment="0" applyProtection="0"/>
    <xf numFmtId="0" fontId="69" fillId="0" borderId="25" applyNumberFormat="0" applyFill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64" fillId="25" borderId="23" applyNumberFormat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64" fillId="25" borderId="23" applyNumberFormat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0" fontId="69" fillId="0" borderId="25" applyNumberFormat="0" applyFill="0" applyAlignment="0" applyProtection="0">
      <alignment vertical="center"/>
    </xf>
    <xf numFmtId="43" fontId="104" fillId="0" borderId="0" applyFont="0" applyFill="0" applyBorder="0" applyAlignment="0" applyProtection="0"/>
    <xf numFmtId="0" fontId="34" fillId="0" borderId="0" applyFont="0" applyBorder="0" applyAlignment="0" applyProtection="0">
      <alignment horizontal="center"/>
    </xf>
    <xf numFmtId="0" fontId="34" fillId="0" borderId="0" applyFont="0" applyBorder="0" applyAlignment="0" applyProtection="0">
      <alignment horizontal="center"/>
    </xf>
    <xf numFmtId="41" fontId="104" fillId="0" borderId="0" applyFont="0" applyFill="0" applyBorder="0" applyAlignment="0" applyProtection="0"/>
    <xf numFmtId="0" fontId="34" fillId="0" borderId="0" applyFont="0" applyBorder="0" applyAlignment="0" applyProtection="0">
      <alignment horizontal="center"/>
    </xf>
    <xf numFmtId="41" fontId="104" fillId="0" borderId="0" applyFont="0" applyFill="0" applyBorder="0" applyAlignment="0" applyProtection="0"/>
    <xf numFmtId="0" fontId="34" fillId="0" borderId="0" applyFont="0" applyBorder="0" applyAlignment="0" applyProtection="0">
      <alignment horizontal="center"/>
    </xf>
    <xf numFmtId="0" fontId="104" fillId="0" borderId="2" applyBorder="0" applyAlignment="0">
      <alignment horizontal="center"/>
    </xf>
    <xf numFmtId="0" fontId="104" fillId="0" borderId="2" applyBorder="0" applyAlignment="0">
      <alignment horizontal="center"/>
    </xf>
    <xf numFmtId="0" fontId="104" fillId="0" borderId="2" applyBorder="0" applyAlignment="0">
      <alignment horizontal="center"/>
    </xf>
    <xf numFmtId="0" fontId="104" fillId="0" borderId="2" applyBorder="0" applyAlignment="0">
      <alignment horizontal="center"/>
    </xf>
    <xf numFmtId="0" fontId="104" fillId="0" borderId="2" applyBorder="0" applyAlignment="0">
      <alignment horizontal="center"/>
    </xf>
    <xf numFmtId="43" fontId="104" fillId="0" borderId="0" applyFont="0" applyFill="0" applyBorder="0" applyAlignment="0" applyProtection="0">
      <alignment vertical="center"/>
    </xf>
    <xf numFmtId="192" fontId="65" fillId="0" borderId="0" applyFont="0" applyFill="0" applyBorder="0" applyAlignment="0" applyProtection="0"/>
    <xf numFmtId="0" fontId="63" fillId="14" borderId="17" applyNumberFormat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1" fillId="0" borderId="0"/>
    <xf numFmtId="0" fontId="63" fillId="14" borderId="17" applyNumberFormat="0" applyAlignment="0" applyProtection="0">
      <alignment vertical="center"/>
    </xf>
    <xf numFmtId="0" fontId="63" fillId="14" borderId="17" applyNumberFormat="0" applyAlignment="0" applyProtection="0">
      <alignment vertical="center"/>
    </xf>
    <xf numFmtId="0" fontId="63" fillId="14" borderId="17" applyNumberFormat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9" fillId="0" borderId="0"/>
    <xf numFmtId="0" fontId="52" fillId="0" borderId="0" applyNumberFormat="0" applyFill="0" applyBorder="0" applyAlignment="0" applyProtection="0">
      <alignment vertical="center"/>
    </xf>
    <xf numFmtId="0" fontId="39" fillId="0" borderId="0"/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193" fontId="39" fillId="0" borderId="0" applyFont="0" applyFill="0" applyBorder="0" applyAlignment="0" applyProtection="0"/>
    <xf numFmtId="207" fontId="74" fillId="0" borderId="0" applyFont="0" applyFill="0" applyBorder="0" applyAlignment="0" applyProtection="0"/>
    <xf numFmtId="43" fontId="1" fillId="0" borderId="0" applyFont="0" applyFill="0" applyBorder="0" applyAlignment="0" applyProtection="0"/>
    <xf numFmtId="200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66" fillId="2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66" fillId="29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8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200" fontId="100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200" fontId="100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2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42" fillId="26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217" fontId="100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217" fontId="100" fillId="0" borderId="0" applyFont="0" applyFill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7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42" fillId="15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0" fontId="42" fillId="15" borderId="0" applyNumberFormat="0" applyBorder="0" applyAlignment="0" applyProtection="0">
      <alignment vertical="center"/>
    </xf>
    <xf numFmtId="43" fontId="104" fillId="0" borderId="0" applyFont="0" applyFill="0" applyBorder="0" applyAlignment="0" applyProtection="0"/>
    <xf numFmtId="43" fontId="41" fillId="0" borderId="0" applyFont="0" applyFill="0" applyBorder="0" applyAlignment="0" applyProtection="0">
      <alignment vertical="center"/>
    </xf>
    <xf numFmtId="43" fontId="104" fillId="0" borderId="0" applyFont="0" applyFill="0" applyBorder="0" applyAlignment="0" applyProtection="0"/>
    <xf numFmtId="217" fontId="39" fillId="0" borderId="1" applyNumberFormat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43" fillId="8" borderId="17" applyNumberFormat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0" fontId="43" fillId="8" borderId="17" applyNumberFormat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/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/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41" fontId="104" fillId="0" borderId="0" applyFont="0" applyFill="0" applyBorder="0" applyAlignment="0" applyProtection="0">
      <alignment vertical="center"/>
    </xf>
    <xf numFmtId="0" fontId="102" fillId="0" borderId="0"/>
    <xf numFmtId="0" fontId="76" fillId="35" borderId="0" applyNumberFormat="0" applyBorder="0" applyAlignment="0" applyProtection="0"/>
    <xf numFmtId="0" fontId="76" fillId="35" borderId="0" applyNumberFormat="0" applyBorder="0" applyAlignment="0" applyProtection="0"/>
    <xf numFmtId="0" fontId="76" fillId="38" borderId="0" applyNumberFormat="0" applyBorder="0" applyAlignment="0" applyProtection="0"/>
    <xf numFmtId="0" fontId="76" fillId="33" borderId="0" applyNumberFormat="0" applyBorder="0" applyAlignment="0" applyProtection="0"/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6" fillId="29" borderId="0" applyNumberFormat="0" applyBorder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68" fillId="14" borderId="24" applyNumberFormat="0" applyAlignment="0" applyProtection="0">
      <alignment vertical="center"/>
    </xf>
    <xf numFmtId="0" fontId="43" fillId="8" borderId="17" applyNumberFormat="0" applyAlignment="0" applyProtection="0">
      <alignment vertical="center"/>
    </xf>
    <xf numFmtId="210" fontId="101" fillId="0" borderId="0" applyFont="0" applyFill="0" applyBorder="0" applyAlignment="0" applyProtection="0"/>
    <xf numFmtId="0" fontId="82" fillId="0" borderId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41" fillId="11" borderId="21" applyNumberFormat="0" applyFont="0" applyAlignment="0" applyProtection="0">
      <alignment vertical="center"/>
    </xf>
    <xf numFmtId="0" fontId="41" fillId="11" borderId="21" applyNumberFormat="0" applyFont="0" applyAlignment="0" applyProtection="0">
      <alignment vertical="center"/>
    </xf>
    <xf numFmtId="0" fontId="41" fillId="11" borderId="21" applyNumberFormat="0" applyFont="0" applyAlignment="0" applyProtection="0">
      <alignment vertical="center"/>
    </xf>
    <xf numFmtId="0" fontId="41" fillId="11" borderId="21" applyNumberFormat="0" applyFont="0" applyAlignment="0" applyProtection="0">
      <alignment vertical="center"/>
    </xf>
    <xf numFmtId="38" fontId="79" fillId="0" borderId="0" applyFont="0" applyFill="0" applyBorder="0" applyAlignment="0" applyProtection="0"/>
    <xf numFmtId="40" fontId="79" fillId="0" borderId="0" applyFont="0" applyFill="0" applyBorder="0" applyAlignment="0" applyProtection="0"/>
    <xf numFmtId="0" fontId="83" fillId="0" borderId="0"/>
  </cellStyleXfs>
  <cellXfs count="80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1442" applyFont="1" applyFill="1" applyBorder="1" applyAlignment="1">
      <alignment horizontal="left" vertical="center"/>
    </xf>
    <xf numFmtId="0" fontId="1" fillId="0" borderId="0" xfId="1442" applyFont="1" applyFill="1" applyBorder="1" applyAlignment="1">
      <alignment horizontal="center" vertical="center"/>
    </xf>
    <xf numFmtId="0" fontId="1" fillId="0" borderId="0" xfId="1442" applyFont="1" applyFill="1" applyBorder="1" applyAlignment="1">
      <alignment horizontal="center" vertical="center" wrapText="1"/>
    </xf>
    <xf numFmtId="0" fontId="1" fillId="0" borderId="0" xfId="1193" applyFont="1" applyFill="1" applyBorder="1" applyAlignment="1">
      <alignment horizontal="center" vertical="center"/>
    </xf>
    <xf numFmtId="0" fontId="6" fillId="0" borderId="0" xfId="1434" applyFont="1" applyFill="1" applyBorder="1" applyAlignment="1" applyProtection="1">
      <alignment horizontal="center" vertical="center"/>
      <protection locked="0"/>
    </xf>
    <xf numFmtId="0" fontId="3" fillId="0" borderId="1" xfId="1442" applyFont="1" applyFill="1" applyBorder="1" applyAlignment="1" applyProtection="1">
      <alignment horizontal="center" vertical="center"/>
      <protection locked="0"/>
    </xf>
    <xf numFmtId="0" fontId="3" fillId="0" borderId="1" xfId="1193" applyFont="1" applyFill="1" applyBorder="1" applyAlignment="1">
      <alignment horizontal="center" vertical="center"/>
    </xf>
    <xf numFmtId="0" fontId="1" fillId="0" borderId="1" xfId="1193" applyFont="1" applyFill="1" applyBorder="1" applyAlignment="1">
      <alignment horizontal="center" vertical="center"/>
    </xf>
    <xf numFmtId="0" fontId="1" fillId="0" borderId="1" xfId="1442" applyFont="1" applyFill="1" applyBorder="1" applyAlignment="1" applyProtection="1">
      <alignment horizontal="center" vertical="center"/>
      <protection locked="0"/>
    </xf>
    <xf numFmtId="206" fontId="3" fillId="0" borderId="1" xfId="1434" applyNumberFormat="1" applyFont="1" applyFill="1" applyBorder="1" applyAlignment="1" applyProtection="1">
      <alignment horizontal="center" vertical="center"/>
      <protection locked="0"/>
    </xf>
    <xf numFmtId="49" fontId="3" fillId="0" borderId="1" xfId="1434" applyNumberFormat="1" applyFont="1" applyFill="1" applyBorder="1" applyAlignment="1" applyProtection="1">
      <alignment horizontal="center" vertical="center" wrapText="1"/>
      <protection locked="0"/>
    </xf>
    <xf numFmtId="219" fontId="3" fillId="0" borderId="1" xfId="1674" applyNumberFormat="1" applyFont="1" applyFill="1" applyBorder="1" applyAlignment="1" applyProtection="1">
      <alignment horizontal="center" vertical="center"/>
      <protection locked="0"/>
    </xf>
    <xf numFmtId="0" fontId="1" fillId="0" borderId="1" xfId="1193" applyNumberFormat="1" applyFont="1" applyFill="1" applyBorder="1" applyAlignment="1">
      <alignment horizontal="center" vertical="center"/>
    </xf>
    <xf numFmtId="49" fontId="1" fillId="0" borderId="1" xfId="1193" applyNumberFormat="1" applyFont="1" applyFill="1" applyBorder="1" applyAlignment="1">
      <alignment horizontal="center" vertical="center" wrapText="1"/>
    </xf>
    <xf numFmtId="0" fontId="2" fillId="0" borderId="1" xfId="1442" applyFont="1" applyFill="1" applyBorder="1" applyAlignment="1" applyProtection="1">
      <alignment horizontal="center" vertical="center"/>
      <protection locked="0"/>
    </xf>
    <xf numFmtId="0" fontId="7" fillId="0" borderId="1" xfId="1193" applyFont="1" applyFill="1" applyBorder="1" applyAlignment="1">
      <alignment horizontal="center" vertical="center"/>
    </xf>
    <xf numFmtId="0" fontId="2" fillId="0" borderId="1" xfId="1193" applyFont="1" applyFill="1" applyBorder="1" applyAlignment="1">
      <alignment horizontal="center" vertical="center"/>
    </xf>
    <xf numFmtId="0" fontId="2" fillId="0" borderId="1" xfId="1193" applyNumberFormat="1" applyFont="1" applyFill="1" applyBorder="1" applyAlignment="1">
      <alignment horizontal="center" vertical="center"/>
    </xf>
    <xf numFmtId="49" fontId="2" fillId="0" borderId="1" xfId="1193" applyNumberFormat="1" applyFont="1" applyFill="1" applyBorder="1" applyAlignment="1">
      <alignment horizontal="center" vertical="center" wrapText="1"/>
    </xf>
    <xf numFmtId="43" fontId="2" fillId="0" borderId="1" xfId="1610" applyNumberFormat="1" applyFont="1" applyFill="1" applyBorder="1" applyAlignment="1" applyProtection="1">
      <alignment horizontal="center" vertical="center" wrapText="1"/>
      <protection hidden="1"/>
    </xf>
    <xf numFmtId="14" fontId="8" fillId="0" borderId="1" xfId="1435" applyNumberFormat="1" applyFont="1" applyFill="1" applyBorder="1" applyAlignment="1" applyProtection="1">
      <alignment horizontal="center" vertical="center"/>
      <protection locked="0"/>
    </xf>
    <xf numFmtId="0" fontId="8" fillId="0" borderId="1" xfId="1435" applyFont="1" applyFill="1" applyBorder="1" applyAlignment="1" applyProtection="1">
      <alignment horizontal="center" vertical="center"/>
      <protection locked="0"/>
    </xf>
    <xf numFmtId="213" fontId="8" fillId="0" borderId="1" xfId="1435" applyNumberFormat="1" applyFont="1" applyFill="1" applyBorder="1" applyAlignment="1" applyProtection="1">
      <alignment horizontal="center" vertical="center"/>
      <protection locked="0"/>
    </xf>
    <xf numFmtId="0" fontId="8" fillId="0" borderId="1" xfId="1435" applyFont="1" applyFill="1" applyBorder="1" applyAlignment="1" applyProtection="1">
      <alignment horizontal="center" vertical="center" wrapText="1"/>
      <protection locked="0"/>
    </xf>
    <xf numFmtId="4" fontId="3" fillId="0" borderId="1" xfId="1433" applyNumberFormat="1" applyFont="1" applyFill="1" applyBorder="1" applyAlignment="1" applyProtection="1">
      <alignment horizontal="center" vertical="center"/>
      <protection locked="0"/>
    </xf>
    <xf numFmtId="49" fontId="3" fillId="0" borderId="1" xfId="1435" applyNumberFormat="1" applyFont="1" applyFill="1" applyBorder="1" applyAlignment="1" applyProtection="1">
      <alignment horizontal="center" vertical="center"/>
      <protection locked="0"/>
    </xf>
    <xf numFmtId="0" fontId="3" fillId="2" borderId="1" xfId="1442" applyFont="1" applyFill="1" applyBorder="1" applyAlignment="1" applyProtection="1">
      <alignment horizontal="center" vertical="center"/>
      <protection locked="0"/>
    </xf>
    <xf numFmtId="14" fontId="8" fillId="2" borderId="1" xfId="1435" applyNumberFormat="1" applyFont="1" applyFill="1" applyBorder="1" applyAlignment="1" applyProtection="1">
      <alignment horizontal="center" vertical="center"/>
      <protection locked="0"/>
    </xf>
    <xf numFmtId="213" fontId="8" fillId="2" borderId="1" xfId="1435" applyNumberFormat="1" applyFont="1" applyFill="1" applyBorder="1" applyAlignment="1" applyProtection="1">
      <alignment horizontal="center" vertical="center"/>
      <protection locked="0"/>
    </xf>
    <xf numFmtId="0" fontId="8" fillId="2" borderId="1" xfId="1435" applyFont="1" applyFill="1" applyBorder="1" applyAlignment="1" applyProtection="1">
      <alignment horizontal="center" vertical="center" wrapText="1"/>
      <protection locked="0"/>
    </xf>
    <xf numFmtId="4" fontId="3" fillId="2" borderId="1" xfId="1433" applyNumberFormat="1" applyFont="1" applyFill="1" applyBorder="1" applyAlignment="1" applyProtection="1">
      <alignment horizontal="center" vertical="center"/>
      <protection locked="0"/>
    </xf>
    <xf numFmtId="49" fontId="3" fillId="2" borderId="1" xfId="1435" applyNumberFormat="1" applyFont="1" applyFill="1" applyBorder="1" applyAlignment="1" applyProtection="1">
      <alignment horizontal="center" vertical="center"/>
      <protection locked="0"/>
    </xf>
    <xf numFmtId="49" fontId="3" fillId="0" borderId="1" xfId="1433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0" borderId="1" xfId="1433" applyNumberFormat="1" applyFont="1" applyFill="1" applyBorder="1" applyAlignment="1" applyProtection="1">
      <alignment horizontal="center" vertical="center"/>
      <protection locked="0"/>
    </xf>
    <xf numFmtId="14" fontId="3" fillId="0" borderId="1" xfId="1435" applyNumberFormat="1" applyFont="1" applyFill="1" applyBorder="1" applyAlignment="1" applyProtection="1">
      <alignment horizontal="center" vertical="center"/>
      <protection locked="0"/>
    </xf>
    <xf numFmtId="0" fontId="3" fillId="0" borderId="1" xfId="1433" applyFont="1" applyFill="1" applyBorder="1" applyAlignment="1" applyProtection="1">
      <alignment horizontal="center" vertical="center"/>
      <protection locked="0"/>
    </xf>
    <xf numFmtId="14" fontId="3" fillId="0" borderId="1" xfId="539" applyNumberFormat="1" applyFont="1" applyFill="1" applyBorder="1" applyAlignment="1" applyProtection="1">
      <alignment horizontal="center" vertical="center" wrapText="1"/>
      <protection locked="0"/>
    </xf>
    <xf numFmtId="213" fontId="3" fillId="0" borderId="1" xfId="1433" applyNumberFormat="1" applyFont="1" applyFill="1" applyBorder="1" applyAlignment="1" applyProtection="1">
      <alignment horizontal="center" vertical="center"/>
      <protection locked="0"/>
    </xf>
    <xf numFmtId="14" fontId="3" fillId="0" borderId="1" xfId="536" applyNumberFormat="1" applyFont="1" applyFill="1" applyBorder="1" applyAlignment="1" applyProtection="1">
      <alignment horizontal="center" vertical="center" wrapText="1"/>
      <protection locked="0"/>
    </xf>
    <xf numFmtId="213" fontId="3" fillId="0" borderId="1" xfId="536" applyNumberFormat="1" applyFont="1" applyFill="1" applyBorder="1" applyAlignment="1">
      <alignment horizontal="center" vertical="center" wrapText="1"/>
    </xf>
    <xf numFmtId="0" fontId="3" fillId="0" borderId="1" xfId="1435" applyFont="1" applyFill="1" applyBorder="1" applyAlignment="1" applyProtection="1">
      <alignment horizontal="center" vertical="center"/>
      <protection locked="0"/>
    </xf>
    <xf numFmtId="14" fontId="3" fillId="0" borderId="1" xfId="378" applyNumberFormat="1" applyFont="1" applyFill="1" applyBorder="1" applyAlignment="1" applyProtection="1">
      <alignment horizontal="center" vertical="center" wrapText="1"/>
      <protection locked="0"/>
    </xf>
    <xf numFmtId="213" fontId="3" fillId="0" borderId="1" xfId="1290" applyNumberFormat="1" applyFont="1" applyFill="1" applyBorder="1" applyAlignment="1">
      <alignment horizontal="center" vertical="center" wrapText="1"/>
    </xf>
    <xf numFmtId="43" fontId="3" fillId="0" borderId="1" xfId="1433" applyNumberFormat="1" applyFont="1" applyFill="1" applyBorder="1" applyAlignment="1" applyProtection="1">
      <alignment horizontal="center" vertical="center"/>
      <protection locked="0"/>
    </xf>
    <xf numFmtId="14" fontId="3" fillId="2" borderId="1" xfId="1435" applyNumberFormat="1" applyFont="1" applyFill="1" applyBorder="1" applyAlignment="1" applyProtection="1">
      <alignment horizontal="center" vertical="center"/>
      <protection locked="0"/>
    </xf>
    <xf numFmtId="0" fontId="3" fillId="2" borderId="1" xfId="1435" applyFont="1" applyFill="1" applyBorder="1" applyAlignment="1" applyProtection="1">
      <alignment horizontal="center" vertical="center"/>
      <protection locked="0"/>
    </xf>
    <xf numFmtId="206" fontId="3" fillId="0" borderId="1" xfId="1435" applyNumberFormat="1" applyFont="1" applyFill="1" applyBorder="1" applyAlignment="1" applyProtection="1">
      <alignment horizontal="center" vertical="center"/>
      <protection locked="0"/>
    </xf>
    <xf numFmtId="14" fontId="3" fillId="0" borderId="1" xfId="1435" applyNumberFormat="1" applyFont="1" applyFill="1" applyBorder="1" applyAlignment="1" applyProtection="1">
      <alignment horizontal="center" vertical="center" wrapText="1"/>
      <protection locked="0"/>
    </xf>
    <xf numFmtId="206" fontId="3" fillId="0" borderId="1" xfId="1433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43" fontId="9" fillId="0" borderId="1" xfId="1409" applyFont="1" applyFill="1" applyBorder="1" applyAlignment="1">
      <alignment horizontal="center" vertical="center"/>
    </xf>
    <xf numFmtId="0" fontId="10" fillId="0" borderId="1" xfId="1435" applyFont="1" applyFill="1" applyBorder="1" applyAlignment="1" applyProtection="1">
      <alignment horizontal="center"/>
      <protection locked="0"/>
    </xf>
    <xf numFmtId="0" fontId="1" fillId="0" borderId="0" xfId="1442" applyFont="1" applyFill="1" applyBorder="1" applyAlignment="1" applyProtection="1">
      <alignment horizontal="center" vertical="center"/>
      <protection locked="0"/>
    </xf>
    <xf numFmtId="0" fontId="11" fillId="0" borderId="1" xfId="1442" applyFont="1" applyFill="1" applyBorder="1" applyAlignment="1" applyProtection="1">
      <alignment horizontal="center" vertical="center"/>
      <protection locked="0"/>
    </xf>
    <xf numFmtId="0" fontId="12" fillId="0" borderId="1" xfId="1442" applyFont="1" applyFill="1" applyBorder="1" applyAlignment="1" applyProtection="1">
      <alignment horizontal="center" vertical="center"/>
      <protection locked="0"/>
    </xf>
    <xf numFmtId="0" fontId="8" fillId="0" borderId="1" xfId="1442" applyFont="1" applyFill="1" applyBorder="1" applyAlignment="1" applyProtection="1">
      <alignment horizontal="center" vertical="center"/>
      <protection locked="0"/>
    </xf>
    <xf numFmtId="0" fontId="8" fillId="2" borderId="1" xfId="1442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1" fillId="0" borderId="0" xfId="1434" applyFont="1" applyFill="1" applyAlignment="1" applyProtection="1">
      <alignment vertical="center"/>
      <protection locked="0"/>
    </xf>
    <xf numFmtId="0" fontId="2" fillId="0" borderId="0" xfId="1434" applyFont="1" applyFill="1" applyAlignment="1" applyProtection="1">
      <alignment vertical="center"/>
      <protection locked="0"/>
    </xf>
    <xf numFmtId="0" fontId="4" fillId="2" borderId="0" xfId="1434" applyFont="1" applyFill="1" applyAlignment="1" applyProtection="1">
      <alignment vertical="center"/>
      <protection locked="0"/>
    </xf>
    <xf numFmtId="0" fontId="4" fillId="0" borderId="0" xfId="1434" applyFont="1" applyFill="1" applyAlignment="1" applyProtection="1">
      <alignment vertical="center"/>
      <protection locked="0"/>
    </xf>
    <xf numFmtId="206" fontId="4" fillId="0" borderId="0" xfId="1434" applyNumberFormat="1" applyFont="1" applyFill="1" applyAlignment="1" applyProtection="1">
      <alignment vertical="center"/>
      <protection locked="0"/>
    </xf>
    <xf numFmtId="43" fontId="1" fillId="0" borderId="0" xfId="1674" applyFont="1" applyFill="1" applyAlignment="1" applyProtection="1">
      <alignment vertical="center"/>
      <protection locked="0"/>
    </xf>
    <xf numFmtId="0" fontId="1" fillId="0" borderId="2" xfId="1442" applyFont="1" applyFill="1" applyBorder="1" applyAlignment="1">
      <alignment vertical="center"/>
    </xf>
    <xf numFmtId="43" fontId="2" fillId="0" borderId="0" xfId="1610" applyFont="1" applyFill="1" applyBorder="1" applyAlignment="1" applyProtection="1">
      <alignment vertical="center"/>
      <protection locked="0"/>
    </xf>
    <xf numFmtId="0" fontId="1" fillId="0" borderId="0" xfId="1193" applyFont="1" applyFill="1" applyBorder="1" applyAlignment="1">
      <alignment vertical="center"/>
    </xf>
    <xf numFmtId="0" fontId="1" fillId="0" borderId="1" xfId="1193" applyFont="1" applyFill="1" applyBorder="1" applyAlignment="1">
      <alignment vertical="center"/>
    </xf>
    <xf numFmtId="0" fontId="1" fillId="0" borderId="1" xfId="1193" applyNumberFormat="1" applyFont="1" applyFill="1" applyBorder="1" applyAlignment="1">
      <alignment vertical="center"/>
    </xf>
    <xf numFmtId="49" fontId="1" fillId="0" borderId="1" xfId="1193" applyNumberFormat="1" applyFont="1" applyFill="1" applyBorder="1" applyAlignment="1">
      <alignment vertical="center"/>
    </xf>
    <xf numFmtId="0" fontId="1" fillId="0" borderId="1" xfId="1610" applyNumberFormat="1" applyFont="1" applyFill="1" applyBorder="1" applyAlignment="1">
      <alignment vertical="center"/>
    </xf>
    <xf numFmtId="0" fontId="2" fillId="0" borderId="1" xfId="1193" applyFont="1" applyFill="1" applyBorder="1" applyAlignment="1">
      <alignment vertical="center"/>
    </xf>
    <xf numFmtId="0" fontId="2" fillId="0" borderId="3" xfId="1193" applyNumberFormat="1" applyFont="1" applyFill="1" applyBorder="1" applyAlignment="1">
      <alignment vertical="center"/>
    </xf>
    <xf numFmtId="49" fontId="2" fillId="0" borderId="1" xfId="1193" applyNumberFormat="1" applyFont="1" applyFill="1" applyBorder="1" applyAlignment="1">
      <alignment vertical="center"/>
    </xf>
    <xf numFmtId="43" fontId="2" fillId="0" borderId="1" xfId="1428" applyNumberFormat="1" applyFont="1" applyFill="1" applyBorder="1" applyAlignment="1" applyProtection="1">
      <alignment vertical="center" wrapText="1"/>
      <protection hidden="1"/>
    </xf>
    <xf numFmtId="43" fontId="2" fillId="0" borderId="1" xfId="29" applyFont="1" applyFill="1" applyBorder="1" applyAlignment="1" applyProtection="1">
      <alignment vertical="center" wrapText="1"/>
      <protection hidden="1"/>
    </xf>
    <xf numFmtId="213" fontId="3" fillId="0" borderId="1" xfId="0" applyNumberFormat="1" applyFont="1" applyFill="1" applyBorder="1" applyAlignment="1">
      <alignment vertical="center" wrapText="1"/>
    </xf>
    <xf numFmtId="0" fontId="3" fillId="0" borderId="1" xfId="1433" applyFont="1" applyFill="1" applyBorder="1" applyAlignment="1" applyProtection="1">
      <alignment vertical="center"/>
      <protection locked="0"/>
    </xf>
    <xf numFmtId="4" fontId="3" fillId="0" borderId="1" xfId="1433" applyNumberFormat="1" applyFont="1" applyFill="1" applyBorder="1" applyAlignment="1" applyProtection="1">
      <alignment vertical="center"/>
      <protection locked="0"/>
    </xf>
    <xf numFmtId="14" fontId="3" fillId="0" borderId="1" xfId="1433" applyNumberFormat="1" applyFont="1" applyFill="1" applyBorder="1" applyAlignment="1" applyProtection="1">
      <alignment vertical="center"/>
      <protection locked="0"/>
    </xf>
    <xf numFmtId="0" fontId="1" fillId="0" borderId="0" xfId="1434" applyFont="1" applyFill="1" applyBorder="1" applyAlignment="1" applyProtection="1">
      <alignment vertical="center"/>
      <protection locked="0"/>
    </xf>
    <xf numFmtId="0" fontId="1" fillId="0" borderId="1" xfId="1434" applyFont="1" applyFill="1" applyBorder="1" applyAlignment="1" applyProtection="1">
      <alignment vertical="center"/>
      <protection locked="0"/>
    </xf>
    <xf numFmtId="0" fontId="2" fillId="0" borderId="1" xfId="1434" applyFont="1" applyFill="1" applyBorder="1" applyAlignment="1" applyProtection="1">
      <alignment vertical="center"/>
      <protection locked="0"/>
    </xf>
    <xf numFmtId="221" fontId="3" fillId="0" borderId="1" xfId="1433" applyNumberFormat="1" applyFont="1" applyFill="1" applyBorder="1" applyAlignment="1" applyProtection="1">
      <alignment vertical="center"/>
      <protection locked="0"/>
    </xf>
    <xf numFmtId="43" fontId="1" fillId="0" borderId="1" xfId="1434" applyNumberFormat="1" applyFont="1" applyFill="1" applyBorder="1" applyAlignment="1" applyProtection="1">
      <alignment vertical="center"/>
      <protection locked="0"/>
    </xf>
    <xf numFmtId="49" fontId="1" fillId="0" borderId="1" xfId="1433" applyNumberFormat="1" applyFont="1" applyFill="1" applyBorder="1" applyAlignment="1" applyProtection="1">
      <alignment vertical="center"/>
      <protection locked="0"/>
    </xf>
    <xf numFmtId="0" fontId="4" fillId="0" borderId="1" xfId="1434" applyFont="1" applyFill="1" applyBorder="1" applyAlignment="1" applyProtection="1">
      <alignment vertical="center"/>
      <protection locked="0"/>
    </xf>
    <xf numFmtId="14" fontId="3" fillId="0" borderId="1" xfId="1435" applyNumberFormat="1" applyFont="1" applyFill="1" applyBorder="1" applyAlignment="1" applyProtection="1">
      <alignment vertical="center"/>
      <protection locked="0"/>
    </xf>
    <xf numFmtId="43" fontId="3" fillId="0" borderId="1" xfId="1433" applyNumberFormat="1" applyFont="1" applyFill="1" applyBorder="1" applyAlignment="1" applyProtection="1">
      <alignment vertical="center"/>
      <protection locked="0"/>
    </xf>
    <xf numFmtId="0" fontId="1" fillId="2" borderId="1" xfId="1193" applyFont="1" applyFill="1" applyBorder="1" applyAlignment="1">
      <alignment vertical="center"/>
    </xf>
    <xf numFmtId="14" fontId="3" fillId="2" borderId="1" xfId="1435" applyNumberFormat="1" applyFont="1" applyFill="1" applyBorder="1" applyAlignment="1" applyProtection="1">
      <alignment vertical="center"/>
      <protection locked="0"/>
    </xf>
    <xf numFmtId="0" fontId="3" fillId="2" borderId="1" xfId="1433" applyFont="1" applyFill="1" applyBorder="1" applyAlignment="1" applyProtection="1">
      <alignment vertical="center"/>
      <protection locked="0"/>
    </xf>
    <xf numFmtId="213" fontId="3" fillId="2" borderId="1" xfId="0" applyNumberFormat="1" applyFont="1" applyFill="1" applyBorder="1" applyAlignment="1">
      <alignment vertical="center" wrapText="1"/>
    </xf>
    <xf numFmtId="4" fontId="3" fillId="2" borderId="1" xfId="1433" applyNumberFormat="1" applyFont="1" applyFill="1" applyBorder="1" applyAlignment="1" applyProtection="1">
      <alignment vertical="center"/>
      <protection locked="0"/>
    </xf>
    <xf numFmtId="43" fontId="3" fillId="2" borderId="1" xfId="1433" applyNumberFormat="1" applyFont="1" applyFill="1" applyBorder="1" applyAlignment="1" applyProtection="1">
      <alignment vertical="center"/>
      <protection locked="0"/>
    </xf>
    <xf numFmtId="221" fontId="3" fillId="2" borderId="1" xfId="1433" applyNumberFormat="1" applyFont="1" applyFill="1" applyBorder="1" applyAlignment="1" applyProtection="1">
      <alignment vertical="center"/>
      <protection locked="0"/>
    </xf>
    <xf numFmtId="43" fontId="1" fillId="2" borderId="1" xfId="1434" applyNumberFormat="1" applyFont="1" applyFill="1" applyBorder="1" applyAlignment="1" applyProtection="1">
      <alignment vertical="center"/>
      <protection locked="0"/>
    </xf>
    <xf numFmtId="0" fontId="4" fillId="2" borderId="1" xfId="1434" applyFont="1" applyFill="1" applyBorder="1" applyAlignment="1" applyProtection="1">
      <alignment vertical="center"/>
      <protection locked="0"/>
    </xf>
    <xf numFmtId="14" fontId="6" fillId="0" borderId="1" xfId="1433" applyNumberFormat="1" applyFont="1" applyFill="1" applyBorder="1" applyAlignment="1" applyProtection="1">
      <alignment vertical="center"/>
      <protection locked="0"/>
    </xf>
    <xf numFmtId="14" fontId="3" fillId="0" borderId="1" xfId="0" applyNumberFormat="1" applyFont="1" applyFill="1" applyBorder="1" applyAlignment="1" applyProtection="1">
      <alignment vertical="center" wrapText="1"/>
    </xf>
    <xf numFmtId="14" fontId="8" fillId="0" borderId="1" xfId="1435" applyNumberFormat="1" applyFont="1" applyFill="1" applyBorder="1" applyAlignment="1" applyProtection="1">
      <alignment vertical="center"/>
      <protection locked="0"/>
    </xf>
    <xf numFmtId="0" fontId="8" fillId="0" borderId="1" xfId="1433" applyFont="1" applyFill="1" applyBorder="1" applyAlignment="1" applyProtection="1">
      <alignment vertical="center"/>
      <protection locked="0"/>
    </xf>
    <xf numFmtId="0" fontId="10" fillId="0" borderId="1" xfId="1435" applyFont="1" applyFill="1" applyBorder="1" applyAlignment="1" applyProtection="1">
      <alignment horizontal="left"/>
      <protection locked="0"/>
    </xf>
    <xf numFmtId="14" fontId="10" fillId="0" borderId="1" xfId="1435" applyNumberFormat="1" applyFont="1" applyFill="1" applyBorder="1" applyProtection="1">
      <protection locked="0"/>
    </xf>
    <xf numFmtId="4" fontId="13" fillId="0" borderId="1" xfId="1433" applyNumberFormat="1" applyFont="1" applyFill="1" applyBorder="1" applyAlignment="1" applyProtection="1">
      <alignment vertical="center"/>
      <protection locked="0"/>
    </xf>
    <xf numFmtId="0" fontId="0" fillId="0" borderId="1" xfId="1434" applyFont="1" applyFill="1" applyBorder="1" applyAlignment="1" applyProtection="1">
      <alignment vertical="center" wrapText="1"/>
      <protection locked="0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NumberFormat="1" applyFont="1" applyFill="1"/>
    <xf numFmtId="0" fontId="1" fillId="0" borderId="0" xfId="0" applyFont="1" applyFill="1" applyAlignment="1">
      <alignment wrapText="1"/>
    </xf>
    <xf numFmtId="0" fontId="1" fillId="0" borderId="0" xfId="0" applyNumberFormat="1" applyFont="1" applyFill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8" fontId="1" fillId="0" borderId="1" xfId="11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1429" applyNumberFormat="1" applyFont="1" applyFill="1" applyBorder="1" applyAlignment="1" applyProtection="1">
      <alignment horizontal="center" vertical="center" wrapText="1"/>
      <protection locked="0"/>
    </xf>
    <xf numFmtId="43" fontId="1" fillId="0" borderId="1" xfId="29" applyFont="1" applyFill="1" applyBorder="1" applyAlignment="1" applyProtection="1">
      <alignment horizontal="center" vertical="center" wrapText="1"/>
      <protection locked="0"/>
    </xf>
    <xf numFmtId="178" fontId="3" fillId="0" borderId="1" xfId="11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3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43" fontId="14" fillId="0" borderId="0" xfId="29" applyFont="1" applyAlignment="1">
      <alignment vertical="center"/>
    </xf>
    <xf numFmtId="43" fontId="11" fillId="0" borderId="0" xfId="29" applyFont="1" applyAlignment="1">
      <alignment vertical="center"/>
    </xf>
    <xf numFmtId="43" fontId="17" fillId="0" borderId="1" xfId="29" applyFont="1" applyFill="1" applyBorder="1" applyAlignment="1">
      <alignment horizontal="center" vertical="center" wrapText="1"/>
    </xf>
    <xf numFmtId="43" fontId="18" fillId="0" borderId="1" xfId="29" applyFont="1" applyFill="1" applyBorder="1" applyAlignment="1">
      <alignment horizontal="center" vertical="center" wrapText="1"/>
    </xf>
    <xf numFmtId="43" fontId="19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 applyAlignment="1">
      <alignment vertical="center"/>
    </xf>
    <xf numFmtId="43" fontId="19" fillId="0" borderId="1" xfId="40" applyNumberFormat="1" applyFont="1" applyBorder="1" applyAlignment="1">
      <alignment vertical="center"/>
    </xf>
    <xf numFmtId="43" fontId="19" fillId="0" borderId="1" xfId="29" applyNumberFormat="1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1429" applyFont="1" applyFill="1" applyAlignment="1" applyProtection="1">
      <alignment horizontal="center" vertical="center" wrapText="1"/>
      <protection locked="0"/>
    </xf>
    <xf numFmtId="0" fontId="1" fillId="0" borderId="0" xfId="1429" applyFont="1" applyFill="1" applyAlignment="1" applyProtection="1">
      <alignment horizontal="center" vertical="center" wrapText="1"/>
      <protection locked="0"/>
    </xf>
    <xf numFmtId="0" fontId="1" fillId="0" borderId="0" xfId="1168" applyFont="1" applyFill="1" applyAlignment="1">
      <alignment horizontal="center" vertical="center" wrapText="1"/>
    </xf>
    <xf numFmtId="49" fontId="1" fillId="0" borderId="0" xfId="1168" applyNumberFormat="1" applyFont="1" applyFill="1" applyBorder="1" applyAlignment="1">
      <alignment horizontal="center" vertical="center" wrapText="1"/>
    </xf>
    <xf numFmtId="43" fontId="3" fillId="0" borderId="0" xfId="1168" applyNumberFormat="1" applyFont="1" applyFill="1" applyBorder="1" applyAlignment="1">
      <alignment horizontal="center" vertical="center" wrapText="1"/>
    </xf>
    <xf numFmtId="222" fontId="3" fillId="0" borderId="0" xfId="1168" applyNumberFormat="1" applyFont="1" applyFill="1" applyAlignment="1">
      <alignment horizontal="center" vertical="center" wrapText="1"/>
    </xf>
    <xf numFmtId="49" fontId="3" fillId="0" borderId="0" xfId="1168" applyNumberFormat="1" applyFont="1" applyFill="1" applyAlignment="1">
      <alignment horizontal="center" vertical="center" wrapText="1"/>
    </xf>
    <xf numFmtId="0" fontId="3" fillId="0" borderId="0" xfId="1168" applyFont="1" applyFill="1" applyAlignment="1">
      <alignment horizontal="center" vertical="center" wrapText="1"/>
    </xf>
    <xf numFmtId="43" fontId="3" fillId="0" borderId="0" xfId="1168" applyNumberFormat="1" applyFont="1" applyFill="1" applyAlignment="1">
      <alignment horizontal="center" vertical="center" wrapText="1"/>
    </xf>
    <xf numFmtId="43" fontId="3" fillId="0" borderId="2" xfId="1168" applyNumberFormat="1" applyFont="1" applyFill="1" applyBorder="1" applyAlignment="1">
      <alignment vertical="center" wrapText="1"/>
    </xf>
    <xf numFmtId="0" fontId="7" fillId="0" borderId="1" xfId="1429" applyFont="1" applyFill="1" applyBorder="1" applyAlignment="1" applyProtection="1">
      <alignment horizontal="center" vertical="center" wrapText="1"/>
      <protection locked="0"/>
    </xf>
    <xf numFmtId="0" fontId="2" fillId="0" borderId="1" xfId="1429" applyFont="1" applyFill="1" applyBorder="1" applyAlignment="1" applyProtection="1">
      <alignment horizontal="center" vertical="center" wrapText="1"/>
      <protection locked="0"/>
    </xf>
    <xf numFmtId="49" fontId="7" fillId="0" borderId="1" xfId="1429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1429" applyFont="1" applyFill="1" applyBorder="1" applyAlignment="1" applyProtection="1">
      <alignment horizontal="center" vertical="center" wrapText="1"/>
      <protection locked="0"/>
    </xf>
    <xf numFmtId="0" fontId="7" fillId="0" borderId="4" xfId="1429" applyFont="1" applyFill="1" applyBorder="1" applyAlignment="1" applyProtection="1">
      <alignment horizontal="center" vertical="center" wrapText="1"/>
      <protection locked="0"/>
    </xf>
    <xf numFmtId="178" fontId="2" fillId="0" borderId="1" xfId="110" applyNumberFormat="1" applyFont="1" applyFill="1" applyBorder="1" applyAlignment="1" applyProtection="1">
      <alignment horizontal="center" vertical="center" wrapText="1"/>
      <protection locked="0"/>
    </xf>
    <xf numFmtId="178" fontId="7" fillId="0" borderId="1" xfId="110" applyNumberFormat="1" applyFont="1" applyFill="1" applyBorder="1" applyAlignment="1" applyProtection="1">
      <alignment horizontal="center" vertical="center" wrapText="1"/>
      <protection locked="0"/>
    </xf>
    <xf numFmtId="57" fontId="2" fillId="0" borderId="1" xfId="110" applyNumberFormat="1" applyFont="1" applyFill="1" applyBorder="1" applyAlignment="1" applyProtection="1">
      <alignment horizontal="center" vertical="center" wrapText="1"/>
      <protection locked="0"/>
    </xf>
    <xf numFmtId="218" fontId="2" fillId="0" borderId="1" xfId="110" applyNumberFormat="1" applyFont="1" applyFill="1" applyBorder="1" applyAlignment="1" applyProtection="1">
      <alignment horizontal="center" vertical="center" wrapText="1"/>
      <protection locked="0"/>
    </xf>
    <xf numFmtId="43" fontId="7" fillId="0" borderId="1" xfId="11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429" applyFont="1" applyFill="1" applyBorder="1" applyAlignment="1" applyProtection="1">
      <alignment horizontal="center" vertical="center" wrapText="1"/>
      <protection locked="0"/>
    </xf>
    <xf numFmtId="0" fontId="22" fillId="0" borderId="1" xfId="1438" applyFont="1" applyFill="1" applyBorder="1" applyAlignment="1" applyProtection="1">
      <alignment horizontal="center" vertical="center"/>
      <protection locked="0"/>
    </xf>
    <xf numFmtId="222" fontId="22" fillId="0" borderId="1" xfId="527" applyNumberFormat="1" applyFont="1" applyFill="1" applyBorder="1" applyAlignment="1" applyProtection="1">
      <alignment vertical="center" wrapText="1"/>
      <protection locked="0"/>
    </xf>
    <xf numFmtId="178" fontId="23" fillId="0" borderId="1" xfId="0" applyNumberFormat="1" applyFont="1" applyFill="1" applyBorder="1" applyAlignment="1" applyProtection="1">
      <alignment vertical="center" wrapText="1"/>
      <protection locked="0"/>
    </xf>
    <xf numFmtId="14" fontId="9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3" fontId="3" fillId="0" borderId="1" xfId="535" applyFont="1" applyFill="1" applyBorder="1" applyAlignment="1">
      <alignment vertical="center" wrapText="1"/>
    </xf>
    <xf numFmtId="43" fontId="3" fillId="0" borderId="1" xfId="0" applyNumberFormat="1" applyFont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2" xfId="1168" applyFont="1" applyFill="1" applyBorder="1" applyAlignment="1">
      <alignment horizontal="center" vertical="center" wrapText="1"/>
    </xf>
    <xf numFmtId="49" fontId="3" fillId="0" borderId="2" xfId="1168" applyNumberFormat="1" applyFont="1" applyFill="1" applyBorder="1" applyAlignment="1">
      <alignment horizontal="center" vertical="center" wrapText="1"/>
    </xf>
    <xf numFmtId="0" fontId="3" fillId="0" borderId="2" xfId="1168" applyFont="1" applyFill="1" applyBorder="1" applyAlignment="1">
      <alignment vertical="center" wrapText="1"/>
    </xf>
    <xf numFmtId="43" fontId="3" fillId="0" borderId="0" xfId="0" applyNumberFormat="1" applyFont="1" applyFill="1" applyAlignment="1">
      <alignment vertical="center" wrapText="1"/>
    </xf>
    <xf numFmtId="0" fontId="1" fillId="0" borderId="2" xfId="1168" applyFont="1" applyFill="1" applyBorder="1" applyAlignment="1">
      <alignment horizontal="center" vertical="center" wrapText="1"/>
    </xf>
    <xf numFmtId="0" fontId="1" fillId="0" borderId="0" xfId="1168" applyFont="1" applyFill="1" applyAlignment="1">
      <alignment vertical="center" wrapText="1"/>
    </xf>
    <xf numFmtId="222" fontId="7" fillId="0" borderId="1" xfId="1429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429" applyNumberFormat="1" applyFont="1" applyFill="1" applyBorder="1" applyAlignment="1" applyProtection="1">
      <alignment horizontal="center" vertical="center" wrapText="1"/>
      <protection locked="0"/>
    </xf>
    <xf numFmtId="178" fontId="22" fillId="0" borderId="1" xfId="0" applyNumberFormat="1" applyFont="1" applyFill="1" applyBorder="1" applyAlignment="1" applyProtection="1">
      <alignment vertical="center" wrapText="1"/>
      <protection locked="0"/>
    </xf>
    <xf numFmtId="43" fontId="3" fillId="0" borderId="1" xfId="1429" applyNumberFormat="1" applyFont="1" applyFill="1" applyBorder="1" applyAlignment="1" applyProtection="1">
      <alignment vertical="center" wrapText="1"/>
      <protection locked="0"/>
    </xf>
    <xf numFmtId="0" fontId="1" fillId="0" borderId="1" xfId="1168" applyFont="1" applyFill="1" applyBorder="1" applyAlignment="1" applyProtection="1">
      <alignment vertical="center" wrapText="1"/>
      <protection locked="0"/>
    </xf>
    <xf numFmtId="0" fontId="3" fillId="0" borderId="0" xfId="1429" applyFont="1" applyFill="1" applyAlignment="1" applyProtection="1">
      <alignment horizontal="center" vertical="center" wrapText="1"/>
      <protection locked="0"/>
    </xf>
    <xf numFmtId="43" fontId="3" fillId="0" borderId="1" xfId="1429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168" applyFont="1" applyFill="1" applyBorder="1" applyAlignment="1" applyProtection="1">
      <alignment vertical="center" wrapText="1"/>
      <protection locked="0"/>
    </xf>
    <xf numFmtId="0" fontId="22" fillId="0" borderId="1" xfId="527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4" fillId="0" borderId="0" xfId="0" applyFont="1"/>
    <xf numFmtId="43" fontId="4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43" fontId="1" fillId="0" borderId="0" xfId="1168" applyNumberFormat="1" applyFont="1" applyFill="1">
      <alignment vertical="center"/>
    </xf>
    <xf numFmtId="10" fontId="11" fillId="0" borderId="1" xfId="0" applyNumberFormat="1" applyFont="1" applyFill="1" applyBorder="1" applyAlignment="1">
      <alignment horizontal="center" vertical="center" wrapText="1"/>
    </xf>
    <xf numFmtId="43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0" fontId="0" fillId="0" borderId="1" xfId="0" applyNumberFormat="1" applyBorder="1" applyAlignment="1">
      <alignment horizontal="right" vertical="center"/>
    </xf>
    <xf numFmtId="0" fontId="0" fillId="0" borderId="1" xfId="0" applyBorder="1"/>
    <xf numFmtId="43" fontId="0" fillId="0" borderId="1" xfId="0" applyNumberFormat="1" applyBorder="1"/>
    <xf numFmtId="43" fontId="0" fillId="0" borderId="1" xfId="29" applyFont="1" applyBorder="1"/>
    <xf numFmtId="0" fontId="2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shrinkToFit="1"/>
    </xf>
    <xf numFmtId="222" fontId="4" fillId="0" borderId="0" xfId="0" applyNumberFormat="1" applyFont="1" applyFill="1" applyAlignment="1">
      <alignment horizontal="right"/>
    </xf>
    <xf numFmtId="43" fontId="4" fillId="0" borderId="0" xfId="0" applyNumberFormat="1" applyFont="1" applyFill="1"/>
    <xf numFmtId="0" fontId="3" fillId="0" borderId="0" xfId="1168" applyNumberFormat="1" applyFont="1" applyFill="1" applyBorder="1" applyAlignment="1" applyProtection="1">
      <alignment horizontal="left" vertical="center"/>
    </xf>
    <xf numFmtId="0" fontId="1" fillId="0" borderId="2" xfId="1168" applyFont="1" applyFill="1" applyBorder="1" applyAlignment="1">
      <alignment horizontal="center" vertical="center"/>
    </xf>
    <xf numFmtId="0" fontId="1" fillId="0" borderId="2" xfId="1168" applyFont="1" applyFill="1" applyBorder="1" applyAlignment="1">
      <alignment horizontal="center" vertical="center" shrinkToFit="1"/>
    </xf>
    <xf numFmtId="222" fontId="1" fillId="0" borderId="2" xfId="1168" applyNumberFormat="1" applyFont="1" applyFill="1" applyBorder="1" applyAlignment="1">
      <alignment horizontal="right" vertical="center"/>
    </xf>
    <xf numFmtId="0" fontId="7" fillId="0" borderId="1" xfId="1429" applyFont="1" applyFill="1" applyBorder="1" applyAlignment="1" applyProtection="1">
      <alignment horizontal="center" vertical="center"/>
      <protection locked="0"/>
    </xf>
    <xf numFmtId="0" fontId="2" fillId="0" borderId="1" xfId="1429" applyFont="1" applyFill="1" applyBorder="1" applyAlignment="1" applyProtection="1">
      <alignment horizontal="center" vertical="center"/>
      <protection locked="0"/>
    </xf>
    <xf numFmtId="0" fontId="2" fillId="0" borderId="1" xfId="1429" applyFont="1" applyFill="1" applyBorder="1" applyAlignment="1" applyProtection="1">
      <alignment horizontal="center" vertical="center" shrinkToFit="1"/>
      <protection locked="0"/>
    </xf>
    <xf numFmtId="178" fontId="2" fillId="0" borderId="1" xfId="110" applyNumberFormat="1" applyFont="1" applyFill="1" applyBorder="1" applyAlignment="1" applyProtection="1">
      <alignment horizontal="center" vertical="center"/>
      <protection locked="0"/>
    </xf>
    <xf numFmtId="57" fontId="2" fillId="0" borderId="1" xfId="110" applyNumberFormat="1" applyFont="1" applyFill="1" applyBorder="1" applyAlignment="1" applyProtection="1">
      <alignment horizontal="center" vertical="center"/>
      <protection locked="0"/>
    </xf>
    <xf numFmtId="218" fontId="2" fillId="0" borderId="1" xfId="110" applyNumberFormat="1" applyFont="1" applyFill="1" applyBorder="1" applyAlignment="1" applyProtection="1">
      <alignment horizontal="center" vertical="center" shrinkToFit="1"/>
      <protection locked="0"/>
    </xf>
    <xf numFmtId="222" fontId="2" fillId="0" borderId="1" xfId="110" applyNumberFormat="1" applyFont="1" applyFill="1" applyBorder="1" applyAlignment="1" applyProtection="1">
      <alignment horizontal="right" vertical="center"/>
      <protection locked="0"/>
    </xf>
    <xf numFmtId="0" fontId="1" fillId="0" borderId="1" xfId="1429" applyFont="1" applyFill="1" applyBorder="1" applyAlignment="1" applyProtection="1">
      <alignment horizontal="center" vertical="center"/>
      <protection locked="0"/>
    </xf>
    <xf numFmtId="178" fontId="3" fillId="0" borderId="1" xfId="110" applyNumberFormat="1" applyFont="1" applyFill="1" applyBorder="1" applyAlignment="1" applyProtection="1">
      <alignment vertical="center"/>
      <protection locked="0"/>
    </xf>
    <xf numFmtId="178" fontId="3" fillId="0" borderId="1" xfId="110" applyNumberFormat="1" applyFont="1" applyFill="1" applyBorder="1" applyAlignment="1" applyProtection="1">
      <alignment vertical="center" wrapText="1"/>
      <protection locked="0"/>
    </xf>
    <xf numFmtId="178" fontId="3" fillId="0" borderId="1" xfId="110" applyNumberFormat="1" applyFont="1" applyFill="1" applyBorder="1" applyAlignment="1" applyProtection="1">
      <alignment horizontal="center" vertical="center"/>
      <protection locked="0"/>
    </xf>
    <xf numFmtId="43" fontId="9" fillId="0" borderId="1" xfId="535" applyFont="1" applyFill="1" applyBorder="1" applyAlignment="1">
      <alignment vertical="center" wrapText="1"/>
    </xf>
    <xf numFmtId="189" fontId="3" fillId="0" borderId="1" xfId="297" applyNumberFormat="1" applyFont="1" applyFill="1" applyBorder="1" applyAlignment="1">
      <alignment horizontal="left" vertical="center" wrapText="1"/>
    </xf>
    <xf numFmtId="218" fontId="3" fillId="0" borderId="1" xfId="110" applyNumberFormat="1" applyFont="1" applyFill="1" applyBorder="1" applyAlignment="1" applyProtection="1">
      <alignment horizontal="center" vertical="center"/>
      <protection locked="0"/>
    </xf>
    <xf numFmtId="0" fontId="3" fillId="0" borderId="1" xfId="1437" applyFont="1" applyFill="1" applyBorder="1" applyAlignment="1">
      <alignment horizontal="left" vertical="center" wrapText="1"/>
    </xf>
    <xf numFmtId="178" fontId="3" fillId="0" borderId="1" xfId="110" applyNumberFormat="1" applyFont="1" applyFill="1" applyBorder="1" applyProtection="1">
      <alignment vertical="center"/>
      <protection locked="0"/>
    </xf>
    <xf numFmtId="0" fontId="3" fillId="0" borderId="1" xfId="1168" applyFont="1" applyFill="1" applyBorder="1" applyAlignment="1">
      <alignment vertical="center"/>
    </xf>
    <xf numFmtId="0" fontId="3" fillId="0" borderId="1" xfId="1168" applyFont="1" applyFill="1" applyBorder="1" applyAlignment="1">
      <alignment horizontal="center" vertical="center"/>
    </xf>
    <xf numFmtId="49" fontId="1" fillId="0" borderId="2" xfId="1168" applyNumberFormat="1" applyFont="1" applyFill="1" applyBorder="1" applyAlignment="1">
      <alignment horizontal="center" vertical="center" wrapText="1"/>
    </xf>
    <xf numFmtId="43" fontId="1" fillId="0" borderId="2" xfId="1168" applyNumberFormat="1" applyFont="1" applyFill="1" applyBorder="1" applyAlignment="1">
      <alignment vertical="center"/>
    </xf>
    <xf numFmtId="43" fontId="1" fillId="0" borderId="0" xfId="0" applyNumberFormat="1" applyFont="1" applyFill="1"/>
    <xf numFmtId="43" fontId="3" fillId="0" borderId="2" xfId="1168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wrapText="1"/>
    </xf>
    <xf numFmtId="43" fontId="2" fillId="0" borderId="1" xfId="110" applyNumberFormat="1" applyFont="1" applyFill="1" applyBorder="1" applyAlignment="1" applyProtection="1">
      <alignment horizontal="center" vertical="center"/>
      <protection locked="0"/>
    </xf>
    <xf numFmtId="43" fontId="2" fillId="0" borderId="1" xfId="1168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429" applyNumberFormat="1" applyFont="1" applyFill="1" applyBorder="1" applyAlignment="1" applyProtection="1">
      <alignment horizontal="center" vertical="center"/>
      <protection locked="0"/>
    </xf>
    <xf numFmtId="0" fontId="3" fillId="0" borderId="1" xfId="1429" applyFont="1" applyFill="1" applyBorder="1" applyAlignment="1" applyProtection="1">
      <alignment vertical="center" wrapText="1"/>
      <protection locked="0"/>
    </xf>
    <xf numFmtId="43" fontId="1" fillId="0" borderId="1" xfId="1429" applyNumberFormat="1" applyFont="1" applyFill="1" applyBorder="1" applyAlignment="1" applyProtection="1">
      <alignment vertical="center" wrapText="1"/>
      <protection locked="0"/>
    </xf>
    <xf numFmtId="43" fontId="1" fillId="0" borderId="1" xfId="0" applyNumberFormat="1" applyFont="1" applyFill="1" applyBorder="1" applyAlignment="1">
      <alignment vertical="center" wrapText="1"/>
    </xf>
    <xf numFmtId="222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1429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10" fontId="4" fillId="0" borderId="0" xfId="0" applyNumberFormat="1" applyFont="1"/>
    <xf numFmtId="0" fontId="1" fillId="0" borderId="3" xfId="0" applyFont="1" applyFill="1" applyBorder="1" applyAlignment="1">
      <alignment horizontal="center" vertical="center" wrapText="1"/>
    </xf>
    <xf numFmtId="43" fontId="1" fillId="0" borderId="3" xfId="0" applyNumberFormat="1" applyFont="1" applyFill="1" applyBorder="1" applyAlignment="1">
      <alignment horizontal="center" vertical="center" wrapText="1"/>
    </xf>
    <xf numFmtId="0" fontId="3" fillId="0" borderId="1" xfId="1440" applyFont="1" applyFill="1" applyBorder="1" applyAlignment="1" applyProtection="1">
      <alignment horizontal="center" vertical="center" wrapText="1"/>
      <protection locked="0"/>
    </xf>
    <xf numFmtId="222" fontId="3" fillId="0" borderId="1" xfId="0" applyNumberFormat="1" applyFont="1" applyFill="1" applyBorder="1" applyAlignment="1">
      <alignment horizontal="center" vertical="center" wrapText="1"/>
    </xf>
    <xf numFmtId="43" fontId="1" fillId="0" borderId="1" xfId="2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1" fillId="0" borderId="1" xfId="29" applyFont="1" applyBorder="1" applyAlignment="1">
      <alignment horizontal="center" vertical="center"/>
    </xf>
    <xf numFmtId="43" fontId="1" fillId="0" borderId="2" xfId="1168" applyNumberFormat="1" applyFont="1" applyFill="1" applyBorder="1" applyAlignment="1">
      <alignment vertical="center" wrapText="1"/>
    </xf>
    <xf numFmtId="10" fontId="1" fillId="0" borderId="2" xfId="1168" applyNumberFormat="1" applyFont="1" applyFill="1" applyBorder="1" applyAlignment="1">
      <alignment horizontal="center" vertical="center" wrapText="1"/>
    </xf>
    <xf numFmtId="43" fontId="11" fillId="0" borderId="1" xfId="29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shrinkToFit="1"/>
    </xf>
    <xf numFmtId="222" fontId="4" fillId="0" borderId="0" xfId="0" applyNumberFormat="1" applyFont="1" applyFill="1" applyAlignment="1">
      <alignment horizontal="right" wrapText="1"/>
    </xf>
    <xf numFmtId="43" fontId="4" fillId="0" borderId="0" xfId="0" applyNumberFormat="1" applyFont="1" applyFill="1" applyAlignment="1">
      <alignment wrapText="1"/>
    </xf>
    <xf numFmtId="222" fontId="1" fillId="0" borderId="2" xfId="1168" applyNumberFormat="1" applyFont="1" applyFill="1" applyBorder="1" applyAlignment="1">
      <alignment horizontal="right" vertical="center" wrapText="1"/>
    </xf>
    <xf numFmtId="57" fontId="2" fillId="0" borderId="1" xfId="110" applyNumberFormat="1" applyFont="1" applyFill="1" applyBorder="1" applyAlignment="1" applyProtection="1">
      <alignment horizontal="center" vertical="center" shrinkToFit="1"/>
      <protection locked="0"/>
    </xf>
    <xf numFmtId="49" fontId="2" fillId="0" borderId="1" xfId="110" applyNumberFormat="1" applyFont="1" applyFill="1" applyBorder="1" applyAlignment="1" applyProtection="1">
      <alignment horizontal="center" vertical="center" shrinkToFit="1"/>
      <protection locked="0"/>
    </xf>
    <xf numFmtId="222" fontId="2" fillId="0" borderId="1" xfId="1168" applyNumberFormat="1" applyFont="1" applyFill="1" applyBorder="1" applyAlignment="1" applyProtection="1">
      <alignment horizontal="right" wrapText="1"/>
      <protection locked="0"/>
    </xf>
    <xf numFmtId="0" fontId="3" fillId="0" borderId="1" xfId="1429" applyFont="1" applyFill="1" applyBorder="1" applyAlignment="1" applyProtection="1">
      <alignment horizontal="center" vertical="center" wrapText="1"/>
      <protection locked="0"/>
    </xf>
    <xf numFmtId="222" fontId="3" fillId="0" borderId="1" xfId="0" applyNumberFormat="1" applyFont="1" applyFill="1" applyBorder="1" applyAlignment="1" applyProtection="1">
      <alignment vertical="center" wrapText="1"/>
      <protection locked="0"/>
    </xf>
    <xf numFmtId="14" fontId="3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vertical="center" wrapText="1"/>
    </xf>
    <xf numFmtId="222" fontId="3" fillId="0" borderId="1" xfId="1342" applyNumberFormat="1" applyFont="1" applyFill="1" applyBorder="1" applyAlignment="1" applyProtection="1">
      <alignment horizontal="center" vertical="center"/>
      <protection locked="0"/>
    </xf>
    <xf numFmtId="43" fontId="3" fillId="0" borderId="1" xfId="29" applyFont="1" applyFill="1" applyBorder="1" applyAlignment="1">
      <alignment vertical="center" wrapText="1"/>
    </xf>
    <xf numFmtId="49" fontId="1" fillId="0" borderId="2" xfId="1168" applyNumberFormat="1" applyFont="1" applyFill="1" applyBorder="1" applyAlignment="1">
      <alignment horizontal="right" vertical="center" wrapText="1"/>
    </xf>
    <xf numFmtId="43" fontId="1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3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1" fillId="0" borderId="0" xfId="1168" applyNumberFormat="1" applyFont="1" applyFill="1" applyBorder="1" applyAlignment="1" applyProtection="1">
      <alignment horizontal="left" vertical="center"/>
    </xf>
    <xf numFmtId="0" fontId="1" fillId="0" borderId="2" xfId="1168" applyFont="1" applyFill="1" applyBorder="1" applyAlignment="1">
      <alignment vertical="center"/>
    </xf>
    <xf numFmtId="0" fontId="1" fillId="0" borderId="2" xfId="1168" applyFont="1" applyFill="1" applyBorder="1" applyAlignment="1">
      <alignment vertical="center" wrapText="1"/>
    </xf>
    <xf numFmtId="43" fontId="1" fillId="0" borderId="2" xfId="1168" applyNumberFormat="1" applyFont="1" applyFill="1" applyBorder="1" applyAlignment="1">
      <alignment horizontal="center" vertical="center" wrapText="1"/>
    </xf>
    <xf numFmtId="222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22" fontId="3" fillId="0" borderId="1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1168" applyNumberFormat="1" applyFont="1" applyFill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43" fontId="1" fillId="0" borderId="2" xfId="1168" applyNumberFormat="1" applyFont="1" applyFill="1" applyBorder="1" applyAlignment="1">
      <alignment horizontal="right" vertical="center"/>
    </xf>
    <xf numFmtId="190" fontId="11" fillId="0" borderId="0" xfId="0" applyNumberFormat="1" applyFont="1" applyFill="1" applyAlignment="1">
      <alignment vertical="center"/>
    </xf>
    <xf numFmtId="43" fontId="3" fillId="0" borderId="1" xfId="0" applyNumberFormat="1" applyFont="1" applyFill="1" applyBorder="1" applyAlignment="1">
      <alignment horizontal="right" vertical="center" wrapText="1"/>
    </xf>
    <xf numFmtId="4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NumberFormat="1" applyFont="1" applyFill="1" applyAlignment="1">
      <alignment vertical="center" shrinkToFit="1"/>
    </xf>
    <xf numFmtId="43" fontId="4" fillId="0" borderId="0" xfId="0" applyNumberFormat="1" applyFont="1" applyFill="1" applyAlignment="1">
      <alignment vertical="center" wrapText="1"/>
    </xf>
    <xf numFmtId="43" fontId="4" fillId="0" borderId="0" xfId="0" applyNumberFormat="1" applyFont="1" applyFill="1" applyAlignment="1">
      <alignment horizontal="center" vertical="center" wrapText="1"/>
    </xf>
    <xf numFmtId="190" fontId="4" fillId="0" borderId="0" xfId="0" applyNumberFormat="1" applyFont="1" applyFill="1" applyAlignment="1">
      <alignment vertical="center" wrapText="1"/>
    </xf>
    <xf numFmtId="0" fontId="2" fillId="0" borderId="1" xfId="1429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110" applyNumberFormat="1" applyFont="1" applyFill="1" applyBorder="1" applyAlignment="1" applyProtection="1">
      <alignment horizontal="center" vertical="center" shrinkToFit="1"/>
      <protection locked="0"/>
    </xf>
    <xf numFmtId="43" fontId="2" fillId="0" borderId="1" xfId="11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222" fontId="1" fillId="0" borderId="1" xfId="0" applyNumberFormat="1" applyFont="1" applyFill="1" applyBorder="1" applyAlignment="1" applyProtection="1">
      <alignment vertical="center" wrapText="1"/>
      <protection locked="0"/>
    </xf>
    <xf numFmtId="14" fontId="1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" xfId="29" applyNumberFormat="1" applyFont="1" applyFill="1" applyBorder="1" applyAlignment="1" applyProtection="1">
      <alignment horizontal="right" vertical="center"/>
      <protection locked="0"/>
    </xf>
    <xf numFmtId="4" fontId="1" fillId="0" borderId="1" xfId="535" applyNumberFormat="1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vertical="center" wrapText="1"/>
    </xf>
    <xf numFmtId="4" fontId="1" fillId="0" borderId="1" xfId="29" applyNumberFormat="1" applyFont="1" applyFill="1" applyBorder="1" applyAlignment="1">
      <alignment vertical="center" wrapText="1"/>
    </xf>
    <xf numFmtId="43" fontId="1" fillId="0" borderId="0" xfId="1168" applyNumberFormat="1" applyFont="1" applyFill="1" applyAlignment="1">
      <alignment vertical="center" wrapText="1"/>
    </xf>
    <xf numFmtId="190" fontId="1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0" fontId="2" fillId="0" borderId="1" xfId="1429" applyFont="1" applyFill="1" applyBorder="1" applyAlignment="1" applyProtection="1">
      <alignment vertical="center" wrapText="1"/>
      <protection locked="0"/>
    </xf>
    <xf numFmtId="0" fontId="1" fillId="0" borderId="1" xfId="1429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1429" applyFont="1" applyFill="1" applyBorder="1" applyAlignment="1" applyProtection="1">
      <alignment vertical="center"/>
      <protection locked="0"/>
    </xf>
    <xf numFmtId="0" fontId="3" fillId="0" borderId="0" xfId="0" applyFont="1" applyFill="1" applyAlignment="1">
      <alignment vertical="center" wrapText="1"/>
    </xf>
    <xf numFmtId="0" fontId="1" fillId="0" borderId="0" xfId="1168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1168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1" fillId="0" borderId="0" xfId="0" applyNumberFormat="1" applyFont="1" applyFill="1" applyAlignment="1">
      <alignment vertical="center" shrinkToFit="1"/>
    </xf>
    <xf numFmtId="43" fontId="1" fillId="0" borderId="0" xfId="0" applyNumberFormat="1" applyFont="1" applyFill="1" applyAlignment="1">
      <alignment vertical="center" wrapText="1"/>
    </xf>
    <xf numFmtId="190" fontId="1" fillId="0" borderId="0" xfId="0" applyNumberFormat="1" applyFont="1" applyFill="1" applyBorder="1" applyAlignment="1">
      <alignment vertical="center" wrapText="1"/>
    </xf>
    <xf numFmtId="43" fontId="1" fillId="0" borderId="1" xfId="29" applyFont="1" applyFill="1" applyBorder="1" applyAlignment="1">
      <alignment vertical="center" wrapText="1"/>
    </xf>
    <xf numFmtId="43" fontId="1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vertical="center"/>
    </xf>
    <xf numFmtId="43" fontId="0" fillId="0" borderId="0" xfId="0" applyNumberFormat="1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3" fontId="3" fillId="0" borderId="1" xfId="29" applyFont="1" applyFill="1" applyBorder="1" applyAlignment="1">
      <alignment horizontal="center" vertical="center" wrapText="1"/>
    </xf>
    <xf numFmtId="220" fontId="8" fillId="0" borderId="1" xfId="110" applyNumberFormat="1" applyFont="1" applyFill="1" applyBorder="1" applyAlignment="1" applyProtection="1">
      <alignment horizontal="center" vertical="center" wrapText="1"/>
      <protection locked="0"/>
    </xf>
    <xf numFmtId="43" fontId="3" fillId="0" borderId="1" xfId="29" applyFont="1" applyFill="1" applyBorder="1" applyAlignment="1">
      <alignment horizontal="right" vertical="center" wrapText="1"/>
    </xf>
    <xf numFmtId="43" fontId="8" fillId="0" borderId="1" xfId="29" applyFont="1" applyFill="1" applyBorder="1" applyAlignment="1">
      <alignment horizontal="left" vertical="center"/>
    </xf>
    <xf numFmtId="0" fontId="3" fillId="0" borderId="1" xfId="530" applyNumberFormat="1" applyFont="1" applyFill="1" applyBorder="1" applyAlignment="1">
      <alignment vertical="center" wrapText="1"/>
    </xf>
    <xf numFmtId="43" fontId="3" fillId="0" borderId="1" xfId="29" applyFont="1" applyFill="1" applyBorder="1" applyAlignment="1">
      <alignment vertical="center"/>
    </xf>
    <xf numFmtId="43" fontId="3" fillId="0" borderId="1" xfId="29" applyFont="1" applyFill="1" applyBorder="1" applyAlignment="1">
      <alignment horizontal="left" vertical="center"/>
    </xf>
    <xf numFmtId="43" fontId="3" fillId="0" borderId="0" xfId="1168" applyNumberFormat="1" applyFont="1" applyFill="1" applyAlignment="1">
      <alignment vertical="center"/>
    </xf>
    <xf numFmtId="43" fontId="8" fillId="0" borderId="1" xfId="0" applyNumberFormat="1" applyFont="1" applyFill="1" applyBorder="1" applyAlignment="1">
      <alignment horizontal="left" vertical="center"/>
    </xf>
    <xf numFmtId="43" fontId="3" fillId="0" borderId="1" xfId="0" applyNumberFormat="1" applyFont="1" applyFill="1" applyBorder="1" applyAlignment="1">
      <alignment vertical="center"/>
    </xf>
    <xf numFmtId="43" fontId="3" fillId="0" borderId="1" xfId="0" applyNumberFormat="1" applyFont="1" applyFill="1" applyBorder="1" applyAlignment="1">
      <alignment horizontal="left" vertical="center"/>
    </xf>
    <xf numFmtId="222" fontId="3" fillId="0" borderId="0" xfId="1168" applyNumberFormat="1" applyFont="1" applyFill="1" applyAlignment="1">
      <alignment vertical="center"/>
    </xf>
    <xf numFmtId="190" fontId="3" fillId="0" borderId="0" xfId="0" applyNumberFormat="1" applyFont="1" applyFill="1" applyAlignment="1">
      <alignment vertical="center"/>
    </xf>
    <xf numFmtId="0" fontId="3" fillId="0" borderId="1" xfId="1167" applyFont="1" applyFill="1" applyBorder="1" applyAlignment="1">
      <alignment vertical="center" wrapText="1"/>
    </xf>
    <xf numFmtId="0" fontId="3" fillId="0" borderId="1" xfId="1167" applyFont="1" applyFill="1" applyBorder="1" applyAlignment="1">
      <alignment horizontal="center" vertical="center" wrapText="1"/>
    </xf>
    <xf numFmtId="0" fontId="1" fillId="0" borderId="0" xfId="1168" applyNumberFormat="1" applyFont="1" applyFill="1" applyAlignment="1">
      <alignment horizontal="center" vertical="center"/>
    </xf>
    <xf numFmtId="0" fontId="12" fillId="0" borderId="0" xfId="1429" applyNumberFormat="1" applyFont="1" applyFill="1" applyAlignment="1" applyProtection="1">
      <alignment horizontal="center" vertical="center"/>
      <protection locked="0"/>
    </xf>
    <xf numFmtId="0" fontId="2" fillId="0" borderId="0" xfId="1429" applyNumberFormat="1" applyFont="1" applyFill="1" applyAlignment="1" applyProtection="1">
      <alignment horizontal="center" vertical="center"/>
      <protection locked="0"/>
    </xf>
    <xf numFmtId="0" fontId="1" fillId="0" borderId="0" xfId="1429" applyNumberFormat="1" applyFont="1" applyFill="1" applyAlignment="1" applyProtection="1">
      <alignment horizontal="center" vertical="center"/>
      <protection locked="0"/>
    </xf>
    <xf numFmtId="0" fontId="26" fillId="0" borderId="0" xfId="1168" applyNumberFormat="1" applyFont="1" applyFill="1" applyAlignment="1">
      <alignment horizontal="center" vertical="center"/>
    </xf>
    <xf numFmtId="0" fontId="1" fillId="0" borderId="0" xfId="1168" applyNumberFormat="1" applyFont="1" applyFill="1" applyAlignment="1">
      <alignment horizontal="center" vertical="center" wrapText="1" shrinkToFit="1"/>
    </xf>
    <xf numFmtId="0" fontId="1" fillId="0" borderId="0" xfId="1168" applyNumberFormat="1" applyFont="1" applyFill="1" applyAlignment="1">
      <alignment horizontal="center" vertical="center" wrapText="1"/>
    </xf>
    <xf numFmtId="0" fontId="26" fillId="0" borderId="0" xfId="1168" applyNumberFormat="1" applyFont="1" applyFill="1" applyAlignment="1">
      <alignment horizontal="center" vertical="center" wrapText="1"/>
    </xf>
    <xf numFmtId="14" fontId="26" fillId="0" borderId="0" xfId="1168" applyNumberFormat="1" applyFont="1" applyFill="1" applyAlignment="1">
      <alignment horizontal="center" vertical="center" wrapText="1"/>
    </xf>
    <xf numFmtId="0" fontId="26" fillId="0" borderId="0" xfId="1168" applyNumberFormat="1" applyFont="1" applyFill="1" applyBorder="1" applyAlignment="1">
      <alignment horizontal="center" vertical="center" wrapText="1"/>
    </xf>
    <xf numFmtId="43" fontId="26" fillId="0" borderId="0" xfId="1168" applyNumberFormat="1" applyFont="1" applyFill="1" applyBorder="1" applyAlignment="1">
      <alignment horizontal="right" vertical="center" wrapText="1"/>
    </xf>
    <xf numFmtId="0" fontId="14" fillId="0" borderId="0" xfId="1168" applyNumberFormat="1" applyFont="1" applyFill="1" applyAlignment="1">
      <alignment horizontal="center" vertical="center" wrapText="1"/>
    </xf>
    <xf numFmtId="49" fontId="14" fillId="0" borderId="0" xfId="1168" applyNumberFormat="1" applyFont="1" applyFill="1" applyAlignment="1">
      <alignment horizontal="center" vertical="center" wrapText="1"/>
    </xf>
    <xf numFmtId="43" fontId="26" fillId="0" borderId="0" xfId="1168" applyNumberFormat="1" applyFont="1" applyFill="1" applyAlignment="1">
      <alignment horizontal="center" vertical="center" wrapText="1"/>
    </xf>
    <xf numFmtId="0" fontId="27" fillId="0" borderId="0" xfId="1168" applyNumberFormat="1" applyFont="1" applyFill="1" applyAlignment="1">
      <alignment horizontal="center" vertical="center" wrapText="1"/>
    </xf>
    <xf numFmtId="0" fontId="1" fillId="0" borderId="2" xfId="1168" applyNumberFormat="1" applyFont="1" applyFill="1" applyBorder="1" applyAlignment="1">
      <alignment horizontal="center" vertical="center" wrapText="1"/>
    </xf>
    <xf numFmtId="43" fontId="1" fillId="0" borderId="2" xfId="1168" applyNumberFormat="1" applyFont="1" applyFill="1" applyBorder="1" applyAlignment="1">
      <alignment horizontal="right" vertical="center" wrapText="1"/>
    </xf>
    <xf numFmtId="0" fontId="12" fillId="0" borderId="1" xfId="1429" applyNumberFormat="1" applyFont="1" applyFill="1" applyBorder="1" applyAlignment="1" applyProtection="1">
      <alignment horizontal="center" vertical="center"/>
      <protection locked="0"/>
    </xf>
    <xf numFmtId="0" fontId="12" fillId="0" borderId="1" xfId="1429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142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429" applyNumberFormat="1" applyFont="1" applyFill="1" applyBorder="1" applyAlignment="1" applyProtection="1">
      <alignment horizontal="center" vertical="center"/>
      <protection locked="0"/>
    </xf>
    <xf numFmtId="0" fontId="12" fillId="0" borderId="1" xfId="11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1" xfId="11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110" applyNumberFormat="1" applyFont="1" applyFill="1" applyBorder="1" applyAlignment="1" applyProtection="1">
      <alignment horizontal="center" vertical="center" wrapText="1"/>
      <protection locked="0"/>
    </xf>
    <xf numFmtId="43" fontId="12" fillId="0" borderId="1" xfId="11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1429" applyNumberFormat="1" applyFont="1" applyFill="1" applyBorder="1" applyAlignment="1" applyProtection="1">
      <alignment horizontal="center" vertical="center"/>
      <protection locked="0"/>
    </xf>
    <xf numFmtId="222" fontId="2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9" fillId="0" borderId="1" xfId="0" applyFont="1" applyFill="1" applyBorder="1" applyAlignment="1">
      <alignment vertical="center" wrapText="1"/>
    </xf>
    <xf numFmtId="14" fontId="29" fillId="0" borderId="1" xfId="0" applyNumberFormat="1" applyFont="1" applyFill="1" applyBorder="1" applyAlignment="1">
      <alignment vertical="center" wrapText="1"/>
    </xf>
    <xf numFmtId="43" fontId="29" fillId="0" borderId="1" xfId="535" applyFont="1" applyFill="1" applyBorder="1" applyAlignment="1">
      <alignment vertical="center" wrapText="1"/>
    </xf>
    <xf numFmtId="220" fontId="3" fillId="0" borderId="1" xfId="1168" applyNumberFormat="1" applyFont="1" applyFill="1" applyBorder="1" applyAlignment="1">
      <alignment horizontal="center" vertical="center" wrapText="1"/>
    </xf>
    <xf numFmtId="43" fontId="1" fillId="0" borderId="0" xfId="1168" applyNumberFormat="1" applyFont="1" applyFill="1" applyAlignment="1">
      <alignment horizontal="center" vertical="center" wrapText="1"/>
    </xf>
    <xf numFmtId="0" fontId="3" fillId="0" borderId="0" xfId="1168" applyNumberFormat="1" applyFont="1" applyFill="1" applyAlignment="1">
      <alignment horizontal="center" vertical="center" wrapText="1"/>
    </xf>
    <xf numFmtId="49" fontId="12" fillId="0" borderId="1" xfId="1429" applyNumberFormat="1" applyFont="1" applyFill="1" applyBorder="1" applyAlignment="1" applyProtection="1">
      <alignment horizontal="center" vertical="center" wrapText="1"/>
      <protection locked="0"/>
    </xf>
    <xf numFmtId="0" fontId="28" fillId="0" borderId="0" xfId="1429" applyNumberFormat="1" applyFont="1" applyFill="1" applyAlignment="1" applyProtection="1">
      <alignment horizontal="center" vertical="center" wrapText="1"/>
      <protection locked="0"/>
    </xf>
    <xf numFmtId="0" fontId="12" fillId="0" borderId="1" xfId="110" applyNumberFormat="1" applyFont="1" applyFill="1" applyBorder="1" applyAlignment="1" applyProtection="1">
      <alignment horizontal="right" vertical="center" wrapText="1"/>
      <protection locked="0"/>
    </xf>
    <xf numFmtId="49" fontId="12" fillId="0" borderId="1" xfId="11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1429" applyNumberFormat="1" applyFont="1" applyFill="1" applyAlignment="1" applyProtection="1">
      <alignment horizontal="center" vertical="center" wrapText="1"/>
      <protection locked="0"/>
    </xf>
    <xf numFmtId="178" fontId="23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11" fillId="0" borderId="1" xfId="466" applyNumberFormat="1" applyFont="1" applyFill="1" applyBorder="1" applyAlignment="1">
      <alignment horizontal="center" vertical="center" wrapText="1"/>
    </xf>
    <xf numFmtId="0" fontId="11" fillId="0" borderId="1" xfId="466" applyNumberFormat="1" applyFont="1" applyFill="1" applyBorder="1" applyAlignment="1">
      <alignment horizontal="center" vertical="center" wrapText="1"/>
    </xf>
    <xf numFmtId="0" fontId="3" fillId="0" borderId="0" xfId="1429" applyNumberFormat="1" applyFont="1" applyFill="1" applyAlignment="1" applyProtection="1">
      <alignment horizontal="center" vertical="center" wrapText="1"/>
      <protection locked="0"/>
    </xf>
    <xf numFmtId="0" fontId="8" fillId="0" borderId="1" xfId="466" applyNumberFormat="1" applyFont="1" applyFill="1" applyBorder="1" applyAlignment="1">
      <alignment horizontal="center" vertical="center" wrapText="1"/>
    </xf>
    <xf numFmtId="0" fontId="22" fillId="0" borderId="1" xfId="527" applyFont="1" applyFill="1" applyBorder="1" applyAlignment="1" applyProtection="1">
      <alignment horizontal="left" vertical="center" wrapText="1"/>
      <protection locked="0"/>
    </xf>
    <xf numFmtId="0" fontId="3" fillId="0" borderId="1" xfId="1167" applyNumberFormat="1" applyFont="1" applyFill="1" applyBorder="1" applyAlignment="1">
      <alignment horizontal="center" vertical="center" wrapText="1"/>
    </xf>
    <xf numFmtId="43" fontId="11" fillId="3" borderId="1" xfId="466" applyNumberFormat="1" applyFont="1" applyFill="1" applyBorder="1" applyAlignment="1">
      <alignment horizontal="center" vertical="center" wrapText="1"/>
    </xf>
    <xf numFmtId="0" fontId="12" fillId="0" borderId="0" xfId="1429" applyNumberFormat="1" applyFont="1" applyFill="1" applyAlignment="1" applyProtection="1">
      <alignment horizontal="center" vertical="center" wrapText="1"/>
      <protection locked="0"/>
    </xf>
    <xf numFmtId="0" fontId="2" fillId="0" borderId="0" xfId="1429" applyNumberFormat="1" applyFont="1" applyFill="1" applyAlignment="1" applyProtection="1">
      <alignment horizontal="center" vertical="center" wrapText="1"/>
      <protection locked="0"/>
    </xf>
    <xf numFmtId="0" fontId="1" fillId="0" borderId="0" xfId="1429" applyNumberFormat="1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>
      <alignment vertical="center"/>
    </xf>
    <xf numFmtId="0" fontId="12" fillId="4" borderId="0" xfId="1429" applyFont="1" applyFill="1" applyAlignment="1" applyProtection="1">
      <alignment horizontal="center" vertical="center"/>
      <protection locked="0"/>
    </xf>
    <xf numFmtId="0" fontId="1" fillId="4" borderId="0" xfId="1429" applyFont="1" applyFill="1" applyProtection="1">
      <alignment vertical="center"/>
      <protection locked="0"/>
    </xf>
    <xf numFmtId="0" fontId="1" fillId="4" borderId="0" xfId="1168" applyFont="1" applyFill="1">
      <alignment vertical="center"/>
    </xf>
    <xf numFmtId="0" fontId="25" fillId="4" borderId="0" xfId="1168" applyFont="1" applyFill="1">
      <alignment vertical="center"/>
    </xf>
    <xf numFmtId="0" fontId="26" fillId="4" borderId="0" xfId="1168" applyFont="1" applyFill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shrinkToFit="1"/>
    </xf>
    <xf numFmtId="0" fontId="4" fillId="4" borderId="0" xfId="0" applyFont="1" applyFill="1" applyAlignment="1">
      <alignment horizontal="center" vertical="center"/>
    </xf>
    <xf numFmtId="0" fontId="4" fillId="4" borderId="0" xfId="0" applyNumberFormat="1" applyFont="1" applyFill="1" applyAlignment="1">
      <alignment vertical="center"/>
    </xf>
    <xf numFmtId="43" fontId="4" fillId="4" borderId="0" xfId="0" applyNumberFormat="1" applyFont="1" applyFill="1" applyAlignment="1">
      <alignment vertical="center"/>
    </xf>
    <xf numFmtId="0" fontId="1" fillId="0" borderId="0" xfId="1168" applyNumberFormat="1" applyFont="1" applyFill="1" applyBorder="1" applyAlignment="1" applyProtection="1">
      <alignment horizontal="left" vertical="center"/>
    </xf>
    <xf numFmtId="0" fontId="1" fillId="0" borderId="2" xfId="1168" applyNumberFormat="1" applyFont="1" applyFill="1" applyBorder="1" applyAlignment="1">
      <alignment vertical="center"/>
    </xf>
    <xf numFmtId="0" fontId="2" fillId="0" borderId="1" xfId="1429" applyFont="1" applyFill="1" applyBorder="1" applyProtection="1">
      <alignment vertical="center"/>
      <protection locked="0"/>
    </xf>
    <xf numFmtId="178" fontId="2" fillId="0" borderId="1" xfId="110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110" applyNumberFormat="1" applyFont="1" applyFill="1" applyBorder="1" applyAlignment="1" applyProtection="1">
      <alignment horizontal="left" vertical="center"/>
      <protection locked="0"/>
    </xf>
    <xf numFmtId="218" fontId="2" fillId="0" borderId="1" xfId="110" applyNumberFormat="1" applyFont="1" applyFill="1" applyBorder="1" applyAlignment="1" applyProtection="1">
      <alignment horizontal="center" vertical="center"/>
      <protection locked="0"/>
    </xf>
    <xf numFmtId="43" fontId="2" fillId="0" borderId="1" xfId="110" applyNumberFormat="1" applyFont="1" applyFill="1" applyBorder="1" applyAlignment="1" applyProtection="1">
      <alignment horizontal="left" vertical="center"/>
      <protection locked="0"/>
    </xf>
    <xf numFmtId="178" fontId="11" fillId="0" borderId="1" xfId="110" applyNumberFormat="1" applyFont="1" applyFill="1" applyBorder="1" applyAlignment="1" applyProtection="1">
      <alignment vertical="center" wrapText="1"/>
      <protection locked="0"/>
    </xf>
    <xf numFmtId="178" fontId="11" fillId="0" borderId="1" xfId="110" applyNumberFormat="1" applyFont="1" applyFill="1" applyBorder="1" applyAlignment="1" applyProtection="1">
      <alignment vertical="center" shrinkToFit="1"/>
      <protection locked="0"/>
    </xf>
    <xf numFmtId="0" fontId="1" fillId="0" borderId="1" xfId="341" applyNumberFormat="1" applyFont="1" applyFill="1" applyBorder="1" applyAlignment="1">
      <alignment horizontal="center" vertical="center" wrapText="1"/>
    </xf>
    <xf numFmtId="49" fontId="11" fillId="0" borderId="1" xfId="11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3" fontId="11" fillId="0" borderId="1" xfId="29" applyFont="1" applyFill="1" applyBorder="1" applyAlignment="1">
      <alignment vertical="center"/>
    </xf>
    <xf numFmtId="49" fontId="11" fillId="0" borderId="1" xfId="1168" applyNumberFormat="1" applyFont="1" applyFill="1" applyBorder="1" applyAlignment="1" applyProtection="1">
      <alignment horizontal="center" vertical="center"/>
      <protection locked="0"/>
    </xf>
    <xf numFmtId="0" fontId="1" fillId="0" borderId="1" xfId="1214" applyFont="1" applyFill="1" applyBorder="1" applyAlignment="1">
      <alignment horizontal="center" vertical="center" shrinkToFit="1"/>
    </xf>
    <xf numFmtId="222" fontId="1" fillId="0" borderId="1" xfId="1168" applyNumberFormat="1" applyFont="1" applyFill="1" applyBorder="1" applyAlignment="1" applyProtection="1">
      <alignment horizontal="center" vertical="center" wrapText="1"/>
      <protection locked="0"/>
    </xf>
    <xf numFmtId="57" fontId="1" fillId="0" borderId="1" xfId="1607" applyNumberFormat="1" applyFont="1" applyFill="1" applyBorder="1" applyAlignment="1" applyProtection="1">
      <alignment horizontal="center" vertical="center"/>
      <protection locked="0"/>
    </xf>
    <xf numFmtId="0" fontId="1" fillId="0" borderId="1" xfId="1214" applyFont="1" applyFill="1" applyBorder="1" applyAlignment="1">
      <alignment horizontal="center" vertical="center"/>
    </xf>
    <xf numFmtId="0" fontId="3" fillId="0" borderId="1" xfId="1214" applyFont="1" applyFill="1" applyBorder="1" applyAlignment="1">
      <alignment horizontal="center" vertical="center" wrapText="1"/>
    </xf>
    <xf numFmtId="43" fontId="1" fillId="0" borderId="1" xfId="110" applyNumberFormat="1" applyFont="1" applyFill="1" applyBorder="1" applyAlignment="1" applyProtection="1">
      <alignment horizontal="left" vertical="center"/>
      <protection locked="0"/>
    </xf>
    <xf numFmtId="0" fontId="25" fillId="4" borderId="0" xfId="1429" applyFont="1" applyFill="1" applyBorder="1" applyAlignment="1" applyProtection="1">
      <alignment horizontal="center" vertical="center"/>
      <protection locked="0"/>
    </xf>
    <xf numFmtId="178" fontId="30" fillId="4" borderId="0" xfId="110" applyNumberFormat="1" applyFont="1" applyFill="1" applyBorder="1" applyAlignment="1" applyProtection="1">
      <alignment horizontal="center" vertical="center" wrapText="1"/>
      <protection locked="0"/>
    </xf>
    <xf numFmtId="0" fontId="25" fillId="4" borderId="0" xfId="1214" applyFont="1" applyFill="1" applyBorder="1" applyAlignment="1">
      <alignment horizontal="center" vertical="center" shrinkToFit="1"/>
    </xf>
    <xf numFmtId="0" fontId="30" fillId="4" borderId="0" xfId="1607" applyNumberFormat="1" applyFont="1" applyFill="1" applyBorder="1" applyAlignment="1" applyProtection="1">
      <alignment horizontal="center" vertical="center"/>
      <protection locked="0"/>
    </xf>
    <xf numFmtId="0" fontId="25" fillId="4" borderId="0" xfId="1168" applyFont="1" applyFill="1" applyAlignment="1">
      <alignment horizontal="center" vertical="center"/>
    </xf>
    <xf numFmtId="43" fontId="25" fillId="4" borderId="0" xfId="1168" applyNumberFormat="1" applyFont="1" applyFill="1">
      <alignment vertical="center"/>
    </xf>
    <xf numFmtId="0" fontId="1" fillId="4" borderId="0" xfId="1168" applyFont="1" applyFill="1" applyAlignment="1">
      <alignment horizontal="center" vertical="center" wrapText="1"/>
    </xf>
    <xf numFmtId="0" fontId="1" fillId="4" borderId="0" xfId="1168" applyFont="1" applyFill="1" applyAlignment="1">
      <alignment horizontal="center" vertical="center" shrinkToFit="1"/>
    </xf>
    <xf numFmtId="0" fontId="1" fillId="4" borderId="0" xfId="1168" applyFont="1" applyFill="1" applyAlignment="1">
      <alignment horizontal="center" vertical="center"/>
    </xf>
    <xf numFmtId="0" fontId="1" fillId="4" borderId="0" xfId="1168" applyNumberFormat="1" applyFont="1" applyFill="1">
      <alignment vertical="center"/>
    </xf>
    <xf numFmtId="43" fontId="26" fillId="4" borderId="0" xfId="1168" applyNumberFormat="1" applyFont="1" applyFill="1">
      <alignment vertical="center"/>
    </xf>
    <xf numFmtId="0" fontId="26" fillId="4" borderId="0" xfId="1168" applyFont="1" applyFill="1" applyAlignment="1">
      <alignment vertical="center"/>
    </xf>
    <xf numFmtId="0" fontId="26" fillId="4" borderId="0" xfId="1168" applyFont="1" applyFill="1" applyAlignment="1">
      <alignment horizontal="center" vertical="center"/>
    </xf>
    <xf numFmtId="0" fontId="26" fillId="4" borderId="0" xfId="1168" applyNumberFormat="1" applyFont="1" applyFill="1" applyAlignment="1">
      <alignment horizontal="left" vertical="center"/>
    </xf>
    <xf numFmtId="178" fontId="2" fillId="0" borderId="1" xfId="110" applyNumberFormat="1" applyFont="1" applyFill="1" applyBorder="1" applyAlignment="1" applyProtection="1">
      <alignment vertical="center" wrapText="1"/>
      <protection locked="0"/>
    </xf>
    <xf numFmtId="178" fontId="2" fillId="0" borderId="1" xfId="110" applyNumberFormat="1" applyFont="1" applyFill="1" applyBorder="1" applyAlignment="1" applyProtection="1">
      <alignment horizontal="left" vertical="center"/>
      <protection locked="0"/>
    </xf>
    <xf numFmtId="43" fontId="2" fillId="0" borderId="1" xfId="1429" applyNumberFormat="1" applyFont="1" applyFill="1" applyBorder="1" applyProtection="1">
      <alignment vertical="center"/>
      <protection locked="0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3" fontId="1" fillId="0" borderId="1" xfId="341" applyNumberFormat="1" applyFont="1" applyFill="1" applyBorder="1" applyAlignment="1">
      <alignment horizontal="right" vertical="center"/>
    </xf>
    <xf numFmtId="43" fontId="1" fillId="0" borderId="1" xfId="1429" applyNumberFormat="1" applyFont="1" applyFill="1" applyBorder="1" applyProtection="1">
      <alignment vertical="center"/>
      <protection locked="0"/>
    </xf>
    <xf numFmtId="43" fontId="1" fillId="0" borderId="1" xfId="1168" applyNumberFormat="1" applyFont="1" applyFill="1" applyBorder="1" applyAlignment="1">
      <alignment horizontal="right" vertical="center"/>
    </xf>
    <xf numFmtId="178" fontId="1" fillId="0" borderId="1" xfId="1429" applyNumberFormat="1" applyFont="1" applyFill="1" applyBorder="1" applyAlignment="1" applyProtection="1">
      <alignment vertical="center" wrapText="1"/>
      <protection locked="0"/>
    </xf>
    <xf numFmtId="178" fontId="3" fillId="0" borderId="1" xfId="1429" applyNumberFormat="1" applyFont="1" applyFill="1" applyBorder="1" applyAlignment="1" applyProtection="1">
      <alignment vertical="center" wrapText="1"/>
      <protection locked="0"/>
    </xf>
    <xf numFmtId="222" fontId="1" fillId="0" borderId="1" xfId="1214" applyNumberFormat="1" applyFont="1" applyFill="1" applyBorder="1" applyAlignment="1">
      <alignment horizontal="left" vertical="center" wrapText="1"/>
    </xf>
    <xf numFmtId="49" fontId="1" fillId="0" borderId="1" xfId="1168" applyNumberFormat="1" applyFont="1" applyFill="1" applyBorder="1" applyAlignment="1">
      <alignment horizontal="center" vertical="center" wrapText="1"/>
    </xf>
    <xf numFmtId="178" fontId="1" fillId="0" borderId="3" xfId="1607" applyNumberFormat="1" applyFont="1" applyFill="1" applyBorder="1" applyAlignment="1" applyProtection="1">
      <alignment horizontal="center" vertical="center"/>
      <protection locked="0"/>
    </xf>
    <xf numFmtId="43" fontId="1" fillId="0" borderId="1" xfId="1168" applyNumberFormat="1" applyFont="1" applyFill="1" applyBorder="1">
      <alignment vertical="center"/>
    </xf>
    <xf numFmtId="43" fontId="25" fillId="4" borderId="0" xfId="1214" applyNumberFormat="1" applyFont="1" applyFill="1" applyBorder="1" applyAlignment="1">
      <alignment horizontal="center" vertical="center"/>
    </xf>
    <xf numFmtId="0" fontId="25" fillId="4" borderId="0" xfId="1214" applyFont="1" applyFill="1" applyBorder="1" applyAlignment="1">
      <alignment horizontal="center" vertical="center"/>
    </xf>
    <xf numFmtId="43" fontId="26" fillId="4" borderId="0" xfId="1168" applyNumberFormat="1" applyFont="1" applyFill="1" applyAlignment="1">
      <alignment vertic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2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12" fillId="0" borderId="0" xfId="1429" applyFont="1" applyFill="1" applyAlignment="1" applyProtection="1">
      <alignment horizontal="center" vertical="center"/>
      <protection locked="0"/>
    </xf>
    <xf numFmtId="0" fontId="1" fillId="0" borderId="0" xfId="1429" applyFont="1" applyFill="1" applyProtection="1">
      <alignment vertical="center"/>
      <protection locked="0"/>
    </xf>
    <xf numFmtId="0" fontId="1" fillId="0" borderId="0" xfId="1168" applyFont="1" applyFill="1">
      <alignment vertical="center"/>
    </xf>
    <xf numFmtId="0" fontId="4" fillId="0" borderId="0" xfId="0" applyNumberFormat="1" applyFont="1" applyFill="1" applyAlignment="1">
      <alignment vertical="center"/>
    </xf>
    <xf numFmtId="222" fontId="4" fillId="0" borderId="0" xfId="0" applyNumberFormat="1" applyFont="1" applyFill="1" applyAlignment="1">
      <alignment horizontal="right" vertical="center"/>
    </xf>
    <xf numFmtId="14" fontId="3" fillId="0" borderId="1" xfId="1168" applyNumberFormat="1" applyFont="1" applyFill="1" applyBorder="1" applyAlignment="1">
      <alignment vertical="center"/>
    </xf>
    <xf numFmtId="43" fontId="29" fillId="0" borderId="1" xfId="29" applyFont="1" applyFill="1" applyBorder="1" applyAlignment="1">
      <alignment vertical="center" wrapText="1"/>
    </xf>
    <xf numFmtId="0" fontId="26" fillId="0" borderId="0" xfId="1168" applyFont="1" applyFill="1" applyAlignment="1">
      <alignment vertical="center"/>
    </xf>
    <xf numFmtId="0" fontId="1" fillId="0" borderId="0" xfId="1168" applyFont="1" applyFill="1" applyAlignment="1">
      <alignment horizontal="center" vertical="center" shrinkToFit="1"/>
    </xf>
    <xf numFmtId="0" fontId="1" fillId="0" borderId="0" xfId="1168" applyFont="1" applyFill="1" applyAlignment="1">
      <alignment horizontal="center" vertical="center"/>
    </xf>
    <xf numFmtId="0" fontId="26" fillId="0" borderId="0" xfId="1168" applyFont="1" applyFill="1" applyAlignment="1">
      <alignment horizontal="center" vertical="center"/>
    </xf>
    <xf numFmtId="0" fontId="26" fillId="0" borderId="0" xfId="1168" applyNumberFormat="1" applyFont="1" applyFill="1" applyAlignment="1">
      <alignment horizontal="left" vertical="center"/>
    </xf>
    <xf numFmtId="0" fontId="26" fillId="0" borderId="0" xfId="1168" applyFont="1" applyFill="1">
      <alignment vertical="center"/>
    </xf>
    <xf numFmtId="178" fontId="8" fillId="0" borderId="1" xfId="110" applyNumberFormat="1" applyFont="1" applyFill="1" applyBorder="1" applyProtection="1">
      <alignment vertical="center"/>
      <protection locked="0"/>
    </xf>
    <xf numFmtId="49" fontId="1" fillId="0" borderId="1" xfId="1267" applyNumberFormat="1" applyFont="1" applyFill="1" applyBorder="1" applyAlignment="1">
      <alignment horizontal="center" vertical="center" wrapText="1"/>
    </xf>
    <xf numFmtId="222" fontId="1" fillId="0" borderId="1" xfId="1607" applyNumberFormat="1" applyFont="1" applyFill="1" applyBorder="1" applyAlignment="1" applyProtection="1">
      <alignment horizontal="right" vertical="center"/>
      <protection locked="0"/>
    </xf>
    <xf numFmtId="222" fontId="1" fillId="0" borderId="1" xfId="1168" applyNumberFormat="1" applyFont="1" applyFill="1" applyBorder="1" applyAlignment="1">
      <alignment horizontal="right" vertical="center"/>
    </xf>
    <xf numFmtId="0" fontId="3" fillId="0" borderId="9" xfId="1168" applyFont="1" applyFill="1" applyBorder="1" applyAlignment="1">
      <alignment vertical="center" wrapText="1"/>
    </xf>
    <xf numFmtId="43" fontId="3" fillId="0" borderId="0" xfId="1168" applyNumberFormat="1" applyFont="1" applyFill="1">
      <alignment vertical="center"/>
    </xf>
    <xf numFmtId="43" fontId="26" fillId="0" borderId="0" xfId="1168" applyNumberFormat="1" applyFont="1" applyFill="1" applyAlignment="1">
      <alignment vertical="center"/>
    </xf>
    <xf numFmtId="222" fontId="26" fillId="0" borderId="0" xfId="1168" applyNumberFormat="1" applyFont="1" applyFill="1" applyAlignment="1">
      <alignment horizontal="right" vertical="center"/>
    </xf>
    <xf numFmtId="0" fontId="3" fillId="0" borderId="0" xfId="0" applyFont="1"/>
    <xf numFmtId="0" fontId="0" fillId="0" borderId="0" xfId="0" applyFill="1" applyAlignment="1">
      <alignment horizontal="center" vertical="center"/>
    </xf>
    <xf numFmtId="43" fontId="0" fillId="0" borderId="0" xfId="29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3" fontId="3" fillId="0" borderId="1" xfId="29" applyFont="1" applyFill="1" applyBorder="1" applyAlignment="1">
      <alignment horizontal="center" vertical="center"/>
    </xf>
    <xf numFmtId="190" fontId="3" fillId="0" borderId="1" xfId="0" applyNumberFormat="1" applyFont="1" applyFill="1" applyBorder="1" applyAlignment="1">
      <alignment horizontal="center" vertical="center" wrapText="1"/>
    </xf>
    <xf numFmtId="14" fontId="3" fillId="0" borderId="1" xfId="535" applyNumberFormat="1" applyFont="1" applyFill="1" applyBorder="1" applyAlignment="1">
      <alignment horizontal="center" vertical="center"/>
    </xf>
    <xf numFmtId="43" fontId="3" fillId="0" borderId="1" xfId="29" applyFont="1" applyFill="1" applyBorder="1" applyAlignment="1" applyProtection="1">
      <alignment horizontal="center" vertical="center"/>
    </xf>
    <xf numFmtId="43" fontId="3" fillId="0" borderId="1" xfId="29" applyFont="1" applyFill="1" applyBorder="1" applyAlignment="1" applyProtection="1">
      <alignment horizontal="center" vertical="center" wrapText="1"/>
    </xf>
    <xf numFmtId="43" fontId="3" fillId="0" borderId="1" xfId="29" applyFont="1" applyFill="1" applyBorder="1" applyAlignment="1" applyProtection="1">
      <alignment vertical="center"/>
    </xf>
    <xf numFmtId="43" fontId="3" fillId="0" borderId="1" xfId="1168" applyNumberFormat="1" applyFont="1" applyFill="1" applyBorder="1" applyAlignment="1">
      <alignment horizontal="center" vertical="center"/>
    </xf>
    <xf numFmtId="222" fontId="3" fillId="0" borderId="1" xfId="1435" applyNumberFormat="1" applyFont="1" applyFill="1" applyBorder="1" applyAlignment="1">
      <alignment vertical="center"/>
    </xf>
    <xf numFmtId="0" fontId="7" fillId="0" borderId="0" xfId="0" applyFont="1"/>
    <xf numFmtId="0" fontId="0" fillId="2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3" fontId="4" fillId="0" borderId="0" xfId="0" applyNumberFormat="1" applyFont="1" applyAlignment="1">
      <alignment vertical="center"/>
    </xf>
    <xf numFmtId="43" fontId="4" fillId="0" borderId="0" xfId="29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1435" applyFont="1" applyFill="1" applyBorder="1" applyAlignment="1">
      <alignment horizontal="center" vertical="center" wrapText="1"/>
    </xf>
    <xf numFmtId="222" fontId="3" fillId="0" borderId="1" xfId="1435" applyNumberFormat="1" applyFont="1" applyFill="1" applyBorder="1" applyAlignment="1">
      <alignment horizontal="center" vertical="center" wrapText="1"/>
    </xf>
    <xf numFmtId="49" fontId="3" fillId="0" borderId="1" xfId="1435" applyNumberFormat="1" applyFont="1" applyFill="1" applyBorder="1" applyAlignment="1">
      <alignment horizontal="center" vertical="center" wrapText="1"/>
    </xf>
    <xf numFmtId="0" fontId="7" fillId="0" borderId="1" xfId="1435" applyFont="1" applyFill="1" applyBorder="1" applyAlignment="1">
      <alignment horizontal="center" vertical="center" wrapText="1"/>
    </xf>
    <xf numFmtId="43" fontId="7" fillId="0" borderId="1" xfId="1435" applyNumberFormat="1" applyFont="1" applyFill="1" applyBorder="1" applyAlignment="1">
      <alignment horizontal="center" vertical="center" wrapText="1"/>
    </xf>
    <xf numFmtId="43" fontId="3" fillId="0" borderId="1" xfId="1435" applyNumberFormat="1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vertical="center"/>
    </xf>
    <xf numFmtId="43" fontId="3" fillId="0" borderId="1" xfId="1639" applyFont="1" applyFill="1" applyBorder="1" applyAlignment="1">
      <alignment vertical="center"/>
    </xf>
    <xf numFmtId="43" fontId="3" fillId="0" borderId="1" xfId="1639" applyNumberFormat="1" applyFont="1" applyFill="1" applyBorder="1" applyAlignment="1">
      <alignment horizontal="center" vertical="center"/>
    </xf>
    <xf numFmtId="43" fontId="3" fillId="0" borderId="1" xfId="1639" applyNumberFormat="1" applyFont="1" applyFill="1" applyBorder="1" applyAlignment="1" applyProtection="1">
      <alignment horizontal="center" vertical="center"/>
      <protection locked="0"/>
    </xf>
    <xf numFmtId="43" fontId="3" fillId="0" borderId="1" xfId="1639" applyFont="1" applyFill="1" applyBorder="1">
      <alignment vertical="center"/>
    </xf>
    <xf numFmtId="0" fontId="3" fillId="0" borderId="1" xfId="0" applyFont="1" applyFill="1" applyBorder="1" applyAlignment="1">
      <alignment vertical="center"/>
    </xf>
    <xf numFmtId="43" fontId="1" fillId="0" borderId="0" xfId="29" applyFont="1" applyAlignment="1">
      <alignment vertical="center"/>
    </xf>
    <xf numFmtId="43" fontId="1" fillId="0" borderId="0" xfId="29" applyFont="1" applyFill="1" applyBorder="1" applyAlignment="1" applyProtection="1">
      <alignment vertical="center"/>
    </xf>
    <xf numFmtId="0" fontId="1" fillId="0" borderId="0" xfId="1167" applyFont="1" applyAlignment="1">
      <alignment vertical="center"/>
    </xf>
    <xf numFmtId="0" fontId="2" fillId="0" borderId="0" xfId="1167" applyFont="1" applyAlignment="1">
      <alignment vertical="center"/>
    </xf>
    <xf numFmtId="43" fontId="3" fillId="0" borderId="0" xfId="29" applyFont="1"/>
    <xf numFmtId="0" fontId="1" fillId="0" borderId="0" xfId="1167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0" fontId="3" fillId="2" borderId="1" xfId="0" applyNumberFormat="1" applyFont="1" applyFill="1" applyBorder="1" applyAlignment="1">
      <alignment horizontal="center" vertical="center" wrapText="1"/>
    </xf>
    <xf numFmtId="0" fontId="3" fillId="2" borderId="1" xfId="1168" applyFont="1" applyFill="1" applyBorder="1" applyAlignment="1">
      <alignment horizontal="center" vertical="center"/>
    </xf>
    <xf numFmtId="43" fontId="3" fillId="2" borderId="1" xfId="29" applyFont="1" applyFill="1" applyBorder="1" applyAlignment="1">
      <alignment horizontal="center" vertical="center" wrapText="1"/>
    </xf>
    <xf numFmtId="0" fontId="8" fillId="2" borderId="1" xfId="1202" applyFont="1" applyFill="1" applyBorder="1" applyAlignment="1">
      <alignment horizontal="center" vertical="center"/>
    </xf>
    <xf numFmtId="43" fontId="3" fillId="2" borderId="1" xfId="1168" applyNumberFormat="1" applyFont="1" applyFill="1" applyBorder="1" applyAlignment="1">
      <alignment horizontal="center" vertical="center"/>
    </xf>
    <xf numFmtId="14" fontId="32" fillId="2" borderId="1" xfId="1283" applyNumberFormat="1" applyFont="1" applyFill="1" applyBorder="1" applyAlignment="1">
      <alignment horizontal="center"/>
    </xf>
    <xf numFmtId="43" fontId="3" fillId="2" borderId="1" xfId="1435" applyNumberFormat="1" applyFont="1" applyFill="1" applyBorder="1" applyAlignment="1">
      <alignment horizontal="center" vertical="center" wrapText="1"/>
    </xf>
    <xf numFmtId="14" fontId="3" fillId="2" borderId="1" xfId="535" applyNumberFormat="1" applyFont="1" applyFill="1" applyBorder="1" applyAlignment="1">
      <alignment horizontal="center" vertical="center"/>
    </xf>
    <xf numFmtId="43" fontId="3" fillId="0" borderId="1" xfId="29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639" applyFont="1" applyFill="1" applyBorder="1" applyAlignment="1">
      <alignment vertical="center"/>
    </xf>
    <xf numFmtId="222" fontId="3" fillId="2" borderId="1" xfId="1435" applyNumberFormat="1" applyFont="1" applyFill="1" applyBorder="1" applyAlignment="1">
      <alignment vertical="center"/>
    </xf>
    <xf numFmtId="43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3" fontId="3" fillId="2" borderId="0" xfId="29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43" fontId="3" fillId="0" borderId="1" xfId="29" applyFont="1" applyFill="1" applyBorder="1" applyAlignment="1">
      <alignment horizontal="right" vertical="center"/>
    </xf>
    <xf numFmtId="43" fontId="3" fillId="0" borderId="1" xfId="29" applyFont="1" applyFill="1" applyBorder="1" applyAlignment="1" applyProtection="1">
      <alignment horizontal="right" vertical="center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1" xfId="1168" applyFont="1" applyFill="1" applyBorder="1" applyAlignment="1">
      <alignment horizontal="center" vertical="center" wrapText="1"/>
    </xf>
    <xf numFmtId="0" fontId="2" fillId="0" borderId="3" xfId="1168" applyFont="1" applyFill="1" applyBorder="1" applyAlignment="1">
      <alignment horizontal="center" vertical="center" wrapText="1"/>
    </xf>
    <xf numFmtId="0" fontId="7" fillId="0" borderId="3" xfId="1168" applyFont="1" applyFill="1" applyBorder="1" applyAlignment="1">
      <alignment horizontal="center" vertical="center" wrapText="1"/>
    </xf>
    <xf numFmtId="222" fontId="2" fillId="0" borderId="3" xfId="1168" applyNumberFormat="1" applyFont="1" applyFill="1" applyBorder="1" applyAlignment="1">
      <alignment horizontal="center" vertical="center" wrapText="1"/>
    </xf>
    <xf numFmtId="222" fontId="3" fillId="0" borderId="1" xfId="1168" applyNumberFormat="1" applyFont="1" applyFill="1" applyBorder="1" applyAlignment="1">
      <alignment vertical="center"/>
    </xf>
    <xf numFmtId="222" fontId="1" fillId="0" borderId="1" xfId="1168" applyNumberFormat="1" applyFont="1" applyFill="1" applyBorder="1" applyAlignment="1">
      <alignment vertical="center"/>
    </xf>
    <xf numFmtId="222" fontId="1" fillId="0" borderId="1" xfId="1168" applyNumberFormat="1" applyFont="1" applyFill="1" applyBorder="1" applyAlignment="1">
      <alignment horizontal="center" vertical="center" wrapText="1"/>
    </xf>
    <xf numFmtId="10" fontId="4" fillId="0" borderId="0" xfId="40" applyNumberFormat="1" applyFont="1"/>
    <xf numFmtId="0" fontId="1" fillId="0" borderId="2" xfId="1167" applyFont="1" applyFill="1" applyBorder="1" applyAlignment="1">
      <alignment vertical="center"/>
    </xf>
    <xf numFmtId="10" fontId="1" fillId="0" borderId="1" xfId="1168" applyNumberFormat="1" applyFont="1" applyFill="1" applyBorder="1" applyAlignment="1">
      <alignment vertical="center"/>
    </xf>
    <xf numFmtId="10" fontId="2" fillId="0" borderId="3" xfId="1168" applyNumberFormat="1" applyFont="1" applyFill="1" applyBorder="1" applyAlignment="1">
      <alignment horizontal="center" vertical="center" wrapText="1"/>
    </xf>
    <xf numFmtId="223" fontId="2" fillId="0" borderId="3" xfId="1168" applyNumberFormat="1" applyFont="1" applyFill="1" applyBorder="1" applyAlignment="1">
      <alignment horizontal="center" vertical="center" wrapText="1"/>
    </xf>
    <xf numFmtId="223" fontId="1" fillId="0" borderId="1" xfId="1168" applyNumberFormat="1" applyFont="1" applyFill="1" applyBorder="1" applyAlignment="1">
      <alignment horizontal="center" vertical="center"/>
    </xf>
    <xf numFmtId="218" fontId="1" fillId="0" borderId="1" xfId="1168" applyNumberFormat="1" applyFont="1" applyFill="1" applyBorder="1" applyAlignment="1">
      <alignment horizontal="center" vertical="center" wrapText="1"/>
    </xf>
    <xf numFmtId="224" fontId="1" fillId="0" borderId="1" xfId="1168" applyNumberFormat="1" applyFont="1" applyFill="1" applyBorder="1" applyAlignment="1">
      <alignment horizontal="center" vertical="center"/>
    </xf>
    <xf numFmtId="223" fontId="1" fillId="0" borderId="1" xfId="1168" applyNumberFormat="1" applyFont="1" applyFill="1" applyBorder="1" applyAlignment="1">
      <alignment horizontal="center" vertical="center" wrapText="1"/>
    </xf>
    <xf numFmtId="189" fontId="1" fillId="0" borderId="0" xfId="297" applyNumberFormat="1" applyFont="1" applyFill="1" applyAlignment="1">
      <alignment horizontal="center" vertical="center" wrapText="1"/>
    </xf>
    <xf numFmtId="189" fontId="1" fillId="0" borderId="0" xfId="297" applyNumberFormat="1" applyFont="1" applyFill="1" applyAlignment="1">
      <alignment horizontal="center" wrapText="1"/>
    </xf>
    <xf numFmtId="189" fontId="1" fillId="0" borderId="0" xfId="297" applyNumberFormat="1" applyFont="1" applyFill="1" applyAlignment="1">
      <alignment vertical="center" wrapText="1"/>
    </xf>
    <xf numFmtId="0" fontId="3" fillId="0" borderId="0" xfId="1168" applyNumberFormat="1" applyFont="1" applyBorder="1" applyAlignment="1" applyProtection="1">
      <alignment horizontal="left" vertical="center"/>
    </xf>
    <xf numFmtId="218" fontId="1" fillId="0" borderId="0" xfId="297" applyNumberFormat="1" applyFont="1" applyFill="1" applyBorder="1" applyAlignment="1">
      <alignment horizontal="left" vertical="center"/>
    </xf>
    <xf numFmtId="218" fontId="1" fillId="0" borderId="0" xfId="297" applyNumberFormat="1" applyFont="1" applyFill="1" applyBorder="1" applyAlignment="1">
      <alignment horizontal="left" vertical="center" wrapText="1"/>
    </xf>
    <xf numFmtId="218" fontId="7" fillId="0" borderId="2" xfId="297" applyNumberFormat="1" applyFont="1" applyFill="1" applyBorder="1" applyAlignment="1">
      <alignment horizontal="center" vertical="center" wrapText="1"/>
    </xf>
    <xf numFmtId="218" fontId="3" fillId="0" borderId="1" xfId="297" applyNumberFormat="1" applyFont="1" applyFill="1" applyBorder="1" applyAlignment="1">
      <alignment horizontal="center" vertical="center" wrapText="1"/>
    </xf>
    <xf numFmtId="218" fontId="1" fillId="0" borderId="1" xfId="297" applyNumberFormat="1" applyFont="1" applyFill="1" applyBorder="1" applyAlignment="1">
      <alignment horizontal="center" vertical="center" wrapText="1"/>
    </xf>
    <xf numFmtId="43" fontId="1" fillId="0" borderId="1" xfId="297" applyNumberFormat="1" applyFont="1" applyFill="1" applyBorder="1" applyAlignment="1">
      <alignment horizontal="center" vertical="center" wrapText="1"/>
    </xf>
    <xf numFmtId="0" fontId="3" fillId="0" borderId="1" xfId="164" applyFont="1" applyFill="1" applyBorder="1" applyAlignment="1" applyProtection="1">
      <alignment horizontal="left" vertical="center" wrapText="1"/>
      <protection locked="0"/>
    </xf>
    <xf numFmtId="0" fontId="3" fillId="0" borderId="1" xfId="45" applyFont="1" applyFill="1" applyBorder="1" applyAlignment="1">
      <alignment vertical="center" wrapText="1"/>
    </xf>
    <xf numFmtId="218" fontId="2" fillId="0" borderId="1" xfId="297" applyNumberFormat="1" applyFont="1" applyFill="1" applyBorder="1" applyAlignment="1">
      <alignment horizontal="center" vertical="center" wrapText="1"/>
    </xf>
    <xf numFmtId="222" fontId="1" fillId="0" borderId="1" xfId="297" applyNumberFormat="1" applyFont="1" applyFill="1" applyBorder="1" applyAlignment="1">
      <alignment horizontal="right" vertical="center" wrapText="1"/>
    </xf>
    <xf numFmtId="222" fontId="1" fillId="0" borderId="13" xfId="297" applyNumberFormat="1" applyFont="1" applyFill="1" applyBorder="1" applyAlignment="1">
      <alignment horizontal="right" vertical="center" wrapText="1"/>
    </xf>
    <xf numFmtId="10" fontId="1" fillId="0" borderId="1" xfId="297" applyNumberFormat="1" applyFont="1" applyFill="1" applyBorder="1" applyAlignment="1">
      <alignment horizontal="right" vertical="center" wrapText="1"/>
    </xf>
    <xf numFmtId="10" fontId="1" fillId="0" borderId="1" xfId="40" applyNumberFormat="1" applyFont="1" applyFill="1" applyBorder="1" applyAlignment="1">
      <alignment horizontal="right" vertical="center" wrapText="1"/>
    </xf>
    <xf numFmtId="43" fontId="9" fillId="0" borderId="0" xfId="0" applyNumberFormat="1" applyFont="1"/>
    <xf numFmtId="222" fontId="3" fillId="0" borderId="0" xfId="1168" applyNumberFormat="1" applyFont="1" applyFill="1" applyBorder="1" applyAlignment="1">
      <alignment horizontal="left" vertical="center"/>
    </xf>
    <xf numFmtId="222" fontId="3" fillId="0" borderId="1" xfId="297" applyNumberFormat="1" applyFont="1" applyFill="1" applyBorder="1" applyAlignment="1">
      <alignment vertical="center" wrapText="1"/>
    </xf>
    <xf numFmtId="189" fontId="1" fillId="0" borderId="0" xfId="297" applyNumberFormat="1" applyFont="1" applyFill="1" applyAlignment="1">
      <alignment horizontal="right" vertical="center" wrapText="1"/>
    </xf>
    <xf numFmtId="222" fontId="3" fillId="0" borderId="1" xfId="297" applyNumberFormat="1" applyFont="1" applyFill="1" applyBorder="1" applyAlignment="1">
      <alignment horizontal="right" vertical="center" wrapText="1"/>
    </xf>
    <xf numFmtId="0" fontId="1" fillId="4" borderId="0" xfId="0" applyFont="1" applyFill="1"/>
    <xf numFmtId="0" fontId="4" fillId="4" borderId="0" xfId="0" applyFont="1" applyFill="1"/>
    <xf numFmtId="0" fontId="3" fillId="4" borderId="0" xfId="1168" applyNumberFormat="1" applyFont="1" applyFill="1" applyBorder="1" applyAlignment="1" applyProtection="1">
      <alignment horizontal="left" vertical="center"/>
    </xf>
    <xf numFmtId="0" fontId="1" fillId="4" borderId="0" xfId="1435" applyFont="1" applyFill="1" applyAlignment="1"/>
    <xf numFmtId="0" fontId="1" fillId="4" borderId="6" xfId="1435" applyFont="1" applyFill="1" applyBorder="1" applyAlignment="1">
      <alignment horizontal="center" vertical="center" wrapText="1"/>
    </xf>
    <xf numFmtId="0" fontId="1" fillId="4" borderId="3" xfId="1435" applyFont="1" applyFill="1" applyBorder="1" applyAlignment="1">
      <alignment horizontal="center" vertical="center" wrapText="1"/>
    </xf>
    <xf numFmtId="0" fontId="1" fillId="4" borderId="1" xfId="1435" applyFont="1" applyFill="1" applyBorder="1" applyAlignment="1">
      <alignment horizontal="center" vertical="center" wrapText="1"/>
    </xf>
    <xf numFmtId="43" fontId="1" fillId="4" borderId="1" xfId="1639" applyFont="1" applyFill="1" applyBorder="1" applyAlignment="1">
      <alignment vertical="center"/>
    </xf>
    <xf numFmtId="0" fontId="1" fillId="4" borderId="1" xfId="1435" applyFont="1" applyFill="1" applyBorder="1" applyAlignment="1">
      <alignment horizontal="center" vertical="center"/>
    </xf>
    <xf numFmtId="0" fontId="1" fillId="4" borderId="1" xfId="1435" applyFont="1" applyFill="1" applyBorder="1" applyAlignment="1">
      <alignment horizontal="left" vertical="center"/>
    </xf>
    <xf numFmtId="222" fontId="1" fillId="4" borderId="1" xfId="1435" applyNumberFormat="1" applyFont="1" applyFill="1" applyBorder="1" applyAlignment="1">
      <alignment vertical="center" wrapText="1"/>
    </xf>
    <xf numFmtId="0" fontId="1" fillId="4" borderId="2" xfId="1435" applyFont="1" applyFill="1" applyBorder="1" applyAlignment="1">
      <alignment horizontal="center" vertical="center"/>
    </xf>
    <xf numFmtId="43" fontId="1" fillId="4" borderId="0" xfId="0" applyNumberFormat="1" applyFont="1" applyFill="1"/>
    <xf numFmtId="4" fontId="33" fillId="0" borderId="0" xfId="0" applyNumberFormat="1" applyFont="1"/>
    <xf numFmtId="43" fontId="1" fillId="4" borderId="0" xfId="29" applyFont="1" applyFill="1"/>
    <xf numFmtId="0" fontId="1" fillId="4" borderId="1" xfId="1435" applyFont="1" applyFill="1" applyBorder="1" applyAlignment="1">
      <alignment horizontal="left" vertical="center" wrapText="1"/>
    </xf>
    <xf numFmtId="0" fontId="1" fillId="4" borderId="0" xfId="1435" applyFont="1" applyFill="1" applyAlignment="1">
      <alignment horizontal="left" vertical="center"/>
    </xf>
    <xf numFmtId="0" fontId="1" fillId="4" borderId="0" xfId="1435" applyFont="1" applyFill="1" applyAlignment="1">
      <alignment horizontal="center" vertical="center"/>
    </xf>
    <xf numFmtId="49" fontId="1" fillId="4" borderId="2" xfId="1435" applyNumberFormat="1" applyFont="1" applyFill="1" applyBorder="1" applyAlignment="1">
      <alignment vertical="center"/>
    </xf>
    <xf numFmtId="49" fontId="1" fillId="4" borderId="6" xfId="1435" applyNumberFormat="1" applyFont="1" applyFill="1" applyBorder="1" applyAlignment="1">
      <alignment horizontal="center" vertical="center" wrapText="1"/>
    </xf>
    <xf numFmtId="0" fontId="3" fillId="4" borderId="1" xfId="1435" applyFont="1" applyFill="1" applyBorder="1" applyAlignment="1">
      <alignment horizontal="center" vertical="center" wrapText="1"/>
    </xf>
    <xf numFmtId="0" fontId="3" fillId="4" borderId="7" xfId="1435" applyFont="1" applyFill="1" applyBorder="1" applyAlignment="1">
      <alignment horizontal="center" vertical="center" wrapText="1"/>
    </xf>
    <xf numFmtId="0" fontId="3" fillId="4" borderId="6" xfId="1435" applyFont="1" applyFill="1" applyBorder="1" applyAlignment="1">
      <alignment horizontal="left" vertical="center" wrapText="1"/>
    </xf>
    <xf numFmtId="0" fontId="1" fillId="4" borderId="7" xfId="1435" applyFont="1" applyFill="1" applyBorder="1" applyAlignment="1">
      <alignment horizontal="center" vertical="center"/>
    </xf>
    <xf numFmtId="43" fontId="3" fillId="4" borderId="1" xfId="29" applyFont="1" applyFill="1" applyBorder="1" applyAlignment="1">
      <alignment horizontal="center" vertical="center" wrapText="1"/>
    </xf>
    <xf numFmtId="43" fontId="3" fillId="4" borderId="1" xfId="29" applyFont="1" applyFill="1" applyBorder="1" applyAlignment="1" applyProtection="1">
      <alignment horizontal="center" vertical="center" wrapText="1"/>
    </xf>
    <xf numFmtId="10" fontId="3" fillId="4" borderId="1" xfId="29" applyNumberFormat="1" applyFont="1" applyFill="1" applyBorder="1" applyAlignment="1" applyProtection="1">
      <alignment horizontal="right" vertical="center" wrapText="1"/>
    </xf>
    <xf numFmtId="43" fontId="3" fillId="4" borderId="1" xfId="29" applyFont="1" applyFill="1" applyBorder="1" applyAlignment="1" applyProtection="1">
      <alignment horizontal="right" vertical="center" wrapText="1"/>
    </xf>
    <xf numFmtId="0" fontId="1" fillId="0" borderId="1" xfId="110" quotePrefix="1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1429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193" applyFont="1" applyFill="1" applyBorder="1" applyAlignment="1">
      <alignment vertical="center"/>
    </xf>
    <xf numFmtId="0" fontId="1" fillId="4" borderId="1" xfId="1435" applyFont="1" applyFill="1" applyBorder="1" applyAlignment="1">
      <alignment horizontal="left" vertical="center" wrapText="1"/>
    </xf>
    <xf numFmtId="0" fontId="1" fillId="4" borderId="5" xfId="1435" applyFont="1" applyFill="1" applyBorder="1" applyAlignment="1">
      <alignment horizontal="center" vertical="center" wrapText="1"/>
    </xf>
    <xf numFmtId="0" fontId="1" fillId="4" borderId="7" xfId="1435" applyFont="1" applyFill="1" applyBorder="1" applyAlignment="1">
      <alignment horizontal="center" vertical="center" wrapText="1"/>
    </xf>
    <xf numFmtId="43" fontId="3" fillId="4" borderId="1" xfId="29" applyFont="1" applyFill="1" applyBorder="1" applyAlignment="1">
      <alignment horizontal="center" vertical="center" wrapText="1"/>
    </xf>
    <xf numFmtId="0" fontId="1" fillId="4" borderId="4" xfId="1435" applyFont="1" applyFill="1" applyBorder="1" applyAlignment="1">
      <alignment horizontal="center" vertical="center" wrapText="1"/>
    </xf>
    <xf numFmtId="0" fontId="1" fillId="4" borderId="8" xfId="1435" applyFont="1" applyFill="1" applyBorder="1" applyAlignment="1">
      <alignment horizontal="center" vertical="center" wrapText="1"/>
    </xf>
    <xf numFmtId="0" fontId="1" fillId="4" borderId="3" xfId="1435" applyFont="1" applyFill="1" applyBorder="1" applyAlignment="1">
      <alignment horizontal="center" vertical="center" wrapText="1"/>
    </xf>
    <xf numFmtId="0" fontId="1" fillId="4" borderId="1" xfId="1435" applyFont="1" applyFill="1" applyBorder="1" applyAlignment="1">
      <alignment horizontal="center" vertical="center" wrapText="1"/>
    </xf>
    <xf numFmtId="0" fontId="1" fillId="4" borderId="6" xfId="1435" applyFont="1" applyFill="1" applyBorder="1" applyAlignment="1">
      <alignment horizontal="left" vertical="center" wrapText="1"/>
    </xf>
    <xf numFmtId="0" fontId="1" fillId="4" borderId="7" xfId="1435" applyFont="1" applyFill="1" applyBorder="1" applyAlignment="1">
      <alignment horizontal="left" vertical="center" wrapText="1"/>
    </xf>
    <xf numFmtId="43" fontId="3" fillId="4" borderId="5" xfId="29" applyFont="1" applyFill="1" applyBorder="1" applyAlignment="1">
      <alignment horizontal="center" vertical="center" wrapText="1"/>
    </xf>
    <xf numFmtId="43" fontId="3" fillId="4" borderId="6" xfId="29" applyFont="1" applyFill="1" applyBorder="1" applyAlignment="1">
      <alignment horizontal="center" vertical="center" wrapText="1"/>
    </xf>
    <xf numFmtId="0" fontId="3" fillId="4" borderId="5" xfId="1435" applyFont="1" applyFill="1" applyBorder="1" applyAlignment="1">
      <alignment horizontal="center" vertical="center" wrapText="1"/>
    </xf>
    <xf numFmtId="0" fontId="1" fillId="4" borderId="6" xfId="1435" applyFont="1" applyFill="1" applyBorder="1" applyAlignment="1">
      <alignment horizontal="center" vertical="center" wrapText="1"/>
    </xf>
    <xf numFmtId="49" fontId="1" fillId="4" borderId="5" xfId="1435" applyNumberFormat="1" applyFont="1" applyFill="1" applyBorder="1" applyAlignment="1">
      <alignment horizontal="center" vertical="center" wrapText="1"/>
    </xf>
    <xf numFmtId="49" fontId="1" fillId="4" borderId="6" xfId="1435" applyNumberFormat="1" applyFont="1" applyFill="1" applyBorder="1" applyAlignment="1">
      <alignment horizontal="center" vertical="center" wrapText="1"/>
    </xf>
    <xf numFmtId="0" fontId="5" fillId="4" borderId="0" xfId="1435" applyFont="1" applyFill="1" applyAlignment="1">
      <alignment horizontal="center" vertical="center"/>
    </xf>
    <xf numFmtId="0" fontId="1" fillId="4" borderId="2" xfId="1435" applyFont="1" applyFill="1" applyBorder="1" applyAlignment="1">
      <alignment horizontal="right" vertical="center"/>
    </xf>
    <xf numFmtId="49" fontId="3" fillId="4" borderId="5" xfId="1435" applyNumberFormat="1" applyFont="1" applyFill="1" applyBorder="1" applyAlignment="1">
      <alignment horizontal="center" vertical="center" wrapText="1"/>
    </xf>
    <xf numFmtId="49" fontId="1" fillId="4" borderId="7" xfId="1435" applyNumberFormat="1" applyFont="1" applyFill="1" applyBorder="1" applyAlignment="1">
      <alignment horizontal="center" vertical="center" wrapText="1"/>
    </xf>
    <xf numFmtId="0" fontId="1" fillId="4" borderId="5" xfId="1435" applyFont="1" applyFill="1" applyBorder="1" applyAlignment="1">
      <alignment horizontal="left" vertical="center"/>
    </xf>
    <xf numFmtId="0" fontId="1" fillId="4" borderId="7" xfId="1435" applyFont="1" applyFill="1" applyBorder="1" applyAlignment="1">
      <alignment horizontal="left" vertical="center"/>
    </xf>
    <xf numFmtId="0" fontId="1" fillId="4" borderId="1" xfId="1435" applyFont="1" applyFill="1" applyBorder="1" applyAlignment="1">
      <alignment horizontal="center" vertical="center"/>
    </xf>
    <xf numFmtId="0" fontId="3" fillId="4" borderId="4" xfId="1435" applyFont="1" applyFill="1" applyBorder="1" applyAlignment="1">
      <alignment horizontal="center" vertical="center" wrapText="1"/>
    </xf>
    <xf numFmtId="0" fontId="3" fillId="4" borderId="3" xfId="1435" applyFont="1" applyFill="1" applyBorder="1" applyAlignment="1">
      <alignment horizontal="center" vertical="center" wrapText="1"/>
    </xf>
    <xf numFmtId="0" fontId="1" fillId="4" borderId="14" xfId="1435" applyFont="1" applyFill="1" applyBorder="1" applyAlignment="1">
      <alignment horizontal="center" vertical="center" wrapText="1"/>
    </xf>
    <xf numFmtId="0" fontId="1" fillId="4" borderId="12" xfId="1435" applyFont="1" applyFill="1" applyBorder="1" applyAlignment="1">
      <alignment horizontal="center" vertical="center" wrapText="1"/>
    </xf>
    <xf numFmtId="0" fontId="1" fillId="4" borderId="15" xfId="1435" applyFont="1" applyFill="1" applyBorder="1" applyAlignment="1">
      <alignment horizontal="center" vertical="center" wrapText="1"/>
    </xf>
    <xf numFmtId="218" fontId="3" fillId="0" borderId="1" xfId="297" applyNumberFormat="1" applyFont="1" applyFill="1" applyBorder="1" applyAlignment="1">
      <alignment horizontal="center" vertical="center" wrapText="1"/>
    </xf>
    <xf numFmtId="218" fontId="20" fillId="0" borderId="0" xfId="297" applyNumberFormat="1" applyFont="1" applyFill="1" applyBorder="1" applyAlignment="1">
      <alignment horizontal="center" vertical="center" wrapText="1"/>
    </xf>
    <xf numFmtId="218" fontId="3" fillId="0" borderId="4" xfId="297" applyNumberFormat="1" applyFont="1" applyFill="1" applyBorder="1" applyAlignment="1">
      <alignment horizontal="center" vertical="center" wrapText="1"/>
    </xf>
    <xf numFmtId="218" fontId="3" fillId="0" borderId="3" xfId="297" applyNumberFormat="1" applyFont="1" applyFill="1" applyBorder="1" applyAlignment="1">
      <alignment horizontal="center" vertical="center" wrapText="1"/>
    </xf>
    <xf numFmtId="0" fontId="5" fillId="0" borderId="0" xfId="1167" applyFont="1" applyFill="1" applyAlignment="1">
      <alignment horizontal="center" vertical="center"/>
    </xf>
    <xf numFmtId="0" fontId="1" fillId="0" borderId="2" xfId="1167" applyFont="1" applyFill="1" applyBorder="1" applyAlignment="1">
      <alignment horizontal="left" vertical="center"/>
    </xf>
    <xf numFmtId="0" fontId="3" fillId="0" borderId="2" xfId="1167" applyFont="1" applyFill="1" applyBorder="1" applyAlignment="1">
      <alignment horizontal="center" vertical="center"/>
    </xf>
    <xf numFmtId="0" fontId="1" fillId="0" borderId="5" xfId="1168" applyFont="1" applyFill="1" applyBorder="1" applyAlignment="1">
      <alignment horizontal="center" vertical="center" wrapText="1"/>
    </xf>
    <xf numFmtId="0" fontId="1" fillId="0" borderId="6" xfId="1168" applyFont="1" applyFill="1" applyBorder="1" applyAlignment="1">
      <alignment horizontal="center" vertical="center" wrapText="1"/>
    </xf>
    <xf numFmtId="0" fontId="1" fillId="0" borderId="7" xfId="1168" applyFont="1" applyFill="1" applyBorder="1" applyAlignment="1">
      <alignment horizontal="center" vertical="center" wrapText="1"/>
    </xf>
    <xf numFmtId="218" fontId="1" fillId="0" borderId="5" xfId="1168" applyNumberFormat="1" applyFont="1" applyFill="1" applyBorder="1" applyAlignment="1">
      <alignment horizontal="center" vertical="center" wrapText="1"/>
    </xf>
    <xf numFmtId="218" fontId="1" fillId="0" borderId="6" xfId="1168" applyNumberFormat="1" applyFont="1" applyFill="1" applyBorder="1" applyAlignment="1">
      <alignment horizontal="center" vertical="center" wrapText="1"/>
    </xf>
    <xf numFmtId="218" fontId="1" fillId="0" borderId="7" xfId="1168" applyNumberFormat="1" applyFont="1" applyFill="1" applyBorder="1" applyAlignment="1">
      <alignment horizontal="center" vertical="center" wrapText="1"/>
    </xf>
    <xf numFmtId="0" fontId="1" fillId="0" borderId="4" xfId="1168" applyFont="1" applyFill="1" applyBorder="1" applyAlignment="1">
      <alignment horizontal="center" vertical="center" wrapText="1"/>
    </xf>
    <xf numFmtId="0" fontId="1" fillId="0" borderId="3" xfId="1168" applyFont="1" applyFill="1" applyBorder="1" applyAlignment="1">
      <alignment horizontal="center" vertical="center" wrapText="1"/>
    </xf>
    <xf numFmtId="0" fontId="1" fillId="0" borderId="3" xfId="1168" applyFont="1" applyFill="1" applyBorder="1" applyAlignment="1">
      <alignment horizontal="center" vertical="center"/>
    </xf>
    <xf numFmtId="218" fontId="1" fillId="0" borderId="12" xfId="1168" applyNumberFormat="1" applyFont="1" applyFill="1" applyBorder="1" applyAlignment="1">
      <alignment horizontal="center" vertical="center" wrapText="1"/>
    </xf>
    <xf numFmtId="49" fontId="3" fillId="0" borderId="1" xfId="1435" applyNumberFormat="1" applyFont="1" applyFill="1" applyBorder="1" applyAlignment="1">
      <alignment horizontal="center" vertical="center" wrapText="1"/>
    </xf>
    <xf numFmtId="0" fontId="3" fillId="0" borderId="1" xfId="1435" applyFont="1" applyFill="1" applyBorder="1" applyAlignment="1">
      <alignment horizontal="center" vertical="center" wrapText="1"/>
    </xf>
    <xf numFmtId="190" fontId="3" fillId="0" borderId="1" xfId="1435" applyNumberFormat="1" applyFont="1" applyFill="1" applyBorder="1" applyAlignment="1" applyProtection="1">
      <alignment horizontal="center" vertical="center" wrapText="1"/>
      <protection locked="0"/>
    </xf>
    <xf numFmtId="222" fontId="3" fillId="0" borderId="1" xfId="1435" applyNumberFormat="1" applyFont="1" applyFill="1" applyBorder="1" applyAlignment="1">
      <alignment horizontal="center" vertical="center" wrapText="1"/>
    </xf>
    <xf numFmtId="194" fontId="3" fillId="0" borderId="1" xfId="1435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1435" applyFont="1" applyFill="1" applyBorder="1" applyAlignment="1">
      <alignment horizontal="center" vertical="center"/>
    </xf>
    <xf numFmtId="0" fontId="3" fillId="0" borderId="1" xfId="1435" applyFont="1" applyFill="1" applyBorder="1" applyAlignment="1" applyProtection="1">
      <alignment horizontal="center" vertical="center"/>
      <protection locked="0"/>
    </xf>
    <xf numFmtId="43" fontId="3" fillId="0" borderId="1" xfId="1435" applyNumberFormat="1" applyFont="1" applyFill="1" applyBorder="1" applyAlignment="1" applyProtection="1">
      <alignment horizontal="center" vertical="center" wrapText="1"/>
      <protection locked="0"/>
    </xf>
    <xf numFmtId="219" fontId="3" fillId="0" borderId="1" xfId="1435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435" applyFont="1" applyFill="1" applyBorder="1" applyAlignment="1" applyProtection="1">
      <alignment horizontal="center" vertical="center" wrapText="1"/>
      <protection locked="0"/>
    </xf>
    <xf numFmtId="4" fontId="3" fillId="0" borderId="1" xfId="1435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0" borderId="0" xfId="1431" applyFont="1" applyFill="1" applyAlignment="1" applyProtection="1">
      <alignment horizontal="center" vertical="center"/>
      <protection locked="0"/>
    </xf>
    <xf numFmtId="0" fontId="5" fillId="0" borderId="0" xfId="1431" applyFont="1" applyFill="1" applyAlignment="1" applyProtection="1">
      <alignment horizontal="center" vertical="center" shrinkToFit="1"/>
      <protection locked="0"/>
    </xf>
    <xf numFmtId="222" fontId="5" fillId="0" borderId="0" xfId="1431" applyNumberFormat="1" applyFont="1" applyFill="1" applyAlignment="1" applyProtection="1">
      <alignment horizontal="right" vertical="center"/>
      <protection locked="0"/>
    </xf>
    <xf numFmtId="222" fontId="1" fillId="0" borderId="2" xfId="1168" applyNumberFormat="1" applyFont="1" applyFill="1" applyBorder="1" applyAlignment="1">
      <alignment horizontal="right" vertical="center" wrapText="1"/>
    </xf>
    <xf numFmtId="0" fontId="1" fillId="0" borderId="2" xfId="1168" applyFont="1" applyFill="1" applyBorder="1" applyAlignment="1">
      <alignment horizontal="center" vertical="center"/>
    </xf>
    <xf numFmtId="0" fontId="1" fillId="0" borderId="0" xfId="1168" applyFont="1" applyFill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20" fillId="0" borderId="0" xfId="1431" applyFont="1" applyFill="1" applyAlignment="1" applyProtection="1">
      <alignment horizontal="center" vertical="center"/>
      <protection locked="0"/>
    </xf>
    <xf numFmtId="0" fontId="1" fillId="0" borderId="2" xfId="1168" applyFont="1" applyFill="1" applyBorder="1" applyAlignment="1">
      <alignment horizontal="center" vertical="center" wrapText="1"/>
    </xf>
    <xf numFmtId="0" fontId="3" fillId="4" borderId="9" xfId="1168" applyFont="1" applyFill="1" applyBorder="1" applyAlignment="1">
      <alignment horizontal="center" vertical="center" wrapText="1"/>
    </xf>
    <xf numFmtId="0" fontId="16" fillId="0" borderId="0" xfId="1431" applyNumberFormat="1" applyFont="1" applyFill="1" applyAlignment="1" applyProtection="1">
      <alignment horizontal="center" vertical="center"/>
      <protection locked="0"/>
    </xf>
    <xf numFmtId="0" fontId="16" fillId="0" borderId="0" xfId="1431" applyNumberFormat="1" applyFont="1" applyFill="1" applyAlignment="1" applyProtection="1">
      <alignment horizontal="center" vertical="center" shrinkToFit="1"/>
      <protection locked="0"/>
    </xf>
    <xf numFmtId="0" fontId="16" fillId="0" borderId="0" xfId="1431" applyNumberFormat="1" applyFont="1" applyFill="1" applyAlignment="1" applyProtection="1">
      <alignment horizontal="center" vertical="center" wrapText="1"/>
      <protection locked="0"/>
    </xf>
    <xf numFmtId="0" fontId="16" fillId="0" borderId="0" xfId="1431" applyNumberFormat="1" applyFont="1" applyFill="1" applyAlignment="1" applyProtection="1">
      <alignment horizontal="right" vertical="center"/>
      <protection locked="0"/>
    </xf>
    <xf numFmtId="0" fontId="11" fillId="0" borderId="2" xfId="1168" applyNumberFormat="1" applyFont="1" applyFill="1" applyBorder="1" applyAlignment="1" applyProtection="1">
      <alignment horizontal="left" vertical="center"/>
    </xf>
    <xf numFmtId="0" fontId="11" fillId="0" borderId="2" xfId="1168" applyNumberFormat="1" applyFont="1" applyFill="1" applyBorder="1" applyAlignment="1" applyProtection="1">
      <alignment horizontal="left" vertical="center" shrinkToFit="1"/>
    </xf>
    <xf numFmtId="0" fontId="11" fillId="0" borderId="2" xfId="1168" applyNumberFormat="1" applyFont="1" applyFill="1" applyBorder="1" applyAlignment="1" applyProtection="1">
      <alignment horizontal="center" vertical="center" wrapText="1"/>
    </xf>
    <xf numFmtId="0" fontId="11" fillId="0" borderId="2" xfId="1168" applyNumberFormat="1" applyFont="1" applyFill="1" applyBorder="1" applyAlignment="1" applyProtection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" fillId="0" borderId="0" xfId="1168" applyNumberFormat="1" applyFont="1" applyFill="1" applyAlignment="1" applyProtection="1">
      <alignment horizontal="left" vertical="center"/>
    </xf>
    <xf numFmtId="0" fontId="20" fillId="0" borderId="0" xfId="1431" applyFont="1" applyFill="1" applyAlignment="1" applyProtection="1">
      <alignment horizontal="center" vertical="center" wrapText="1"/>
      <protection locked="0"/>
    </xf>
    <xf numFmtId="0" fontId="5" fillId="0" borderId="0" xfId="1431" applyFont="1" applyFill="1" applyAlignment="1" applyProtection="1">
      <alignment horizontal="center" vertical="center" wrapText="1"/>
      <protection locked="0"/>
    </xf>
    <xf numFmtId="0" fontId="5" fillId="0" borderId="0" xfId="1431" applyNumberFormat="1" applyFont="1" applyFill="1" applyAlignment="1" applyProtection="1">
      <alignment horizontal="center" vertical="center" shrinkToFit="1"/>
      <protection locked="0"/>
    </xf>
    <xf numFmtId="0" fontId="3" fillId="0" borderId="2" xfId="1168" applyNumberFormat="1" applyFont="1" applyFill="1" applyBorder="1" applyAlignment="1" applyProtection="1">
      <alignment horizontal="left" vertical="center" wrapText="1"/>
    </xf>
    <xf numFmtId="0" fontId="1" fillId="0" borderId="2" xfId="1168" applyNumberFormat="1" applyFont="1" applyFill="1" applyBorder="1" applyAlignment="1" applyProtection="1">
      <alignment horizontal="center" vertical="center" shrinkToFit="1"/>
    </xf>
    <xf numFmtId="0" fontId="1" fillId="0" borderId="2" xfId="1168" applyNumberFormat="1" applyFont="1" applyFill="1" applyBorder="1" applyAlignment="1" applyProtection="1">
      <alignment horizontal="center" vertical="center" wrapText="1"/>
    </xf>
    <xf numFmtId="0" fontId="1" fillId="0" borderId="2" xfId="1168" applyNumberFormat="1" applyFont="1" applyFill="1" applyBorder="1" applyAlignment="1" applyProtection="1">
      <alignment horizontal="left" vertical="center" shrinkToFit="1"/>
    </xf>
    <xf numFmtId="0" fontId="3" fillId="0" borderId="2" xfId="1168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/>
    </xf>
    <xf numFmtId="43" fontId="3" fillId="0" borderId="4" xfId="0" applyNumberFormat="1" applyFont="1" applyFill="1" applyBorder="1" applyAlignment="1">
      <alignment horizontal="center" vertical="center" wrapText="1"/>
    </xf>
    <xf numFmtId="43" fontId="3" fillId="0" borderId="8" xfId="0" applyNumberFormat="1" applyFont="1" applyFill="1" applyBorder="1" applyAlignment="1">
      <alignment horizontal="center" vertical="center" wrapText="1"/>
    </xf>
    <xf numFmtId="43" fontId="3" fillId="0" borderId="3" xfId="0" applyNumberFormat="1" applyFont="1" applyFill="1" applyBorder="1" applyAlignment="1">
      <alignment horizontal="center" vertical="center" wrapText="1"/>
    </xf>
    <xf numFmtId="10" fontId="3" fillId="0" borderId="4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0" fontId="3" fillId="0" borderId="3" xfId="0" applyNumberFormat="1" applyFont="1" applyFill="1" applyBorder="1" applyAlignment="1">
      <alignment horizontal="center" vertical="center" wrapText="1"/>
    </xf>
    <xf numFmtId="222" fontId="3" fillId="0" borderId="4" xfId="0" applyNumberFormat="1" applyFont="1" applyFill="1" applyBorder="1" applyAlignment="1">
      <alignment horizontal="center" vertical="center" wrapText="1"/>
    </xf>
    <xf numFmtId="222" fontId="3" fillId="0" borderId="8" xfId="0" applyNumberFormat="1" applyFont="1" applyFill="1" applyBorder="1" applyAlignment="1">
      <alignment horizontal="center" vertical="center" wrapText="1"/>
    </xf>
    <xf numFmtId="222" fontId="3" fillId="0" borderId="3" xfId="0" applyNumberFormat="1" applyFont="1" applyFill="1" applyBorder="1" applyAlignment="1">
      <alignment horizontal="center" vertical="center" wrapText="1"/>
    </xf>
    <xf numFmtId="0" fontId="21" fillId="0" borderId="0" xfId="1431" applyFont="1" applyFill="1" applyAlignment="1" applyProtection="1">
      <alignment horizontal="center" vertical="center" wrapText="1"/>
      <protection locked="0"/>
    </xf>
    <xf numFmtId="222" fontId="5" fillId="0" borderId="0" xfId="1431" applyNumberFormat="1" applyFont="1" applyFill="1" applyAlignment="1" applyProtection="1">
      <alignment horizontal="right" vertical="center" wrapText="1"/>
      <protection locked="0"/>
    </xf>
    <xf numFmtId="0" fontId="1" fillId="0" borderId="2" xfId="1168" applyNumberFormat="1" applyFont="1" applyFill="1" applyBorder="1" applyAlignment="1" applyProtection="1">
      <alignment horizontal="left" vertical="center" wrapText="1"/>
    </xf>
    <xf numFmtId="49" fontId="3" fillId="0" borderId="2" xfId="1168" applyNumberFormat="1" applyFont="1" applyFill="1" applyBorder="1" applyAlignment="1">
      <alignment horizontal="center" vertical="center" wrapText="1"/>
    </xf>
    <xf numFmtId="49" fontId="1" fillId="0" borderId="2" xfId="1168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1168" applyNumberFormat="1" applyFont="1" applyFill="1" applyAlignment="1" applyProtection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5" fillId="0" borderId="0" xfId="1431" applyFont="1" applyFill="1" applyAlignment="1" applyProtection="1">
      <alignment horizontal="center" vertical="center" wrapText="1" shrinkToFit="1"/>
      <protection locked="0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1" xfId="1434" applyFont="1" applyFill="1" applyBorder="1" applyAlignment="1" applyProtection="1">
      <alignment vertical="center"/>
      <protection locked="0"/>
    </xf>
    <xf numFmtId="0" fontId="5" fillId="0" borderId="0" xfId="1193" applyFont="1" applyFill="1" applyAlignment="1">
      <alignment horizontal="center" vertical="center"/>
    </xf>
    <xf numFmtId="0" fontId="2" fillId="0" borderId="0" xfId="1193" applyFont="1" applyFill="1" applyAlignment="1">
      <alignment horizontal="center" vertical="center"/>
    </xf>
    <xf numFmtId="0" fontId="1" fillId="0" borderId="1" xfId="1193" applyFont="1" applyFill="1" applyBorder="1" applyAlignment="1">
      <alignment vertical="center"/>
    </xf>
    <xf numFmtId="0" fontId="5" fillId="0" borderId="0" xfId="1193" applyFont="1" applyFill="1" applyAlignment="1">
      <alignment horizontal="center" vertical="center" wrapText="1"/>
    </xf>
    <xf numFmtId="0" fontId="3" fillId="0" borderId="1" xfId="1193" applyFont="1" applyFill="1" applyBorder="1" applyAlignment="1">
      <alignment horizontal="center" vertical="center"/>
    </xf>
    <xf numFmtId="0" fontId="1" fillId="0" borderId="1" xfId="1193" applyFont="1" applyFill="1" applyBorder="1" applyAlignment="1">
      <alignment horizontal="center" vertical="center"/>
    </xf>
    <xf numFmtId="0" fontId="1" fillId="0" borderId="1" xfId="1193" applyFont="1" applyFill="1" applyBorder="1" applyAlignment="1">
      <alignment horizontal="center" vertical="center" wrapText="1"/>
    </xf>
    <xf numFmtId="0" fontId="3" fillId="0" borderId="1" xfId="1442" applyFont="1" applyFill="1" applyBorder="1" applyAlignment="1" applyProtection="1">
      <alignment horizontal="center" vertical="center"/>
      <protection locked="0"/>
    </xf>
    <xf numFmtId="0" fontId="1" fillId="0" borderId="1" xfId="1442" applyFont="1" applyFill="1" applyBorder="1" applyAlignment="1" applyProtection="1">
      <alignment horizontal="center" vertical="center"/>
      <protection locked="0"/>
    </xf>
    <xf numFmtId="0" fontId="3" fillId="0" borderId="1" xfId="1193" applyFont="1" applyFill="1" applyBorder="1" applyAlignment="1">
      <alignment horizontal="center" vertical="center" wrapText="1"/>
    </xf>
    <xf numFmtId="0" fontId="20" fillId="4" borderId="0" xfId="1435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3" fillId="0" borderId="0" xfId="1431" applyNumberFormat="1" applyFont="1" applyFill="1" applyAlignment="1" applyProtection="1">
      <alignment horizontal="center" vertical="center"/>
      <protection locked="0"/>
    </xf>
    <xf numFmtId="0" fontId="81" fillId="0" borderId="1" xfId="0" applyFont="1" applyFill="1" applyBorder="1" applyAlignment="1">
      <alignment vertical="center" wrapText="1"/>
    </xf>
    <xf numFmtId="49" fontId="28" fillId="0" borderId="1" xfId="1429" applyNumberFormat="1" applyFont="1" applyFill="1" applyBorder="1" applyAlignment="1" applyProtection="1">
      <alignment horizontal="center" vertical="center" wrapText="1"/>
      <protection locked="0"/>
    </xf>
    <xf numFmtId="222" fontId="7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04" fillId="0" borderId="1" xfId="0" applyFont="1" applyBorder="1" applyAlignment="1">
      <alignment horizontal="center" vertical="center"/>
    </xf>
    <xf numFmtId="0" fontId="104" fillId="0" borderId="1" xfId="0" applyFont="1" applyFill="1" applyBorder="1" applyAlignment="1">
      <alignment vertical="center" wrapText="1"/>
    </xf>
    <xf numFmtId="0" fontId="104" fillId="0" borderId="1" xfId="0" applyFont="1" applyFill="1" applyBorder="1" applyAlignment="1">
      <alignment horizontal="center" vertical="center" wrapText="1"/>
    </xf>
    <xf numFmtId="0" fontId="3" fillId="0" borderId="1" xfId="1193" applyFont="1" applyFill="1" applyBorder="1" applyAlignment="1">
      <alignment vertical="center"/>
    </xf>
    <xf numFmtId="0" fontId="3" fillId="0" borderId="1" xfId="1434" applyFont="1" applyFill="1" applyBorder="1" applyAlignment="1" applyProtection="1">
      <alignment vertical="center"/>
      <protection locked="0"/>
    </xf>
    <xf numFmtId="0" fontId="104" fillId="2" borderId="1" xfId="1434" applyFont="1" applyFill="1" applyBorder="1" applyAlignment="1" applyProtection="1">
      <alignment vertical="center"/>
      <protection locked="0"/>
    </xf>
    <xf numFmtId="0" fontId="20" fillId="0" borderId="0" xfId="1193" applyFont="1" applyFill="1" applyAlignment="1">
      <alignment horizontal="center" vertical="center"/>
    </xf>
    <xf numFmtId="0" fontId="3" fillId="4" borderId="11" xfId="1435" applyFont="1" applyFill="1" applyBorder="1" applyAlignment="1">
      <alignment horizontal="center" vertical="center" wrapText="1"/>
    </xf>
    <xf numFmtId="0" fontId="3" fillId="4" borderId="1" xfId="1435" applyFont="1" applyFill="1" applyBorder="1" applyAlignment="1">
      <alignment horizontal="left" vertical="center" wrapText="1"/>
    </xf>
    <xf numFmtId="0" fontId="3" fillId="4" borderId="1" xfId="1435" applyFont="1" applyFill="1" applyBorder="1" applyAlignment="1">
      <alignment horizontal="center" vertical="center" wrapText="1"/>
    </xf>
    <xf numFmtId="0" fontId="3" fillId="4" borderId="1" xfId="1435" applyFont="1" applyFill="1" applyBorder="1" applyAlignment="1">
      <alignment horizontal="center" vertical="center"/>
    </xf>
    <xf numFmtId="0" fontId="3" fillId="4" borderId="5" xfId="1435" applyFont="1" applyFill="1" applyBorder="1" applyAlignment="1">
      <alignment horizontal="left" vertical="center" wrapText="1"/>
    </xf>
    <xf numFmtId="0" fontId="3" fillId="0" borderId="4" xfId="1168" applyFont="1" applyFill="1" applyBorder="1" applyAlignment="1">
      <alignment horizontal="center" vertical="center" wrapText="1"/>
    </xf>
    <xf numFmtId="0" fontId="3" fillId="0" borderId="5" xfId="1168" applyFont="1" applyFill="1" applyBorder="1" applyAlignment="1">
      <alignment horizontal="center" vertical="center" wrapText="1"/>
    </xf>
    <xf numFmtId="0" fontId="20" fillId="0" borderId="0" xfId="1167" applyFont="1" applyFill="1" applyAlignment="1">
      <alignment horizontal="center" vertical="center"/>
    </xf>
    <xf numFmtId="0" fontId="3" fillId="0" borderId="1" xfId="1168" applyFont="1" applyFill="1" applyBorder="1" applyAlignment="1">
      <alignment horizontal="center" vertical="center" wrapText="1"/>
    </xf>
    <xf numFmtId="218" fontId="3" fillId="0" borderId="11" xfId="1168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top"/>
    </xf>
    <xf numFmtId="0" fontId="3" fillId="4" borderId="2" xfId="1435" applyFont="1" applyFill="1" applyBorder="1" applyAlignment="1">
      <alignment horizontal="right" vertical="center"/>
    </xf>
  </cellXfs>
  <cellStyles count="2025">
    <cellStyle name="_2009年损益类-海航恒实" xfId="141"/>
    <cellStyle name="_Book1" xfId="146"/>
    <cellStyle name="_ET_STYLE_NoName_00_" xfId="138"/>
    <cellStyle name="_固定资产折旧明细表2010-4-1" xfId="151"/>
    <cellStyle name="_历年合同、付款、发票对应情况明细表、固定资产折旧明细表" xfId="1"/>
    <cellStyle name="0%" xfId="65"/>
    <cellStyle name="0% 2" xfId="158"/>
    <cellStyle name="0,0_x000d__x000a_NA_x000d__x000a_" xfId="60"/>
    <cellStyle name="0,0_x000d__x000a_NA_x000d__x000a_ 2" xfId="155"/>
    <cellStyle name="0.0%" xfId="104"/>
    <cellStyle name="0.00%" xfId="159"/>
    <cellStyle name="00" xfId="162"/>
    <cellStyle name="00 2" xfId="167"/>
    <cellStyle name="20% - 强调文字颜色 1 2" xfId="11"/>
    <cellStyle name="20% - 强调文字颜色 1 2 2" xfId="169"/>
    <cellStyle name="20% - 强调文字颜色 1 2 3" xfId="143"/>
    <cellStyle name="20% - 强调文字颜色 1 3" xfId="172"/>
    <cellStyle name="20% - 强调文字颜色 1 3 2" xfId="174"/>
    <cellStyle name="20% - 强调文字颜色 1 3 3" xfId="178"/>
    <cellStyle name="20% - 强调文字颜色 1 3 4" xfId="183"/>
    <cellStyle name="20% - 强调文字颜色 1 3 5" xfId="191"/>
    <cellStyle name="20% - 强调文字颜色 1 4" xfId="197"/>
    <cellStyle name="20% - 强调文字颜色 2 2" xfId="201"/>
    <cellStyle name="20% - 强调文字颜色 2 2 2" xfId="203"/>
    <cellStyle name="20% - 强调文字颜色 2 2 3" xfId="204"/>
    <cellStyle name="20% - 强调文字颜色 2 3" xfId="208"/>
    <cellStyle name="20% - 强调文字颜色 2 3 2" xfId="211"/>
    <cellStyle name="20% - 强调文字颜色 2 3 3" xfId="214"/>
    <cellStyle name="20% - 强调文字颜色 2 3 4" xfId="218"/>
    <cellStyle name="20% - 强调文字颜色 2 3 5" xfId="221"/>
    <cellStyle name="20% - 强调文字颜色 2 4" xfId="225"/>
    <cellStyle name="20% - 强调文字颜色 3 2" xfId="231"/>
    <cellStyle name="20% - 强调文字颜色 3 2 2" xfId="235"/>
    <cellStyle name="20% - 强调文字颜色 3 2 3" xfId="242"/>
    <cellStyle name="20% - 强调文字颜色 3 3" xfId="97"/>
    <cellStyle name="20% - 强调文字颜色 3 3 2" xfId="135"/>
    <cellStyle name="20% - 强调文字颜色 3 3 3" xfId="247"/>
    <cellStyle name="20% - 强调文字颜色 3 3 4" xfId="250"/>
    <cellStyle name="20% - 强调文字颜色 3 3 5" xfId="254"/>
    <cellStyle name="20% - 强调文字颜色 3 4" xfId="262"/>
    <cellStyle name="20% - 强调文字颜色 4 2" xfId="265"/>
    <cellStyle name="20% - 强调文字颜色 4 2 2" xfId="266"/>
    <cellStyle name="20% - 强调文字颜色 4 2 3" xfId="268"/>
    <cellStyle name="20% - 强调文字颜色 4 3" xfId="275"/>
    <cellStyle name="20% - 强调文字颜色 4 3 2" xfId="278"/>
    <cellStyle name="20% - 强调文字颜色 4 3 3" xfId="282"/>
    <cellStyle name="20% - 强调文字颜色 4 3 4" xfId="285"/>
    <cellStyle name="20% - 强调文字颜色 4 3 5" xfId="289"/>
    <cellStyle name="20% - 强调文字颜色 4 4" xfId="290"/>
    <cellStyle name="20% - 强调文字颜色 5 2" xfId="293"/>
    <cellStyle name="20% - 强调文字颜色 5 2 2" xfId="296"/>
    <cellStyle name="20% - 强调文字颜色 5 2 3" xfId="299"/>
    <cellStyle name="20% - 强调文字颜色 5 3" xfId="300"/>
    <cellStyle name="20% - 强调文字颜色 5 3 2" xfId="301"/>
    <cellStyle name="20% - 强调文字颜色 5 3 3" xfId="58"/>
    <cellStyle name="20% - 强调文字颜色 5 3 4" xfId="66"/>
    <cellStyle name="20% - 强调文字颜色 5 3 5" xfId="69"/>
    <cellStyle name="20% - 强调文字颜色 5 4" xfId="305"/>
    <cellStyle name="20% - 强调文字颜色 6 2" xfId="311"/>
    <cellStyle name="20% - 强调文字颜色 6 2 2" xfId="160"/>
    <cellStyle name="20% - 强调文字颜色 6 2 3" xfId="312"/>
    <cellStyle name="20% - 强调文字颜色 6 3" xfId="314"/>
    <cellStyle name="20% - 强调文字颜色 6 3 2" xfId="315"/>
    <cellStyle name="20% - 强调文字颜色 6 3 3" xfId="318"/>
    <cellStyle name="20% - 强调文字颜色 6 3 4" xfId="323"/>
    <cellStyle name="20% - 强调文字颜色 6 3 5" xfId="85"/>
    <cellStyle name="20% - 强调文字颜色 6 4" xfId="327"/>
    <cellStyle name="3232" xfId="297"/>
    <cellStyle name="40% - 强调文字颜色 1 2" xfId="329"/>
    <cellStyle name="40% - 强调文字颜色 1 2 2" xfId="334"/>
    <cellStyle name="40% - 强调文字颜色 1 2 3" xfId="337"/>
    <cellStyle name="40% - 强调文字颜色 1 3" xfId="339"/>
    <cellStyle name="40% - 强调文字颜色 1 3 2" xfId="345"/>
    <cellStyle name="40% - 强调文字颜色 1 3 3" xfId="351"/>
    <cellStyle name="40% - 强调文字颜色 1 3 4" xfId="357"/>
    <cellStyle name="40% - 强调文字颜色 1 3 5" xfId="14"/>
    <cellStyle name="40% - 强调文字颜色 1 4" xfId="166"/>
    <cellStyle name="40% - 强调文字颜色 2 2" xfId="145"/>
    <cellStyle name="40% - 强调文字颜色 2 2 2" xfId="358"/>
    <cellStyle name="40% - 强调文字颜色 2 2 3" xfId="359"/>
    <cellStyle name="40% - 强调文字颜色 2 3" xfId="360"/>
    <cellStyle name="40% - 强调文字颜色 2 3 2" xfId="361"/>
    <cellStyle name="40% - 强调文字颜色 2 3 3" xfId="362"/>
    <cellStyle name="40% - 强调文字颜色 2 3 4" xfId="364"/>
    <cellStyle name="40% - 强调文字颜色 2 3 5" xfId="367"/>
    <cellStyle name="40% - 强调文字颜色 2 4" xfId="369"/>
    <cellStyle name="40% - 强调文字颜色 3 2" xfId="180"/>
    <cellStyle name="40% - 强调文字颜色 3 2 2" xfId="372"/>
    <cellStyle name="40% - 强调文字颜色 3 2 3" xfId="375"/>
    <cellStyle name="40% - 强调文字颜色 3 3" xfId="185"/>
    <cellStyle name="40% - 强调文字颜色 3 3 2" xfId="379"/>
    <cellStyle name="40% - 强调文字颜色 3 3 3" xfId="77"/>
    <cellStyle name="40% - 强调文字颜色 3 3 4" xfId="383"/>
    <cellStyle name="40% - 强调文字颜色 3 3 5" xfId="387"/>
    <cellStyle name="40% - 强调文字颜色 3 4" xfId="193"/>
    <cellStyle name="40% - 强调文字颜色 4 2" xfId="78"/>
    <cellStyle name="40% - 强调文字颜色 4 2 2" xfId="152"/>
    <cellStyle name="40% - 强调文字颜色 4 2 3" xfId="389"/>
    <cellStyle name="40% - 强调文字颜色 4 3" xfId="392"/>
    <cellStyle name="40% - 强调文字颜色 4 3 2" xfId="102"/>
    <cellStyle name="40% - 强调文字颜色 4 3 3" xfId="109"/>
    <cellStyle name="40% - 强调文字颜色 4 3 4" xfId="26"/>
    <cellStyle name="40% - 强调文字颜色 4 3 5" xfId="123"/>
    <cellStyle name="40% - 强调文字颜色 4 4" xfId="161"/>
    <cellStyle name="40% - 强调文字颜色 5 2" xfId="396"/>
    <cellStyle name="40% - 强调文字颜色 5 2 2" xfId="397"/>
    <cellStyle name="40% - 强调文字颜色 5 2 3" xfId="399"/>
    <cellStyle name="40% - 强调文字颜色 5 3" xfId="403"/>
    <cellStyle name="40% - 强调文字颜色 5 3 2" xfId="407"/>
    <cellStyle name="40% - 强调文字颜色 5 3 3" xfId="414"/>
    <cellStyle name="40% - 强调文字颜色 5 3 4" xfId="420"/>
    <cellStyle name="40% - 强调文字颜色 5 3 5" xfId="423"/>
    <cellStyle name="40% - 强调文字颜色 5 4" xfId="317"/>
    <cellStyle name="40% - 强调文字颜色 6 2" xfId="426"/>
    <cellStyle name="40% - 强调文字颜色 6 2 2" xfId="431"/>
    <cellStyle name="40% - 强调文字颜色 6 2 3" xfId="433"/>
    <cellStyle name="40% - 强调文字颜色 6 3" xfId="438"/>
    <cellStyle name="40% - 强调文字颜色 6 3 2" xfId="443"/>
    <cellStyle name="40% - 强调文字颜色 6 3 3" xfId="445"/>
    <cellStyle name="40% - 强调文字颜色 6 3 4" xfId="446"/>
    <cellStyle name="40% - 强调文字颜色 6 3 5" xfId="447"/>
    <cellStyle name="40% - 强调文字颜色 6 4" xfId="454"/>
    <cellStyle name="60% - 强调文字颜色 1 2" xfId="264"/>
    <cellStyle name="60% - 强调文字颜色 1 2 2" xfId="459"/>
    <cellStyle name="60% - 强调文字颜色 1 2 3" xfId="461"/>
    <cellStyle name="60% - 强调文字颜色 1 3" xfId="463"/>
    <cellStyle name="60% - 强调文字颜色 1 3 2" xfId="467"/>
    <cellStyle name="60% - 强调文字颜色 1 3 3" xfId="468"/>
    <cellStyle name="60% - 强调文字颜色 1 3 4" xfId="479"/>
    <cellStyle name="60% - 强调文字颜色 1 3 5" xfId="22"/>
    <cellStyle name="60% - 强调文字颜色 1 4" xfId="483"/>
    <cellStyle name="60% - 强调文字颜色 2 2" xfId="292"/>
    <cellStyle name="60% - 强调文字颜色 2 2 2" xfId="56"/>
    <cellStyle name="60% - 强调文字颜色 2 2 3" xfId="484"/>
    <cellStyle name="60% - 强调文字颜色 2 3" xfId="41"/>
    <cellStyle name="60% - 强调文字颜色 2 3 2" xfId="492"/>
    <cellStyle name="60% - 强调文字颜色 2 3 3" xfId="498"/>
    <cellStyle name="60% - 强调文字颜色 2 3 4" xfId="505"/>
    <cellStyle name="60% - 强调文字颜色 2 3 5" xfId="55"/>
    <cellStyle name="60% - 强调文字颜色 2 4" xfId="508"/>
    <cellStyle name="60% - 强调文字颜色 3 2" xfId="308"/>
    <cellStyle name="60% - 强调文字颜色 3 2 2" xfId="510"/>
    <cellStyle name="60% - 强调文字颜色 3 2 3" xfId="512"/>
    <cellStyle name="60% - 强调文字颜色 3 3" xfId="516"/>
    <cellStyle name="60% - 强调文字颜色 3 3 2" xfId="521"/>
    <cellStyle name="60% - 强调文字颜色 3 3 3" xfId="522"/>
    <cellStyle name="60% - 强调文字颜色 3 3 4" xfId="524"/>
    <cellStyle name="60% - 强调文字颜色 3 3 5" xfId="526"/>
    <cellStyle name="60% - 强调文字颜色 3 4" xfId="528"/>
    <cellStyle name="60% - 强调文字颜色 4 2" xfId="328"/>
    <cellStyle name="60% - 强调文字颜色 4 2 2" xfId="455"/>
    <cellStyle name="60% - 强调文字颜色 4 2 3" xfId="91"/>
    <cellStyle name="60% - 强调文字颜色 4 3" xfId="398"/>
    <cellStyle name="60% - 强调文字颜色 4 3 2" xfId="531"/>
    <cellStyle name="60% - 强调文字颜色 4 3 3" xfId="534"/>
    <cellStyle name="60% - 强调文字颜色 4 3 4" xfId="538"/>
    <cellStyle name="60% - 强调文字颜色 4 3 5" xfId="541"/>
    <cellStyle name="60% - 强调文字颜色 4 4" xfId="400"/>
    <cellStyle name="60% - 强调文字颜色 5 2" xfId="544"/>
    <cellStyle name="60% - 强调文字颜色 5 2 2" xfId="545"/>
    <cellStyle name="60% - 强调文字颜色 5 2 3" xfId="546"/>
    <cellStyle name="60% - 强调文字颜色 5 3" xfId="411"/>
    <cellStyle name="60% - 强调文字颜色 5 3 2" xfId="553"/>
    <cellStyle name="60% - 强调文字颜色 5 3 3" xfId="558"/>
    <cellStyle name="60% - 强调文字颜色 5 3 4" xfId="563"/>
    <cellStyle name="60% - 强调文字颜色 5 3 5" xfId="571"/>
    <cellStyle name="60% - 强调文字颜色 5 4" xfId="417"/>
    <cellStyle name="60% - 强调文字颜色 6 2" xfId="573"/>
    <cellStyle name="60% - 强调文字颜色 6 2 2" xfId="575"/>
    <cellStyle name="60% - 强调文字颜色 6 2 3" xfId="580"/>
    <cellStyle name="60% - 强调文字颜色 6 3" xfId="582"/>
    <cellStyle name="60% - 强调文字颜色 6 3 2" xfId="35"/>
    <cellStyle name="60% - 强调文字颜色 6 3 3" xfId="587"/>
    <cellStyle name="60% - 强调文字颜色 6 3 4" xfId="591"/>
    <cellStyle name="60% - 强调文字颜色 6 3 5" xfId="595"/>
    <cellStyle name="60% - 强调文字颜色 6 4" xfId="599"/>
    <cellStyle name="Accent1" xfId="342"/>
    <cellStyle name="Accent1 - 20%" xfId="601"/>
    <cellStyle name="Accent1 - 20% 2" xfId="173"/>
    <cellStyle name="Accent1 - 40%" xfId="602"/>
    <cellStyle name="Accent1 - 40% 2" xfId="603"/>
    <cellStyle name="Accent1 - 60%" xfId="606"/>
    <cellStyle name="Accent1 - 60% 2" xfId="610"/>
    <cellStyle name="Accent1 2" xfId="348"/>
    <cellStyle name="Accent1_锻造试算平衡表" xfId="611"/>
    <cellStyle name="Accent2" xfId="163"/>
    <cellStyle name="Accent2 - 20%" xfId="259"/>
    <cellStyle name="Accent2 - 20% 2" xfId="613"/>
    <cellStyle name="Accent2 - 40%" xfId="17"/>
    <cellStyle name="Accent2 - 40% 2" xfId="111"/>
    <cellStyle name="Accent2 - 60%" xfId="36"/>
    <cellStyle name="Accent2 - 60% 2" xfId="614"/>
    <cellStyle name="Accent2 2" xfId="168"/>
    <cellStyle name="Accent2_锻造试算平衡表" xfId="615"/>
    <cellStyle name="Accent3" xfId="617"/>
    <cellStyle name="Accent3 - 20%" xfId="618"/>
    <cellStyle name="Accent3 - 20% 2" xfId="623"/>
    <cellStyle name="Accent3 - 40%" xfId="624"/>
    <cellStyle name="Accent3 - 40% 2" xfId="626"/>
    <cellStyle name="Accent3 - 60%" xfId="627"/>
    <cellStyle name="Accent3 - 60% 2" xfId="633"/>
    <cellStyle name="Accent3 2" xfId="636"/>
    <cellStyle name="Accent3_锻造试算平衡表" xfId="640"/>
    <cellStyle name="Accent4" xfId="641"/>
    <cellStyle name="Accent4 - 20%" xfId="642"/>
    <cellStyle name="Accent4 - 20% 2" xfId="205"/>
    <cellStyle name="Accent4 - 40%" xfId="647"/>
    <cellStyle name="Accent4 - 40% 2" xfId="274"/>
    <cellStyle name="Accent4 - 60%" xfId="650"/>
    <cellStyle name="Accent4 - 60% 2" xfId="313"/>
    <cellStyle name="Accent4 2" xfId="651"/>
    <cellStyle name="Accent4_锻造试算平衡表" xfId="655"/>
    <cellStyle name="Accent5" xfId="656"/>
    <cellStyle name="Accent5 - 20%" xfId="175"/>
    <cellStyle name="Accent5 - 20% 2" xfId="661"/>
    <cellStyle name="Accent5 - 40%" xfId="663"/>
    <cellStyle name="Accent5 - 40% 2" xfId="520"/>
    <cellStyle name="Accent5 - 60%" xfId="666"/>
    <cellStyle name="Accent5 - 60% 2" xfId="368"/>
    <cellStyle name="Accent5 2" xfId="620"/>
    <cellStyle name="Accent5_锻造试算平衡表" xfId="668"/>
    <cellStyle name="Accent6" xfId="652"/>
    <cellStyle name="Accent6 - 20%" xfId="671"/>
    <cellStyle name="Accent6 - 20% 2" xfId="394"/>
    <cellStyle name="Accent6 - 40%" xfId="267"/>
    <cellStyle name="Accent6 - 40% 2" xfId="674"/>
    <cellStyle name="Accent6 - 60%" xfId="487"/>
    <cellStyle name="Accent6 - 60% 2" xfId="676"/>
    <cellStyle name="Accent6 2" xfId="68"/>
    <cellStyle name="Accent6_锻造试算平衡表" xfId="44"/>
    <cellStyle name="args.style" xfId="16"/>
    <cellStyle name="Calc Currency (0)" xfId="680"/>
    <cellStyle name="Calc Currency (2)" xfId="686"/>
    <cellStyle name="Calc Percent (0)" xfId="564"/>
    <cellStyle name="Calc Percent (0) 2" xfId="687"/>
    <cellStyle name="Calc Percent (0) 2 2" xfId="688"/>
    <cellStyle name="Calc Percent (0) 3" xfId="489"/>
    <cellStyle name="Calc Percent (0) 3 2" xfId="325"/>
    <cellStyle name="Calc Percent (0) 4" xfId="493"/>
    <cellStyle name="Calc Percent (1)" xfId="27"/>
    <cellStyle name="Calc Percent (1) 2" xfId="181"/>
    <cellStyle name="Calc Percent (1) 2 2" xfId="373"/>
    <cellStyle name="Calc Percent (1) 3" xfId="184"/>
    <cellStyle name="Calc Percent (1) 3 2" xfId="380"/>
    <cellStyle name="Calc Percent (1) 4" xfId="192"/>
    <cellStyle name="Calc Percent (2)" xfId="251"/>
    <cellStyle name="Calc Percent (2) 2" xfId="691"/>
    <cellStyle name="Calc Percent (2) 2 2" xfId="693"/>
    <cellStyle name="Calc Percent (2) 3" xfId="696"/>
    <cellStyle name="Calc Percent (2) 3 2" xfId="697"/>
    <cellStyle name="Calc Percent (2) 4" xfId="702"/>
    <cellStyle name="Calc Units (0)" xfId="57"/>
    <cellStyle name="Calc Units (0) 2" xfId="61"/>
    <cellStyle name="Calc Units (0) 2 2" xfId="156"/>
    <cellStyle name="Calc Units (0) 3" xfId="73"/>
    <cellStyle name="Calc Units (0) 3 2" xfId="704"/>
    <cellStyle name="Calc Units (0) 4" xfId="47"/>
    <cellStyle name="Calc Units (1)" xfId="335"/>
    <cellStyle name="Calc Units (2)" xfId="706"/>
    <cellStyle name="category" xfId="708"/>
    <cellStyle name="Col Heads" xfId="711"/>
    <cellStyle name="Comma  - Style1" xfId="142"/>
    <cellStyle name="Comma  - Style2" xfId="619"/>
    <cellStyle name="Comma  - Style3" xfId="707"/>
    <cellStyle name="Comma  - Style4" xfId="712"/>
    <cellStyle name="Comma  - Style5" xfId="713"/>
    <cellStyle name="Comma  - Style6" xfId="714"/>
    <cellStyle name="Comma  - Style7" xfId="716"/>
    <cellStyle name="Comma  - Style8" xfId="718"/>
    <cellStyle name="Comma [0]_ SG&amp;A Bridge " xfId="720"/>
    <cellStyle name="Comma [00]" xfId="726"/>
    <cellStyle name="Comma [00] 2" xfId="84"/>
    <cellStyle name="Comma [00] 2 2" xfId="727"/>
    <cellStyle name="Comma [00] 3" xfId="113"/>
    <cellStyle name="Comma [00] 3 2" xfId="730"/>
    <cellStyle name="Comma [00] 4" xfId="115"/>
    <cellStyle name="comma zerodec" xfId="731"/>
    <cellStyle name="Comma,0" xfId="186"/>
    <cellStyle name="Comma,1" xfId="194"/>
    <cellStyle name="Comma,2" xfId="733"/>
    <cellStyle name="Comma_ SG&amp;A Bridge " xfId="432"/>
    <cellStyle name="Comma0" xfId="734"/>
    <cellStyle name="Currency [0]_   " xfId="735"/>
    <cellStyle name="Currency,0" xfId="596"/>
    <cellStyle name="Currency,2" xfId="408"/>
    <cellStyle name="Currency_   " xfId="740"/>
    <cellStyle name="Currency0" xfId="665"/>
    <cellStyle name="Currency1" xfId="743"/>
    <cellStyle name="Date" xfId="434"/>
    <cellStyle name="Dollar (zero dec)" xfId="744"/>
    <cellStyle name="entry" xfId="43"/>
    <cellStyle name="entry box" xfId="746"/>
    <cellStyle name="Euro" xfId="748"/>
    <cellStyle name="Euro 2" xfId="750"/>
    <cellStyle name="Fixed" xfId="751"/>
    <cellStyle name="Grey" xfId="157"/>
    <cellStyle name="HEADER" xfId="753"/>
    <cellStyle name="Header1" xfId="755"/>
    <cellStyle name="Header2" xfId="578"/>
    <cellStyle name="Heading 1" xfId="758"/>
    <cellStyle name="Heading 2" xfId="226"/>
    <cellStyle name="Input [yellow]" xfId="472"/>
    <cellStyle name="Input [yellow] 2" xfId="760"/>
    <cellStyle name="Input [yellow] 3" xfId="764"/>
    <cellStyle name="jktitle" xfId="126"/>
    <cellStyle name="Model" xfId="766"/>
    <cellStyle name="NewStyle" xfId="147"/>
    <cellStyle name="no dec" xfId="319"/>
    <cellStyle name="Normal - Style1" xfId="767"/>
    <cellStyle name="Normal - Style1 2" xfId="770"/>
    <cellStyle name="Normal - Style1 3" xfId="773"/>
    <cellStyle name="Normal - Style1 4" xfId="779"/>
    <cellStyle name="Normal_   " xfId="783"/>
    <cellStyle name="Normalny_Arkusz1" xfId="12"/>
    <cellStyle name="Percent [2]" xfId="786"/>
    <cellStyle name="Prefilled" xfId="777"/>
    <cellStyle name="price" xfId="789"/>
    <cellStyle name="revised" xfId="790"/>
    <cellStyle name="row_def_array" xfId="792"/>
    <cellStyle name="SAPBEXaggData" xfId="485"/>
    <cellStyle name="SAPBEXaggDataEmph" xfId="796"/>
    <cellStyle name="SAPBEXaggItem" xfId="117"/>
    <cellStyle name="SAPBEXaggItemX" xfId="481"/>
    <cellStyle name="SAPBEXchaText" xfId="798"/>
    <cellStyle name="SAPBEXexcBad7" xfId="513"/>
    <cellStyle name="SAPBEXexcBad8" xfId="675"/>
    <cellStyle name="SAPBEXexcBad9" xfId="799"/>
    <cellStyle name="SAPBEXexcCritical4" xfId="722"/>
    <cellStyle name="SAPBEXexcCritical5" xfId="800"/>
    <cellStyle name="SAPBEXexcCritical6" xfId="649"/>
    <cellStyle name="SAPBEXexcGood1" xfId="450"/>
    <cellStyle name="SAPBEXexcGood2" xfId="803"/>
    <cellStyle name="SAPBEXexcGood3" xfId="304"/>
    <cellStyle name="SAPBEXfilterDrill" xfId="669"/>
    <cellStyle name="SAPBEXfilterItem" xfId="805"/>
    <cellStyle name="SAPBEXfilterText" xfId="353"/>
    <cellStyle name="SAPBEXformats" xfId="808"/>
    <cellStyle name="SAPBEXheaderItem" xfId="507"/>
    <cellStyle name="SAPBEXheaderText" xfId="810"/>
    <cellStyle name="SAPBEXHLevel0" xfId="813"/>
    <cellStyle name="SAPBEXHLevel0X" xfId="363"/>
    <cellStyle name="SAPBEXHLevel1" xfId="814"/>
    <cellStyle name="SAPBEXHLevel1X" xfId="179"/>
    <cellStyle name="SAPBEXHLevel2" xfId="817"/>
    <cellStyle name="SAPBEXHLevel2X" xfId="818"/>
    <cellStyle name="SAPBEXHLevel3" xfId="298"/>
    <cellStyle name="SAPBEXHLevel3X" xfId="130"/>
    <cellStyle name="SAPBEXresData" xfId="144"/>
    <cellStyle name="SAPBEXresDataEmph" xfId="819"/>
    <cellStyle name="SAPBEXresItem" xfId="7"/>
    <cellStyle name="SAPBEXresItemX" xfId="821"/>
    <cellStyle name="SAPBEXstdData" xfId="486"/>
    <cellStyle name="SAPBEXstdDataEmph" xfId="793"/>
    <cellStyle name="SAPBEXstdItem" xfId="119"/>
    <cellStyle name="SAPBEXstdItemX" xfId="475"/>
    <cellStyle name="SAPBEXtitle" xfId="824"/>
    <cellStyle name="SAPBEXundefined" xfId="384"/>
    <cellStyle name="section" xfId="825"/>
    <cellStyle name="SOR" xfId="826"/>
    <cellStyle name="subhead" xfId="827"/>
    <cellStyle name="title" xfId="829"/>
    <cellStyle name="Total" xfId="831"/>
    <cellStyle name="Tusental (0)_pldt" xfId="833"/>
    <cellStyle name="Tusental_pldt" xfId="835"/>
    <cellStyle name="Valuta (0)_pldt" xfId="836"/>
    <cellStyle name="Valuta_pldt" xfId="838"/>
    <cellStyle name="パーセント_laroux" xfId="839"/>
    <cellStyle name="_PLDT" xfId="841"/>
    <cellStyle name="_laroux" xfId="236"/>
    <cellStyle name="だ[0]_PLDT" xfId="136"/>
    <cellStyle name="だ_PLDT" xfId="842"/>
    <cellStyle name="だ[0]_Total (2)" xfId="2"/>
    <cellStyle name="だ_laroux" xfId="703"/>
    <cellStyle name="百分比" xfId="40" builtinId="5"/>
    <cellStyle name="百分比 10" xfId="322"/>
    <cellStyle name="百分比 11" xfId="326"/>
    <cellStyle name="百分比 12" xfId="87"/>
    <cellStyle name="百分比 13" xfId="844"/>
    <cellStyle name="百分比 14" xfId="660"/>
    <cellStyle name="百分比 15" xfId="795"/>
    <cellStyle name="百分比 16" xfId="632"/>
    <cellStyle name="百分比 17" xfId="849"/>
    <cellStyle name="百分比 18" xfId="853"/>
    <cellStyle name="百分比 19" xfId="857"/>
    <cellStyle name="百分比 2" xfId="801"/>
    <cellStyle name="百分比 2 10" xfId="548"/>
    <cellStyle name="百分比 2 11" xfId="859"/>
    <cellStyle name="百分比 2 12" xfId="860"/>
    <cellStyle name="百分比 2 12 2" xfId="139"/>
    <cellStyle name="百分比 2 12 2 2" xfId="495"/>
    <cellStyle name="百分比 2 12 2 3" xfId="502"/>
    <cellStyle name="百分比 2 12 2 4" xfId="52"/>
    <cellStyle name="百分比 2 12 2 5" xfId="784"/>
    <cellStyle name="百分比 2 13" xfId="861"/>
    <cellStyle name="百分比 2 14" xfId="154"/>
    <cellStyle name="百分比 2 15" xfId="390"/>
    <cellStyle name="百分比 2 16" xfId="863"/>
    <cellStyle name="百分比 2 17" xfId="865"/>
    <cellStyle name="百分比 2 18" xfId="867"/>
    <cellStyle name="百分比 2 19" xfId="237"/>
    <cellStyle name="百分比 2 2" xfId="870"/>
    <cellStyle name="百分比 2 2 10" xfId="659"/>
    <cellStyle name="百分比 2 2 11" xfId="794"/>
    <cellStyle name="百分比 2 2 12" xfId="634"/>
    <cellStyle name="百分比 2 2 13" xfId="847"/>
    <cellStyle name="百分比 2 2 14" xfId="851"/>
    <cellStyle name="百分比 2 2 15" xfId="856"/>
    <cellStyle name="百分比 2 2 16" xfId="608"/>
    <cellStyle name="百分比 2 2 17" xfId="872"/>
    <cellStyle name="百分比 2 2 18" xfId="874"/>
    <cellStyle name="百分比 2 2 19" xfId="877"/>
    <cellStyle name="百分比 2 2 2" xfId="644"/>
    <cellStyle name="百分比 2 2 20" xfId="855"/>
    <cellStyle name="百分比 2 2 21" xfId="609"/>
    <cellStyle name="百分比 2 2 22" xfId="871"/>
    <cellStyle name="百分比 2 2 23" xfId="873"/>
    <cellStyle name="百分比 2 2 24" xfId="876"/>
    <cellStyle name="百分比 2 2 25" xfId="880"/>
    <cellStyle name="百分比 2 2 26" xfId="869"/>
    <cellStyle name="百分比 2 2 27" xfId="882"/>
    <cellStyle name="百分比 2 2 28" xfId="885"/>
    <cellStyle name="百分比 2 2 29" xfId="888"/>
    <cellStyle name="百分比 2 2 3" xfId="890"/>
    <cellStyle name="百分比 2 2 30" xfId="879"/>
    <cellStyle name="百分比 2 2 31" xfId="868"/>
    <cellStyle name="百分比 2 2 32" xfId="881"/>
    <cellStyle name="百分比 2 2 33" xfId="884"/>
    <cellStyle name="百分比 2 2 34" xfId="887"/>
    <cellStyle name="百分比 2 2 35" xfId="892"/>
    <cellStyle name="百分比 2 2 36" xfId="897"/>
    <cellStyle name="百分比 2 2 37" xfId="902"/>
    <cellStyle name="百分比 2 2 38" xfId="427"/>
    <cellStyle name="百分比 2 2 39" xfId="440"/>
    <cellStyle name="百分比 2 2 4" xfId="904"/>
    <cellStyle name="百分比 2 2 40" xfId="891"/>
    <cellStyle name="百分比 2 2 41" xfId="896"/>
    <cellStyle name="百分比 2 2 42" xfId="901"/>
    <cellStyle name="百分比 2 2 43" xfId="428"/>
    <cellStyle name="百分比 2 2 44" xfId="441"/>
    <cellStyle name="百分比 2 2 45" xfId="457"/>
    <cellStyle name="百分比 2 2 46" xfId="92"/>
    <cellStyle name="百分比 2 2 47" xfId="906"/>
    <cellStyle name="百分比 2 2 48" xfId="908"/>
    <cellStyle name="百分比 2 2 49" xfId="628"/>
    <cellStyle name="百分比 2 2 5" xfId="909"/>
    <cellStyle name="百分比 2 2 50" xfId="458"/>
    <cellStyle name="百分比 2 2 51" xfId="93"/>
    <cellStyle name="百分比 2 2 52" xfId="905"/>
    <cellStyle name="百分比 2 2 53" xfId="907"/>
    <cellStyle name="百分比 2 2 54" xfId="629"/>
    <cellStyle name="百分比 2 2 55" xfId="374"/>
    <cellStyle name="百分比 2 2 56" xfId="376"/>
    <cellStyle name="百分比 2 2 57" xfId="911"/>
    <cellStyle name="百分比 2 2 58" xfId="912"/>
    <cellStyle name="百分比 2 2 59" xfId="913"/>
    <cellStyle name="百分比 2 2 6" xfId="460"/>
    <cellStyle name="百分比 2 2 7" xfId="462"/>
    <cellStyle name="百分比 2 2 8" xfId="673"/>
    <cellStyle name="百分比 2 2 9" xfId="914"/>
    <cellStyle name="百分比 2 20" xfId="391"/>
    <cellStyle name="百分比 2 21" xfId="862"/>
    <cellStyle name="百分比 2 22" xfId="864"/>
    <cellStyle name="百分比 2 23" xfId="866"/>
    <cellStyle name="百分比 2 24" xfId="238"/>
    <cellStyle name="百分比 2 25" xfId="244"/>
    <cellStyle name="百分比 2 26" xfId="915"/>
    <cellStyle name="百分比 2 27" xfId="917"/>
    <cellStyle name="百分比 2 28" xfId="919"/>
    <cellStyle name="百分比 2 29" xfId="198"/>
    <cellStyle name="百分比 2 3" xfId="883"/>
    <cellStyle name="百分比 2 3 2" xfId="921"/>
    <cellStyle name="百分比 2 30" xfId="243"/>
    <cellStyle name="百分比 2 31" xfId="916"/>
    <cellStyle name="百分比 2 32" xfId="918"/>
    <cellStyle name="百分比 2 33" xfId="920"/>
    <cellStyle name="百分比 2 34" xfId="199"/>
    <cellStyle name="百分比 2 35" xfId="206"/>
    <cellStyle name="百分比 2 36" xfId="222"/>
    <cellStyle name="百分比 2 37" xfId="924"/>
    <cellStyle name="百分比 2 38" xfId="926"/>
    <cellStyle name="百分比 2 39" xfId="771"/>
    <cellStyle name="百分比 2 4" xfId="886"/>
    <cellStyle name="百分比 2 4 2" xfId="648"/>
    <cellStyle name="百分比 2 40" xfId="207"/>
    <cellStyle name="百分比 2 41" xfId="223"/>
    <cellStyle name="百分比 2 42" xfId="925"/>
    <cellStyle name="百分比 2 43" xfId="927"/>
    <cellStyle name="百分比 2 44" xfId="772"/>
    <cellStyle name="百分比 2 45" xfId="774"/>
    <cellStyle name="百分比 2 46" xfId="780"/>
    <cellStyle name="百分比 2 47" xfId="928"/>
    <cellStyle name="百分比 2 48" xfId="930"/>
    <cellStyle name="百分比 2 49" xfId="932"/>
    <cellStyle name="百分比 2 5" xfId="889"/>
    <cellStyle name="百分比 2 50" xfId="775"/>
    <cellStyle name="百分比 2 51" xfId="781"/>
    <cellStyle name="百分比 2 52" xfId="929"/>
    <cellStyle name="百分比 2 53" xfId="931"/>
    <cellStyle name="百分比 2 54" xfId="933"/>
    <cellStyle name="百分比 2 55" xfId="937"/>
    <cellStyle name="百分比 2 56" xfId="940"/>
    <cellStyle name="百分比 2 57" xfId="943"/>
    <cellStyle name="百分比 2 58" xfId="945"/>
    <cellStyle name="百分比 2 59" xfId="947"/>
    <cellStyle name="百分比 2 6" xfId="893"/>
    <cellStyle name="百分比 2 60" xfId="938"/>
    <cellStyle name="百分比 2 61" xfId="941"/>
    <cellStyle name="百分比 2 62" xfId="944"/>
    <cellStyle name="百分比 2 63" xfId="946"/>
    <cellStyle name="百分比 2 7" xfId="898"/>
    <cellStyle name="百分比 2 8" xfId="903"/>
    <cellStyle name="百分比 2 9" xfId="429"/>
    <cellStyle name="百分比 20" xfId="797"/>
    <cellStyle name="百分比 21" xfId="631"/>
    <cellStyle name="百分比 22" xfId="850"/>
    <cellStyle name="百分比 23" xfId="854"/>
    <cellStyle name="百分比 24" xfId="858"/>
    <cellStyle name="百分比 25" xfId="604"/>
    <cellStyle name="百分比 26" xfId="948"/>
    <cellStyle name="百分比 27" xfId="951"/>
    <cellStyle name="百分比 28" xfId="954"/>
    <cellStyle name="百分比 29" xfId="956"/>
    <cellStyle name="百分比 3" xfId="302"/>
    <cellStyle name="百分比 3 10" xfId="807"/>
    <cellStyle name="百分比 3 11" xfId="959"/>
    <cellStyle name="百分比 3 12" xfId="961"/>
    <cellStyle name="百分比 3 13" xfId="962"/>
    <cellStyle name="百分比 3 14" xfId="654"/>
    <cellStyle name="百分比 3 15" xfId="963"/>
    <cellStyle name="百分比 3 16" xfId="965"/>
    <cellStyle name="百分比 3 17" xfId="967"/>
    <cellStyle name="百分比 3 18" xfId="969"/>
    <cellStyle name="百分比 3 19" xfId="973"/>
    <cellStyle name="百分比 3 2" xfId="977"/>
    <cellStyle name="百分比 3 2 2" xfId="598"/>
    <cellStyle name="百分比 3 20" xfId="964"/>
    <cellStyle name="百分比 3 21" xfId="966"/>
    <cellStyle name="百分比 3 22" xfId="968"/>
    <cellStyle name="百分比 3 23" xfId="970"/>
    <cellStyle name="百分比 3 24" xfId="974"/>
    <cellStyle name="百分比 3 25" xfId="978"/>
    <cellStyle name="百分比 3 26" xfId="982"/>
    <cellStyle name="百分比 3 27" xfId="31"/>
    <cellStyle name="百分比 3 28" xfId="583"/>
    <cellStyle name="百分比 3 29" xfId="588"/>
    <cellStyle name="百分比 3 3" xfId="986"/>
    <cellStyle name="百分比 3 30" xfId="979"/>
    <cellStyle name="百分比 3 31" xfId="983"/>
    <cellStyle name="百分比 3 32" xfId="32"/>
    <cellStyle name="百分比 3 33" xfId="584"/>
    <cellStyle name="百分比 3 34" xfId="589"/>
    <cellStyle name="百分比 3 35" xfId="592"/>
    <cellStyle name="百分比 3 36" xfId="988"/>
    <cellStyle name="百分比 3 37" xfId="404"/>
    <cellStyle name="百分比 3 38" xfId="412"/>
    <cellStyle name="百分比 3 39" xfId="418"/>
    <cellStyle name="百分比 3 4" xfId="788"/>
    <cellStyle name="百分比 3 40" xfId="593"/>
    <cellStyle name="百分比 3 41" xfId="989"/>
    <cellStyle name="百分比 3 42" xfId="405"/>
    <cellStyle name="百分比 3 43" xfId="413"/>
    <cellStyle name="百分比 3 44" xfId="419"/>
    <cellStyle name="百分比 3 45" xfId="421"/>
    <cellStyle name="百分比 3 46" xfId="990"/>
    <cellStyle name="百分比 3 47" xfId="276"/>
    <cellStyle name="百分比 3 48" xfId="280"/>
    <cellStyle name="百分比 3 49" xfId="283"/>
    <cellStyle name="百分比 3 5" xfId="992"/>
    <cellStyle name="百分比 3 50" xfId="422"/>
    <cellStyle name="百分比 3 51" xfId="991"/>
    <cellStyle name="百分比 3 52" xfId="277"/>
    <cellStyle name="百分比 3 53" xfId="281"/>
    <cellStyle name="百分比 3 54" xfId="284"/>
    <cellStyle name="百分比 3 55" xfId="287"/>
    <cellStyle name="百分比 3 56" xfId="994"/>
    <cellStyle name="百分比 3 57" xfId="995"/>
    <cellStyle name="百分比 3 58" xfId="996"/>
    <cellStyle name="百分比 3 59" xfId="625"/>
    <cellStyle name="百分比 3 6" xfId="997"/>
    <cellStyle name="百分比 3 7" xfId="1000"/>
    <cellStyle name="百分比 3 8" xfId="664"/>
    <cellStyle name="百分比 3 9" xfId="742"/>
    <cellStyle name="百分比 30" xfId="605"/>
    <cellStyle name="百分比 31" xfId="949"/>
    <cellStyle name="百分比 32" xfId="952"/>
    <cellStyle name="百分比 33" xfId="955"/>
    <cellStyle name="百分比 34" xfId="957"/>
    <cellStyle name="百分比 35" xfId="1003"/>
    <cellStyle name="百分比 36" xfId="1005"/>
    <cellStyle name="百分比 37" xfId="1007"/>
    <cellStyle name="百分比 38" xfId="1010"/>
    <cellStyle name="百分比 39" xfId="1012"/>
    <cellStyle name="百分比 4" xfId="59"/>
    <cellStyle name="百分比 4 2" xfId="1015"/>
    <cellStyle name="百分比 40" xfId="1004"/>
    <cellStyle name="百分比 41" xfId="1006"/>
    <cellStyle name="百分比 42" xfId="1008"/>
    <cellStyle name="百分比 43" xfId="1011"/>
    <cellStyle name="百分比 44" xfId="1013"/>
    <cellStyle name="百分比 45" xfId="1016"/>
    <cellStyle name="百分比 46" xfId="1019"/>
    <cellStyle name="百分比 47" xfId="424"/>
    <cellStyle name="百分比 48" xfId="435"/>
    <cellStyle name="百分比 49" xfId="452"/>
    <cellStyle name="百分比 5" xfId="67"/>
    <cellStyle name="百分比 50" xfId="1017"/>
    <cellStyle name="百分比 51" xfId="1020"/>
    <cellStyle name="百分比 52" xfId="425"/>
    <cellStyle name="百分比 53" xfId="436"/>
    <cellStyle name="百分比 54" xfId="453"/>
    <cellStyle name="百分比 55" xfId="89"/>
    <cellStyle name="百分比 56" xfId="1022"/>
    <cellStyle name="百分比 57" xfId="1024"/>
    <cellStyle name="百分比 58" xfId="1026"/>
    <cellStyle name="百分比 59" xfId="370"/>
    <cellStyle name="百分比 6" xfId="70"/>
    <cellStyle name="百分比 60" xfId="90"/>
    <cellStyle name="百分比 61" xfId="1023"/>
    <cellStyle name="百分比 62" xfId="1025"/>
    <cellStyle name="百分比 7" xfId="49"/>
    <cellStyle name="百分比 8" xfId="1030"/>
    <cellStyle name="百分比 9" xfId="1033"/>
    <cellStyle name="捠壿 [0.00]_PRODUCT DETAIL Q1" xfId="1034"/>
    <cellStyle name="捠壿_PRODUCT DETAIL Q1" xfId="1039"/>
    <cellStyle name="标题 1 2" xfId="1014"/>
    <cellStyle name="标题 1 2 2" xfId="832"/>
    <cellStyle name="标题 1 2 3" xfId="1041"/>
    <cellStyle name="标题 1 3" xfId="1042"/>
    <cellStyle name="标题 1 3 2" xfId="715"/>
    <cellStyle name="标题 1 3 3" xfId="717"/>
    <cellStyle name="标题 1 3 4" xfId="719"/>
    <cellStyle name="标题 1 3 5" xfId="8"/>
    <cellStyle name="标题 1 4" xfId="1043"/>
    <cellStyle name="标题 2 2" xfId="1044"/>
    <cellStyle name="标题 2 2 2" xfId="1018"/>
    <cellStyle name="标题 2 2 3" xfId="1021"/>
    <cellStyle name="标题 2 3" xfId="1045"/>
    <cellStyle name="标题 2 3 2" xfId="1046"/>
    <cellStyle name="标题 2 3 3" xfId="667"/>
    <cellStyle name="标题 2 3 4" xfId="1047"/>
    <cellStyle name="标题 2 3 5" xfId="1048"/>
    <cellStyle name="标题 2 4" xfId="749"/>
    <cellStyle name="标题 3 2" xfId="1049"/>
    <cellStyle name="标题 3 2 2" xfId="1050"/>
    <cellStyle name="标题 3 2 3" xfId="709"/>
    <cellStyle name="标题 3 3" xfId="1051"/>
    <cellStyle name="标题 3 3 2" xfId="1052"/>
    <cellStyle name="标题 3 3 3" xfId="1054"/>
    <cellStyle name="标题 3 3 4" xfId="1055"/>
    <cellStyle name="标题 3 3 5" xfId="1056"/>
    <cellStyle name="标题 3 4" xfId="1057"/>
    <cellStyle name="标题 4 2" xfId="1059"/>
    <cellStyle name="标题 4 2 2" xfId="1061"/>
    <cellStyle name="标题 4 2 3" xfId="1064"/>
    <cellStyle name="标题 4 3" xfId="1067"/>
    <cellStyle name="标题 4 3 2" xfId="971"/>
    <cellStyle name="标题 4 3 3" xfId="975"/>
    <cellStyle name="标题 4 3 4" xfId="980"/>
    <cellStyle name="标题 4 3 5" xfId="984"/>
    <cellStyle name="标题 4 4" xfId="148"/>
    <cellStyle name="标题 5" xfId="1028"/>
    <cellStyle name="标题 5 2" xfId="566"/>
    <cellStyle name="标题 5 3" xfId="1069"/>
    <cellStyle name="标题 6" xfId="1031"/>
    <cellStyle name="标题 6 2" xfId="1070"/>
    <cellStyle name="标题 6 3" xfId="837"/>
    <cellStyle name="标题 6 4" xfId="1071"/>
    <cellStyle name="标题 6 5" xfId="643"/>
    <cellStyle name="标题 7" xfId="1072"/>
    <cellStyle name="標準_１１月価格表" xfId="1073"/>
    <cellStyle name="表标题" xfId="1077"/>
    <cellStyle name="表标题 2" xfId="1080"/>
    <cellStyle name="差 2" xfId="1081"/>
    <cellStyle name="差 2 2" xfId="1082"/>
    <cellStyle name="差 2 3" xfId="1083"/>
    <cellStyle name="差 3" xfId="449"/>
    <cellStyle name="差 3 2" xfId="1084"/>
    <cellStyle name="差 3 3" xfId="1085"/>
    <cellStyle name="差 3 4" xfId="1086"/>
    <cellStyle name="差 3 5" xfId="1087"/>
    <cellStyle name="差 4" xfId="804"/>
    <cellStyle name="差_(有限责任公司)企业所得税附表" xfId="1088"/>
    <cellStyle name="差_(有限责任公司)企业所得税附表 2" xfId="1089"/>
    <cellStyle name="差_15-固定资产（空白模板）" xfId="79"/>
    <cellStyle name="差_15-固定资产（空白模板） 2" xfId="310"/>
    <cellStyle name="差_19-无形资产（空白模板）" xfId="1090"/>
    <cellStyle name="差_19-无形资产（空白模板） 2" xfId="1095"/>
    <cellStyle name="差_19-无形资产（空白模板）_锻造试算平衡表" xfId="607"/>
    <cellStyle name="差_19-无形资产（空白模板）_锻造试算平衡表 2" xfId="1096"/>
    <cellStyle name="差_2011年海口市城市发展有限公司企业所得税底稿-02" xfId="1097"/>
    <cellStyle name="差_2011年海口市城市发展有限公司企业所得税底稿-02 2" xfId="1101"/>
    <cellStyle name="差_3-2 进一步审计程序-采购与付款循环" xfId="1104"/>
    <cellStyle name="差_3-2 进一步审计程序-采购与付款循环 2" xfId="594"/>
    <cellStyle name="差_3-3 进一步审计程序-存货与生产循环" xfId="1105"/>
    <cellStyle name="差_3-3 进一步审计程序-存货与生产循环 2" xfId="809"/>
    <cellStyle name="差_49-营业收入（空白模板）" xfId="1106"/>
    <cellStyle name="差_49-营业收入（空白模板） 2" xfId="1107"/>
    <cellStyle name="差_49-营业收入（空白模板）_锻造试算平衡表" xfId="1109"/>
    <cellStyle name="差_49-营业收入（空白模板）_锻造试算平衡表 2" xfId="1110"/>
    <cellStyle name="差_50-营业成本（空白模板）" xfId="295"/>
    <cellStyle name="差_50-营业成本（空白模板） 2" xfId="140"/>
    <cellStyle name="差_50-营业成本（空白模板）_锻造试算平衡表" xfId="1111"/>
    <cellStyle name="差_50-营业成本（空白模板）_锻造试算平衡表 2" xfId="1058"/>
    <cellStyle name="差_51-营业税金及附加（空白模板）" xfId="1112"/>
    <cellStyle name="差_51-营业税金及附加（空白模板） 2" xfId="1113"/>
    <cellStyle name="差_51-营业税金及附加（空白模板）_锻造试算平衡表" xfId="1115"/>
    <cellStyle name="差_51-营业税金及附加（空白模板）_锻造试算平衡表 2" xfId="1116"/>
    <cellStyle name="差_54-财务费用（空白模板）" xfId="1117"/>
    <cellStyle name="差_54-财务费用（空白模板） 2" xfId="1118"/>
    <cellStyle name="差_54-财务费用（空白模板）_锻造试算平衡表" xfId="1119"/>
    <cellStyle name="差_54-财务费用（空白模板）_锻造试算平衡表 2" xfId="547"/>
    <cellStyle name="差_55-资产减值损失（空白模板）" xfId="187"/>
    <cellStyle name="差_55-资产减值损失（空白模板） 2" xfId="1120"/>
    <cellStyle name="差_55-资产减值损失（空白模板）_锻造试算平衡表" xfId="332"/>
    <cellStyle name="差_55-资产减值损失（空白模板）_锻造试算平衡表 2" xfId="878"/>
    <cellStyle name="差_dxn底稿目录" xfId="987"/>
    <cellStyle name="差_dxn底稿目录 2" xfId="1121"/>
    <cellStyle name="差_dxn底稿目录_锻造试算平衡表" xfId="437"/>
    <cellStyle name="差_dxn底稿目录_锻造试算平衡表 2" xfId="442"/>
    <cellStyle name="差_ZA0货币资金审定表 " xfId="645"/>
    <cellStyle name="差_ZA0货币资金审定表  2" xfId="270"/>
    <cellStyle name="差_ZA0货币资金审定表 _锻造试算平衡表" xfId="1123"/>
    <cellStyle name="差_ZA0货币资金审定表 _锻造试算平衡表 2" xfId="846"/>
    <cellStyle name="差_大信底稿目录" xfId="828"/>
    <cellStyle name="差_大信底稿目录 2" xfId="1124"/>
    <cellStyle name="差_大信底稿目录_锻造试算平衡表" xfId="1127"/>
    <cellStyle name="差_大信底稿目录_锻造试算平衡表 2" xfId="1130"/>
    <cellStyle name="差_底稿设置宏" xfId="1131"/>
    <cellStyle name="差_底稿设置宏 2" xfId="1132"/>
    <cellStyle name="差_底稿设置宏_锻造试算平衡表" xfId="1133"/>
    <cellStyle name="差_底稿设置宏_锻造试算平衡表 2" xfId="1134"/>
    <cellStyle name="差_锻造试算平衡表" xfId="1135"/>
    <cellStyle name="差_锻造试算平衡表 2" xfId="1136"/>
    <cellStyle name="差_复件 固定资产" xfId="1063"/>
    <cellStyle name="差_复件 固定资产 2" xfId="1139"/>
    <cellStyle name="差_企业所得税底稿-20120918" xfId="366"/>
    <cellStyle name="差_企业所得税底稿-20120918 2" xfId="46"/>
    <cellStyle name="差_土地增值税清算鉴证工作底稿表样-100407" xfId="482"/>
    <cellStyle name="差_土地增值税清算鉴证工作底稿表样-100407 2" xfId="1066"/>
    <cellStyle name="差_无形资产" xfId="1140"/>
    <cellStyle name="差_无形资产 2" xfId="1053"/>
    <cellStyle name="差_无形资产_锻造试算平衡表" xfId="1145"/>
    <cellStyle name="差_无形资产_锻造试算平衡表 2" xfId="1146"/>
    <cellStyle name="差_谐安花园B栋登记汇总表入住表" xfId="1148"/>
    <cellStyle name="差_谐安花园B栋登记汇总表入住表 2" xfId="1149"/>
    <cellStyle name="差_谐安花园C栋登记汇总表及上墙确认表" xfId="1150"/>
    <cellStyle name="差_谐安花园C栋登记汇总表及上墙确认表 2" xfId="1151"/>
    <cellStyle name="差_谐安花园土增税开发成本审核表2012-11-07" xfId="1154"/>
    <cellStyle name="差_谐安花园土增税开发成本审核表2012-11-07 2" xfId="54"/>
    <cellStyle name="差_谐安花园销售明细表" xfId="1155"/>
    <cellStyle name="差_谐安花园销售明细表 2" xfId="1158"/>
    <cellStyle name="差_资产负债标准底稿" xfId="1122"/>
    <cellStyle name="差_资产负债标准底稿 2" xfId="845"/>
    <cellStyle name="差_资产负债类底稿模版" xfId="1160"/>
    <cellStyle name="差_资产负债类底稿模版 2" xfId="1161"/>
    <cellStyle name="常规" xfId="0" builtinId="0"/>
    <cellStyle name="常规 10" xfId="1162"/>
    <cellStyle name="常规 10 2" xfId="1163"/>
    <cellStyle name="常规 10 2 2" xfId="1164"/>
    <cellStyle name="常规 10 2 3" xfId="721"/>
    <cellStyle name="常规 10 3" xfId="1165"/>
    <cellStyle name="常规 10 6" xfId="341"/>
    <cellStyle name="常规 105 3" xfId="1166"/>
    <cellStyle name="常规 11" xfId="1167"/>
    <cellStyle name="常规 11 2" xfId="1168"/>
    <cellStyle name="常规 11 2 10" xfId="1171"/>
    <cellStyle name="常规 11 2 11" xfId="1174"/>
    <cellStyle name="常规 11 2 12" xfId="1177"/>
    <cellStyle name="常规 11 2 13" xfId="1180"/>
    <cellStyle name="常规 11 2 14" xfId="1183"/>
    <cellStyle name="常规 11 2 15" xfId="1035"/>
    <cellStyle name="常规 11 2 16" xfId="1187"/>
    <cellStyle name="常规 11 2 17" xfId="1190"/>
    <cellStyle name="常规 11 2 18" xfId="1100"/>
    <cellStyle name="常规 11 2 19" xfId="1192"/>
    <cellStyle name="常规 11 2 2" xfId="1193"/>
    <cellStyle name="常规 11 2 2 2" xfId="525"/>
    <cellStyle name="常规 11 2 2 3" xfId="1194"/>
    <cellStyle name="常规 11 2 20" xfId="1036"/>
    <cellStyle name="常规 11 2 21" xfId="1186"/>
    <cellStyle name="常规 11 2 22" xfId="1189"/>
    <cellStyle name="常规 11 2 23" xfId="1099"/>
    <cellStyle name="常规 11 2 24" xfId="1191"/>
    <cellStyle name="常规 11 2 25" xfId="1196"/>
    <cellStyle name="常规 11 2 26" xfId="1198"/>
    <cellStyle name="常规 11 2 27" xfId="572"/>
    <cellStyle name="常规 11 2 28" xfId="581"/>
    <cellStyle name="常规 11 2 29" xfId="597"/>
    <cellStyle name="常规 11 2 3" xfId="1199"/>
    <cellStyle name="常规 11 2 3 2" xfId="1200"/>
    <cellStyle name="常规 11 2 3 3" xfId="1201"/>
    <cellStyle name="常规 11 2 30" xfId="1195"/>
    <cellStyle name="常规 11 2 31" xfId="1197"/>
    <cellStyle name="常规 11 2 4" xfId="1202"/>
    <cellStyle name="常规 11 2 5" xfId="1203"/>
    <cellStyle name="常规 11 2 6" xfId="1204"/>
    <cellStyle name="常规 11 2 7" xfId="1205"/>
    <cellStyle name="常规 11 2 8" xfId="1206"/>
    <cellStyle name="常规 11 2 9" xfId="1208"/>
    <cellStyle name="常规 11 3" xfId="1209"/>
    <cellStyle name="常规 11 4" xfId="1210"/>
    <cellStyle name="常规 11 5" xfId="1211"/>
    <cellStyle name="常规 11 6" xfId="1212"/>
    <cellStyle name="常规 11 7" xfId="1213"/>
    <cellStyle name="常规 12" xfId="1214"/>
    <cellStyle name="常规 12 10" xfId="1215"/>
    <cellStyle name="常规 12 11" xfId="1217"/>
    <cellStyle name="常规 12 12" xfId="1219"/>
    <cellStyle name="常规 12 13" xfId="639"/>
    <cellStyle name="常规 12 14" xfId="1221"/>
    <cellStyle name="常规 12 15" xfId="1224"/>
    <cellStyle name="常规 12 16" xfId="1227"/>
    <cellStyle name="常规 12 17" xfId="679"/>
    <cellStyle name="常规 12 18" xfId="1229"/>
    <cellStyle name="常规 12 19" xfId="1231"/>
    <cellStyle name="常规 12 2" xfId="365"/>
    <cellStyle name="常规 12 2 2" xfId="45"/>
    <cellStyle name="常规 12 2 2 2" xfId="291"/>
    <cellStyle name="常规 12 2 2 3" xfId="42"/>
    <cellStyle name="常规 12 2 3" xfId="30"/>
    <cellStyle name="常规 12 2 3 2" xfId="307"/>
    <cellStyle name="常规 12 2 3 2 2" xfId="509"/>
    <cellStyle name="常规 12 2 3 2 3" xfId="511"/>
    <cellStyle name="常规 12 2 3 2 4" xfId="1232"/>
    <cellStyle name="常规 12 2 3 2 5" xfId="1233"/>
    <cellStyle name="常规 12 2 4" xfId="74"/>
    <cellStyle name="常规 12 2 5" xfId="131"/>
    <cellStyle name="常规 12 2 6" xfId="137"/>
    <cellStyle name="常规 12 2 7" xfId="1234"/>
    <cellStyle name="常规 12 20" xfId="1223"/>
    <cellStyle name="常规 12 21" xfId="1226"/>
    <cellStyle name="常规 12 22" xfId="678"/>
    <cellStyle name="常规 12 23" xfId="1228"/>
    <cellStyle name="常规 12 24" xfId="1230"/>
    <cellStyle name="常规 12 25" xfId="1236"/>
    <cellStyle name="常规 12 26" xfId="1238"/>
    <cellStyle name="常规 12 27" xfId="1240"/>
    <cellStyle name="常规 12 28" xfId="1242"/>
    <cellStyle name="常规 12 29" xfId="1244"/>
    <cellStyle name="常规 12 3" xfId="1245"/>
    <cellStyle name="常规 12 30" xfId="1235"/>
    <cellStyle name="常规 12 31" xfId="1237"/>
    <cellStyle name="常规 12 32" xfId="1239"/>
    <cellStyle name="常规 12 33" xfId="1241"/>
    <cellStyle name="常规 12 34" xfId="1243"/>
    <cellStyle name="常规 12 35" xfId="1248"/>
    <cellStyle name="常规 12 36" xfId="1251"/>
    <cellStyle name="常规 12 37" xfId="685"/>
    <cellStyle name="常规 12 38" xfId="1254"/>
    <cellStyle name="常规 12 39" xfId="1256"/>
    <cellStyle name="常规 12 4" xfId="1257"/>
    <cellStyle name="常规 12 4 2" xfId="658"/>
    <cellStyle name="常规 12 40" xfId="1247"/>
    <cellStyle name="常规 12 41" xfId="1250"/>
    <cellStyle name="常规 12 42" xfId="684"/>
    <cellStyle name="常规 12 43" xfId="1253"/>
    <cellStyle name="常规 12 44" xfId="1255"/>
    <cellStyle name="常规 12 45" xfId="331"/>
    <cellStyle name="常规 12 46" xfId="1259"/>
    <cellStyle name="常规 12 47" xfId="1261"/>
    <cellStyle name="常规 12 48" xfId="1263"/>
    <cellStyle name="常规 12 49" xfId="1265"/>
    <cellStyle name="常规 12 5" xfId="1266"/>
    <cellStyle name="常规 12 50" xfId="330"/>
    <cellStyle name="常规 12 51" xfId="1258"/>
    <cellStyle name="常规 12 52" xfId="1260"/>
    <cellStyle name="常规 12 53" xfId="1262"/>
    <cellStyle name="常规 12 54" xfId="1264"/>
    <cellStyle name="常规 12 55" xfId="1269"/>
    <cellStyle name="常规 12 56" xfId="1271"/>
    <cellStyle name="常规 12 57" xfId="83"/>
    <cellStyle name="常规 12 58" xfId="112"/>
    <cellStyle name="常规 12 59" xfId="114"/>
    <cellStyle name="常规 12 6" xfId="1159"/>
    <cellStyle name="常规 12 60" xfId="1268"/>
    <cellStyle name="常规 12 61" xfId="1270"/>
    <cellStyle name="常规 12 7" xfId="188"/>
    <cellStyle name="常规 12 8" xfId="1272"/>
    <cellStyle name="常规 12 9" xfId="1273"/>
    <cellStyle name="常规 13" xfId="1274"/>
    <cellStyle name="常规 13 2" xfId="1275"/>
    <cellStyle name="常规 13 3" xfId="1276"/>
    <cellStyle name="常规 14" xfId="1277"/>
    <cellStyle name="常规 14 2" xfId="1278"/>
    <cellStyle name="常规 14 3" xfId="1279"/>
    <cellStyle name="常规 15" xfId="530"/>
    <cellStyle name="常规 15 2" xfId="894"/>
    <cellStyle name="常规 15 3" xfId="899"/>
    <cellStyle name="常规 16" xfId="533"/>
    <cellStyle name="常规 16 2" xfId="998"/>
    <cellStyle name="常规 16 3" xfId="1001"/>
    <cellStyle name="常规 17" xfId="537"/>
    <cellStyle name="常规 17 2" xfId="1282"/>
    <cellStyle name="常规 17 3" xfId="1285"/>
    <cellStyle name="常规 18" xfId="540"/>
    <cellStyle name="常规 18 2" xfId="1287"/>
    <cellStyle name="常规 18 3" xfId="1289"/>
    <cellStyle name="常规 19" xfId="1291"/>
    <cellStyle name="常规 19 2" xfId="1293"/>
    <cellStyle name="常规 19 3" xfId="1295"/>
    <cellStyle name="常规 2" xfId="1296"/>
    <cellStyle name="常规 2 10" xfId="1300"/>
    <cellStyle name="常规 2 10 2 2 2" xfId="1301"/>
    <cellStyle name="常规 2 2" xfId="1303"/>
    <cellStyle name="常规 2 2 2" xfId="1304"/>
    <cellStyle name="常规 2 2 2 2" xfId="1305"/>
    <cellStyle name="常规 2 2 3" xfId="1306"/>
    <cellStyle name="常规 2 2 4" xfId="1307"/>
    <cellStyle name="常规 2 2 5" xfId="1308"/>
    <cellStyle name="常规 2 2 8 2" xfId="1309"/>
    <cellStyle name="常规 2 2 8 2 2" xfId="1311"/>
    <cellStyle name="常规 2 2 8 2 3" xfId="1313"/>
    <cellStyle name="常规 2 2 8 2 4" xfId="1314"/>
    <cellStyle name="常规 2 2 8 2 5" xfId="1315"/>
    <cellStyle name="常规 2 3" xfId="1316"/>
    <cellStyle name="常规 2 3 2" xfId="1317"/>
    <cellStyle name="常规 2 3 3" xfId="1318"/>
    <cellStyle name="常规 2 3 4" xfId="1319"/>
    <cellStyle name="常规 2 4" xfId="1320"/>
    <cellStyle name="常规 2 4 2" xfId="1321"/>
    <cellStyle name="常规 2 5" xfId="1322"/>
    <cellStyle name="常规 2 5 2" xfId="1323"/>
    <cellStyle name="常规 2 6" xfId="1324"/>
    <cellStyle name="常规 2 7" xfId="1325"/>
    <cellStyle name="常规 2 8" xfId="1328"/>
    <cellStyle name="常规 2 9" xfId="1330"/>
    <cellStyle name="常规 2_锻造试算平衡表" xfId="1332"/>
    <cellStyle name="常规 20" xfId="529"/>
    <cellStyle name="常规 20 2" xfId="895"/>
    <cellStyle name="常规 20 3" xfId="900"/>
    <cellStyle name="常规 21" xfId="532"/>
    <cellStyle name="常规 21 2" xfId="999"/>
    <cellStyle name="常规 21 3" xfId="1002"/>
    <cellStyle name="常规 22" xfId="536"/>
    <cellStyle name="常规 22 2" xfId="1281"/>
    <cellStyle name="常规 22 3" xfId="1284"/>
    <cellStyle name="常规 23" xfId="539"/>
    <cellStyle name="常规 23 2" xfId="1286"/>
    <cellStyle name="常规 23 3" xfId="1288"/>
    <cellStyle name="常规 24" xfId="1290"/>
    <cellStyle name="常规 24 2" xfId="1292"/>
    <cellStyle name="常规 24 3" xfId="1294"/>
    <cellStyle name="常规 25" xfId="378"/>
    <cellStyle name="常规 25 2" xfId="1335"/>
    <cellStyle name="常规 25 3" xfId="1338"/>
    <cellStyle name="常规 26" xfId="76"/>
    <cellStyle name="常规 27" xfId="382"/>
    <cellStyle name="常规 28" xfId="386"/>
    <cellStyle name="常规 29" xfId="1341"/>
    <cellStyle name="常规 3" xfId="1342"/>
    <cellStyle name="常规 3 2" xfId="1345"/>
    <cellStyle name="常规 3 2 2" xfId="1349"/>
    <cellStyle name="常规 3 2 2 2" xfId="1350"/>
    <cellStyle name="常规 3 2 3" xfId="258"/>
    <cellStyle name="常规 3 2 3 2" xfId="612"/>
    <cellStyle name="常规 3 2 4" xfId="1354"/>
    <cellStyle name="常规 3 2 5" xfId="230"/>
    <cellStyle name="常规 3 2 6" xfId="96"/>
    <cellStyle name="常规 3 2_锻造试算平衡表" xfId="50"/>
    <cellStyle name="常规 3 3" xfId="269"/>
    <cellStyle name="常规 3 3 2" xfId="1356"/>
    <cellStyle name="常规 3 3 3" xfId="1357"/>
    <cellStyle name="常规 3 3 4" xfId="830"/>
    <cellStyle name="常规 3 4" xfId="1360"/>
    <cellStyle name="常规 3 4 2" xfId="474"/>
    <cellStyle name="常规 3 4 3" xfId="18"/>
    <cellStyle name="常规 3 4 4" xfId="1361"/>
    <cellStyle name="常规 3 5" xfId="1364"/>
    <cellStyle name="常规 3 5 2" xfId="1366"/>
    <cellStyle name="常规 3 5 3" xfId="574"/>
    <cellStyle name="常规 3 5 4" xfId="579"/>
    <cellStyle name="常规 3 6" xfId="1369"/>
    <cellStyle name="常规 3 7" xfId="1372"/>
    <cellStyle name="常规 3 8" xfId="1375"/>
    <cellStyle name="常规 3_锻造试算平衡表" xfId="1380"/>
    <cellStyle name="常规 30" xfId="377"/>
    <cellStyle name="常规 31" xfId="75"/>
    <cellStyle name="常规 32" xfId="381"/>
    <cellStyle name="常规 33" xfId="385"/>
    <cellStyle name="常规 34" xfId="1340"/>
    <cellStyle name="常规 35" xfId="210"/>
    <cellStyle name="常规 36" xfId="213"/>
    <cellStyle name="常规 37" xfId="217"/>
    <cellStyle name="常规 38" xfId="220"/>
    <cellStyle name="常规 39" xfId="3"/>
    <cellStyle name="常规 4" xfId="1381"/>
    <cellStyle name="常规 4 2" xfId="1382"/>
    <cellStyle name="常规 4 2 2" xfId="1384"/>
    <cellStyle name="常规 4 3" xfId="1385"/>
    <cellStyle name="常规 4 3 2" xfId="683"/>
    <cellStyle name="常规 4 4" xfId="1383"/>
    <cellStyle name="常规 4 4 2" xfId="501"/>
    <cellStyle name="常规 4 5" xfId="1386"/>
    <cellStyle name="常规 4 6" xfId="1387"/>
    <cellStyle name="常规 4 7" xfId="1108"/>
    <cellStyle name="常规 4_锻造试算平衡表" xfId="1388"/>
    <cellStyle name="常规 40" xfId="209"/>
    <cellStyle name="常规 41" xfId="212"/>
    <cellStyle name="常规 42" xfId="216"/>
    <cellStyle name="常规 43" xfId="219"/>
    <cellStyle name="常规 44" xfId="4"/>
    <cellStyle name="常规 45" xfId="1390"/>
    <cellStyle name="常规 46" xfId="1392"/>
    <cellStyle name="常规 47" xfId="622"/>
    <cellStyle name="常规 48" xfId="1394"/>
    <cellStyle name="常规 49" xfId="1396"/>
    <cellStyle name="常规 5" xfId="1397"/>
    <cellStyle name="常规 5 2" xfId="1246"/>
    <cellStyle name="常规 5 2 2" xfId="64"/>
    <cellStyle name="常规 5 3" xfId="1249"/>
    <cellStyle name="常规 5 4" xfId="682"/>
    <cellStyle name="常规 5 5" xfId="1252"/>
    <cellStyle name="常规 50" xfId="1389"/>
    <cellStyle name="常规 51" xfId="1391"/>
    <cellStyle name="常规 52" xfId="621"/>
    <cellStyle name="常规 53" xfId="1393"/>
    <cellStyle name="常规 54" xfId="1395"/>
    <cellStyle name="常规 55" xfId="1399"/>
    <cellStyle name="常规 56" xfId="1401"/>
    <cellStyle name="常规 57" xfId="1403"/>
    <cellStyle name="常规 58" xfId="690"/>
    <cellStyle name="常规 59" xfId="695"/>
    <cellStyle name="常规 6" xfId="1404"/>
    <cellStyle name="常规 6 2" xfId="488"/>
    <cellStyle name="常规 6 2 2" xfId="324"/>
    <cellStyle name="常规 6 2 3" xfId="86"/>
    <cellStyle name="常规 6 3" xfId="494"/>
    <cellStyle name="常规 6 4" xfId="500"/>
    <cellStyle name="常规 6 5" xfId="51"/>
    <cellStyle name="常规 6 6" xfId="785"/>
    <cellStyle name="常规 60" xfId="1398"/>
    <cellStyle name="常规 61" xfId="1400"/>
    <cellStyle name="常规 62" xfId="1402"/>
    <cellStyle name="常规 63" xfId="689"/>
    <cellStyle name="常规 64" xfId="694"/>
    <cellStyle name="常规 65" xfId="701"/>
    <cellStyle name="常规 66" xfId="1405"/>
    <cellStyle name="常规 67" xfId="1406"/>
    <cellStyle name="常规 68" xfId="1407"/>
    <cellStyle name="常规 69" xfId="834"/>
    <cellStyle name="常规 7" xfId="506"/>
    <cellStyle name="常规 7 2" xfId="1207"/>
    <cellStyle name="常规 7 3" xfId="28"/>
    <cellStyle name="常规 7 4" xfId="1408"/>
    <cellStyle name="常规 70" xfId="700"/>
    <cellStyle name="常规 8" xfId="1410"/>
    <cellStyle name="常规 8 2" xfId="1411"/>
    <cellStyle name="常规 8 2 2" xfId="1415"/>
    <cellStyle name="常规 8 2 3" xfId="1419"/>
    <cellStyle name="常规 8 3" xfId="80"/>
    <cellStyle name="常规 8 4" xfId="1420"/>
    <cellStyle name="常规 8 5" xfId="1421"/>
    <cellStyle name="常规 8 6" xfId="1422"/>
    <cellStyle name="常规 9" xfId="1424"/>
    <cellStyle name="常规 9 2" xfId="338"/>
    <cellStyle name="常规 9 2 2" xfId="344"/>
    <cellStyle name="常规 9 2 3" xfId="350"/>
    <cellStyle name="常规 9 2 4" xfId="356"/>
    <cellStyle name="常规 9 2 5" xfId="15"/>
    <cellStyle name="常规 9 2 6" xfId="1425"/>
    <cellStyle name="常规 9 3" xfId="165"/>
    <cellStyle name="常规 9 4" xfId="1427"/>
    <cellStyle name="常规_4开发间接费用 2" xfId="527"/>
    <cellStyle name="常规_Book1 2 3" xfId="164"/>
    <cellStyle name="常规_Sheet12" xfId="1428"/>
    <cellStyle name="常规_开发成本审核表(澳洲园)" xfId="1429"/>
    <cellStyle name="常规_前期 2" xfId="1431"/>
    <cellStyle name="常规_审核表" xfId="1433"/>
    <cellStyle name="常规_审核表 2" xfId="1434"/>
    <cellStyle name="常规_审核表（模板）" xfId="1435"/>
    <cellStyle name="常规_审核表（模板） 2" xfId="1437"/>
    <cellStyle name="常规_审核表（模板） 2 2" xfId="1438"/>
    <cellStyle name="常规_审核表（模板） 3" xfId="1440"/>
    <cellStyle name="常规_审核表（模板） 4" xfId="1442"/>
    <cellStyle name="常规_鑫溢成本审核底稿" xfId="1267"/>
    <cellStyle name="超级链接_综合类底稿表格" xfId="1443"/>
    <cellStyle name="超链接 2" xfId="1444"/>
    <cellStyle name="超链接 2 2" xfId="1445"/>
    <cellStyle name="超链接 2 2 2" xfId="1446"/>
    <cellStyle name="超链接 2 2 3" xfId="1447"/>
    <cellStyle name="超链接 2 3" xfId="1448"/>
    <cellStyle name="超链接 2 4" xfId="1449"/>
    <cellStyle name="超链接 2 5" xfId="1450"/>
    <cellStyle name="超链接 2 6" xfId="1302"/>
    <cellStyle name="超链接 3" xfId="1451"/>
    <cellStyle name="超链接 3 2" xfId="1454"/>
    <cellStyle name="归盒啦_95" xfId="153"/>
    <cellStyle name="好 2" xfId="747"/>
    <cellStyle name="好 2 2" xfId="1455"/>
    <cellStyle name="好 2 3" xfId="395"/>
    <cellStyle name="好 2 4" xfId="402"/>
    <cellStyle name="好 2 5" xfId="316"/>
    <cellStyle name="好 2 6" xfId="1457"/>
    <cellStyle name="好 3" xfId="1458"/>
    <cellStyle name="好_(有限责任公司)企业所得税附表" xfId="1463"/>
    <cellStyle name="好_(有限责任公司)企业所得税附表 2" xfId="1464"/>
    <cellStyle name="好_15-固定资产（空白模板）" xfId="677"/>
    <cellStyle name="好_15-固定资产（空白模板） 2" xfId="1465"/>
    <cellStyle name="好_19-无形资产（空白模板）" xfId="936"/>
    <cellStyle name="好_19-无形资产（空白模板） 2" xfId="1467"/>
    <cellStyle name="好_19-无形资产（空白模板）_锻造试算平衡表" xfId="499"/>
    <cellStyle name="好_19-无形资产（空白模板）_锻造试算平衡表 2" xfId="1432"/>
    <cellStyle name="好_1财务费用" xfId="910"/>
    <cellStyle name="好_1财务费用 2" xfId="1468"/>
    <cellStyle name="好_1财务费用_锻造试算平衡表" xfId="1469"/>
    <cellStyle name="好_1财务费用_锻造试算平衡表 2" xfId="1470"/>
    <cellStyle name="好_1营业收入" xfId="1339"/>
    <cellStyle name="好_1营业收入 2" xfId="1471"/>
    <cellStyle name="好_1营业收入_锻造试算平衡表" xfId="1472"/>
    <cellStyle name="好_1营业收入_锻造试算平衡表 2" xfId="1009"/>
    <cellStyle name="好_1资产减值损失" xfId="1473"/>
    <cellStyle name="好_1资产减值损失 2" xfId="840"/>
    <cellStyle name="好_1资产减值损失_锻造试算平衡表" xfId="1474"/>
    <cellStyle name="好_1资产减值损失_锻造试算平衡表 2" xfId="1475"/>
    <cellStyle name="好_2011年海口市城市发展有限公司企业所得税底稿-02" xfId="1478"/>
    <cellStyle name="好_2011年海口市城市发展有限公司企业所得税底稿-02 2" xfId="1479"/>
    <cellStyle name="好_3-2 进一步审计程序-采购与付款循环" xfId="950"/>
    <cellStyle name="好_3-2 进一步审计程序-采购与付款循环 2" xfId="1480"/>
    <cellStyle name="好_3-3 进一步审计程序-存货与生产循环" xfId="1027"/>
    <cellStyle name="好_3-3 进一步审计程序-存货与生产循环 2" xfId="565"/>
    <cellStyle name="好_49-营业收入（空白模板）" xfId="5"/>
    <cellStyle name="好_49-营业收入（空白模板） 2" xfId="1326"/>
    <cellStyle name="好_49-营业收入（空白模板）_锻造试算平衡表" xfId="1481"/>
    <cellStyle name="好_49-营业收入（空白模板）_锻造试算平衡表 2" xfId="1482"/>
    <cellStyle name="好_50-营业成本（空白模板）" xfId="1426"/>
    <cellStyle name="好_50-营业成本（空白模板） 2" xfId="1483"/>
    <cellStyle name="好_50-营业成本（空白模板）_锻造试算平衡表" xfId="1484"/>
    <cellStyle name="好_50-营业成本（空白模板）_锻造试算平衡表 2" xfId="1485"/>
    <cellStyle name="好_51-营业税金及附加（空白模板）" xfId="519"/>
    <cellStyle name="好_51-营业税金及附加（空白模板） 2" xfId="1486"/>
    <cellStyle name="好_51-营业税金及附加（空白模板）_锻造试算平衡表" xfId="1487"/>
    <cellStyle name="好_51-营业税金及附加（空白模板）_锻造试算平衡表 2" xfId="1078"/>
    <cellStyle name="好_54-财务费用（空白模板）" xfId="1488"/>
    <cellStyle name="好_54-财务费用（空白模板） 2" xfId="1489"/>
    <cellStyle name="好_54-财务费用（空白模板）_锻造试算平衡表" xfId="1490"/>
    <cellStyle name="好_54-财务费用（空白模板）_锻造试算平衡表 2" xfId="1493"/>
    <cellStyle name="好_55-资产减值损失（空白模板）" xfId="616"/>
    <cellStyle name="好_55-资产减值损失（空白模板） 2" xfId="635"/>
    <cellStyle name="好_55-资产减值损失（空白模板）_锻造试算平衡表" xfId="638"/>
    <cellStyle name="好_55-资产减值损失（空白模板）_锻造试算平衡表 2" xfId="1494"/>
    <cellStyle name="好_ZA0货币资金审定表 " xfId="1098"/>
    <cellStyle name="好_ZA0货币资金审定表  2" xfId="1102"/>
    <cellStyle name="好_ZA0货币资金审定表 _锻造试算平衡表" xfId="1456"/>
    <cellStyle name="好_ZA0货币资金审定表 _锻造试算平衡表 2" xfId="1495"/>
    <cellStyle name="好_财务费用" xfId="1497"/>
    <cellStyle name="好_财务费用 2" xfId="1499"/>
    <cellStyle name="好_财务费用_锻造试算平衡表" xfId="1502"/>
    <cellStyle name="好_财务费用_锻造试算平衡表 2" xfId="815"/>
    <cellStyle name="好_大信底稿目录" xfId="1504"/>
    <cellStyle name="好_大信底稿目录 2" xfId="953"/>
    <cellStyle name="好_大信底稿目录_锻造试算平衡表" xfId="1505"/>
    <cellStyle name="好_大信底稿目录_锻造试算平衡表 2" xfId="787"/>
    <cellStyle name="好_底稿设置宏" xfId="1506"/>
    <cellStyle name="好_底稿设置宏 2" xfId="1353"/>
    <cellStyle name="好_底稿设置宏 2 2" xfId="1507"/>
    <cellStyle name="好_底稿设置宏 3" xfId="229"/>
    <cellStyle name="好_底稿设置宏_大信底稿目录" xfId="200"/>
    <cellStyle name="好_底稿设置宏_大信底稿目录 2" xfId="202"/>
    <cellStyle name="好_底稿设置宏_大信底稿目录_锻造试算平衡表" xfId="1512"/>
    <cellStyle name="好_底稿设置宏_大信底稿目录_锻造试算平衡表 2" xfId="1513"/>
    <cellStyle name="好_底稿设置宏_锻造试算平衡表" xfId="1040"/>
    <cellStyle name="好_底稿设置宏_锻造试算平衡表 2" xfId="1514"/>
    <cellStyle name="好_锻造试算平衡表" xfId="630"/>
    <cellStyle name="好_锻造试算平衡表 2" xfId="1516"/>
    <cellStyle name="好_复件 固定资产" xfId="1519"/>
    <cellStyle name="好_复件 固定资产 2" xfId="1520"/>
    <cellStyle name="好_企业所得税底稿-20120918" xfId="670"/>
    <cellStyle name="好_企业所得税底稿-20120918 2" xfId="393"/>
    <cellStyle name="好_土地增值税清算鉴证工作底稿表样-100407" xfId="406"/>
    <cellStyle name="好_土地增值税清算鉴证工作底稿表样-100407 2" xfId="934"/>
    <cellStyle name="好_无形资产" xfId="1521"/>
    <cellStyle name="好_无形资产 2" xfId="523"/>
    <cellStyle name="好_无形资产_锻造试算平衡表" xfId="132"/>
    <cellStyle name="好_无形资产_锻造试算平衡表 2" xfId="288"/>
    <cellStyle name="好_谐安花园B栋登记汇总表入住表" xfId="1522"/>
    <cellStyle name="好_谐安花园B栋登记汇总表入住表 2" xfId="444"/>
    <cellStyle name="好_谐安花园C栋登记汇总表及上墙确认表" xfId="725"/>
    <cellStyle name="好_谐安花园C栋登记汇总表及上墙确认表 2" xfId="82"/>
    <cellStyle name="好_谐安花园土增税开发成本审核表2012-11-07" xfId="646"/>
    <cellStyle name="好_谐安花园土增税开发成本审核表2012-11-07 2" xfId="273"/>
    <cellStyle name="好_谐安花园销售明细表" xfId="1523"/>
    <cellStyle name="好_谐安花园销售明细表 2" xfId="1524"/>
    <cellStyle name="好_银行函证结果汇总表" xfId="1525"/>
    <cellStyle name="好_银行函证结果汇总表 2" xfId="1526"/>
    <cellStyle name="好_银行函证结果汇总表_锻造试算平衡表" xfId="692"/>
    <cellStyle name="好_银行函证结果汇总表_锻造试算平衡表 2" xfId="1527"/>
    <cellStyle name="好_营业收入" xfId="1528"/>
    <cellStyle name="好_营业收入 2" xfId="1529"/>
    <cellStyle name="好_营业收入_锻造试算平衡表" xfId="1530"/>
    <cellStyle name="好_营业收入_锻造试算平衡表 2" xfId="1531"/>
    <cellStyle name="好_应收利息" xfId="1534"/>
    <cellStyle name="好_应收利息 2" xfId="1535"/>
    <cellStyle name="好_应收利息_锻造试算平衡表" xfId="1538"/>
    <cellStyle name="好_应收利息_锻造试算平衡表 2" xfId="1539"/>
    <cellStyle name="好_资产负债标准底稿" xfId="875"/>
    <cellStyle name="好_资产负债标准底稿 2" xfId="1541"/>
    <cellStyle name="好_资产负债标准底稿 2 2" xfId="1543"/>
    <cellStyle name="好_资产负债标准底稿 3" xfId="1544"/>
    <cellStyle name="好_资产负债标准底稿_大信底稿目录" xfId="1546"/>
    <cellStyle name="好_资产负债标准底稿_大信底稿目录 2" xfId="1547"/>
    <cellStyle name="好_资产负债标准底稿_大信底稿目录_锻造试算平衡表" xfId="1548"/>
    <cellStyle name="好_资产负债标准底稿_大信底稿目录_锻造试算平衡表 2" xfId="1550"/>
    <cellStyle name="好_资产负债标准底稿_锻造试算平衡表" xfId="340"/>
    <cellStyle name="好_资产负债标准底稿_锻造试算平衡表 2" xfId="347"/>
    <cellStyle name="好_资产负债类底稿模版" xfId="1496"/>
    <cellStyle name="好_资产负债类底稿模版 2" xfId="1498"/>
    <cellStyle name="好_资产负债类底稿模版 2 2" xfId="1552"/>
    <cellStyle name="好_资产负债类底稿模版 3" xfId="1540"/>
    <cellStyle name="好_资产负债类底稿模版_大信底稿目录" xfId="1553"/>
    <cellStyle name="好_资产负债类底稿模版_大信底稿目录 2" xfId="1554"/>
    <cellStyle name="好_资产负债类底稿模版_大信底稿目录_锻造试算平衡表" xfId="491"/>
    <cellStyle name="好_资产负债类底稿模版_大信底稿目录_锻造试算平衡表 2" xfId="1556"/>
    <cellStyle name="好_资产负债类底稿模版_锻造试算平衡表" xfId="1501"/>
    <cellStyle name="好_资产负债类底稿模版_锻造试算平衡表 2" xfId="816"/>
    <cellStyle name="好_资产减值损失" xfId="72"/>
    <cellStyle name="好_资产减值损失 2" xfId="705"/>
    <cellStyle name="好_资产减值损失_锻造试算平衡表" xfId="1557"/>
    <cellStyle name="好_资产减值损失_锻造试算平衡表 2" xfId="1558"/>
    <cellStyle name="桁区切り [0.00]_１１月価格表" xfId="1559"/>
    <cellStyle name="桁区切り_１１月価格表" xfId="71"/>
    <cellStyle name="汇总 2" xfId="1560"/>
    <cellStyle name="汇总 2 2" xfId="1561"/>
    <cellStyle name="汇总 2 3" xfId="1563"/>
    <cellStyle name="汇总 2 4" xfId="1565"/>
    <cellStyle name="汇总 2 5" xfId="1566"/>
    <cellStyle name="汇总 2 6" xfId="1500"/>
    <cellStyle name="汇总 3" xfId="1567"/>
    <cellStyle name="会计科目参数" xfId="1569"/>
    <cellStyle name="会计科目参数 2" xfId="1570"/>
    <cellStyle name="会计科目参数 2 2" xfId="822"/>
    <cellStyle name="会计科目参数 2 3" xfId="1152"/>
    <cellStyle name="会计科目参数 2 4" xfId="1572"/>
    <cellStyle name="会计科目参数 2 5" xfId="1574"/>
    <cellStyle name="会计科目类别" xfId="177"/>
    <cellStyle name="会计科目类别 2" xfId="1575"/>
    <cellStyle name="会计科目类别 2 2" xfId="1576"/>
    <cellStyle name="会计科目类别 2 3" xfId="1577"/>
    <cellStyle name="会计科目类别 2 4" xfId="1578"/>
    <cellStyle name="会计科目类别 2 5" xfId="1579"/>
    <cellStyle name="貨幣 [0]_SGV" xfId="1114"/>
    <cellStyle name="貨幣_SGV" xfId="1581"/>
    <cellStyle name="计算 2" xfId="1582"/>
    <cellStyle name="计算 2 2" xfId="176"/>
    <cellStyle name="计算 2 3" xfId="182"/>
    <cellStyle name="计算 2 4" xfId="189"/>
    <cellStyle name="计算 2 5" xfId="1585"/>
    <cellStyle name="计算 2 6" xfId="1586"/>
    <cellStyle name="计算 3" xfId="1587"/>
    <cellStyle name="检查单元格 2" xfId="1562"/>
    <cellStyle name="检查单元格 2 2" xfId="1216"/>
    <cellStyle name="检查单元格 2 3" xfId="1218"/>
    <cellStyle name="检查单元格 2 4" xfId="637"/>
    <cellStyle name="检查单元格 2 5" xfId="1220"/>
    <cellStyle name="检查单元格 2 6" xfId="1222"/>
    <cellStyle name="检查单元格 3" xfId="1564"/>
    <cellStyle name="解释性文本 2" xfId="1588"/>
    <cellStyle name="解释性文本 2 2" xfId="48"/>
    <cellStyle name="解释性文本 2 3" xfId="1029"/>
    <cellStyle name="解释性文本 2 4" xfId="1032"/>
    <cellStyle name="解释性文本 2 5" xfId="1589"/>
    <cellStyle name="解释性文本 2 6" xfId="1590"/>
    <cellStyle name="解释性文本 3" xfId="1591"/>
    <cellStyle name="警告文本 2" xfId="1592"/>
    <cellStyle name="警告文本 2 2" xfId="1593"/>
    <cellStyle name="警告文本 2 3" xfId="1551"/>
    <cellStyle name="警告文本 2 4" xfId="724"/>
    <cellStyle name="警告文本 2 5" xfId="1595"/>
    <cellStyle name="警告文本 2 6" xfId="1597"/>
    <cellStyle name="警告文本 3" xfId="1598"/>
    <cellStyle name="链接单元格 2" xfId="1599"/>
    <cellStyle name="链接单元格 2 2" xfId="1600"/>
    <cellStyle name="链接单元格 2 3" xfId="1601"/>
    <cellStyle name="链接单元格 2 4" xfId="1430"/>
    <cellStyle name="链接单元格 2 5" xfId="1602"/>
    <cellStyle name="链接单元格 2 6" xfId="1603"/>
    <cellStyle name="链接单元格 3" xfId="1147"/>
    <cellStyle name="霓付 [0]_1202" xfId="279"/>
    <cellStyle name="霓付_1202" xfId="1604"/>
    <cellStyle name="烹拳 [0]_1202" xfId="1605"/>
    <cellStyle name="烹拳_1202" xfId="698"/>
    <cellStyle name="砯刽 [0]_PLDT" xfId="515"/>
    <cellStyle name="砯刽_PLDT" xfId="355"/>
    <cellStyle name="普通_ 白土" xfId="1584"/>
    <cellStyle name="千分位[0]_ 白土" xfId="662"/>
    <cellStyle name="千分位_ 白土" xfId="1606"/>
    <cellStyle name="千位[0]_1995" xfId="1608"/>
    <cellStyle name="千位_1995" xfId="710"/>
    <cellStyle name="千位分隔" xfId="29" builtinId="3"/>
    <cellStyle name="千位分隔 10" xfId="1609"/>
    <cellStyle name="千位分隔 10 10" xfId="1409"/>
    <cellStyle name="千位分隔 10 11" xfId="1423"/>
    <cellStyle name="千位分隔 10 2" xfId="496"/>
    <cellStyle name="千位分隔 10 3" xfId="503"/>
    <cellStyle name="千位分隔 10 3 2" xfId="535"/>
    <cellStyle name="千位分隔 10 3 2 2" xfId="1280"/>
    <cellStyle name="千位分隔 10 3 2 3" xfId="1283"/>
    <cellStyle name="千位分隔 10 4" xfId="53"/>
    <cellStyle name="千位分隔 10 5" xfId="782"/>
    <cellStyle name="千位分隔 10 6" xfId="343"/>
    <cellStyle name="千位分隔 10 7" xfId="349"/>
    <cellStyle name="千位分隔 10 8" xfId="354"/>
    <cellStyle name="千位分隔 10 9" xfId="13"/>
    <cellStyle name="千位分隔 11" xfId="1610"/>
    <cellStyle name="千位分隔 11 2" xfId="1611"/>
    <cellStyle name="千位分隔 11 3" xfId="1612"/>
    <cellStyle name="千位分隔 12" xfId="1613"/>
    <cellStyle name="千位分隔 12 2" xfId="81"/>
    <cellStyle name="千位分隔 12 3" xfId="1614"/>
    <cellStyle name="千位分隔 13" xfId="756"/>
    <cellStyle name="千位分隔 13 2" xfId="1615"/>
    <cellStyle name="千位分隔 13 3" xfId="1616"/>
    <cellStyle name="千位分隔 13 4" xfId="1617"/>
    <cellStyle name="千位分隔 14" xfId="577"/>
    <cellStyle name="千位分隔 14 2" xfId="1618"/>
    <cellStyle name="千位分隔 14 3" xfId="741"/>
    <cellStyle name="千位分隔 15" xfId="1620"/>
    <cellStyle name="千位分隔 15 2" xfId="1622"/>
    <cellStyle name="千位分隔 15 3" xfId="1624"/>
    <cellStyle name="千位分隔 16" xfId="1626"/>
    <cellStyle name="千位分隔 16 2" xfId="1628"/>
    <cellStyle name="千位分隔 16 3" xfId="1630"/>
    <cellStyle name="千位分隔 17" xfId="1632"/>
    <cellStyle name="千位分隔 17 2" xfId="1537"/>
    <cellStyle name="千位分隔 17 3" xfId="321"/>
    <cellStyle name="千位分隔 18" xfId="1634"/>
    <cellStyle name="千位分隔 19" xfId="1157"/>
    <cellStyle name="千位分隔 19 2" xfId="1636"/>
    <cellStyle name="千位分隔 19 3" xfId="1638"/>
    <cellStyle name="千位分隔 2" xfId="1639"/>
    <cellStyle name="千位分隔 2 10" xfId="1334"/>
    <cellStyle name="千位分隔 2 10 2" xfId="1640"/>
    <cellStyle name="千位分隔 2 11" xfId="1337"/>
    <cellStyle name="千位分隔 2 11 2" xfId="1568"/>
    <cellStyle name="千位分隔 2 12" xfId="1642"/>
    <cellStyle name="千位分隔 2 12 2" xfId="448"/>
    <cellStyle name="千位分隔 2 12 3" xfId="802"/>
    <cellStyle name="千位分隔 2 12 4" xfId="303"/>
    <cellStyle name="千位分隔 2 13" xfId="234"/>
    <cellStyle name="千位分隔 2 13 2" xfId="1643"/>
    <cellStyle name="千位分隔 2 14" xfId="241"/>
    <cellStyle name="千位分隔 2 14 2" xfId="1644"/>
    <cellStyle name="千位分隔 2 15" xfId="736"/>
    <cellStyle name="千位分隔 2 15 2" xfId="1645"/>
    <cellStyle name="千位分隔 2 16" xfId="1649"/>
    <cellStyle name="千位分隔 2 17" xfId="1653"/>
    <cellStyle name="千位分隔 2 18" xfId="1379"/>
    <cellStyle name="千位分隔 2 19" xfId="1657"/>
    <cellStyle name="千位分隔 2 2" xfId="1660"/>
    <cellStyle name="千位分隔 2 2 10" xfId="224"/>
    <cellStyle name="千位分隔 2 2 11" xfId="1661"/>
    <cellStyle name="千位分隔 2 2 12" xfId="1662"/>
    <cellStyle name="千位分隔 2 2 13" xfId="1663"/>
    <cellStyle name="千位分隔 2 2 14" xfId="776"/>
    <cellStyle name="千位分隔 2 2 15" xfId="1665"/>
    <cellStyle name="千位分隔 2 2 16" xfId="1667"/>
    <cellStyle name="千位分隔 2 2 17" xfId="1670"/>
    <cellStyle name="千位分隔 2 2 18" xfId="1673"/>
    <cellStyle name="千位分隔 2 2 19" xfId="1462"/>
    <cellStyle name="千位分隔 2 2 2" xfId="1674"/>
    <cellStyle name="千位分隔 2 2 20" xfId="1664"/>
    <cellStyle name="千位分隔 2 2 21" xfId="1666"/>
    <cellStyle name="千位分隔 2 2 22" xfId="1669"/>
    <cellStyle name="千位分隔 2 2 23" xfId="1672"/>
    <cellStyle name="千位分隔 2 2 24" xfId="1461"/>
    <cellStyle name="千位分隔 2 2 25" xfId="1678"/>
    <cellStyle name="千位分隔 2 2 26" xfId="1518"/>
    <cellStyle name="千位分隔 2 2 27" xfId="1680"/>
    <cellStyle name="千位分隔 2 2 28" xfId="1682"/>
    <cellStyle name="千位分隔 2 2 29" xfId="1684"/>
    <cellStyle name="千位分隔 2 2 3" xfId="480"/>
    <cellStyle name="千位分隔 2 2 30" xfId="1677"/>
    <cellStyle name="千位分隔 2 2 31" xfId="1517"/>
    <cellStyle name="千位分隔 2 2 32" xfId="1679"/>
    <cellStyle name="千位分隔 2 2 33" xfId="1681"/>
    <cellStyle name="千位分隔 2 2 34" xfId="1683"/>
    <cellStyle name="千位分隔 2 2 35" xfId="1686"/>
    <cellStyle name="千位分隔 2 2 36" xfId="125"/>
    <cellStyle name="千位分隔 2 2 37" xfId="1688"/>
    <cellStyle name="千位分隔 2 2 38" xfId="1691"/>
    <cellStyle name="千位分隔 2 2 39" xfId="1694"/>
    <cellStyle name="千位分隔 2 2 4" xfId="1695"/>
    <cellStyle name="千位分隔 2 2 40" xfId="1685"/>
    <cellStyle name="千位分隔 2 2 41" xfId="124"/>
    <cellStyle name="千位分隔 2 2 42" xfId="1687"/>
    <cellStyle name="千位分隔 2 2 43" xfId="1690"/>
    <cellStyle name="千位分隔 2 2 44" xfId="1693"/>
    <cellStyle name="千位分隔 2 2 45" xfId="1348"/>
    <cellStyle name="千位分隔 2 2 46" xfId="257"/>
    <cellStyle name="千位分隔 2 2 47" xfId="1352"/>
    <cellStyle name="千位分隔 2 2 48" xfId="228"/>
    <cellStyle name="千位分隔 2 2 49" xfId="95"/>
    <cellStyle name="千位分隔 2 2 5" xfId="1436"/>
    <cellStyle name="千位分隔 2 2 50" xfId="1347"/>
    <cellStyle name="千位分隔 2 2 51" xfId="256"/>
    <cellStyle name="千位分隔 2 2 52" xfId="1351"/>
    <cellStyle name="千位分隔 2 2 53" xfId="227"/>
    <cellStyle name="千位分隔 2 2 54" xfId="94"/>
    <cellStyle name="千位分隔 2 2 55" xfId="261"/>
    <cellStyle name="千位分隔 2 2 56" xfId="1697"/>
    <cellStyle name="千位分隔 2 2 57" xfId="1699"/>
    <cellStyle name="千位分隔 2 2 58" xfId="1700"/>
    <cellStyle name="千位分隔 2 2 59" xfId="1331"/>
    <cellStyle name="千位分隔 2 2 6" xfId="1439"/>
    <cellStyle name="千位分隔 2 2 60" xfId="260"/>
    <cellStyle name="千位分隔 2 2 61" xfId="1696"/>
    <cellStyle name="千位分隔 2 2 62" xfId="1698"/>
    <cellStyle name="千位分隔 2 2 7" xfId="1441"/>
    <cellStyle name="千位分隔 2 2 8" xfId="306"/>
    <cellStyle name="千位分隔 2 2 9" xfId="514"/>
    <cellStyle name="千位分隔 2 20" xfId="737"/>
    <cellStyle name="千位分隔 2 21" xfId="1648"/>
    <cellStyle name="千位分隔 2 22" xfId="1652"/>
    <cellStyle name="千位分隔 2 23" xfId="1378"/>
    <cellStyle name="千位分隔 2 24" xfId="1656"/>
    <cellStyle name="千位分隔 2 25" xfId="1704"/>
    <cellStyle name="千位分隔 2 26" xfId="1708"/>
    <cellStyle name="千位分隔 2 27" xfId="1712"/>
    <cellStyle name="千位分隔 2 28" xfId="1141"/>
    <cellStyle name="千位分隔 2 29" xfId="1716"/>
    <cellStyle name="千位分隔 2 3" xfId="466"/>
    <cellStyle name="千位分隔 2 3 2" xfId="1717"/>
    <cellStyle name="千位分隔 2 3 3" xfId="1718"/>
    <cellStyle name="千位分隔 2 3 4" xfId="1719"/>
    <cellStyle name="千位分隔 2 30" xfId="1703"/>
    <cellStyle name="千位分隔 2 31" xfId="1707"/>
    <cellStyle name="千位分隔 2 32" xfId="1711"/>
    <cellStyle name="千位分隔 2 33" xfId="1142"/>
    <cellStyle name="千位分隔 2 34" xfId="1715"/>
    <cellStyle name="千位分隔 2 35" xfId="1723"/>
    <cellStyle name="千位分隔 2 36" xfId="1727"/>
    <cellStyle name="千位分隔 2 37" xfId="1731"/>
    <cellStyle name="千位分隔 2 38" xfId="552"/>
    <cellStyle name="千位分隔 2 39" xfId="557"/>
    <cellStyle name="千位分隔 2 4" xfId="471"/>
    <cellStyle name="千位分隔 2 4 2" xfId="761"/>
    <cellStyle name="千位分隔 2 4 3" xfId="765"/>
    <cellStyle name="千位分隔 2 4 4" xfId="1734"/>
    <cellStyle name="千位分隔 2 40" xfId="1722"/>
    <cellStyle name="千位分隔 2 41" xfId="1726"/>
    <cellStyle name="千位分隔 2 42" xfId="1730"/>
    <cellStyle name="千位分隔 2 43" xfId="551"/>
    <cellStyle name="千位分隔 2 44" xfId="556"/>
    <cellStyle name="千位分隔 2 45" xfId="562"/>
    <cellStyle name="千位分隔 2 46" xfId="570"/>
    <cellStyle name="千位分隔 2 47" xfId="1511"/>
    <cellStyle name="千位分隔 2 48" xfId="101"/>
    <cellStyle name="千位分隔 2 49" xfId="108"/>
    <cellStyle name="千位分隔 2 5" xfId="478"/>
    <cellStyle name="千位分隔 2 5 2" xfId="1184"/>
    <cellStyle name="千位分隔 2 5 3" xfId="1188"/>
    <cellStyle name="千位分隔 2 5 4" xfId="1103"/>
    <cellStyle name="千位分隔 2 50" xfId="561"/>
    <cellStyle name="千位分隔 2 51" xfId="569"/>
    <cellStyle name="千位分隔 2 52" xfId="1510"/>
    <cellStyle name="千位分隔 2 53" xfId="100"/>
    <cellStyle name="千位分隔 2 54" xfId="107"/>
    <cellStyle name="千位分隔 2 55" xfId="25"/>
    <cellStyle name="千位分隔 2 56" xfId="122"/>
    <cellStyle name="千位分隔 2 57" xfId="129"/>
    <cellStyle name="千位分隔 2 58" xfId="134"/>
    <cellStyle name="千位分隔 2 59" xfId="246"/>
    <cellStyle name="千位分隔 2 6" xfId="21"/>
    <cellStyle name="千位分隔 2 6 2" xfId="1735"/>
    <cellStyle name="千位分隔 2 6 3" xfId="1736"/>
    <cellStyle name="千位分隔 2 6 4" xfId="1737"/>
    <cellStyle name="千位分隔 2 60" xfId="24"/>
    <cellStyle name="千位分隔 2 61" xfId="121"/>
    <cellStyle name="千位分隔 2 62" xfId="128"/>
    <cellStyle name="千位分隔 2 63" xfId="133"/>
    <cellStyle name="千位分隔 2 64" xfId="245"/>
    <cellStyle name="千位分隔 2 65" xfId="249"/>
    <cellStyle name="千位分隔 2 66" xfId="253"/>
    <cellStyle name="千位分隔 2 67" xfId="1739"/>
    <cellStyle name="千位分隔 2 68" xfId="1741"/>
    <cellStyle name="千位分隔 2 69" xfId="1743"/>
    <cellStyle name="千位分隔 2 7" xfId="1746"/>
    <cellStyle name="千位分隔 2 7 2" xfId="1747"/>
    <cellStyle name="千位分隔 2 7 3" xfId="1748"/>
    <cellStyle name="千位分隔 2 7 4" xfId="1076"/>
    <cellStyle name="千位分隔 2 70" xfId="248"/>
    <cellStyle name="千位分隔 2 71" xfId="252"/>
    <cellStyle name="千位分隔 2 72" xfId="1738"/>
    <cellStyle name="千位分隔 2 73" xfId="1740"/>
    <cellStyle name="千位分隔 2 74" xfId="1742"/>
    <cellStyle name="千位分隔 2 8" xfId="1414"/>
    <cellStyle name="千位分隔 2 8 2" xfId="294"/>
    <cellStyle name="千位分隔 2 9" xfId="1418"/>
    <cellStyle name="千位分隔 2 9 2" xfId="1749"/>
    <cellStyle name="千位分隔 20" xfId="1619"/>
    <cellStyle name="千位分隔 20 2" xfId="1621"/>
    <cellStyle name="千位分隔 20 3" xfId="1623"/>
    <cellStyle name="千位分隔 21" xfId="1625"/>
    <cellStyle name="千位分隔 21 2" xfId="1627"/>
    <cellStyle name="千位分隔 21 3" xfId="1629"/>
    <cellStyle name="千位分隔 22" xfId="1631"/>
    <cellStyle name="千位分隔 22 2" xfId="1536"/>
    <cellStyle name="千位分隔 22 3" xfId="320"/>
    <cellStyle name="千位分隔 23" xfId="1633"/>
    <cellStyle name="千位分隔 23 2" xfId="451"/>
    <cellStyle name="千位分隔 23 3" xfId="88"/>
    <cellStyle name="千位分隔 24" xfId="1156"/>
    <cellStyle name="千位分隔 24 2" xfId="1635"/>
    <cellStyle name="千位分隔 24 3" xfId="1637"/>
    <cellStyle name="千位分隔 25" xfId="1453"/>
    <cellStyle name="千位分隔 25 2" xfId="1751"/>
    <cellStyle name="千位分隔 25 3" xfId="768"/>
    <cellStyle name="千位分隔 26" xfId="1753"/>
    <cellStyle name="千位分隔 26 2" xfId="1755"/>
    <cellStyle name="千位分隔 26 3" xfId="1074"/>
    <cellStyle name="千位分隔 27" xfId="1757"/>
    <cellStyle name="千位分隔 27 2" xfId="1091"/>
    <cellStyle name="千位分隔 27 3" xfId="1761"/>
    <cellStyle name="千位分隔 28" xfId="1763"/>
    <cellStyle name="千位分隔 28 2" xfId="1764"/>
    <cellStyle name="千位分隔 28 3" xfId="1545"/>
    <cellStyle name="千位分隔 29" xfId="1344"/>
    <cellStyle name="千位分隔 29 2" xfId="1346"/>
    <cellStyle name="千位分隔 29 3" xfId="255"/>
    <cellStyle name="千位分隔 3" xfId="1060"/>
    <cellStyle name="千位分隔 3 10" xfId="1580"/>
    <cellStyle name="千位分隔 3 10 2" xfId="1766"/>
    <cellStyle name="千位分隔 3 10 3" xfId="63"/>
    <cellStyle name="千位分隔 3 11" xfId="745"/>
    <cellStyle name="千位分隔 3 12" xfId="1767"/>
    <cellStyle name="千位分隔 3 13" xfId="1768"/>
    <cellStyle name="千位分隔 3 14" xfId="759"/>
    <cellStyle name="千位分隔 3 15" xfId="763"/>
    <cellStyle name="千位分隔 3 16" xfId="1733"/>
    <cellStyle name="千位分隔 3 17" xfId="1770"/>
    <cellStyle name="千位分隔 3 18" xfId="1772"/>
    <cellStyle name="千位分隔 3 19" xfId="1774"/>
    <cellStyle name="千位分隔 3 2" xfId="1062"/>
    <cellStyle name="千位分隔 3 2 10" xfId="1775"/>
    <cellStyle name="千位分隔 3 2 11" xfId="1542"/>
    <cellStyle name="千位分隔 3 2 12" xfId="1776"/>
    <cellStyle name="千位分隔 3 2 13" xfId="1777"/>
    <cellStyle name="千位分隔 3 2 14" xfId="672"/>
    <cellStyle name="千位分隔 3 2 15" xfId="1779"/>
    <cellStyle name="千位分隔 3 2 16" xfId="1782"/>
    <cellStyle name="千位分隔 3 2 17" xfId="1298"/>
    <cellStyle name="千位分隔 3 2 18" xfId="1785"/>
    <cellStyle name="千位分隔 3 2 19" xfId="1787"/>
    <cellStyle name="千位分隔 3 2 2" xfId="1138"/>
    <cellStyle name="千位分隔 3 2 20" xfId="1778"/>
    <cellStyle name="千位分隔 3 2 21" xfId="1781"/>
    <cellStyle name="千位分隔 3 2 22" xfId="1297"/>
    <cellStyle name="千位分隔 3 2 23" xfId="1784"/>
    <cellStyle name="千位分隔 3 2 24" xfId="1786"/>
    <cellStyle name="千位分隔 3 2 25" xfId="1789"/>
    <cellStyle name="千位分隔 3 2 26" xfId="922"/>
    <cellStyle name="千位分隔 3 2 27" xfId="1791"/>
    <cellStyle name="千位分隔 3 2 28" xfId="1793"/>
    <cellStyle name="千位分隔 3 2 29" xfId="1659"/>
    <cellStyle name="千位分隔 3 2 3" xfId="1795"/>
    <cellStyle name="千位分隔 3 2 30" xfId="1788"/>
    <cellStyle name="千位分隔 3 2 31" xfId="923"/>
    <cellStyle name="千位分隔 3 2 32" xfId="1790"/>
    <cellStyle name="千位分隔 3 2 33" xfId="1792"/>
    <cellStyle name="千位分隔 3 2 34" xfId="1658"/>
    <cellStyle name="千位分隔 3 2 35" xfId="465"/>
    <cellStyle name="千位分隔 3 2 36" xfId="470"/>
    <cellStyle name="千位分隔 3 2 37" xfId="477"/>
    <cellStyle name="千位分隔 3 2 38" xfId="20"/>
    <cellStyle name="千位分隔 3 2 39" xfId="1745"/>
    <cellStyle name="千位分隔 3 2 4" xfId="1796"/>
    <cellStyle name="千位分隔 3 2 40" xfId="464"/>
    <cellStyle name="千位分隔 3 2 41" xfId="469"/>
    <cellStyle name="千位分隔 3 2 42" xfId="476"/>
    <cellStyle name="千位分隔 3 2 43" xfId="19"/>
    <cellStyle name="千位分隔 3 2 44" xfId="1744"/>
    <cellStyle name="千位分隔 3 2 45" xfId="1413"/>
    <cellStyle name="千位分隔 3 2 46" xfId="1417"/>
    <cellStyle name="千位分隔 3 2 47" xfId="1477"/>
    <cellStyle name="千位分隔 3 2 48" xfId="518"/>
    <cellStyle name="千位分隔 3 2 49" xfId="1798"/>
    <cellStyle name="千位分隔 3 2 5" xfId="1799"/>
    <cellStyle name="千位分隔 3 2 50" xfId="1412"/>
    <cellStyle name="千位分隔 3 2 51" xfId="1416"/>
    <cellStyle name="千位分隔 3 2 52" xfId="1476"/>
    <cellStyle name="千位分隔 3 2 53" xfId="517"/>
    <cellStyle name="千位分隔 3 2 54" xfId="1797"/>
    <cellStyle name="千位分隔 3 2 55" xfId="1801"/>
    <cellStyle name="千位分隔 3 2 56" xfId="1803"/>
    <cellStyle name="千位分隔 3 2 57" xfId="1804"/>
    <cellStyle name="千位分隔 3 2 58" xfId="1805"/>
    <cellStyle name="千位分隔 3 2 59" xfId="1806"/>
    <cellStyle name="千位分隔 3 2 6" xfId="346"/>
    <cellStyle name="千位分隔 3 2 60" xfId="1800"/>
    <cellStyle name="千位分隔 3 2 61" xfId="1802"/>
    <cellStyle name="千位分隔 3 2 7" xfId="352"/>
    <cellStyle name="千位分隔 3 2 8" xfId="1807"/>
    <cellStyle name="千位分隔 3 2 9" xfId="1808"/>
    <cellStyle name="千位分隔 3 20" xfId="762"/>
    <cellStyle name="千位分隔 3 21" xfId="1732"/>
    <cellStyle name="千位分隔 3 22" xfId="1769"/>
    <cellStyle name="千位分隔 3 23" xfId="1771"/>
    <cellStyle name="千位分隔 3 24" xfId="1773"/>
    <cellStyle name="千位分隔 3 25" xfId="543"/>
    <cellStyle name="千位分隔 3 26" xfId="410"/>
    <cellStyle name="千位分隔 3 27" xfId="416"/>
    <cellStyle name="千位分隔 3 28" xfId="1810"/>
    <cellStyle name="千位分隔 3 29" xfId="1812"/>
    <cellStyle name="千位分隔 3 3" xfId="1065"/>
    <cellStyle name="千位分隔 3 3 2" xfId="1813"/>
    <cellStyle name="千位分隔 3 3 3" xfId="1814"/>
    <cellStyle name="千位分隔 3 3 4" xfId="1815"/>
    <cellStyle name="千位分隔 3 30" xfId="542"/>
    <cellStyle name="千位分隔 3 31" xfId="409"/>
    <cellStyle name="千位分隔 3 32" xfId="415"/>
    <cellStyle name="千位分隔 3 33" xfId="1809"/>
    <cellStyle name="千位分隔 3 34" xfId="1811"/>
    <cellStyle name="千位分隔 3 35" xfId="811"/>
    <cellStyle name="千位分隔 3 36" xfId="1126"/>
    <cellStyle name="千位分隔 3 37" xfId="1817"/>
    <cellStyle name="千位分隔 3 38" xfId="1129"/>
    <cellStyle name="千位分隔 3 39" xfId="1820"/>
    <cellStyle name="千位分隔 3 4" xfId="823"/>
    <cellStyle name="千位分隔 3 4 2" xfId="1821"/>
    <cellStyle name="千位分隔 3 4 3" xfId="1822"/>
    <cellStyle name="千位分隔 3 40" xfId="812"/>
    <cellStyle name="千位分隔 3 41" xfId="1125"/>
    <cellStyle name="千位分隔 3 42" xfId="1816"/>
    <cellStyle name="千位分隔 3 43" xfId="1128"/>
    <cellStyle name="千位分隔 3 44" xfId="1819"/>
    <cellStyle name="千位分隔 3 45" xfId="1825"/>
    <cellStyle name="千位分隔 3 46" xfId="1827"/>
    <cellStyle name="千位分隔 3 47" xfId="1829"/>
    <cellStyle name="千位分隔 3 48" xfId="1170"/>
    <cellStyle name="千位分隔 3 49" xfId="1173"/>
    <cellStyle name="千位分隔 3 5" xfId="1830"/>
    <cellStyle name="千位分隔 3 5 2" xfId="1831"/>
    <cellStyle name="千位分隔 3 5 3" xfId="1832"/>
    <cellStyle name="千位分隔 3 50" xfId="1824"/>
    <cellStyle name="千位分隔 3 51" xfId="1826"/>
    <cellStyle name="千位分隔 3 52" xfId="1828"/>
    <cellStyle name="千位分隔 3 53" xfId="1169"/>
    <cellStyle name="千位分隔 3 54" xfId="1172"/>
    <cellStyle name="千位分隔 3 55" xfId="1176"/>
    <cellStyle name="千位分隔 3 56" xfId="1179"/>
    <cellStyle name="千位分隔 3 57" xfId="1182"/>
    <cellStyle name="千位分隔 3 58" xfId="1037"/>
    <cellStyle name="千位分隔 3 59" xfId="1185"/>
    <cellStyle name="千位分隔 3 6" xfId="1833"/>
    <cellStyle name="千位分隔 3 6 2" xfId="1834"/>
    <cellStyle name="千位分隔 3 6 3" xfId="1835"/>
    <cellStyle name="千位分隔 3 60" xfId="1175"/>
    <cellStyle name="千位分隔 3 61" xfId="1178"/>
    <cellStyle name="千位分隔 3 62" xfId="1181"/>
    <cellStyle name="千位分隔 3 7" xfId="1836"/>
    <cellStyle name="千位分隔 3 7 2" xfId="190"/>
    <cellStyle name="千位分隔 3 7 3" xfId="1583"/>
    <cellStyle name="千位分隔 3 8" xfId="309"/>
    <cellStyle name="千位分隔 3 8 2" xfId="1837"/>
    <cellStyle name="千位分隔 3 8 3" xfId="1838"/>
    <cellStyle name="千位分隔 3 9" xfId="1839"/>
    <cellStyle name="千位分隔 3 9 2" xfId="1840"/>
    <cellStyle name="千位分隔 3 9 3" xfId="1841"/>
    <cellStyle name="千位分隔 30" xfId="1452"/>
    <cellStyle name="千位分隔 30 2" xfId="1750"/>
    <cellStyle name="千位分隔 30 3" xfId="769"/>
    <cellStyle name="千位分隔 31" xfId="1752"/>
    <cellStyle name="千位分隔 31 2" xfId="1754"/>
    <cellStyle name="千位分隔 31 3" xfId="1075"/>
    <cellStyle name="千位分隔 32" xfId="1756"/>
    <cellStyle name="千位分隔 32 2" xfId="1092"/>
    <cellStyle name="千位分隔 32 3" xfId="1760"/>
    <cellStyle name="千位分隔 33" xfId="1762"/>
    <cellStyle name="千位分隔 34" xfId="1343"/>
    <cellStyle name="千位分隔 35" xfId="271"/>
    <cellStyle name="千位分隔 36" xfId="1359"/>
    <cellStyle name="千位分隔 36 2" xfId="473"/>
    <cellStyle name="千位分隔 37" xfId="1363"/>
    <cellStyle name="千位分隔 37 2" xfId="1365"/>
    <cellStyle name="千位分隔 38" xfId="1368"/>
    <cellStyle name="千位分隔 38 2" xfId="1503"/>
    <cellStyle name="千位分隔 38 3" xfId="34"/>
    <cellStyle name="千位分隔 38 4" xfId="586"/>
    <cellStyle name="千位分隔 39" xfId="1371"/>
    <cellStyle name="千位分隔 4" xfId="1068"/>
    <cellStyle name="千位分隔 4 2" xfId="972"/>
    <cellStyle name="千位分隔 4 2 2" xfId="1843"/>
    <cellStyle name="千位分隔 4 3" xfId="976"/>
    <cellStyle name="千位分隔 4 3 2" xfId="1844"/>
    <cellStyle name="千位分隔 4 4" xfId="981"/>
    <cellStyle name="千位分隔 4 4 2" xfId="1845"/>
    <cellStyle name="千位分隔 4 5" xfId="985"/>
    <cellStyle name="千位分隔 4 6" xfId="33"/>
    <cellStyle name="千位分隔 4 7" xfId="585"/>
    <cellStyle name="千位分隔 4 8" xfId="590"/>
    <cellStyle name="千位分隔 40" xfId="272"/>
    <cellStyle name="千位分隔 40 2" xfId="1355"/>
    <cellStyle name="千位分隔 41" xfId="1358"/>
    <cellStyle name="千位分隔 42" xfId="1362"/>
    <cellStyle name="千位分隔 43" xfId="1367"/>
    <cellStyle name="千位分隔 44" xfId="1370"/>
    <cellStyle name="千位分隔 45" xfId="1374"/>
    <cellStyle name="千位分隔 46" xfId="1847"/>
    <cellStyle name="千位分隔 47" xfId="1849"/>
    <cellStyle name="千位分隔 48" xfId="1851"/>
    <cellStyle name="千位分隔 49" xfId="1853"/>
    <cellStyle name="千位分隔 5" xfId="149"/>
    <cellStyle name="千位分隔 5 10" xfId="848"/>
    <cellStyle name="千位分隔 5 11" xfId="852"/>
    <cellStyle name="千位分隔 5 2" xfId="1854"/>
    <cellStyle name="千位分隔 5 2 2" xfId="1856"/>
    <cellStyle name="千位分隔 5 2 3" xfId="1858"/>
    <cellStyle name="千位分隔 5 3" xfId="1859"/>
    <cellStyle name="千位分隔 5 3 2" xfId="1860"/>
    <cellStyle name="千位分隔 5 3 3" xfId="1861"/>
    <cellStyle name="千位分隔 5 4" xfId="1862"/>
    <cellStyle name="千位分隔 5 5" xfId="1863"/>
    <cellStyle name="千位分隔 5 6" xfId="1864"/>
    <cellStyle name="千位分隔 5 7" xfId="1865"/>
    <cellStyle name="千位分隔 5 8" xfId="1866"/>
    <cellStyle name="千位分隔 5 9" xfId="1867"/>
    <cellStyle name="千位分隔 50" xfId="1373"/>
    <cellStyle name="千位分隔 51" xfId="1846"/>
    <cellStyle name="千位分隔 52" xfId="1848"/>
    <cellStyle name="千位分隔 53" xfId="1850"/>
    <cellStyle name="千位分隔 54" xfId="1852"/>
    <cellStyle name="千位分隔 55" xfId="1869"/>
    <cellStyle name="千位分隔 56" xfId="1871"/>
    <cellStyle name="千位分隔 57" xfId="1533"/>
    <cellStyle name="千位分隔 58" xfId="1874"/>
    <cellStyle name="千位分隔 59" xfId="39"/>
    <cellStyle name="千位分隔 6" xfId="1875"/>
    <cellStyle name="千位分隔 6 2" xfId="1876"/>
    <cellStyle name="千位分隔 6 2 2" xfId="1460"/>
    <cellStyle name="千位分隔 6 2 3" xfId="1676"/>
    <cellStyle name="千位分隔 6 3" xfId="1877"/>
    <cellStyle name="千位分隔 6 3 2" xfId="1878"/>
    <cellStyle name="千位分隔 6 3 3" xfId="1879"/>
    <cellStyle name="千位分隔 6 4" xfId="1880"/>
    <cellStyle name="千位分隔 6 5" xfId="118"/>
    <cellStyle name="千位分隔 6 6" xfId="1881"/>
    <cellStyle name="千位分隔 6 7" xfId="1882"/>
    <cellStyle name="千位分隔 60" xfId="1868"/>
    <cellStyle name="千位分隔 61" xfId="1870"/>
    <cellStyle name="千位分隔 62" xfId="1532"/>
    <cellStyle name="千位分隔 63" xfId="1873"/>
    <cellStyle name="千位分隔 64" xfId="38"/>
    <cellStyle name="千位分隔 65" xfId="1886"/>
    <cellStyle name="千位分隔 66" xfId="1890"/>
    <cellStyle name="千位分隔 67" xfId="1892"/>
    <cellStyle name="千位分隔 68" xfId="1310"/>
    <cellStyle name="千位分隔 69" xfId="1312"/>
    <cellStyle name="千位分隔 7" xfId="1893"/>
    <cellStyle name="千位分隔 7 10" xfId="1894"/>
    <cellStyle name="千位分隔 7 11" xfId="1895"/>
    <cellStyle name="千位分隔 7 2" xfId="1896"/>
    <cellStyle name="千位分隔 7 2 2" xfId="1885"/>
    <cellStyle name="千位分隔 7 2 3" xfId="1889"/>
    <cellStyle name="千位分隔 7 3" xfId="1897"/>
    <cellStyle name="千位分隔 7 3 2" xfId="1225"/>
    <cellStyle name="千位分隔 7 3 3" xfId="681"/>
    <cellStyle name="千位分隔 7 4" xfId="1898"/>
    <cellStyle name="千位分隔 7 5" xfId="1899"/>
    <cellStyle name="千位分隔 7 6" xfId="1900"/>
    <cellStyle name="千位分隔 7 7" xfId="1901"/>
    <cellStyle name="千位分隔 7 8" xfId="1902"/>
    <cellStyle name="千位分隔 7 9" xfId="1903"/>
    <cellStyle name="千位分隔 70" xfId="1884"/>
    <cellStyle name="千位分隔 71" xfId="1888"/>
    <cellStyle name="千位分隔 72" xfId="1891"/>
    <cellStyle name="千位分隔 8" xfId="1904"/>
    <cellStyle name="千位分隔 8 2" xfId="1905"/>
    <cellStyle name="千位分隔 8 2 2" xfId="1907"/>
    <cellStyle name="千位分隔 8 2 3" xfId="1909"/>
    <cellStyle name="千位分隔 8 3" xfId="1910"/>
    <cellStyle name="千位分隔 8 3 2" xfId="657"/>
    <cellStyle name="千位分隔 8 3 3" xfId="653"/>
    <cellStyle name="千位分隔 8 4" xfId="1911"/>
    <cellStyle name="千位分隔 8 5" xfId="1913"/>
    <cellStyle name="千位分隔 8 6" xfId="1914"/>
    <cellStyle name="千位分隔 8 7" xfId="1079"/>
    <cellStyle name="千位分隔 9" xfId="1915"/>
    <cellStyle name="千位分隔 9 2" xfId="1916"/>
    <cellStyle name="千位分隔 9 2 2" xfId="1917"/>
    <cellStyle name="千位分隔 9 2 3" xfId="1918"/>
    <cellStyle name="千位分隔 9 3" xfId="1919"/>
    <cellStyle name="千位分隔 9 4" xfId="1549"/>
    <cellStyle name="千位分隔 9 5" xfId="1765"/>
    <cellStyle name="千位分隔 9 6" xfId="62"/>
    <cellStyle name="千位分隔[0] 10" xfId="150"/>
    <cellStyle name="千位分隔[0] 11" xfId="388"/>
    <cellStyle name="千位分隔[0] 12" xfId="1333"/>
    <cellStyle name="千位分隔[0] 13" xfId="1336"/>
    <cellStyle name="千位分隔[0] 14" xfId="1641"/>
    <cellStyle name="千位分隔[0] 15" xfId="233"/>
    <cellStyle name="千位分隔[0] 16" xfId="240"/>
    <cellStyle name="千位分隔[0] 17" xfId="738"/>
    <cellStyle name="千位分隔[0] 18" xfId="1647"/>
    <cellStyle name="千位分隔[0] 19" xfId="1651"/>
    <cellStyle name="千位分隔[0] 2" xfId="110"/>
    <cellStyle name="千位分隔[0] 2 10" xfId="1920"/>
    <cellStyle name="千位分隔[0] 2 11" xfId="1921"/>
    <cellStyle name="千位分隔[0] 2 12" xfId="1922"/>
    <cellStyle name="千位分隔[0] 2 13" xfId="699"/>
    <cellStyle name="千位分隔[0] 2 14" xfId="1923"/>
    <cellStyle name="千位分隔[0] 2 15" xfId="1925"/>
    <cellStyle name="千位分隔[0] 2 16" xfId="1927"/>
    <cellStyle name="千位分隔[0] 2 17" xfId="1929"/>
    <cellStyle name="千位分隔[0] 2 18" xfId="1931"/>
    <cellStyle name="千位分隔[0] 2 19" xfId="1933"/>
    <cellStyle name="千位分隔[0] 2 2" xfId="729"/>
    <cellStyle name="千位分隔[0] 2 20" xfId="1924"/>
    <cellStyle name="千位分隔[0] 2 21" xfId="1926"/>
    <cellStyle name="千位分隔[0] 2 22" xfId="1928"/>
    <cellStyle name="千位分隔[0] 2 23" xfId="1930"/>
    <cellStyle name="千位分隔[0] 2 24" xfId="1932"/>
    <cellStyle name="千位分隔[0] 2 25" xfId="1935"/>
    <cellStyle name="千位分隔[0] 2 26" xfId="1937"/>
    <cellStyle name="千位分隔[0] 2 27" xfId="1939"/>
    <cellStyle name="千位分隔[0] 2 28" xfId="1941"/>
    <cellStyle name="千位分隔[0] 2 29" xfId="1943"/>
    <cellStyle name="千位分隔[0] 2 3" xfId="1945"/>
    <cellStyle name="千位分隔[0] 2 30" xfId="1934"/>
    <cellStyle name="千位分隔[0] 2 31" xfId="1936"/>
    <cellStyle name="千位分隔[0] 2 32" xfId="1938"/>
    <cellStyle name="千位分隔[0] 2 33" xfId="1940"/>
    <cellStyle name="千位分隔[0] 2 34" xfId="1942"/>
    <cellStyle name="千位分隔[0] 2 35" xfId="1947"/>
    <cellStyle name="千位分隔[0] 2 36" xfId="1949"/>
    <cellStyle name="千位分隔[0] 2 37" xfId="1492"/>
    <cellStyle name="千位分隔[0] 2 38" xfId="1951"/>
    <cellStyle name="千位分隔[0] 2 39" xfId="1953"/>
    <cellStyle name="千位分隔[0] 2 4" xfId="1955"/>
    <cellStyle name="千位分隔[0] 2 40" xfId="1946"/>
    <cellStyle name="千位分隔[0] 2 41" xfId="1948"/>
    <cellStyle name="千位分隔[0] 2 42" xfId="1491"/>
    <cellStyle name="千位分隔[0] 2 43" xfId="1950"/>
    <cellStyle name="千位分隔[0] 2 44" xfId="1952"/>
    <cellStyle name="千位分隔[0] 2 45" xfId="1093"/>
    <cellStyle name="千位分隔[0] 2 46" xfId="1759"/>
    <cellStyle name="千位分隔[0] 2 47" xfId="1957"/>
    <cellStyle name="千位分隔[0] 2 48" xfId="10"/>
    <cellStyle name="千位分隔[0] 2 49" xfId="171"/>
    <cellStyle name="千位分隔[0] 2 5" xfId="1958"/>
    <cellStyle name="千位分隔[0] 2 50" xfId="1094"/>
    <cellStyle name="千位分隔[0] 2 51" xfId="1758"/>
    <cellStyle name="千位分隔[0] 2 52" xfId="1956"/>
    <cellStyle name="千位分隔[0] 2 53" xfId="9"/>
    <cellStyle name="千位分隔[0] 2 54" xfId="170"/>
    <cellStyle name="千位分隔[0] 2 55" xfId="196"/>
    <cellStyle name="千位分隔[0] 2 56" xfId="1960"/>
    <cellStyle name="千位分隔[0] 2 57" xfId="1961"/>
    <cellStyle name="千位分隔[0] 2 58" xfId="1962"/>
    <cellStyle name="千位分隔[0] 2 59" xfId="1963"/>
    <cellStyle name="千位分隔[0] 2 6" xfId="1964"/>
    <cellStyle name="千位分隔[0] 2 60" xfId="195"/>
    <cellStyle name="千位分隔[0] 2 61" xfId="1959"/>
    <cellStyle name="千位分隔[0] 2 7" xfId="1965"/>
    <cellStyle name="千位分隔[0] 2 8" xfId="752"/>
    <cellStyle name="千位分隔[0] 2 9" xfId="1966"/>
    <cellStyle name="千位分隔[0] 20" xfId="232"/>
    <cellStyle name="千位分隔[0] 21" xfId="239"/>
    <cellStyle name="千位分隔[0] 22" xfId="739"/>
    <cellStyle name="千位分隔[0] 23" xfId="1646"/>
    <cellStyle name="千位分隔[0] 24" xfId="1650"/>
    <cellStyle name="千位分隔[0] 25" xfId="1377"/>
    <cellStyle name="千位分隔[0] 26" xfId="1655"/>
    <cellStyle name="千位分隔[0] 27" xfId="1702"/>
    <cellStyle name="千位分隔[0] 28" xfId="1706"/>
    <cellStyle name="千位分隔[0] 29" xfId="1710"/>
    <cellStyle name="千位分隔[0] 3" xfId="116"/>
    <cellStyle name="千位分隔[0] 3 2" xfId="1967"/>
    <cellStyle name="千位分隔[0] 3 3" xfId="1968"/>
    <cellStyle name="千位分隔[0] 3 4" xfId="1969"/>
    <cellStyle name="千位分隔[0] 3 5" xfId="1970"/>
    <cellStyle name="千位分隔[0] 3 6" xfId="1971"/>
    <cellStyle name="千位分隔[0] 30" xfId="1376"/>
    <cellStyle name="千位分隔[0] 31" xfId="1654"/>
    <cellStyle name="千位分隔[0] 32" xfId="1701"/>
    <cellStyle name="千位分隔[0] 33" xfId="1705"/>
    <cellStyle name="千位分隔[0] 34" xfId="1709"/>
    <cellStyle name="千位分隔[0] 35" xfId="1143"/>
    <cellStyle name="千位分隔[0] 36" xfId="1714"/>
    <cellStyle name="千位分隔[0] 37" xfId="1721"/>
    <cellStyle name="千位分隔[0] 38" xfId="1725"/>
    <cellStyle name="千位分隔[0] 39" xfId="1729"/>
    <cellStyle name="千位分隔[0] 4" xfId="1972"/>
    <cellStyle name="千位分隔[0] 4 2" xfId="1973"/>
    <cellStyle name="千位分隔[0] 4 3" xfId="1974"/>
    <cellStyle name="千位分隔[0] 40" xfId="1144"/>
    <cellStyle name="千位分隔[0] 41" xfId="1713"/>
    <cellStyle name="千位分隔[0] 42" xfId="1720"/>
    <cellStyle name="千位分隔[0] 43" xfId="1724"/>
    <cellStyle name="千位分隔[0] 44" xfId="1728"/>
    <cellStyle name="千位分隔[0] 45" xfId="550"/>
    <cellStyle name="千位分隔[0] 46" xfId="555"/>
    <cellStyle name="千位分隔[0] 47" xfId="560"/>
    <cellStyle name="千位分隔[0] 48" xfId="568"/>
    <cellStyle name="千位分隔[0] 49" xfId="1509"/>
    <cellStyle name="千位分隔[0] 5" xfId="1607"/>
    <cellStyle name="千位分隔[0] 5 2" xfId="1818"/>
    <cellStyle name="千位分隔[0] 5 3" xfId="1823"/>
    <cellStyle name="千位分隔[0] 50" xfId="549"/>
    <cellStyle name="千位分隔[0] 51" xfId="554"/>
    <cellStyle name="千位分隔[0] 52" xfId="559"/>
    <cellStyle name="千位分隔[0] 53" xfId="567"/>
    <cellStyle name="千位分隔[0] 54" xfId="1508"/>
    <cellStyle name="千位分隔[0] 55" xfId="99"/>
    <cellStyle name="千位分隔[0] 56" xfId="106"/>
    <cellStyle name="千位分隔[0] 57" xfId="23"/>
    <cellStyle name="千位分隔[0] 58" xfId="120"/>
    <cellStyle name="千位分隔[0] 59" xfId="127"/>
    <cellStyle name="千位分隔[0] 6" xfId="820"/>
    <cellStyle name="千位分隔[0] 6 2" xfId="1975"/>
    <cellStyle name="千位分隔[0] 6 3" xfId="1976"/>
    <cellStyle name="千位分隔[0] 6 4" xfId="333"/>
    <cellStyle name="千位分隔[0] 6 5" xfId="336"/>
    <cellStyle name="千位分隔[0] 6 6" xfId="1977"/>
    <cellStyle name="千位分隔[0] 60" xfId="98"/>
    <cellStyle name="千位分隔[0] 61" xfId="105"/>
    <cellStyle name="千位分隔[0] 7" xfId="1153"/>
    <cellStyle name="千位分隔[0] 8" xfId="1571"/>
    <cellStyle name="千位分隔[0] 9" xfId="1573"/>
    <cellStyle name="钎霖_(沥焊何巩)岿喊牢盔拌裙" xfId="1978"/>
    <cellStyle name="强调 1" xfId="1979"/>
    <cellStyle name="强调 1 2" xfId="1980"/>
    <cellStyle name="强调 2" xfId="1981"/>
    <cellStyle name="强调 2 2" xfId="754"/>
    <cellStyle name="强调 3" xfId="1982"/>
    <cellStyle name="强调 3 2" xfId="215"/>
    <cellStyle name="强调文字颜色 1 2" xfId="935"/>
    <cellStyle name="强调文字颜色 1 2 2" xfId="1466"/>
    <cellStyle name="强调文字颜色 1 2 3" xfId="1983"/>
    <cellStyle name="强调文字颜色 1 3" xfId="939"/>
    <cellStyle name="强调文字颜色 1 3 2" xfId="1984"/>
    <cellStyle name="强调文字颜色 1 3 3" xfId="1985"/>
    <cellStyle name="强调文字颜色 1 3 4" xfId="1137"/>
    <cellStyle name="强调文字颜色 1 3 5" xfId="1794"/>
    <cellStyle name="强调文字颜色 1 4" xfId="942"/>
    <cellStyle name="强调文字颜色 2 2" xfId="1986"/>
    <cellStyle name="强调文字颜色 2 2 2" xfId="600"/>
    <cellStyle name="强调文字颜色 2 2 3" xfId="1987"/>
    <cellStyle name="强调文字颜色 2 3" xfId="1988"/>
    <cellStyle name="强调文字颜色 2 3 2" xfId="6"/>
    <cellStyle name="强调文字颜色 2 3 3" xfId="1989"/>
    <cellStyle name="强调文字颜色 2 3 4" xfId="1842"/>
    <cellStyle name="强调文字颜色 2 3 5" xfId="1990"/>
    <cellStyle name="强调文字颜色 2 4" xfId="1991"/>
    <cellStyle name="强调文字颜色 3 2" xfId="1780"/>
    <cellStyle name="强调文字颜色 3 2 2" xfId="439"/>
    <cellStyle name="强调文字颜色 3 2 3" xfId="456"/>
    <cellStyle name="强调文字颜色 3 3" xfId="1299"/>
    <cellStyle name="强调文字颜色 3 3 2" xfId="1992"/>
    <cellStyle name="强调文字颜色 3 3 3" xfId="1993"/>
    <cellStyle name="强调文字颜色 3 3 4" xfId="1855"/>
    <cellStyle name="强调文字颜色 3 3 5" xfId="1857"/>
    <cellStyle name="强调文字颜色 3 4" xfId="1783"/>
    <cellStyle name="强调文字颜色 4 2" xfId="1994"/>
    <cellStyle name="强调文字颜色 4 2 2" xfId="1995"/>
    <cellStyle name="强调文字颜色 4 2 3" xfId="1996"/>
    <cellStyle name="强调文字颜色 4 3" xfId="1997"/>
    <cellStyle name="强调文字颜色 4 3 2" xfId="1668"/>
    <cellStyle name="强调文字颜色 4 3 3" xfId="1671"/>
    <cellStyle name="强调文字颜色 4 3 4" xfId="1459"/>
    <cellStyle name="强调文字颜色 4 3 5" xfId="1675"/>
    <cellStyle name="强调文字颜色 4 4" xfId="1998"/>
    <cellStyle name="强调文字颜色 5 2" xfId="806"/>
    <cellStyle name="强调文字颜色 5 2 2" xfId="757"/>
    <cellStyle name="强调文字颜色 5 2 3" xfId="576"/>
    <cellStyle name="强调文字颜色 5 3" xfId="958"/>
    <cellStyle name="强调文字颜色 5 3 2" xfId="1872"/>
    <cellStyle name="强调文字颜色 5 3 3" xfId="37"/>
    <cellStyle name="强调文字颜色 5 3 4" xfId="1883"/>
    <cellStyle name="强调文字颜色 5 3 5" xfId="1887"/>
    <cellStyle name="强调文字颜色 5 4" xfId="960"/>
    <cellStyle name="强调文字颜色 6 2" xfId="286"/>
    <cellStyle name="强调文字颜色 6 2 2" xfId="1999"/>
    <cellStyle name="强调文字颜色 6 2 3" xfId="1038"/>
    <cellStyle name="强调文字颜色 6 3" xfId="993"/>
    <cellStyle name="强调文字颜色 6 3 2" xfId="2000"/>
    <cellStyle name="强调文字颜色 6 3 3" xfId="2001"/>
    <cellStyle name="强调文字颜色 6 3 4" xfId="1906"/>
    <cellStyle name="强调文字颜色 6 3 5" xfId="1908"/>
    <cellStyle name="强调文字颜色 6 4" xfId="2002"/>
    <cellStyle name="适中 2" xfId="1689"/>
    <cellStyle name="适中 2 2" xfId="430"/>
    <cellStyle name="适中 2 3" xfId="2003"/>
    <cellStyle name="适中 2 4" xfId="2004"/>
    <cellStyle name="适中 2 5" xfId="2005"/>
    <cellStyle name="适中 2 6" xfId="2006"/>
    <cellStyle name="适中 3" xfId="1692"/>
    <cellStyle name="输出 2" xfId="103"/>
    <cellStyle name="输出 2 2" xfId="2007"/>
    <cellStyle name="输出 2 3" xfId="2008"/>
    <cellStyle name="输出 2 4" xfId="2009"/>
    <cellStyle name="输出 2 5" xfId="2010"/>
    <cellStyle name="输出 2 6" xfId="2011"/>
    <cellStyle name="输出 3" xfId="2012"/>
    <cellStyle name="输入 2" xfId="1327"/>
    <cellStyle name="输入 2 2" xfId="2013"/>
    <cellStyle name="输入 2 3" xfId="843"/>
    <cellStyle name="输入 2 4" xfId="728"/>
    <cellStyle name="输入 2 5" xfId="1944"/>
    <cellStyle name="输入 2 6" xfId="1954"/>
    <cellStyle name="输入 3" xfId="1329"/>
    <cellStyle name="通貨 [0.00]_１１月価格表" xfId="791"/>
    <cellStyle name="通貨_１１月価格表" xfId="2014"/>
    <cellStyle name="样式 1" xfId="778"/>
    <cellStyle name="样式 1 2" xfId="723"/>
    <cellStyle name="样式 1 3" xfId="1594"/>
    <cellStyle name="样式 1 4" xfId="1596"/>
    <cellStyle name="样式 1_2011年海口市城市发展有限公司企业所得税底稿-02" xfId="263"/>
    <cellStyle name="一般_SGV" xfId="401"/>
    <cellStyle name="昗弨_ Index" xfId="2015"/>
    <cellStyle name="寘嬫愗傝 [0.00]_PRODUCT DETAIL Q1" xfId="2016"/>
    <cellStyle name="寘嬫愗傝_PRODUCT DETAIL Q1" xfId="2017"/>
    <cellStyle name="注释 2" xfId="490"/>
    <cellStyle name="注释 2 2" xfId="1555"/>
    <cellStyle name="注释 2 3" xfId="2018"/>
    <cellStyle name="注释 3" xfId="497"/>
    <cellStyle name="注释 3 2" xfId="2019"/>
    <cellStyle name="注释 3 3" xfId="2020"/>
    <cellStyle name="注释 3 4" xfId="2021"/>
    <cellStyle name="注释 3 5" xfId="371"/>
    <cellStyle name="注释 4" xfId="504"/>
    <cellStyle name="资产" xfId="1912"/>
    <cellStyle name="콤마 [0]_BOILER-CO1" xfId="2022"/>
    <cellStyle name="콤마_BOILER-CO1" xfId="2023"/>
    <cellStyle name="통화 [0]_BOILER-CO1" xfId="1515"/>
    <cellStyle name="통화_BOILER-CO1" xfId="732"/>
    <cellStyle name="표준_0N-HANDLING " xfId="2024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20844;&#20849;&#25991;&#20214;&#22841;\&#31526;&#32418;&#36126;\&#32654;&#37117;&#20844;&#21496;&#8220;&#22825;&#28023;&#22269;&#38469;&#8221;\zrhx\&#35199;&#31168;&#22303;&#22686;\&#27888;&#36798;&#22825;&#28023;&#22269;&#38469;&#39033;&#30446;&#21021;&#31295;\&#22303;&#22686;&#25253;&#21578;&#21021;&#31295;\&#32654;&#37117;\10&#26376;&#24037;&#20316;\&#19977;&#20010;&#24449;&#27714;&#24847;&#35265;&#31295;\&#23457;&#26680;&#34920;&#19968;&#263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013;&#22825;&#20351;\2012&#24180;&#25253;&#21578;\Documents%20and%20Settings\Administrator\&#26700;&#38754;\My%20Documents\000\2009\Temp\Rar$DI44.4125\&#22269;&#36152;_2005_&#38543;&#204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录"/>
      <sheetName val="目录2"/>
      <sheetName val="工作计划"/>
      <sheetName val="报告"/>
      <sheetName val="企业情况"/>
      <sheetName val="项目情况"/>
      <sheetName val="鉴证主表"/>
      <sheetName val="鉴证1"/>
      <sheetName val="鉴证2"/>
      <sheetName val="鉴证3"/>
      <sheetName val="鉴证4"/>
      <sheetName val="已缴增税"/>
      <sheetName val="收入"/>
      <sheetName val="扣除汇总Z"/>
      <sheetName val="扣除汇总"/>
      <sheetName val="扣除汇总1"/>
      <sheetName val="扣除汇总2"/>
      <sheetName val="扣除汇总3"/>
      <sheetName val="取得土地"/>
      <sheetName val="土地征用"/>
      <sheetName val="前期工程"/>
      <sheetName val="建筑安装工程"/>
      <sheetName val="基础设施"/>
      <sheetName val="开发间接费"/>
      <sheetName val="公共配套设施"/>
      <sheetName val="利息支出"/>
      <sheetName val="有关税金"/>
      <sheetName val="面积"/>
      <sheetName val="面积明细"/>
      <sheetName val="汇总"/>
      <sheetName val="收款转收入"/>
      <sheetName val="明细0"/>
      <sheetName val="营业税"/>
      <sheetName val="明细1"/>
      <sheetName val="明细2"/>
      <sheetName val="明细3"/>
      <sheetName val="明细4"/>
      <sheetName val="发票"/>
      <sheetName val="决算书"/>
      <sheetName val="成本分配"/>
      <sheetName val="合同审核表"/>
      <sheetName val="成本类别参照表"/>
      <sheetName val="开发成本"/>
      <sheetName val="申报主表"/>
      <sheetName val="1土地费用"/>
      <sheetName val="2拆迁补偿费"/>
      <sheetName val="取得土地价"/>
      <sheetName val="3前期工程费"/>
      <sheetName val="4建安工程费"/>
      <sheetName val="5基础设施建设费"/>
      <sheetName val="6公共配套设施费"/>
      <sheetName val="7开发间接费用"/>
      <sheetName val="8金融机构借款利息1"/>
      <sheetName val="9金融机构借款利息2"/>
      <sheetName val="10房地产销售收入1普"/>
      <sheetName val="10房地产销售收入1非"/>
      <sheetName val="11房地产销售收入2"/>
      <sheetName val="12房地产销售税金"/>
      <sheetName val="13房地产销售情况"/>
      <sheetName val="14扣除项目汇总Z"/>
      <sheetName val="14扣除项目汇总"/>
      <sheetName val="下拉选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索引"/>
      <sheetName val="货币资金Cx"/>
      <sheetName val="货币资金Mx"/>
      <sheetName val="分录"/>
      <sheetName val="标本-资产"/>
      <sheetName val="下拉选项"/>
      <sheetName val="营业费用分月"/>
      <sheetName val="Sheet1"/>
      <sheetName val="应交税金测算表(2005)"/>
      <sheetName val="05帐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85" zoomScaleNormal="85" workbookViewId="0">
      <pane xSplit="10" ySplit="7" topLeftCell="K8" activePane="bottomRight" state="frozen"/>
      <selection pane="topRight"/>
      <selection pane="bottomLeft"/>
      <selection pane="bottomRight" activeCell="B10" sqref="B10:H10"/>
    </sheetView>
  </sheetViews>
  <sheetFormatPr defaultColWidth="9" defaultRowHeight="15.75"/>
  <cols>
    <col min="1" max="1" width="4.5" style="619" customWidth="1"/>
    <col min="2" max="2" width="6.375" style="619" customWidth="1"/>
    <col min="3" max="4" width="7" style="619" customWidth="1"/>
    <col min="5" max="5" width="8.875" style="619" customWidth="1"/>
    <col min="6" max="6" width="9" style="619"/>
    <col min="7" max="8" width="6.875" style="619" customWidth="1"/>
    <col min="9" max="9" width="3.125" style="619" customWidth="1"/>
    <col min="10" max="10" width="2.5" style="619" customWidth="1"/>
    <col min="11" max="11" width="5.875" style="619" customWidth="1"/>
    <col min="12" max="12" width="12.875" style="619" customWidth="1"/>
    <col min="13" max="13" width="15.25" style="619" customWidth="1"/>
    <col min="14" max="14" width="14.75" style="619" customWidth="1"/>
    <col min="15" max="16" width="9" style="619"/>
    <col min="17" max="17" width="17.125" style="619" customWidth="1"/>
    <col min="18" max="18" width="13.125" style="619" customWidth="1"/>
    <col min="19" max="16384" width="9" style="619"/>
  </cols>
  <sheetData>
    <row r="1" spans="1:18" ht="24">
      <c r="A1" s="778" t="s">
        <v>488</v>
      </c>
      <c r="B1" s="665"/>
      <c r="C1" s="665"/>
      <c r="D1" s="665"/>
      <c r="E1" s="665"/>
      <c r="F1" s="665"/>
      <c r="G1" s="665"/>
      <c r="H1" s="665"/>
      <c r="I1" s="665"/>
      <c r="J1" s="665"/>
      <c r="K1" s="665"/>
      <c r="L1" s="665"/>
      <c r="M1" s="665"/>
      <c r="N1" s="665"/>
    </row>
    <row r="2" spans="1:18" s="618" customFormat="1" ht="12.75">
      <c r="A2" s="634" t="s">
        <v>662</v>
      </c>
      <c r="B2" s="635"/>
      <c r="C2" s="636"/>
      <c r="D2" s="636"/>
      <c r="E2" s="636"/>
      <c r="F2" s="636"/>
      <c r="G2" s="635"/>
      <c r="H2" s="635"/>
      <c r="I2" s="635"/>
      <c r="J2" s="635"/>
      <c r="K2" s="803" t="s">
        <v>661</v>
      </c>
      <c r="L2" s="666"/>
      <c r="M2" s="666"/>
      <c r="N2" s="666"/>
    </row>
    <row r="3" spans="1:18" s="618" customFormat="1" ht="39" customHeight="1">
      <c r="A3" s="661" t="s">
        <v>616</v>
      </c>
      <c r="B3" s="651"/>
      <c r="C3" s="667" t="s">
        <v>482</v>
      </c>
      <c r="D3" s="664"/>
      <c r="E3" s="668"/>
      <c r="F3" s="638" t="s">
        <v>659</v>
      </c>
      <c r="G3" s="667" t="s">
        <v>483</v>
      </c>
      <c r="H3" s="664"/>
      <c r="I3" s="664"/>
      <c r="J3" s="667" t="s">
        <v>659</v>
      </c>
      <c r="K3" s="668"/>
      <c r="L3" s="637"/>
      <c r="M3" s="795" t="s">
        <v>660</v>
      </c>
      <c r="N3" s="639" t="s">
        <v>486</v>
      </c>
    </row>
    <row r="4" spans="1:18" s="618" customFormat="1" ht="37.5" customHeight="1">
      <c r="A4" s="661" t="s">
        <v>617</v>
      </c>
      <c r="B4" s="651"/>
      <c r="C4" s="661" t="s">
        <v>484</v>
      </c>
      <c r="D4" s="662"/>
      <c r="E4" s="651"/>
      <c r="F4" s="638" t="s">
        <v>619</v>
      </c>
      <c r="G4" s="661" t="s">
        <v>620</v>
      </c>
      <c r="H4" s="662"/>
      <c r="I4" s="651"/>
      <c r="J4" s="661" t="s">
        <v>621</v>
      </c>
      <c r="K4" s="651"/>
      <c r="L4" s="640" t="s">
        <v>485</v>
      </c>
      <c r="M4" s="638" t="s">
        <v>617</v>
      </c>
      <c r="N4" s="641"/>
    </row>
    <row r="5" spans="1:18" s="618" customFormat="1" ht="25.5" customHeight="1">
      <c r="A5" s="661" t="s">
        <v>618</v>
      </c>
      <c r="B5" s="651"/>
      <c r="C5" s="661"/>
      <c r="D5" s="662"/>
      <c r="E5" s="651"/>
      <c r="F5" s="624" t="s">
        <v>0</v>
      </c>
      <c r="G5" s="663"/>
      <c r="H5" s="664"/>
      <c r="I5" s="664"/>
      <c r="J5" s="650" t="s">
        <v>1</v>
      </c>
      <c r="K5" s="651"/>
      <c r="L5" s="622"/>
      <c r="M5" s="624" t="s">
        <v>2</v>
      </c>
      <c r="N5" s="641" t="s">
        <v>487</v>
      </c>
    </row>
    <row r="6" spans="1:18" s="618" customFormat="1" ht="18.75" customHeight="1">
      <c r="A6" s="656" t="s">
        <v>3</v>
      </c>
      <c r="B6" s="656"/>
      <c r="C6" s="656"/>
      <c r="D6" s="656"/>
      <c r="E6" s="656"/>
      <c r="F6" s="656"/>
      <c r="G6" s="656"/>
      <c r="H6" s="656"/>
      <c r="I6" s="656"/>
      <c r="J6" s="656" t="s">
        <v>4</v>
      </c>
      <c r="K6" s="656"/>
      <c r="L6" s="656"/>
      <c r="M6" s="656"/>
      <c r="N6" s="656"/>
    </row>
    <row r="7" spans="1:18" s="618" customFormat="1" ht="24" customHeight="1">
      <c r="A7" s="656" t="s">
        <v>5</v>
      </c>
      <c r="B7" s="656"/>
      <c r="C7" s="656"/>
      <c r="D7" s="656"/>
      <c r="E7" s="656"/>
      <c r="F7" s="656"/>
      <c r="G7" s="656"/>
      <c r="H7" s="656"/>
      <c r="I7" s="656" t="s">
        <v>6</v>
      </c>
      <c r="J7" s="656"/>
      <c r="K7" s="794" t="s">
        <v>622</v>
      </c>
      <c r="L7" s="656"/>
      <c r="M7" s="638" t="s">
        <v>617</v>
      </c>
      <c r="N7" s="795" t="s">
        <v>623</v>
      </c>
    </row>
    <row r="8" spans="1:18" s="618" customFormat="1" ht="24" customHeight="1">
      <c r="A8" s="793" t="s">
        <v>615</v>
      </c>
      <c r="B8" s="649"/>
      <c r="C8" s="649"/>
      <c r="D8" s="649"/>
      <c r="E8" s="649"/>
      <c r="F8" s="649"/>
      <c r="G8" s="649"/>
      <c r="H8" s="649"/>
      <c r="I8" s="656">
        <v>1</v>
      </c>
      <c r="J8" s="656"/>
      <c r="K8" s="652">
        <f>SUM(M8:N8)</f>
        <v>164296709.93000001</v>
      </c>
      <c r="L8" s="652"/>
      <c r="M8" s="643">
        <f>SUM(M9:M11)</f>
        <v>156710319.93000001</v>
      </c>
      <c r="N8" s="643">
        <f>SUM(N9:N11)</f>
        <v>7586390</v>
      </c>
      <c r="Q8" s="632"/>
      <c r="R8" s="630"/>
    </row>
    <row r="9" spans="1:18" s="618" customFormat="1" ht="24" customHeight="1">
      <c r="A9" s="653" t="s">
        <v>8</v>
      </c>
      <c r="B9" s="793" t="s">
        <v>609</v>
      </c>
      <c r="C9" s="649"/>
      <c r="D9" s="649"/>
      <c r="E9" s="649"/>
      <c r="F9" s="649"/>
      <c r="G9" s="649"/>
      <c r="H9" s="649"/>
      <c r="I9" s="656">
        <v>2</v>
      </c>
      <c r="J9" s="656"/>
      <c r="K9" s="659">
        <f>SUM(M9:N9)</f>
        <v>164296709.93000001</v>
      </c>
      <c r="L9" s="660"/>
      <c r="M9" s="643">
        <v>156710319.93000001</v>
      </c>
      <c r="N9" s="642">
        <f>7586390</f>
        <v>7586390</v>
      </c>
      <c r="Q9" s="630"/>
    </row>
    <row r="10" spans="1:18" s="618" customFormat="1" ht="24" customHeight="1">
      <c r="A10" s="654"/>
      <c r="B10" s="793" t="s">
        <v>624</v>
      </c>
      <c r="C10" s="649"/>
      <c r="D10" s="649"/>
      <c r="E10" s="649"/>
      <c r="F10" s="649"/>
      <c r="G10" s="649"/>
      <c r="H10" s="649"/>
      <c r="I10" s="656">
        <v>3</v>
      </c>
      <c r="J10" s="656"/>
      <c r="K10" s="652">
        <f t="shared" ref="K10:K31" si="0">SUM(M10:N10)</f>
        <v>0</v>
      </c>
      <c r="L10" s="652"/>
      <c r="M10" s="643"/>
      <c r="N10" s="643"/>
    </row>
    <row r="11" spans="1:18" s="618" customFormat="1" ht="24" customHeight="1">
      <c r="A11" s="655"/>
      <c r="B11" s="796" t="s">
        <v>625</v>
      </c>
      <c r="C11" s="657"/>
      <c r="D11" s="657"/>
      <c r="E11" s="657"/>
      <c r="F11" s="657"/>
      <c r="G11" s="657"/>
      <c r="H11" s="658"/>
      <c r="I11" s="650">
        <v>4</v>
      </c>
      <c r="J11" s="651"/>
      <c r="K11" s="659">
        <f t="shared" si="0"/>
        <v>0</v>
      </c>
      <c r="L11" s="660"/>
      <c r="M11" s="643"/>
      <c r="N11" s="643"/>
    </row>
    <row r="12" spans="1:18" s="618" customFormat="1" ht="24" customHeight="1">
      <c r="A12" s="793" t="s">
        <v>626</v>
      </c>
      <c r="B12" s="649"/>
      <c r="C12" s="649"/>
      <c r="D12" s="649"/>
      <c r="E12" s="649"/>
      <c r="F12" s="649"/>
      <c r="G12" s="649"/>
      <c r="H12" s="649"/>
      <c r="I12" s="650">
        <v>5</v>
      </c>
      <c r="J12" s="651"/>
      <c r="K12" s="652">
        <f t="shared" ca="1" si="0"/>
        <v>16685774.256000001</v>
      </c>
      <c r="L12" s="652"/>
      <c r="M12" s="643">
        <f ca="1">M13+M14+M22+M25+M30</f>
        <v>16042916.778000001</v>
      </c>
      <c r="N12" s="643">
        <f ca="1">N13+N14+N22+N25+N30</f>
        <v>642857.478</v>
      </c>
    </row>
    <row r="13" spans="1:18" s="618" customFormat="1" ht="24" customHeight="1">
      <c r="A13" s="793" t="s">
        <v>627</v>
      </c>
      <c r="B13" s="649"/>
      <c r="C13" s="649"/>
      <c r="D13" s="649"/>
      <c r="E13" s="649"/>
      <c r="F13" s="649"/>
      <c r="G13" s="649"/>
      <c r="H13" s="649"/>
      <c r="I13" s="650">
        <v>6</v>
      </c>
      <c r="J13" s="651"/>
      <c r="K13" s="652">
        <f t="shared" si="0"/>
        <v>1124533.93</v>
      </c>
      <c r="L13" s="652"/>
      <c r="M13" s="643">
        <f>Sheet2!E6</f>
        <v>1100468.8999999999</v>
      </c>
      <c r="N13" s="643">
        <f>Sheet2!F6</f>
        <v>24065.03</v>
      </c>
    </row>
    <row r="14" spans="1:18" s="618" customFormat="1" ht="24" customHeight="1">
      <c r="A14" s="796" t="s">
        <v>617</v>
      </c>
      <c r="B14" s="657"/>
      <c r="C14" s="657"/>
      <c r="D14" s="657"/>
      <c r="E14" s="657"/>
      <c r="F14" s="657"/>
      <c r="G14" s="657"/>
      <c r="H14" s="658"/>
      <c r="I14" s="650">
        <v>7</v>
      </c>
      <c r="J14" s="651"/>
      <c r="K14" s="652">
        <f t="shared" ca="1" si="0"/>
        <v>5153714.75</v>
      </c>
      <c r="L14" s="652"/>
      <c r="M14" s="643">
        <f ca="1">SUM(M15:M20)</f>
        <v>5004236.6900000004</v>
      </c>
      <c r="N14" s="643">
        <f ca="1">SUM(N15:N20)</f>
        <v>149478.06</v>
      </c>
      <c r="R14" s="630"/>
    </row>
    <row r="15" spans="1:18" s="618" customFormat="1" ht="24" customHeight="1">
      <c r="A15" s="656" t="s">
        <v>8</v>
      </c>
      <c r="B15" s="793" t="s">
        <v>628</v>
      </c>
      <c r="C15" s="649"/>
      <c r="D15" s="649"/>
      <c r="E15" s="649"/>
      <c r="F15" s="649"/>
      <c r="G15" s="649"/>
      <c r="H15" s="649"/>
      <c r="I15" s="650">
        <v>8</v>
      </c>
      <c r="J15" s="651"/>
      <c r="K15" s="652">
        <f t="shared" si="0"/>
        <v>0</v>
      </c>
      <c r="L15" s="652"/>
      <c r="M15" s="643">
        <f>Sheet2!E8</f>
        <v>0</v>
      </c>
      <c r="N15" s="643">
        <f>Sheet2!F8</f>
        <v>0</v>
      </c>
    </row>
    <row r="16" spans="1:18" s="618" customFormat="1" ht="24" customHeight="1">
      <c r="A16" s="656"/>
      <c r="B16" s="793" t="s">
        <v>628</v>
      </c>
      <c r="C16" s="649"/>
      <c r="D16" s="649"/>
      <c r="E16" s="649"/>
      <c r="F16" s="649"/>
      <c r="G16" s="649"/>
      <c r="H16" s="649"/>
      <c r="I16" s="650">
        <v>9</v>
      </c>
      <c r="J16" s="651"/>
      <c r="K16" s="652">
        <f t="shared" si="0"/>
        <v>2386959.7400000002</v>
      </c>
      <c r="L16" s="652"/>
      <c r="M16" s="643">
        <f>Sheet2!E9</f>
        <v>2335878.8000000003</v>
      </c>
      <c r="N16" s="643">
        <f>Sheet2!F9</f>
        <v>51080.939999999995</v>
      </c>
    </row>
    <row r="17" spans="1:14" s="618" customFormat="1" ht="24" customHeight="1">
      <c r="A17" s="656"/>
      <c r="B17" s="793" t="s">
        <v>628</v>
      </c>
      <c r="C17" s="649"/>
      <c r="D17" s="649"/>
      <c r="E17" s="649"/>
      <c r="F17" s="649"/>
      <c r="G17" s="649"/>
      <c r="H17" s="649"/>
      <c r="I17" s="650">
        <v>10</v>
      </c>
      <c r="J17" s="651"/>
      <c r="K17" s="652">
        <f t="shared" ca="1" si="0"/>
        <v>0</v>
      </c>
      <c r="L17" s="652"/>
      <c r="M17" s="643">
        <f ca="1">Sheet2!E10</f>
        <v>0</v>
      </c>
      <c r="N17" s="643">
        <f ca="1">Sheet2!F10</f>
        <v>0</v>
      </c>
    </row>
    <row r="18" spans="1:14" s="618" customFormat="1" ht="24" customHeight="1">
      <c r="A18" s="656"/>
      <c r="B18" s="793" t="s">
        <v>628</v>
      </c>
      <c r="C18" s="649"/>
      <c r="D18" s="649"/>
      <c r="E18" s="649"/>
      <c r="F18" s="649"/>
      <c r="G18" s="649"/>
      <c r="H18" s="649"/>
      <c r="I18" s="650">
        <v>11</v>
      </c>
      <c r="J18" s="651"/>
      <c r="K18" s="652">
        <f t="shared" si="0"/>
        <v>2766755.01</v>
      </c>
      <c r="L18" s="652"/>
      <c r="M18" s="643">
        <f>Sheet2!E12</f>
        <v>2707546.4499999997</v>
      </c>
      <c r="N18" s="643">
        <f>Sheet2!F12</f>
        <v>59208.560000000005</v>
      </c>
    </row>
    <row r="19" spans="1:14" s="618" customFormat="1" ht="24" customHeight="1">
      <c r="A19" s="656"/>
      <c r="B19" s="793" t="s">
        <v>628</v>
      </c>
      <c r="C19" s="649"/>
      <c r="D19" s="649"/>
      <c r="E19" s="649"/>
      <c r="F19" s="649"/>
      <c r="G19" s="649"/>
      <c r="H19" s="649"/>
      <c r="I19" s="650">
        <v>12</v>
      </c>
      <c r="J19" s="651"/>
      <c r="K19" s="652">
        <f t="shared" si="0"/>
        <v>0</v>
      </c>
      <c r="L19" s="652"/>
      <c r="M19" s="643">
        <f>Sheet2!E13</f>
        <v>-39188.559999999998</v>
      </c>
      <c r="N19" s="643">
        <f>Sheet2!F13</f>
        <v>39188.559999999998</v>
      </c>
    </row>
    <row r="20" spans="1:14" s="618" customFormat="1" ht="24" customHeight="1">
      <c r="A20" s="656"/>
      <c r="B20" s="793" t="s">
        <v>628</v>
      </c>
      <c r="C20" s="649"/>
      <c r="D20" s="649"/>
      <c r="E20" s="649"/>
      <c r="F20" s="649"/>
      <c r="G20" s="649"/>
      <c r="H20" s="649"/>
      <c r="I20" s="650">
        <v>13</v>
      </c>
      <c r="J20" s="651"/>
      <c r="K20" s="652">
        <f t="shared" si="0"/>
        <v>0</v>
      </c>
      <c r="L20" s="652"/>
      <c r="M20" s="643">
        <f>Sheet2!E14</f>
        <v>0</v>
      </c>
      <c r="N20" s="643">
        <f>Sheet2!F14</f>
        <v>0</v>
      </c>
    </row>
    <row r="21" spans="1:14" s="618" customFormat="1" ht="24" customHeight="1">
      <c r="A21" s="796" t="s">
        <v>629</v>
      </c>
      <c r="B21" s="657"/>
      <c r="C21" s="657"/>
      <c r="D21" s="657"/>
      <c r="E21" s="657"/>
      <c r="F21" s="657"/>
      <c r="G21" s="657"/>
      <c r="H21" s="658"/>
      <c r="I21" s="650">
        <v>14</v>
      </c>
      <c r="J21" s="651"/>
      <c r="K21" s="659">
        <f t="shared" si="0"/>
        <v>0</v>
      </c>
      <c r="L21" s="660"/>
      <c r="M21" s="643"/>
      <c r="N21" s="643"/>
    </row>
    <row r="22" spans="1:14" s="618" customFormat="1" ht="24" customHeight="1">
      <c r="A22" s="796" t="s">
        <v>630</v>
      </c>
      <c r="B22" s="657"/>
      <c r="C22" s="657"/>
      <c r="D22" s="657"/>
      <c r="E22" s="657"/>
      <c r="F22" s="657"/>
      <c r="G22" s="657"/>
      <c r="H22" s="658"/>
      <c r="I22" s="650">
        <v>15</v>
      </c>
      <c r="J22" s="651"/>
      <c r="K22" s="652">
        <f t="shared" ca="1" si="0"/>
        <v>627824.87000000011</v>
      </c>
      <c r="L22" s="652"/>
      <c r="M22" s="643">
        <f ca="1">SUM(M23:M24)</f>
        <v>610470.56000000006</v>
      </c>
      <c r="N22" s="643">
        <f ca="1">SUM(N23:N24)</f>
        <v>17354.310000000001</v>
      </c>
    </row>
    <row r="23" spans="1:14" s="618" customFormat="1" ht="24" customHeight="1">
      <c r="A23" s="656" t="s">
        <v>8</v>
      </c>
      <c r="B23" s="649" t="s">
        <v>15</v>
      </c>
      <c r="C23" s="649"/>
      <c r="D23" s="649"/>
      <c r="E23" s="649"/>
      <c r="F23" s="649"/>
      <c r="G23" s="649"/>
      <c r="H23" s="649"/>
      <c r="I23" s="650">
        <v>16</v>
      </c>
      <c r="J23" s="651"/>
      <c r="K23" s="652">
        <f t="shared" si="0"/>
        <v>0</v>
      </c>
      <c r="L23" s="652"/>
      <c r="M23" s="643"/>
      <c r="N23" s="643">
        <f>Sheet2!F16</f>
        <v>0</v>
      </c>
    </row>
    <row r="24" spans="1:14" s="618" customFormat="1" ht="24" customHeight="1">
      <c r="A24" s="656"/>
      <c r="B24" s="793" t="s">
        <v>631</v>
      </c>
      <c r="C24" s="649"/>
      <c r="D24" s="649"/>
      <c r="E24" s="649"/>
      <c r="F24" s="649"/>
      <c r="G24" s="649"/>
      <c r="H24" s="649"/>
      <c r="I24" s="650">
        <v>17</v>
      </c>
      <c r="J24" s="651"/>
      <c r="K24" s="652">
        <f t="shared" ca="1" si="0"/>
        <v>627824.87000000011</v>
      </c>
      <c r="L24" s="652"/>
      <c r="M24" s="643">
        <f ca="1">Sheet2!E17</f>
        <v>610470.56000000006</v>
      </c>
      <c r="N24" s="643">
        <f ca="1">Sheet2!F17</f>
        <v>17354.310000000001</v>
      </c>
    </row>
    <row r="25" spans="1:14" s="618" customFormat="1" ht="24" customHeight="1">
      <c r="A25" s="796" t="s">
        <v>626</v>
      </c>
      <c r="B25" s="657"/>
      <c r="C25" s="657"/>
      <c r="D25" s="657"/>
      <c r="E25" s="657"/>
      <c r="F25" s="657"/>
      <c r="G25" s="657"/>
      <c r="H25" s="658"/>
      <c r="I25" s="650">
        <v>18</v>
      </c>
      <c r="J25" s="651"/>
      <c r="K25" s="652">
        <f t="shared" si="0"/>
        <v>8524050.9699999988</v>
      </c>
      <c r="L25" s="652"/>
      <c r="M25" s="643">
        <f>SUM(M26:M29)</f>
        <v>8106799.5099999988</v>
      </c>
      <c r="N25" s="643">
        <f>SUM(N26:N29)</f>
        <v>417251.46</v>
      </c>
    </row>
    <row r="26" spans="1:14" s="618" customFormat="1" ht="24" customHeight="1">
      <c r="A26" s="656" t="s">
        <v>8</v>
      </c>
      <c r="B26" s="793" t="s">
        <v>632</v>
      </c>
      <c r="C26" s="649"/>
      <c r="D26" s="649"/>
      <c r="E26" s="649"/>
      <c r="F26" s="649"/>
      <c r="G26" s="649"/>
      <c r="H26" s="649"/>
      <c r="I26" s="650">
        <v>19</v>
      </c>
      <c r="J26" s="651"/>
      <c r="K26" s="659">
        <f t="shared" si="0"/>
        <v>7707666.1999999993</v>
      </c>
      <c r="L26" s="660"/>
      <c r="M26" s="643">
        <f>Sheet2!E19</f>
        <v>7328346.6999999993</v>
      </c>
      <c r="N26" s="643">
        <f>Sheet2!F19</f>
        <v>379319.5</v>
      </c>
    </row>
    <row r="27" spans="1:14" s="618" customFormat="1" ht="24" customHeight="1">
      <c r="A27" s="656"/>
      <c r="B27" s="793" t="s">
        <v>632</v>
      </c>
      <c r="C27" s="649"/>
      <c r="D27" s="649"/>
      <c r="E27" s="649"/>
      <c r="F27" s="649"/>
      <c r="G27" s="649"/>
      <c r="H27" s="649"/>
      <c r="I27" s="650">
        <v>20</v>
      </c>
      <c r="J27" s="651"/>
      <c r="K27" s="659">
        <f t="shared" si="0"/>
        <v>409975.81</v>
      </c>
      <c r="L27" s="660"/>
      <c r="M27" s="643">
        <f>Sheet2!E20</f>
        <v>391009.83</v>
      </c>
      <c r="N27" s="643">
        <f>Sheet2!F20</f>
        <v>18965.98</v>
      </c>
    </row>
    <row r="28" spans="1:14" s="618" customFormat="1" ht="24" customHeight="1">
      <c r="A28" s="656"/>
      <c r="B28" s="793" t="s">
        <v>632</v>
      </c>
      <c r="C28" s="649"/>
      <c r="D28" s="649"/>
      <c r="E28" s="649"/>
      <c r="F28" s="649"/>
      <c r="G28" s="649"/>
      <c r="H28" s="649"/>
      <c r="I28" s="650">
        <v>21</v>
      </c>
      <c r="J28" s="651"/>
      <c r="K28" s="652">
        <f t="shared" si="0"/>
        <v>245228.69</v>
      </c>
      <c r="L28" s="652"/>
      <c r="M28" s="643">
        <f>Sheet2!E21</f>
        <v>233849.1</v>
      </c>
      <c r="N28" s="643">
        <f>Sheet2!F21</f>
        <v>11379.59</v>
      </c>
    </row>
    <row r="29" spans="1:14" s="618" customFormat="1" ht="24" customHeight="1">
      <c r="A29" s="656"/>
      <c r="B29" s="649" t="s">
        <v>18</v>
      </c>
      <c r="C29" s="649"/>
      <c r="D29" s="649"/>
      <c r="E29" s="649"/>
      <c r="F29" s="649"/>
      <c r="G29" s="649"/>
      <c r="H29" s="649"/>
      <c r="I29" s="650">
        <v>22</v>
      </c>
      <c r="J29" s="651"/>
      <c r="K29" s="659">
        <f t="shared" si="0"/>
        <v>161180.27000000002</v>
      </c>
      <c r="L29" s="660"/>
      <c r="M29" s="643">
        <f>Sheet2!E22</f>
        <v>153593.88</v>
      </c>
      <c r="N29" s="643">
        <f>Sheet2!F22</f>
        <v>7586.39</v>
      </c>
    </row>
    <row r="30" spans="1:14" s="618" customFormat="1" ht="24" customHeight="1">
      <c r="A30" s="796" t="s">
        <v>633</v>
      </c>
      <c r="B30" s="657"/>
      <c r="C30" s="657"/>
      <c r="D30" s="657"/>
      <c r="E30" s="657"/>
      <c r="F30" s="657"/>
      <c r="G30" s="657"/>
      <c r="H30" s="658"/>
      <c r="I30" s="650">
        <v>23</v>
      </c>
      <c r="J30" s="651"/>
      <c r="K30" s="652">
        <f t="shared" ca="1" si="0"/>
        <v>1255649.736</v>
      </c>
      <c r="L30" s="652"/>
      <c r="M30" s="643">
        <f ca="1">(M13+M14)*20%</f>
        <v>1220941.118</v>
      </c>
      <c r="N30" s="643">
        <f ca="1">(N13+N14)*20%</f>
        <v>34708.618000000002</v>
      </c>
    </row>
    <row r="31" spans="1:14" s="618" customFormat="1" ht="24" customHeight="1">
      <c r="A31" s="796" t="s">
        <v>633</v>
      </c>
      <c r="B31" s="657"/>
      <c r="C31" s="657"/>
      <c r="D31" s="657"/>
      <c r="E31" s="657"/>
      <c r="F31" s="657"/>
      <c r="G31" s="657"/>
      <c r="H31" s="658"/>
      <c r="I31" s="650">
        <v>24</v>
      </c>
      <c r="J31" s="651"/>
      <c r="K31" s="652">
        <f t="shared" ca="1" si="0"/>
        <v>147610935.67400002</v>
      </c>
      <c r="L31" s="652"/>
      <c r="M31" s="643">
        <f ca="1">M8-M12</f>
        <v>140667403.15200001</v>
      </c>
      <c r="N31" s="643">
        <f ca="1">N8-N12</f>
        <v>6943532.5219999999</v>
      </c>
    </row>
    <row r="32" spans="1:14" s="618" customFormat="1" ht="24" customHeight="1">
      <c r="A32" s="796" t="s">
        <v>633</v>
      </c>
      <c r="B32" s="657"/>
      <c r="C32" s="657"/>
      <c r="D32" s="657"/>
      <c r="E32" s="657"/>
      <c r="F32" s="657"/>
      <c r="G32" s="657"/>
      <c r="H32" s="658"/>
      <c r="I32" s="650">
        <v>25</v>
      </c>
      <c r="J32" s="651"/>
      <c r="K32" s="659"/>
      <c r="L32" s="660"/>
      <c r="M32" s="644">
        <f ca="1">M31/M12</f>
        <v>8.7681937828724674</v>
      </c>
      <c r="N32" s="644">
        <f ca="1">N31/N12</f>
        <v>10.801044958833005</v>
      </c>
    </row>
    <row r="33" spans="1:14" s="618" customFormat="1" ht="24" customHeight="1">
      <c r="A33" s="796" t="s">
        <v>633</v>
      </c>
      <c r="B33" s="657"/>
      <c r="C33" s="657"/>
      <c r="D33" s="657"/>
      <c r="E33" s="657"/>
      <c r="F33" s="657"/>
      <c r="G33" s="657"/>
      <c r="H33" s="658"/>
      <c r="I33" s="650">
        <v>26</v>
      </c>
      <c r="J33" s="651"/>
      <c r="K33" s="659"/>
      <c r="L33" s="660"/>
      <c r="M33" s="644">
        <v>0</v>
      </c>
      <c r="N33" s="644">
        <v>0.6</v>
      </c>
    </row>
    <row r="34" spans="1:14" s="618" customFormat="1" ht="24" customHeight="1">
      <c r="A34" s="796" t="s">
        <v>633</v>
      </c>
      <c r="B34" s="657"/>
      <c r="C34" s="657"/>
      <c r="D34" s="657"/>
      <c r="E34" s="657"/>
      <c r="F34" s="657"/>
      <c r="G34" s="657"/>
      <c r="H34" s="658"/>
      <c r="I34" s="650">
        <v>27</v>
      </c>
      <c r="J34" s="651"/>
      <c r="K34" s="659"/>
      <c r="L34" s="660"/>
      <c r="M34" s="645">
        <v>0</v>
      </c>
      <c r="N34" s="644">
        <v>0.35</v>
      </c>
    </row>
    <row r="35" spans="1:14" s="618" customFormat="1" ht="24" customHeight="1">
      <c r="A35" s="796" t="s">
        <v>633</v>
      </c>
      <c r="B35" s="657"/>
      <c r="C35" s="657"/>
      <c r="D35" s="657"/>
      <c r="E35" s="657"/>
      <c r="F35" s="657"/>
      <c r="G35" s="657"/>
      <c r="H35" s="658"/>
      <c r="I35" s="650">
        <v>28</v>
      </c>
      <c r="J35" s="651"/>
      <c r="K35" s="652">
        <f ca="1">SUM(M35:N35)</f>
        <v>3941119.3958999999</v>
      </c>
      <c r="L35" s="652"/>
      <c r="M35" s="643">
        <f ca="1">M31*M33-M12*M34</f>
        <v>0</v>
      </c>
      <c r="N35" s="642">
        <f ca="1">N31*N33-N12*N34</f>
        <v>3941119.3958999999</v>
      </c>
    </row>
    <row r="36" spans="1:14" s="618" customFormat="1" ht="24" customHeight="1">
      <c r="A36" s="796" t="s">
        <v>633</v>
      </c>
      <c r="B36" s="657"/>
      <c r="C36" s="657"/>
      <c r="D36" s="657"/>
      <c r="E36" s="657"/>
      <c r="F36" s="657"/>
      <c r="G36" s="657"/>
      <c r="H36" s="658"/>
      <c r="I36" s="650">
        <v>29</v>
      </c>
      <c r="J36" s="651"/>
      <c r="K36" s="659">
        <f>SUM(M36:N36)</f>
        <v>0</v>
      </c>
      <c r="L36" s="660"/>
      <c r="M36" s="643"/>
      <c r="N36" s="642">
        <v>0</v>
      </c>
    </row>
    <row r="37" spans="1:14" s="618" customFormat="1" ht="24" customHeight="1">
      <c r="A37" s="796" t="s">
        <v>633</v>
      </c>
      <c r="B37" s="657"/>
      <c r="C37" s="657"/>
      <c r="D37" s="657"/>
      <c r="E37" s="657"/>
      <c r="F37" s="657"/>
      <c r="G37" s="657"/>
      <c r="H37" s="658"/>
      <c r="I37" s="650">
        <v>30</v>
      </c>
      <c r="J37" s="651"/>
      <c r="K37" s="652">
        <f>SUM(M37:N37)</f>
        <v>3021048.3699999996</v>
      </c>
      <c r="L37" s="652"/>
      <c r="M37" s="643">
        <f>Sheet26!G6-303455.6</f>
        <v>2717592.7699999996</v>
      </c>
      <c r="N37" s="642">
        <f>7586390*0.04</f>
        <v>303455.60000000003</v>
      </c>
    </row>
    <row r="38" spans="1:14" s="618" customFormat="1" ht="24" customHeight="1">
      <c r="A38" s="796" t="s">
        <v>633</v>
      </c>
      <c r="B38" s="657"/>
      <c r="C38" s="657"/>
      <c r="D38" s="657"/>
      <c r="E38" s="657"/>
      <c r="F38" s="657"/>
      <c r="G38" s="657"/>
      <c r="H38" s="658"/>
      <c r="I38" s="650">
        <v>31</v>
      </c>
      <c r="J38" s="651"/>
      <c r="K38" s="652">
        <f ca="1">SUM(M38:N38)</f>
        <v>920071.02590000024</v>
      </c>
      <c r="L38" s="652"/>
      <c r="M38" s="643">
        <f ca="1">M35-M36-M37</f>
        <v>-2717592.7699999996</v>
      </c>
      <c r="N38" s="643">
        <f ca="1">N35-N36-N37</f>
        <v>3637663.7958999998</v>
      </c>
    </row>
  </sheetData>
  <mergeCells count="116">
    <mergeCell ref="A1:N1"/>
    <mergeCell ref="K2:N2"/>
    <mergeCell ref="A3:B3"/>
    <mergeCell ref="C3:E3"/>
    <mergeCell ref="G3:I3"/>
    <mergeCell ref="J3:K3"/>
    <mergeCell ref="A4:B4"/>
    <mergeCell ref="C4:E4"/>
    <mergeCell ref="G4:I4"/>
    <mergeCell ref="J4:K4"/>
    <mergeCell ref="A5:B5"/>
    <mergeCell ref="C5:E5"/>
    <mergeCell ref="G5:I5"/>
    <mergeCell ref="J5:K5"/>
    <mergeCell ref="A6:I6"/>
    <mergeCell ref="J6:N6"/>
    <mergeCell ref="A7:H7"/>
    <mergeCell ref="I7:J7"/>
    <mergeCell ref="K7:L7"/>
    <mergeCell ref="A8:H8"/>
    <mergeCell ref="I8:J8"/>
    <mergeCell ref="K8:L8"/>
    <mergeCell ref="B9:H9"/>
    <mergeCell ref="I9:J9"/>
    <mergeCell ref="K9:L9"/>
    <mergeCell ref="B10:H10"/>
    <mergeCell ref="I10:J10"/>
    <mergeCell ref="K10:L10"/>
    <mergeCell ref="B11:H11"/>
    <mergeCell ref="I11:J11"/>
    <mergeCell ref="K11:L11"/>
    <mergeCell ref="A12:H12"/>
    <mergeCell ref="I12:J12"/>
    <mergeCell ref="K12:L12"/>
    <mergeCell ref="A13:H13"/>
    <mergeCell ref="I13:J13"/>
    <mergeCell ref="K13:L13"/>
    <mergeCell ref="A14:H14"/>
    <mergeCell ref="I14:J14"/>
    <mergeCell ref="K14:L14"/>
    <mergeCell ref="B15:H15"/>
    <mergeCell ref="I15:J15"/>
    <mergeCell ref="K15:L15"/>
    <mergeCell ref="B16:H16"/>
    <mergeCell ref="I16:J16"/>
    <mergeCell ref="K16:L16"/>
    <mergeCell ref="B17:H17"/>
    <mergeCell ref="I17:J17"/>
    <mergeCell ref="K17:L17"/>
    <mergeCell ref="B18:H18"/>
    <mergeCell ref="I18:J18"/>
    <mergeCell ref="K18:L18"/>
    <mergeCell ref="B19:H19"/>
    <mergeCell ref="I19:J19"/>
    <mergeCell ref="K19:L19"/>
    <mergeCell ref="B20:H20"/>
    <mergeCell ref="I20:J20"/>
    <mergeCell ref="K20:L20"/>
    <mergeCell ref="A21:H21"/>
    <mergeCell ref="I21:J21"/>
    <mergeCell ref="K21:L21"/>
    <mergeCell ref="A22:H22"/>
    <mergeCell ref="I22:J22"/>
    <mergeCell ref="K22:L22"/>
    <mergeCell ref="B23:H23"/>
    <mergeCell ref="I23:J23"/>
    <mergeCell ref="K23:L23"/>
    <mergeCell ref="B24:H24"/>
    <mergeCell ref="I24:J24"/>
    <mergeCell ref="K24:L24"/>
    <mergeCell ref="A25:H25"/>
    <mergeCell ref="I25:J25"/>
    <mergeCell ref="K25:L25"/>
    <mergeCell ref="B26:H26"/>
    <mergeCell ref="I26:J26"/>
    <mergeCell ref="K26:L26"/>
    <mergeCell ref="B27:H27"/>
    <mergeCell ref="I27:J27"/>
    <mergeCell ref="K27:L27"/>
    <mergeCell ref="B28:H28"/>
    <mergeCell ref="I28:J28"/>
    <mergeCell ref="K28:L28"/>
    <mergeCell ref="K34:L34"/>
    <mergeCell ref="B29:H29"/>
    <mergeCell ref="I29:J29"/>
    <mergeCell ref="K29:L29"/>
    <mergeCell ref="A30:H30"/>
    <mergeCell ref="I30:J30"/>
    <mergeCell ref="K30:L30"/>
    <mergeCell ref="A31:H31"/>
    <mergeCell ref="I31:J31"/>
    <mergeCell ref="K31:L31"/>
    <mergeCell ref="A38:H38"/>
    <mergeCell ref="I38:J38"/>
    <mergeCell ref="K38:L38"/>
    <mergeCell ref="A9:A11"/>
    <mergeCell ref="A15:A20"/>
    <mergeCell ref="A23:A24"/>
    <mergeCell ref="A26:A29"/>
    <mergeCell ref="A35:H35"/>
    <mergeCell ref="I35:J35"/>
    <mergeCell ref="K35:L35"/>
    <mergeCell ref="A36:H36"/>
    <mergeCell ref="I36:J36"/>
    <mergeCell ref="K36:L36"/>
    <mergeCell ref="A37:H37"/>
    <mergeCell ref="I37:J37"/>
    <mergeCell ref="K37:L37"/>
    <mergeCell ref="A32:H32"/>
    <mergeCell ref="I32:J32"/>
    <mergeCell ref="K32:L32"/>
    <mergeCell ref="A33:H33"/>
    <mergeCell ref="I33:J33"/>
    <mergeCell ref="K33:L33"/>
    <mergeCell ref="A34:H34"/>
    <mergeCell ref="I34:J34"/>
  </mergeCells>
  <phoneticPr fontId="22" type="noConversion"/>
  <printOptions horizontalCentered="1"/>
  <pageMargins left="0.42916666666666697" right="0.15902777777777799" top="0.78888888888888897" bottom="0.78888888888888897" header="0.50902777777777797" footer="0.50902777777777797"/>
  <pageSetup paperSize="9" scale="75" firstPageNumber="13" orientation="portrait" useFirstPageNumber="1"/>
  <headerFooter alignWithMargins="0">
    <oddHeader>&amp;L附件&amp;R附表1</oddHeader>
    <oddFooter>&amp;C&amp;10&amp;P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2" ySplit="5" topLeftCell="C6" activePane="bottomRight" state="frozen"/>
      <selection pane="topRight"/>
      <selection pane="bottomLeft"/>
      <selection pane="bottomRight" activeCell="H3" sqref="H3:H4"/>
    </sheetView>
  </sheetViews>
  <sheetFormatPr defaultColWidth="9" defaultRowHeight="15.75"/>
  <cols>
    <col min="1" max="1" width="7" style="619" customWidth="1"/>
    <col min="2" max="2" width="21.75" style="619" customWidth="1"/>
    <col min="3" max="3" width="13.625" style="619" customWidth="1"/>
    <col min="4" max="4" width="13.75" style="619" customWidth="1"/>
    <col min="5" max="5" width="13.625" style="619" customWidth="1"/>
    <col min="6" max="6" width="12.25" style="619" customWidth="1"/>
    <col min="7" max="7" width="12.875" style="619" customWidth="1"/>
    <col min="8" max="8" width="16.75" style="619" customWidth="1"/>
    <col min="9" max="9" width="8" style="619" customWidth="1"/>
    <col min="10" max="10" width="9" style="619"/>
    <col min="11" max="11" width="16.625" style="619" customWidth="1"/>
    <col min="12" max="12" width="11" style="619" customWidth="1"/>
    <col min="13" max="16384" width="9" style="619"/>
  </cols>
  <sheetData>
    <row r="1" spans="1:14" ht="24">
      <c r="A1" s="778" t="s">
        <v>490</v>
      </c>
      <c r="B1" s="665"/>
      <c r="C1" s="665"/>
      <c r="D1" s="665"/>
      <c r="E1" s="665"/>
      <c r="F1" s="665"/>
      <c r="G1" s="665"/>
      <c r="H1" s="665"/>
      <c r="I1" s="665"/>
    </row>
    <row r="2" spans="1:14" s="618" customFormat="1" ht="19.5" customHeight="1">
      <c r="A2" s="620" t="s">
        <v>489</v>
      </c>
      <c r="B2" s="621"/>
      <c r="C2" s="621"/>
      <c r="D2" s="621"/>
      <c r="E2" s="621"/>
      <c r="F2" s="621"/>
      <c r="G2" s="621"/>
      <c r="H2" s="422"/>
      <c r="I2" s="629"/>
    </row>
    <row r="3" spans="1:14" s="618" customFormat="1" ht="18.75" customHeight="1">
      <c r="A3" s="792" t="s">
        <v>609</v>
      </c>
      <c r="B3" s="674"/>
      <c r="C3" s="672" t="s">
        <v>610</v>
      </c>
      <c r="D3" s="672" t="s">
        <v>611</v>
      </c>
      <c r="E3" s="661" t="s">
        <v>612</v>
      </c>
      <c r="F3" s="662"/>
      <c r="G3" s="651"/>
      <c r="H3" s="672" t="s">
        <v>614</v>
      </c>
      <c r="I3" s="653" t="s">
        <v>19</v>
      </c>
    </row>
    <row r="4" spans="1:14" s="618" customFormat="1" ht="18.75" customHeight="1">
      <c r="A4" s="675"/>
      <c r="B4" s="676"/>
      <c r="C4" s="655"/>
      <c r="D4" s="655"/>
      <c r="E4" s="638" t="s">
        <v>605</v>
      </c>
      <c r="F4" s="638" t="s">
        <v>613</v>
      </c>
      <c r="G4" s="624" t="s">
        <v>20</v>
      </c>
      <c r="H4" s="673"/>
      <c r="I4" s="655"/>
    </row>
    <row r="5" spans="1:14" s="618" customFormat="1" ht="18.75" customHeight="1">
      <c r="A5" s="650">
        <v>1</v>
      </c>
      <c r="B5" s="651"/>
      <c r="C5" s="623">
        <v>2</v>
      </c>
      <c r="D5" s="623">
        <v>3</v>
      </c>
      <c r="E5" s="624">
        <v>4</v>
      </c>
      <c r="F5" s="623">
        <v>5</v>
      </c>
      <c r="G5" s="624" t="s">
        <v>21</v>
      </c>
      <c r="H5" s="623">
        <v>7</v>
      </c>
      <c r="I5" s="624">
        <v>8</v>
      </c>
    </row>
    <row r="6" spans="1:14" s="618" customFormat="1" ht="18.75" customHeight="1">
      <c r="A6" s="669" t="s">
        <v>22</v>
      </c>
      <c r="B6" s="670"/>
      <c r="C6" s="625">
        <f>Sheet3!D6</f>
        <v>1124533.93</v>
      </c>
      <c r="D6" s="625">
        <f>Sheet3!E6</f>
        <v>1124533.93</v>
      </c>
      <c r="E6" s="625">
        <f>Sheet3!F6</f>
        <v>1100468.8999999999</v>
      </c>
      <c r="F6" s="625">
        <f>Sheet3!G6</f>
        <v>24065.03</v>
      </c>
      <c r="G6" s="625">
        <f>E6+F6</f>
        <v>1124533.93</v>
      </c>
      <c r="H6" s="625">
        <f t="shared" ref="H6:H15" si="0">D6-G6</f>
        <v>0</v>
      </c>
      <c r="I6" s="625"/>
      <c r="J6" s="630">
        <f>D6-G6-H6</f>
        <v>0</v>
      </c>
      <c r="K6" s="630"/>
    </row>
    <row r="7" spans="1:14" s="618" customFormat="1" ht="18.75" customHeight="1">
      <c r="A7" s="669" t="s">
        <v>23</v>
      </c>
      <c r="B7" s="670"/>
      <c r="C7" s="625">
        <f ca="1">C8+C9+C10+C12+C13+C14</f>
        <v>5160714.75</v>
      </c>
      <c r="D7" s="625">
        <f ca="1">D8+D9+D10+D12+D13+D14</f>
        <v>5153714.75</v>
      </c>
      <c r="E7" s="625">
        <f ca="1">E8+E9+E10+E12+E13+E14</f>
        <v>5004236.6900000004</v>
      </c>
      <c r="F7" s="625">
        <f ca="1">F8+F9+F10+F12+F13+F14</f>
        <v>149478.06</v>
      </c>
      <c r="G7" s="625">
        <f t="shared" ref="G7:G24" ca="1" si="1">E7+F7</f>
        <v>5153714.75</v>
      </c>
      <c r="H7" s="625">
        <f t="shared" ca="1" si="0"/>
        <v>0</v>
      </c>
      <c r="I7" s="626"/>
      <c r="J7" s="630">
        <f t="shared" ref="J7:J24" ca="1" si="2">D7-G7-H7</f>
        <v>0</v>
      </c>
      <c r="K7" s="631"/>
      <c r="L7" s="630"/>
      <c r="N7" s="630"/>
    </row>
    <row r="8" spans="1:14" s="618" customFormat="1" ht="18.75" customHeight="1">
      <c r="A8" s="671" t="s">
        <v>8</v>
      </c>
      <c r="B8" s="627" t="s">
        <v>9</v>
      </c>
      <c r="C8" s="625">
        <f>Sheet3!D11</f>
        <v>0</v>
      </c>
      <c r="D8" s="625">
        <f>Sheet3!E11</f>
        <v>0</v>
      </c>
      <c r="E8" s="625">
        <f>Sheet3!F11</f>
        <v>0</v>
      </c>
      <c r="F8" s="625">
        <f>Sheet3!G11</f>
        <v>0</v>
      </c>
      <c r="G8" s="625">
        <f t="shared" si="1"/>
        <v>0</v>
      </c>
      <c r="H8" s="625">
        <f t="shared" si="0"/>
        <v>0</v>
      </c>
      <c r="I8" s="626"/>
      <c r="J8" s="630">
        <f t="shared" si="2"/>
        <v>0</v>
      </c>
      <c r="K8" s="630"/>
    </row>
    <row r="9" spans="1:14" s="618" customFormat="1" ht="18.75" customHeight="1">
      <c r="A9" s="671"/>
      <c r="B9" s="627" t="s">
        <v>10</v>
      </c>
      <c r="C9" s="625">
        <f>Sheet3!D13</f>
        <v>2386959.7400000002</v>
      </c>
      <c r="D9" s="625">
        <f>Sheet3!E13</f>
        <v>2386959.7400000002</v>
      </c>
      <c r="E9" s="625">
        <f>Sheet3!F13</f>
        <v>2335878.8000000003</v>
      </c>
      <c r="F9" s="625">
        <f>Sheet3!G13</f>
        <v>51080.939999999995</v>
      </c>
      <c r="G9" s="625">
        <f t="shared" si="1"/>
        <v>2386959.7400000002</v>
      </c>
      <c r="H9" s="625">
        <f t="shared" si="0"/>
        <v>0</v>
      </c>
      <c r="I9" s="626"/>
      <c r="J9" s="630">
        <f t="shared" si="2"/>
        <v>0</v>
      </c>
      <c r="K9" s="630"/>
    </row>
    <row r="10" spans="1:14" s="618" customFormat="1" ht="18.75" customHeight="1">
      <c r="A10" s="671"/>
      <c r="B10" s="627" t="s">
        <v>11</v>
      </c>
      <c r="C10" s="625">
        <f ca="1">Sheet3!D23</f>
        <v>0</v>
      </c>
      <c r="D10" s="625">
        <f ca="1">Sheet3!E23</f>
        <v>0</v>
      </c>
      <c r="E10" s="625">
        <f ca="1">Sheet3!F23</f>
        <v>0</v>
      </c>
      <c r="F10" s="625">
        <f ca="1">Sheet3!G23</f>
        <v>0</v>
      </c>
      <c r="G10" s="625">
        <f t="shared" ca="1" si="1"/>
        <v>0</v>
      </c>
      <c r="H10" s="625">
        <f t="shared" ca="1" si="0"/>
        <v>0</v>
      </c>
      <c r="I10" s="626"/>
      <c r="J10" s="630">
        <f t="shared" ca="1" si="2"/>
        <v>0</v>
      </c>
      <c r="K10" s="630"/>
      <c r="L10" s="632"/>
    </row>
    <row r="11" spans="1:14" s="618" customFormat="1" ht="18.75" customHeight="1">
      <c r="A11" s="671"/>
      <c r="B11" s="627" t="s">
        <v>24</v>
      </c>
      <c r="C11" s="625"/>
      <c r="D11" s="625"/>
      <c r="E11" s="625"/>
      <c r="F11" s="625"/>
      <c r="G11" s="625">
        <f t="shared" si="1"/>
        <v>0</v>
      </c>
      <c r="H11" s="625">
        <f t="shared" si="0"/>
        <v>0</v>
      </c>
      <c r="I11" s="626"/>
      <c r="J11" s="630">
        <f t="shared" si="2"/>
        <v>0</v>
      </c>
      <c r="K11" s="630"/>
    </row>
    <row r="12" spans="1:14" s="618" customFormat="1" ht="18.75" customHeight="1">
      <c r="A12" s="671"/>
      <c r="B12" s="627" t="s">
        <v>12</v>
      </c>
      <c r="C12" s="625">
        <f>Sheet3!D29</f>
        <v>2773755.01</v>
      </c>
      <c r="D12" s="625">
        <f>Sheet3!E29</f>
        <v>2766755.01</v>
      </c>
      <c r="E12" s="625">
        <f>Sheet3!F29</f>
        <v>2707546.4499999997</v>
      </c>
      <c r="F12" s="625">
        <f>Sheet3!G29</f>
        <v>59208.560000000005</v>
      </c>
      <c r="G12" s="625">
        <f t="shared" si="1"/>
        <v>2766755.01</v>
      </c>
      <c r="H12" s="625">
        <f t="shared" si="0"/>
        <v>0</v>
      </c>
      <c r="I12" s="626"/>
      <c r="J12" s="630">
        <f t="shared" si="2"/>
        <v>0</v>
      </c>
      <c r="K12" s="630"/>
    </row>
    <row r="13" spans="1:14" s="618" customFormat="1" ht="18.75" customHeight="1">
      <c r="A13" s="671"/>
      <c r="B13" s="627" t="s">
        <v>13</v>
      </c>
      <c r="C13" s="625">
        <f>Sheet3!D39</f>
        <v>0</v>
      </c>
      <c r="D13" s="625">
        <f>Sheet3!E39</f>
        <v>0</v>
      </c>
      <c r="E13" s="625">
        <f>Sheet3!F39</f>
        <v>-39188.559999999998</v>
      </c>
      <c r="F13" s="625">
        <f>Sheet3!G39</f>
        <v>39188.559999999998</v>
      </c>
      <c r="G13" s="625">
        <f t="shared" si="1"/>
        <v>0</v>
      </c>
      <c r="H13" s="625">
        <f t="shared" si="0"/>
        <v>0</v>
      </c>
      <c r="I13" s="626"/>
      <c r="J13" s="630">
        <f t="shared" si="2"/>
        <v>0</v>
      </c>
      <c r="K13" s="630"/>
    </row>
    <row r="14" spans="1:14" s="618" customFormat="1" ht="18.75" customHeight="1">
      <c r="A14" s="671"/>
      <c r="B14" s="627" t="s">
        <v>14</v>
      </c>
      <c r="C14" s="625">
        <f>Sheet3!D45</f>
        <v>0</v>
      </c>
      <c r="D14" s="625">
        <f>Sheet3!E45</f>
        <v>0</v>
      </c>
      <c r="E14" s="625">
        <f>Sheet3!F45</f>
        <v>0</v>
      </c>
      <c r="F14" s="625">
        <f>Sheet3!G45</f>
        <v>0</v>
      </c>
      <c r="G14" s="625">
        <f t="shared" si="1"/>
        <v>0</v>
      </c>
      <c r="H14" s="625">
        <f t="shared" si="0"/>
        <v>0</v>
      </c>
      <c r="I14" s="626"/>
      <c r="J14" s="630">
        <f t="shared" si="2"/>
        <v>0</v>
      </c>
      <c r="K14" s="630"/>
    </row>
    <row r="15" spans="1:14" s="618" customFormat="1" ht="18.75" customHeight="1">
      <c r="A15" s="669" t="s">
        <v>25</v>
      </c>
      <c r="B15" s="670"/>
      <c r="C15" s="625">
        <f ca="1">SUM(C16:C17)</f>
        <v>628524.87</v>
      </c>
      <c r="D15" s="625">
        <f ca="1">SUM(D16:D17)</f>
        <v>627824.87</v>
      </c>
      <c r="E15" s="625">
        <f ca="1">SUM(E16:E17)</f>
        <v>610470.56000000006</v>
      </c>
      <c r="F15" s="625">
        <f ca="1">SUM(F16:F17)</f>
        <v>17354.310000000001</v>
      </c>
      <c r="G15" s="625">
        <f t="shared" ca="1" si="1"/>
        <v>627824.87000000011</v>
      </c>
      <c r="H15" s="625">
        <f t="shared" ca="1" si="0"/>
        <v>0</v>
      </c>
      <c r="I15" s="626"/>
      <c r="J15" s="630">
        <f t="shared" ca="1" si="2"/>
        <v>-1.1641532182693481E-10</v>
      </c>
      <c r="K15" s="630"/>
    </row>
    <row r="16" spans="1:14" s="618" customFormat="1" ht="18.75" customHeight="1">
      <c r="A16" s="671" t="s">
        <v>8</v>
      </c>
      <c r="B16" s="627" t="s">
        <v>26</v>
      </c>
      <c r="C16" s="625"/>
      <c r="D16" s="625"/>
      <c r="E16" s="625"/>
      <c r="F16" s="625">
        <f>D16*0.7598</f>
        <v>0</v>
      </c>
      <c r="G16" s="625">
        <f t="shared" si="1"/>
        <v>0</v>
      </c>
      <c r="H16" s="625">
        <f t="shared" ref="H16:H23" si="3">D16-G16</f>
        <v>0</v>
      </c>
      <c r="I16" s="626"/>
      <c r="J16" s="630">
        <f t="shared" si="2"/>
        <v>0</v>
      </c>
      <c r="K16" s="630"/>
    </row>
    <row r="17" spans="1:11" s="618" customFormat="1" ht="18.75" customHeight="1">
      <c r="A17" s="671"/>
      <c r="B17" s="627" t="s">
        <v>27</v>
      </c>
      <c r="C17" s="625">
        <f ca="1">ROUND((C6+C7)*0.1,2)</f>
        <v>628524.87</v>
      </c>
      <c r="D17" s="625">
        <f ca="1">ROUND((D6+D7)*0.1,2)</f>
        <v>627824.87</v>
      </c>
      <c r="E17" s="625">
        <f ca="1">ROUND((E6+E7)*0.1,2)</f>
        <v>610470.56000000006</v>
      </c>
      <c r="F17" s="625">
        <f ca="1">ROUND((F6+F7)*0.1,2)</f>
        <v>17354.310000000001</v>
      </c>
      <c r="G17" s="625">
        <f t="shared" ca="1" si="1"/>
        <v>627824.87000000011</v>
      </c>
      <c r="H17" s="625">
        <f t="shared" ca="1" si="3"/>
        <v>0</v>
      </c>
      <c r="I17" s="633"/>
      <c r="J17" s="630">
        <f t="shared" ca="1" si="2"/>
        <v>-1.1641532182693481E-10</v>
      </c>
      <c r="K17" s="630"/>
    </row>
    <row r="18" spans="1:11" s="618" customFormat="1" ht="18.75" customHeight="1">
      <c r="A18" s="669" t="s">
        <v>28</v>
      </c>
      <c r="B18" s="670"/>
      <c r="C18" s="625">
        <f>SUM(C19:C22)</f>
        <v>8524050.9700000007</v>
      </c>
      <c r="D18" s="625">
        <f>SUM(D19:D22)</f>
        <v>8524050.9699999969</v>
      </c>
      <c r="E18" s="625">
        <f>SUM(E19:E22)</f>
        <v>8106799.5099999988</v>
      </c>
      <c r="F18" s="625">
        <f>SUM(F19:F22)</f>
        <v>417251.46</v>
      </c>
      <c r="G18" s="625">
        <f t="shared" si="1"/>
        <v>8524050.9699999988</v>
      </c>
      <c r="H18" s="625">
        <f t="shared" si="3"/>
        <v>0</v>
      </c>
      <c r="I18" s="626"/>
      <c r="J18" s="630">
        <f t="shared" si="2"/>
        <v>-1.862645149230957E-9</v>
      </c>
      <c r="K18" s="630"/>
    </row>
    <row r="19" spans="1:11" s="618" customFormat="1" ht="18.75" customHeight="1">
      <c r="A19" s="671" t="s">
        <v>8</v>
      </c>
      <c r="B19" s="627" t="s">
        <v>16</v>
      </c>
      <c r="C19" s="628">
        <v>7707666.2000000002</v>
      </c>
      <c r="D19" s="628">
        <f>Sheet25!G6</f>
        <v>7707666.1999999974</v>
      </c>
      <c r="E19" s="628">
        <f>7274667.6+53679.1</f>
        <v>7328346.6999999993</v>
      </c>
      <c r="F19" s="628">
        <v>379319.5</v>
      </c>
      <c r="G19" s="625">
        <f t="shared" si="1"/>
        <v>7707666.1999999993</v>
      </c>
      <c r="H19" s="625">
        <f t="shared" si="3"/>
        <v>0</v>
      </c>
      <c r="I19" s="626"/>
      <c r="J19" s="630">
        <f t="shared" si="2"/>
        <v>-1.862645149230957E-9</v>
      </c>
      <c r="K19" s="630"/>
    </row>
    <row r="20" spans="1:11" s="618" customFormat="1" ht="18.75" customHeight="1">
      <c r="A20" s="671"/>
      <c r="B20" s="627" t="s">
        <v>29</v>
      </c>
      <c r="C20" s="625">
        <v>409975.81</v>
      </c>
      <c r="D20" s="628">
        <f>Sheet25!H6</f>
        <v>409975.80999999982</v>
      </c>
      <c r="E20" s="625">
        <f>366812.82+22032.72+2164.29</f>
        <v>391009.83</v>
      </c>
      <c r="F20" s="628">
        <f>18965.98</f>
        <v>18965.98</v>
      </c>
      <c r="G20" s="625">
        <f t="shared" si="1"/>
        <v>409975.81</v>
      </c>
      <c r="H20" s="625">
        <f t="shared" si="3"/>
        <v>0</v>
      </c>
      <c r="I20" s="626"/>
      <c r="J20" s="630">
        <f t="shared" si="2"/>
        <v>-1.7462298274040222E-10</v>
      </c>
      <c r="K20" s="630"/>
    </row>
    <row r="21" spans="1:11" s="618" customFormat="1" ht="18.75" customHeight="1">
      <c r="A21" s="671"/>
      <c r="B21" s="627" t="s">
        <v>17</v>
      </c>
      <c r="C21" s="625">
        <v>245228.69</v>
      </c>
      <c r="D21" s="628">
        <f>Sheet25!I6</f>
        <v>245228.69</v>
      </c>
      <c r="E21" s="625">
        <f>219330.9+13219.63+1298.57</f>
        <v>233849.1</v>
      </c>
      <c r="F21" s="628">
        <f>11379.59</f>
        <v>11379.59</v>
      </c>
      <c r="G21" s="625">
        <f t="shared" si="1"/>
        <v>245228.69</v>
      </c>
      <c r="H21" s="625">
        <f t="shared" si="3"/>
        <v>0</v>
      </c>
      <c r="I21" s="626"/>
      <c r="J21" s="630">
        <f t="shared" si="2"/>
        <v>0</v>
      </c>
      <c r="K21" s="630"/>
    </row>
    <row r="22" spans="1:11" s="618" customFormat="1" ht="18.75" customHeight="1">
      <c r="A22" s="671"/>
      <c r="B22" s="627" t="s">
        <v>30</v>
      </c>
      <c r="C22" s="625">
        <v>161180.26999999999</v>
      </c>
      <c r="D22" s="628">
        <f>Sheet25!J6</f>
        <v>161180.26999999993</v>
      </c>
      <c r="E22" s="625">
        <f>143915.06+8813.1+865.72</f>
        <v>153593.88</v>
      </c>
      <c r="F22" s="628">
        <f>7586.39</f>
        <v>7586.39</v>
      </c>
      <c r="G22" s="625">
        <f t="shared" si="1"/>
        <v>161180.27000000002</v>
      </c>
      <c r="H22" s="625">
        <f t="shared" si="3"/>
        <v>0</v>
      </c>
      <c r="I22" s="626"/>
      <c r="J22" s="630">
        <f t="shared" si="2"/>
        <v>-8.7311491370201111E-11</v>
      </c>
      <c r="K22" s="630"/>
    </row>
    <row r="23" spans="1:11" s="618" customFormat="1" ht="19.5" customHeight="1">
      <c r="A23" s="669" t="s">
        <v>31</v>
      </c>
      <c r="B23" s="670"/>
      <c r="C23" s="625">
        <f ca="1">ROUND((C6+C7)*0.2,2)</f>
        <v>1257049.74</v>
      </c>
      <c r="D23" s="625">
        <f ca="1">ROUND((D6+D7)*0.2,2)</f>
        <v>1255649.74</v>
      </c>
      <c r="E23" s="625">
        <f ca="1">ROUND((E6+E7)*0.2,2)</f>
        <v>1220941.1200000001</v>
      </c>
      <c r="F23" s="625">
        <f ca="1">ROUND((F6+F7)*0.2,2)</f>
        <v>34708.620000000003</v>
      </c>
      <c r="G23" s="625">
        <f t="shared" ca="1" si="1"/>
        <v>1255649.7400000002</v>
      </c>
      <c r="H23" s="625">
        <f t="shared" ca="1" si="3"/>
        <v>0</v>
      </c>
      <c r="I23" s="626"/>
      <c r="J23" s="630">
        <f t="shared" ca="1" si="2"/>
        <v>-2.3283064365386963E-10</v>
      </c>
      <c r="K23" s="630"/>
    </row>
    <row r="24" spans="1:11" s="618" customFormat="1" ht="27.75" customHeight="1">
      <c r="A24" s="671" t="s">
        <v>20</v>
      </c>
      <c r="B24" s="671"/>
      <c r="C24" s="625">
        <f ca="1">C6+C7+C15+C18+C23</f>
        <v>16694874.26</v>
      </c>
      <c r="D24" s="625">
        <f ca="1">D6+D7+D15+D18+D23</f>
        <v>16685774.259999996</v>
      </c>
      <c r="E24" s="625">
        <f ca="1">E6+E7+E15+E18+E23</f>
        <v>16042916.780000001</v>
      </c>
      <c r="F24" s="625">
        <f ca="1">F6+F7+F15+F18+F23</f>
        <v>642857.48</v>
      </c>
      <c r="G24" s="625">
        <f t="shared" ca="1" si="1"/>
        <v>16685774.260000002</v>
      </c>
      <c r="H24" s="625">
        <f ca="1">H6+H7+H15+H18+H23</f>
        <v>0</v>
      </c>
      <c r="I24" s="626"/>
      <c r="J24" s="630">
        <f t="shared" ca="1" si="2"/>
        <v>-5.5879354476928711E-9</v>
      </c>
    </row>
  </sheetData>
  <mergeCells count="17">
    <mergeCell ref="A1:I1"/>
    <mergeCell ref="E3:G3"/>
    <mergeCell ref="A5:B5"/>
    <mergeCell ref="A6:B6"/>
    <mergeCell ref="A7:B7"/>
    <mergeCell ref="C3:C4"/>
    <mergeCell ref="D3:D4"/>
    <mergeCell ref="H3:H4"/>
    <mergeCell ref="I3:I4"/>
    <mergeCell ref="A3:B4"/>
    <mergeCell ref="A15:B15"/>
    <mergeCell ref="A18:B18"/>
    <mergeCell ref="A23:B23"/>
    <mergeCell ref="A24:B24"/>
    <mergeCell ref="A8:A14"/>
    <mergeCell ref="A16:A17"/>
    <mergeCell ref="A19:A22"/>
  </mergeCells>
  <phoneticPr fontId="22" type="noConversion"/>
  <printOptions horizontalCentered="1"/>
  <pageMargins left="0.27916666666666701" right="0.23888888888888901" top="0.78888888888888897" bottom="0.78888888888888897" header="0.50902777777777797" footer="0.50902777777777797"/>
  <pageSetup paperSize="9" fitToHeight="0" orientation="landscape"/>
  <headerFooter alignWithMargins="0">
    <oddHeader>&amp;R附表2</oddHeader>
    <oddFooter>&amp;C&amp;10&amp;P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66"/>
  <sheetViews>
    <sheetView workbookViewId="0">
      <pane xSplit="3" ySplit="5" topLeftCell="D6" activePane="bottomRight" state="frozen"/>
      <selection pane="topRight"/>
      <selection pane="bottomLeft"/>
      <selection pane="bottomRight" activeCell="C10" sqref="C10"/>
    </sheetView>
  </sheetViews>
  <sheetFormatPr defaultColWidth="9" defaultRowHeight="14.25"/>
  <cols>
    <col min="1" max="2" width="4" customWidth="1"/>
    <col min="3" max="3" width="19.625" customWidth="1"/>
    <col min="4" max="5" width="18.375" customWidth="1"/>
    <col min="6" max="7" width="12.25" customWidth="1"/>
    <col min="8" max="8" width="12.125" customWidth="1"/>
    <col min="9" max="9" width="12.25" customWidth="1"/>
    <col min="10" max="10" width="13.5" customWidth="1"/>
    <col min="11" max="11" width="9.375" customWidth="1"/>
  </cols>
  <sheetData>
    <row r="1" spans="1:246" s="596" customFormat="1" ht="24">
      <c r="A1" s="678" t="s">
        <v>491</v>
      </c>
      <c r="B1" s="678"/>
      <c r="C1" s="678"/>
      <c r="D1" s="678"/>
      <c r="E1" s="678"/>
      <c r="F1" s="678"/>
      <c r="G1" s="678"/>
      <c r="H1" s="678"/>
      <c r="I1" s="678"/>
      <c r="J1" s="678"/>
    </row>
    <row r="2" spans="1:246" s="596" customFormat="1" ht="12.75">
      <c r="A2" s="599" t="str">
        <f>Sheet2!A2</f>
        <v>看就会立刻就会老客户考虑减</v>
      </c>
      <c r="B2" s="600"/>
      <c r="C2" s="601"/>
      <c r="D2" s="600"/>
      <c r="E2" s="600"/>
      <c r="F2" s="602"/>
      <c r="G2" s="602"/>
      <c r="H2" s="602"/>
      <c r="I2" s="614"/>
      <c r="J2" s="614" t="s">
        <v>32</v>
      </c>
    </row>
    <row r="3" spans="1:246" s="597" customFormat="1" ht="12.75">
      <c r="A3" s="677" t="s">
        <v>33</v>
      </c>
      <c r="B3" s="677" t="s">
        <v>600</v>
      </c>
      <c r="C3" s="677" t="s">
        <v>601</v>
      </c>
      <c r="D3" s="677" t="s">
        <v>602</v>
      </c>
      <c r="E3" s="679" t="s">
        <v>603</v>
      </c>
      <c r="F3" s="677" t="s">
        <v>604</v>
      </c>
      <c r="G3" s="677"/>
      <c r="H3" s="677"/>
      <c r="I3" s="679" t="s">
        <v>607</v>
      </c>
      <c r="J3" s="679" t="s">
        <v>608</v>
      </c>
    </row>
    <row r="4" spans="1:246" s="596" customFormat="1" ht="12.75">
      <c r="A4" s="677"/>
      <c r="B4" s="677"/>
      <c r="C4" s="677"/>
      <c r="D4" s="677"/>
      <c r="E4" s="680"/>
      <c r="F4" s="603" t="s">
        <v>605</v>
      </c>
      <c r="G4" s="603" t="s">
        <v>606</v>
      </c>
      <c r="H4" s="603" t="s">
        <v>35</v>
      </c>
      <c r="I4" s="680"/>
      <c r="J4" s="680"/>
    </row>
    <row r="5" spans="1:246" s="596" customFormat="1" ht="12.75">
      <c r="A5" s="603"/>
      <c r="B5" s="603"/>
      <c r="C5" s="603">
        <v>1</v>
      </c>
      <c r="D5" s="603">
        <v>2</v>
      </c>
      <c r="E5" s="603">
        <v>3</v>
      </c>
      <c r="F5" s="603">
        <v>4</v>
      </c>
      <c r="G5" s="603">
        <v>5</v>
      </c>
      <c r="H5" s="603">
        <v>6</v>
      </c>
      <c r="I5" s="603">
        <v>7</v>
      </c>
      <c r="J5" s="603">
        <v>8</v>
      </c>
    </row>
    <row r="6" spans="1:246" s="513" customFormat="1" ht="12.75">
      <c r="A6" s="604">
        <v>1</v>
      </c>
      <c r="B6" s="603" t="s">
        <v>36</v>
      </c>
      <c r="C6" s="233" t="s">
        <v>597</v>
      </c>
      <c r="D6" s="605">
        <f t="shared" ref="D6:I6" si="0">SUM(D7:D10)</f>
        <v>1124533.93</v>
      </c>
      <c r="E6" s="605">
        <f t="shared" si="0"/>
        <v>1124533.93</v>
      </c>
      <c r="F6" s="605">
        <f t="shared" si="0"/>
        <v>1100468.8999999999</v>
      </c>
      <c r="G6" s="605">
        <f t="shared" si="0"/>
        <v>24065.03</v>
      </c>
      <c r="H6" s="605">
        <f t="shared" si="0"/>
        <v>1124533.93</v>
      </c>
      <c r="I6" s="605">
        <f t="shared" si="0"/>
        <v>0</v>
      </c>
      <c r="J6" s="615"/>
      <c r="K6" s="616"/>
      <c r="L6" s="616"/>
      <c r="M6" s="616"/>
      <c r="N6" s="616"/>
      <c r="O6" s="616"/>
      <c r="P6" s="616"/>
      <c r="Q6" s="616"/>
      <c r="R6" s="616"/>
      <c r="S6" s="616"/>
      <c r="T6" s="616"/>
      <c r="U6" s="616"/>
      <c r="V6" s="616"/>
      <c r="W6" s="616"/>
      <c r="X6" s="616"/>
      <c r="Y6" s="616"/>
      <c r="Z6" s="616"/>
      <c r="AA6" s="616"/>
      <c r="AB6" s="616"/>
      <c r="AC6" s="616"/>
      <c r="AD6" s="616"/>
      <c r="AE6" s="616"/>
      <c r="AF6" s="616"/>
      <c r="AG6" s="616"/>
      <c r="AH6" s="616"/>
      <c r="AI6" s="616"/>
      <c r="AJ6" s="616"/>
      <c r="AK6" s="616"/>
      <c r="AL6" s="616"/>
      <c r="AM6" s="616"/>
      <c r="AN6" s="616"/>
      <c r="AO6" s="616"/>
      <c r="AP6" s="616"/>
      <c r="AQ6" s="616"/>
      <c r="AR6" s="616"/>
      <c r="AS6" s="616"/>
      <c r="AT6" s="616"/>
      <c r="AU6" s="616"/>
      <c r="AV6" s="616"/>
      <c r="AW6" s="616"/>
      <c r="AX6" s="616"/>
      <c r="AY6" s="616"/>
      <c r="AZ6" s="616"/>
      <c r="BA6" s="616"/>
      <c r="BB6" s="616"/>
      <c r="BC6" s="616"/>
      <c r="BD6" s="616"/>
      <c r="BE6" s="616"/>
      <c r="BF6" s="616"/>
      <c r="BG6" s="616"/>
      <c r="BH6" s="616"/>
      <c r="BI6" s="616"/>
      <c r="BJ6" s="616"/>
      <c r="BK6" s="616"/>
      <c r="BL6" s="616"/>
      <c r="BM6" s="616"/>
      <c r="BN6" s="616"/>
      <c r="BO6" s="616"/>
      <c r="BP6" s="616"/>
      <c r="BQ6" s="616"/>
      <c r="BR6" s="616"/>
      <c r="BS6" s="616"/>
      <c r="BT6" s="616"/>
      <c r="BU6" s="616"/>
      <c r="BV6" s="616"/>
      <c r="BW6" s="616"/>
      <c r="BX6" s="616"/>
      <c r="BY6" s="616"/>
      <c r="BZ6" s="616"/>
      <c r="CA6" s="616"/>
      <c r="CB6" s="616"/>
      <c r="CC6" s="616"/>
      <c r="CD6" s="616"/>
      <c r="CE6" s="616"/>
      <c r="CF6" s="616"/>
      <c r="CG6" s="616"/>
      <c r="CH6" s="616"/>
      <c r="CI6" s="616"/>
      <c r="CJ6" s="616"/>
      <c r="CK6" s="616"/>
      <c r="CL6" s="616"/>
      <c r="CM6" s="616"/>
      <c r="CN6" s="616"/>
      <c r="CO6" s="616"/>
      <c r="CP6" s="616"/>
      <c r="CQ6" s="616"/>
      <c r="CR6" s="616"/>
      <c r="CS6" s="616"/>
      <c r="CT6" s="616"/>
      <c r="CU6" s="616"/>
      <c r="CV6" s="616"/>
      <c r="CW6" s="616"/>
      <c r="CX6" s="616"/>
      <c r="CY6" s="616"/>
      <c r="CZ6" s="616"/>
      <c r="DA6" s="616"/>
      <c r="DB6" s="616"/>
      <c r="DC6" s="616"/>
      <c r="DD6" s="616"/>
      <c r="DE6" s="616"/>
      <c r="DF6" s="616"/>
      <c r="DG6" s="616"/>
      <c r="DH6" s="616"/>
      <c r="DI6" s="616"/>
      <c r="DJ6" s="616"/>
      <c r="DK6" s="616"/>
      <c r="DL6" s="616"/>
      <c r="DM6" s="616"/>
      <c r="DN6" s="616"/>
      <c r="DO6" s="616"/>
      <c r="DP6" s="616"/>
      <c r="DQ6" s="616"/>
      <c r="DR6" s="616"/>
      <c r="DS6" s="616"/>
      <c r="DT6" s="616"/>
      <c r="DU6" s="616"/>
      <c r="DV6" s="616"/>
      <c r="DW6" s="616"/>
      <c r="DX6" s="616"/>
      <c r="DY6" s="616"/>
      <c r="DZ6" s="616"/>
      <c r="EA6" s="616"/>
      <c r="EB6" s="616"/>
      <c r="EC6" s="616"/>
      <c r="ED6" s="616"/>
      <c r="EE6" s="616"/>
      <c r="EF6" s="616"/>
      <c r="EG6" s="616"/>
      <c r="EH6" s="616"/>
      <c r="EI6" s="616"/>
      <c r="EJ6" s="616"/>
      <c r="EK6" s="616"/>
      <c r="EL6" s="616"/>
      <c r="EM6" s="616"/>
      <c r="EN6" s="616"/>
      <c r="EO6" s="616"/>
      <c r="EP6" s="616"/>
      <c r="EQ6" s="616"/>
      <c r="ER6" s="616"/>
      <c r="ES6" s="616"/>
      <c r="ET6" s="616"/>
      <c r="EU6" s="616"/>
      <c r="EV6" s="616"/>
      <c r="EW6" s="616"/>
      <c r="EX6" s="616"/>
      <c r="EY6" s="616"/>
      <c r="EZ6" s="616"/>
      <c r="FA6" s="616"/>
      <c r="FB6" s="616"/>
      <c r="FC6" s="616"/>
      <c r="FD6" s="616"/>
      <c r="FE6" s="616"/>
      <c r="FF6" s="616"/>
      <c r="FG6" s="616"/>
      <c r="FH6" s="616"/>
      <c r="FI6" s="616"/>
      <c r="FJ6" s="616"/>
      <c r="FK6" s="616"/>
      <c r="FL6" s="616"/>
      <c r="FM6" s="616"/>
      <c r="FN6" s="616"/>
      <c r="FO6" s="616"/>
      <c r="FP6" s="616"/>
      <c r="FQ6" s="616"/>
      <c r="FR6" s="616"/>
      <c r="FS6" s="616"/>
      <c r="FT6" s="616"/>
      <c r="FU6" s="616"/>
      <c r="FV6" s="616"/>
      <c r="FW6" s="616"/>
      <c r="FX6" s="616"/>
      <c r="FY6" s="616"/>
      <c r="FZ6" s="616"/>
      <c r="GA6" s="616"/>
      <c r="GB6" s="616"/>
      <c r="GC6" s="616"/>
      <c r="GD6" s="616"/>
      <c r="GE6" s="616"/>
      <c r="GF6" s="616"/>
      <c r="GG6" s="616"/>
      <c r="GH6" s="616"/>
      <c r="GI6" s="616"/>
      <c r="GJ6" s="616"/>
      <c r="GK6" s="616"/>
      <c r="GL6" s="616"/>
      <c r="GM6" s="616"/>
      <c r="GN6" s="616"/>
      <c r="GO6" s="616"/>
      <c r="GP6" s="616"/>
      <c r="GQ6" s="616"/>
      <c r="GR6" s="616"/>
      <c r="GS6" s="616"/>
      <c r="GT6" s="616"/>
      <c r="GU6" s="616"/>
      <c r="GV6" s="616"/>
      <c r="GW6" s="616"/>
      <c r="GX6" s="616"/>
      <c r="GY6" s="616"/>
      <c r="GZ6" s="616"/>
      <c r="HA6" s="616"/>
      <c r="HB6" s="616"/>
      <c r="HC6" s="616"/>
      <c r="HD6" s="616"/>
      <c r="HE6" s="616"/>
      <c r="HF6" s="616"/>
      <c r="HG6" s="616"/>
      <c r="HH6" s="616"/>
      <c r="HI6" s="616"/>
      <c r="HJ6" s="616"/>
      <c r="HK6" s="616"/>
      <c r="HL6" s="616"/>
      <c r="HM6" s="616"/>
      <c r="HN6" s="616"/>
      <c r="HO6" s="616"/>
      <c r="HP6" s="616"/>
      <c r="HQ6" s="616"/>
      <c r="HR6" s="616"/>
      <c r="HS6" s="616"/>
      <c r="HT6" s="616"/>
      <c r="HU6" s="616"/>
      <c r="HV6" s="616"/>
      <c r="HW6" s="616"/>
      <c r="HX6" s="616"/>
      <c r="HY6" s="616"/>
      <c r="HZ6" s="616"/>
      <c r="IA6" s="616"/>
      <c r="IB6" s="616"/>
      <c r="IC6" s="616"/>
      <c r="ID6" s="616"/>
      <c r="IE6" s="616"/>
      <c r="IF6" s="616"/>
      <c r="IG6" s="616"/>
      <c r="IH6" s="616"/>
      <c r="II6" s="616"/>
      <c r="IJ6" s="616"/>
      <c r="IK6" s="616"/>
      <c r="IL6" s="616"/>
    </row>
    <row r="7" spans="1:246" s="513" customFormat="1" ht="12.75">
      <c r="A7" s="604">
        <v>2</v>
      </c>
      <c r="B7" s="604">
        <v>1</v>
      </c>
      <c r="C7" s="233" t="s">
        <v>37</v>
      </c>
      <c r="D7" s="605">
        <f>Sheet7!K5</f>
        <v>1124533.93</v>
      </c>
      <c r="E7" s="605">
        <f>Sheet7!M5</f>
        <v>1124533.93</v>
      </c>
      <c r="F7" s="605">
        <f>ROUND(E7*F$56,2)</f>
        <v>1100468.8999999999</v>
      </c>
      <c r="G7" s="605">
        <f>ROUND(E7*G$56,2)</f>
        <v>24065.03</v>
      </c>
      <c r="H7" s="605">
        <f>F7+G7</f>
        <v>1124533.93</v>
      </c>
      <c r="I7" s="605">
        <f>E7-H7</f>
        <v>0</v>
      </c>
      <c r="J7" s="615"/>
      <c r="K7" s="616"/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616"/>
      <c r="AB7" s="616"/>
      <c r="AC7" s="616"/>
      <c r="AD7" s="616"/>
      <c r="AE7" s="616"/>
      <c r="AF7" s="616"/>
      <c r="AG7" s="616"/>
      <c r="AH7" s="616"/>
      <c r="AI7" s="616"/>
      <c r="AJ7" s="616"/>
      <c r="AK7" s="616"/>
      <c r="AL7" s="616"/>
      <c r="AM7" s="616"/>
      <c r="AN7" s="616"/>
      <c r="AO7" s="616"/>
      <c r="AP7" s="616"/>
      <c r="AQ7" s="616"/>
      <c r="AR7" s="616"/>
      <c r="AS7" s="616"/>
      <c r="AT7" s="616"/>
      <c r="AU7" s="616"/>
      <c r="AV7" s="616"/>
      <c r="AW7" s="616"/>
      <c r="AX7" s="616"/>
      <c r="AY7" s="616"/>
      <c r="AZ7" s="616"/>
      <c r="BA7" s="616"/>
      <c r="BB7" s="616"/>
      <c r="BC7" s="616"/>
      <c r="BD7" s="616"/>
      <c r="BE7" s="616"/>
      <c r="BF7" s="616"/>
      <c r="BG7" s="616"/>
      <c r="BH7" s="616"/>
      <c r="BI7" s="616"/>
      <c r="BJ7" s="616"/>
      <c r="BK7" s="616"/>
      <c r="BL7" s="616"/>
      <c r="BM7" s="616"/>
      <c r="BN7" s="616"/>
      <c r="BO7" s="616"/>
      <c r="BP7" s="616"/>
      <c r="BQ7" s="616"/>
      <c r="BR7" s="616"/>
      <c r="BS7" s="616"/>
      <c r="BT7" s="616"/>
      <c r="BU7" s="616"/>
      <c r="BV7" s="616"/>
      <c r="BW7" s="616"/>
      <c r="BX7" s="616"/>
      <c r="BY7" s="616"/>
      <c r="BZ7" s="616"/>
      <c r="CA7" s="616"/>
      <c r="CB7" s="616"/>
      <c r="CC7" s="616"/>
      <c r="CD7" s="616"/>
      <c r="CE7" s="616"/>
      <c r="CF7" s="616"/>
      <c r="CG7" s="616"/>
      <c r="CH7" s="616"/>
      <c r="CI7" s="616"/>
      <c r="CJ7" s="616"/>
      <c r="CK7" s="616"/>
      <c r="CL7" s="616"/>
      <c r="CM7" s="616"/>
      <c r="CN7" s="616"/>
      <c r="CO7" s="616"/>
      <c r="CP7" s="616"/>
      <c r="CQ7" s="616"/>
      <c r="CR7" s="616"/>
      <c r="CS7" s="616"/>
      <c r="CT7" s="616"/>
      <c r="CU7" s="616"/>
      <c r="CV7" s="616"/>
      <c r="CW7" s="616"/>
      <c r="CX7" s="616"/>
      <c r="CY7" s="616"/>
      <c r="CZ7" s="616"/>
      <c r="DA7" s="616"/>
      <c r="DB7" s="616"/>
      <c r="DC7" s="616"/>
      <c r="DD7" s="616"/>
      <c r="DE7" s="616"/>
      <c r="DF7" s="616"/>
      <c r="DG7" s="616"/>
      <c r="DH7" s="616"/>
      <c r="DI7" s="616"/>
      <c r="DJ7" s="616"/>
      <c r="DK7" s="616"/>
      <c r="DL7" s="616"/>
      <c r="DM7" s="616"/>
      <c r="DN7" s="616"/>
      <c r="DO7" s="616"/>
      <c r="DP7" s="616"/>
      <c r="DQ7" s="616"/>
      <c r="DR7" s="616"/>
      <c r="DS7" s="616"/>
      <c r="DT7" s="616"/>
      <c r="DU7" s="616"/>
      <c r="DV7" s="616"/>
      <c r="DW7" s="616"/>
      <c r="DX7" s="616"/>
      <c r="DY7" s="616"/>
      <c r="DZ7" s="616"/>
      <c r="EA7" s="616"/>
      <c r="EB7" s="616"/>
      <c r="EC7" s="616"/>
      <c r="ED7" s="616"/>
      <c r="EE7" s="616"/>
      <c r="EF7" s="616"/>
      <c r="EG7" s="616"/>
      <c r="EH7" s="616"/>
      <c r="EI7" s="616"/>
      <c r="EJ7" s="616"/>
      <c r="EK7" s="616"/>
      <c r="EL7" s="616"/>
      <c r="EM7" s="616"/>
      <c r="EN7" s="616"/>
      <c r="EO7" s="616"/>
      <c r="EP7" s="616"/>
      <c r="EQ7" s="616"/>
      <c r="ER7" s="616"/>
      <c r="ES7" s="616"/>
      <c r="ET7" s="616"/>
      <c r="EU7" s="616"/>
      <c r="EV7" s="616"/>
      <c r="EW7" s="616"/>
      <c r="EX7" s="616"/>
      <c r="EY7" s="616"/>
      <c r="EZ7" s="616"/>
      <c r="FA7" s="616"/>
      <c r="FB7" s="616"/>
      <c r="FC7" s="616"/>
      <c r="FD7" s="616"/>
      <c r="FE7" s="616"/>
      <c r="FF7" s="616"/>
      <c r="FG7" s="616"/>
      <c r="FH7" s="616"/>
      <c r="FI7" s="616"/>
      <c r="FJ7" s="616"/>
      <c r="FK7" s="616"/>
      <c r="FL7" s="616"/>
      <c r="FM7" s="616"/>
      <c r="FN7" s="616"/>
      <c r="FO7" s="616"/>
      <c r="FP7" s="616"/>
      <c r="FQ7" s="616"/>
      <c r="FR7" s="616"/>
      <c r="FS7" s="616"/>
      <c r="FT7" s="616"/>
      <c r="FU7" s="616"/>
      <c r="FV7" s="616"/>
      <c r="FW7" s="616"/>
      <c r="FX7" s="616"/>
      <c r="FY7" s="616"/>
      <c r="FZ7" s="616"/>
      <c r="GA7" s="616"/>
      <c r="GB7" s="616"/>
      <c r="GC7" s="616"/>
      <c r="GD7" s="616"/>
      <c r="GE7" s="616"/>
      <c r="GF7" s="616"/>
      <c r="GG7" s="616"/>
      <c r="GH7" s="616"/>
      <c r="GI7" s="616"/>
      <c r="GJ7" s="616"/>
      <c r="GK7" s="616"/>
      <c r="GL7" s="616"/>
      <c r="GM7" s="616"/>
      <c r="GN7" s="616"/>
      <c r="GO7" s="616"/>
      <c r="GP7" s="616"/>
      <c r="GQ7" s="616"/>
      <c r="GR7" s="616"/>
      <c r="GS7" s="616"/>
      <c r="GT7" s="616"/>
      <c r="GU7" s="616"/>
      <c r="GV7" s="616"/>
      <c r="GW7" s="616"/>
      <c r="GX7" s="616"/>
      <c r="GY7" s="616"/>
      <c r="GZ7" s="616"/>
      <c r="HA7" s="616"/>
      <c r="HB7" s="616"/>
      <c r="HC7" s="616"/>
      <c r="HD7" s="616"/>
      <c r="HE7" s="616"/>
      <c r="HF7" s="616"/>
      <c r="HG7" s="616"/>
      <c r="HH7" s="616"/>
      <c r="HI7" s="616"/>
      <c r="HJ7" s="616"/>
      <c r="HK7" s="616"/>
      <c r="HL7" s="616"/>
      <c r="HM7" s="616"/>
      <c r="HN7" s="616"/>
      <c r="HO7" s="616"/>
      <c r="HP7" s="616"/>
      <c r="HQ7" s="616"/>
      <c r="HR7" s="616"/>
      <c r="HS7" s="616"/>
      <c r="HT7" s="616"/>
      <c r="HU7" s="616"/>
      <c r="HV7" s="616"/>
      <c r="HW7" s="616"/>
      <c r="HX7" s="616"/>
      <c r="HY7" s="616"/>
      <c r="HZ7" s="616"/>
      <c r="IA7" s="616"/>
      <c r="IB7" s="616"/>
      <c r="IC7" s="616"/>
      <c r="ID7" s="616"/>
      <c r="IE7" s="616"/>
      <c r="IF7" s="616"/>
      <c r="IG7" s="616"/>
      <c r="IH7" s="616"/>
      <c r="II7" s="616"/>
      <c r="IJ7" s="616"/>
      <c r="IK7" s="616"/>
      <c r="IL7" s="616"/>
    </row>
    <row r="8" spans="1:246" s="513" customFormat="1" ht="12.75">
      <c r="A8" s="604">
        <v>2</v>
      </c>
      <c r="B8" s="604">
        <v>2</v>
      </c>
      <c r="C8" s="606" t="s">
        <v>38</v>
      </c>
      <c r="D8" s="605"/>
      <c r="E8" s="605"/>
      <c r="F8" s="605"/>
      <c r="G8" s="605"/>
      <c r="H8" s="605">
        <f>F8+G8</f>
        <v>0</v>
      </c>
      <c r="I8" s="605">
        <f>E8-H8</f>
        <v>0</v>
      </c>
      <c r="J8" s="615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6"/>
      <c r="X8" s="616"/>
      <c r="Y8" s="616"/>
      <c r="Z8" s="616"/>
      <c r="AA8" s="616"/>
      <c r="AB8" s="616"/>
      <c r="AC8" s="616"/>
      <c r="AD8" s="616"/>
      <c r="AE8" s="616"/>
      <c r="AF8" s="616"/>
      <c r="AG8" s="616"/>
      <c r="AH8" s="616"/>
      <c r="AI8" s="616"/>
      <c r="AJ8" s="616"/>
      <c r="AK8" s="616"/>
      <c r="AL8" s="616"/>
      <c r="AM8" s="616"/>
      <c r="AN8" s="616"/>
      <c r="AO8" s="616"/>
      <c r="AP8" s="616"/>
      <c r="AQ8" s="616"/>
      <c r="AR8" s="616"/>
      <c r="AS8" s="616"/>
      <c r="AT8" s="616"/>
      <c r="AU8" s="616"/>
      <c r="AV8" s="616"/>
      <c r="AW8" s="616"/>
      <c r="AX8" s="616"/>
      <c r="AY8" s="616"/>
      <c r="AZ8" s="616"/>
      <c r="BA8" s="616"/>
      <c r="BB8" s="616"/>
      <c r="BC8" s="616"/>
      <c r="BD8" s="616"/>
      <c r="BE8" s="616"/>
      <c r="BF8" s="616"/>
      <c r="BG8" s="616"/>
      <c r="BH8" s="616"/>
      <c r="BI8" s="616"/>
      <c r="BJ8" s="616"/>
      <c r="BK8" s="616"/>
      <c r="BL8" s="616"/>
      <c r="BM8" s="616"/>
      <c r="BN8" s="616"/>
      <c r="BO8" s="616"/>
      <c r="BP8" s="616"/>
      <c r="BQ8" s="616"/>
      <c r="BR8" s="616"/>
      <c r="BS8" s="616"/>
      <c r="BT8" s="616"/>
      <c r="BU8" s="616"/>
      <c r="BV8" s="616"/>
      <c r="BW8" s="616"/>
      <c r="BX8" s="616"/>
      <c r="BY8" s="616"/>
      <c r="BZ8" s="616"/>
      <c r="CA8" s="616"/>
      <c r="CB8" s="616"/>
      <c r="CC8" s="616"/>
      <c r="CD8" s="616"/>
      <c r="CE8" s="616"/>
      <c r="CF8" s="616"/>
      <c r="CG8" s="616"/>
      <c r="CH8" s="616"/>
      <c r="CI8" s="616"/>
      <c r="CJ8" s="616"/>
      <c r="CK8" s="616"/>
      <c r="CL8" s="616"/>
      <c r="CM8" s="616"/>
      <c r="CN8" s="616"/>
      <c r="CO8" s="616"/>
      <c r="CP8" s="616"/>
      <c r="CQ8" s="616"/>
      <c r="CR8" s="616"/>
      <c r="CS8" s="616"/>
      <c r="CT8" s="616"/>
      <c r="CU8" s="616"/>
      <c r="CV8" s="616"/>
      <c r="CW8" s="616"/>
      <c r="CX8" s="616"/>
      <c r="CY8" s="616"/>
      <c r="CZ8" s="616"/>
      <c r="DA8" s="616"/>
      <c r="DB8" s="616"/>
      <c r="DC8" s="616"/>
      <c r="DD8" s="616"/>
      <c r="DE8" s="616"/>
      <c r="DF8" s="616"/>
      <c r="DG8" s="616"/>
      <c r="DH8" s="616"/>
      <c r="DI8" s="616"/>
      <c r="DJ8" s="616"/>
      <c r="DK8" s="616"/>
      <c r="DL8" s="616"/>
      <c r="DM8" s="616"/>
      <c r="DN8" s="616"/>
      <c r="DO8" s="616"/>
      <c r="DP8" s="616"/>
      <c r="DQ8" s="616"/>
      <c r="DR8" s="616"/>
      <c r="DS8" s="616"/>
      <c r="DT8" s="616"/>
      <c r="DU8" s="616"/>
      <c r="DV8" s="616"/>
      <c r="DW8" s="616"/>
      <c r="DX8" s="616"/>
      <c r="DY8" s="616"/>
      <c r="DZ8" s="616"/>
      <c r="EA8" s="616"/>
      <c r="EB8" s="616"/>
      <c r="EC8" s="616"/>
      <c r="ED8" s="616"/>
      <c r="EE8" s="616"/>
      <c r="EF8" s="616"/>
      <c r="EG8" s="616"/>
      <c r="EH8" s="616"/>
      <c r="EI8" s="616"/>
      <c r="EJ8" s="616"/>
      <c r="EK8" s="616"/>
      <c r="EL8" s="616"/>
      <c r="EM8" s="616"/>
      <c r="EN8" s="616"/>
      <c r="EO8" s="616"/>
      <c r="EP8" s="616"/>
      <c r="EQ8" s="616"/>
      <c r="ER8" s="616"/>
      <c r="ES8" s="616"/>
      <c r="ET8" s="616"/>
      <c r="EU8" s="616"/>
      <c r="EV8" s="616"/>
      <c r="EW8" s="616"/>
      <c r="EX8" s="616"/>
      <c r="EY8" s="616"/>
      <c r="EZ8" s="616"/>
      <c r="FA8" s="616"/>
      <c r="FB8" s="616"/>
      <c r="FC8" s="616"/>
      <c r="FD8" s="616"/>
      <c r="FE8" s="616"/>
      <c r="FF8" s="616"/>
      <c r="FG8" s="616"/>
      <c r="FH8" s="616"/>
      <c r="FI8" s="616"/>
      <c r="FJ8" s="616"/>
      <c r="FK8" s="616"/>
      <c r="FL8" s="616"/>
      <c r="FM8" s="616"/>
      <c r="FN8" s="616"/>
      <c r="FO8" s="616"/>
      <c r="FP8" s="616"/>
      <c r="FQ8" s="616"/>
      <c r="FR8" s="616"/>
      <c r="FS8" s="616"/>
      <c r="FT8" s="616"/>
      <c r="FU8" s="616"/>
      <c r="FV8" s="616"/>
      <c r="FW8" s="616"/>
      <c r="FX8" s="616"/>
      <c r="FY8" s="616"/>
      <c r="FZ8" s="616"/>
      <c r="GA8" s="616"/>
      <c r="GB8" s="616"/>
      <c r="GC8" s="616"/>
      <c r="GD8" s="616"/>
      <c r="GE8" s="616"/>
      <c r="GF8" s="616"/>
      <c r="GG8" s="616"/>
      <c r="GH8" s="616"/>
      <c r="GI8" s="616"/>
      <c r="GJ8" s="616"/>
      <c r="GK8" s="616"/>
      <c r="GL8" s="616"/>
      <c r="GM8" s="616"/>
      <c r="GN8" s="616"/>
      <c r="GO8" s="616"/>
      <c r="GP8" s="616"/>
      <c r="GQ8" s="616"/>
      <c r="GR8" s="616"/>
      <c r="GS8" s="616"/>
      <c r="GT8" s="616"/>
      <c r="GU8" s="616"/>
      <c r="GV8" s="616"/>
      <c r="GW8" s="616"/>
      <c r="GX8" s="616"/>
      <c r="GY8" s="616"/>
      <c r="GZ8" s="616"/>
      <c r="HA8" s="616"/>
      <c r="HB8" s="616"/>
      <c r="HC8" s="616"/>
      <c r="HD8" s="616"/>
      <c r="HE8" s="616"/>
      <c r="HF8" s="616"/>
      <c r="HG8" s="616"/>
      <c r="HH8" s="616"/>
      <c r="HI8" s="616"/>
      <c r="HJ8" s="616"/>
      <c r="HK8" s="616"/>
      <c r="HL8" s="616"/>
      <c r="HM8" s="616"/>
      <c r="HN8" s="616"/>
      <c r="HO8" s="616"/>
      <c r="HP8" s="616"/>
      <c r="HQ8" s="616"/>
      <c r="HR8" s="616"/>
      <c r="HS8" s="616"/>
      <c r="HT8" s="616"/>
      <c r="HU8" s="616"/>
      <c r="HV8" s="616"/>
      <c r="HW8" s="616"/>
      <c r="HX8" s="616"/>
      <c r="HY8" s="616"/>
      <c r="HZ8" s="616"/>
      <c r="IA8" s="616"/>
      <c r="IB8" s="616"/>
      <c r="IC8" s="616"/>
      <c r="ID8" s="616"/>
      <c r="IE8" s="616"/>
      <c r="IF8" s="616"/>
      <c r="IG8" s="616"/>
      <c r="IH8" s="616"/>
      <c r="II8" s="616"/>
      <c r="IJ8" s="616"/>
      <c r="IK8" s="616"/>
      <c r="IL8" s="616"/>
    </row>
    <row r="9" spans="1:246" s="513" customFormat="1" ht="12.75">
      <c r="A9" s="604">
        <v>2</v>
      </c>
      <c r="B9" s="604">
        <v>3</v>
      </c>
      <c r="C9" s="606" t="s">
        <v>39</v>
      </c>
      <c r="D9" s="605"/>
      <c r="E9" s="605"/>
      <c r="F9" s="605"/>
      <c r="G9" s="605">
        <f>E9*0.8883*0.8833</f>
        <v>0</v>
      </c>
      <c r="H9" s="605">
        <f>F9+G9</f>
        <v>0</v>
      </c>
      <c r="I9" s="605">
        <f>E9-H9</f>
        <v>0</v>
      </c>
      <c r="J9" s="615"/>
      <c r="K9" s="616"/>
      <c r="L9" s="616"/>
      <c r="M9" s="616"/>
      <c r="N9" s="616"/>
      <c r="O9" s="616"/>
      <c r="P9" s="616"/>
      <c r="Q9" s="616"/>
      <c r="R9" s="616"/>
      <c r="S9" s="616"/>
      <c r="T9" s="616"/>
      <c r="U9" s="616"/>
      <c r="V9" s="616"/>
      <c r="W9" s="616"/>
      <c r="X9" s="616"/>
      <c r="Y9" s="616"/>
      <c r="Z9" s="616"/>
      <c r="AA9" s="616"/>
      <c r="AB9" s="616"/>
      <c r="AC9" s="616"/>
      <c r="AD9" s="616"/>
      <c r="AE9" s="616"/>
      <c r="AF9" s="616"/>
      <c r="AG9" s="616"/>
      <c r="AH9" s="616"/>
      <c r="AI9" s="616"/>
      <c r="AJ9" s="616"/>
      <c r="AK9" s="616"/>
      <c r="AL9" s="616"/>
      <c r="AM9" s="616"/>
      <c r="AN9" s="616"/>
      <c r="AO9" s="616"/>
      <c r="AP9" s="616"/>
      <c r="AQ9" s="616"/>
      <c r="AR9" s="616"/>
      <c r="AS9" s="616"/>
      <c r="AT9" s="616"/>
      <c r="AU9" s="616"/>
      <c r="AV9" s="616"/>
      <c r="AW9" s="616"/>
      <c r="AX9" s="616"/>
      <c r="AY9" s="616"/>
      <c r="AZ9" s="616"/>
      <c r="BA9" s="616"/>
      <c r="BB9" s="616"/>
      <c r="BC9" s="616"/>
      <c r="BD9" s="616"/>
      <c r="BE9" s="616"/>
      <c r="BF9" s="616"/>
      <c r="BG9" s="616"/>
      <c r="BH9" s="616"/>
      <c r="BI9" s="616"/>
      <c r="BJ9" s="616"/>
      <c r="BK9" s="616"/>
      <c r="BL9" s="616"/>
      <c r="BM9" s="616"/>
      <c r="BN9" s="616"/>
      <c r="BO9" s="616"/>
      <c r="BP9" s="616"/>
      <c r="BQ9" s="616"/>
      <c r="BR9" s="616"/>
      <c r="BS9" s="616"/>
      <c r="BT9" s="616"/>
      <c r="BU9" s="616"/>
      <c r="BV9" s="616"/>
      <c r="BW9" s="616"/>
      <c r="BX9" s="616"/>
      <c r="BY9" s="616"/>
      <c r="BZ9" s="616"/>
      <c r="CA9" s="616"/>
      <c r="CB9" s="616"/>
      <c r="CC9" s="616"/>
      <c r="CD9" s="616"/>
      <c r="CE9" s="616"/>
      <c r="CF9" s="616"/>
      <c r="CG9" s="616"/>
      <c r="CH9" s="616"/>
      <c r="CI9" s="616"/>
      <c r="CJ9" s="616"/>
      <c r="CK9" s="616"/>
      <c r="CL9" s="616"/>
      <c r="CM9" s="616"/>
      <c r="CN9" s="616"/>
      <c r="CO9" s="616"/>
      <c r="CP9" s="616"/>
      <c r="CQ9" s="616"/>
      <c r="CR9" s="616"/>
      <c r="CS9" s="616"/>
      <c r="CT9" s="616"/>
      <c r="CU9" s="616"/>
      <c r="CV9" s="616"/>
      <c r="CW9" s="616"/>
      <c r="CX9" s="616"/>
      <c r="CY9" s="616"/>
      <c r="CZ9" s="616"/>
      <c r="DA9" s="616"/>
      <c r="DB9" s="616"/>
      <c r="DC9" s="616"/>
      <c r="DD9" s="616"/>
      <c r="DE9" s="616"/>
      <c r="DF9" s="616"/>
      <c r="DG9" s="616"/>
      <c r="DH9" s="616"/>
      <c r="DI9" s="616"/>
      <c r="DJ9" s="616"/>
      <c r="DK9" s="616"/>
      <c r="DL9" s="616"/>
      <c r="DM9" s="616"/>
      <c r="DN9" s="616"/>
      <c r="DO9" s="616"/>
      <c r="DP9" s="616"/>
      <c r="DQ9" s="616"/>
      <c r="DR9" s="616"/>
      <c r="DS9" s="616"/>
      <c r="DT9" s="616"/>
      <c r="DU9" s="616"/>
      <c r="DV9" s="616"/>
      <c r="DW9" s="616"/>
      <c r="DX9" s="616"/>
      <c r="DY9" s="616"/>
      <c r="DZ9" s="616"/>
      <c r="EA9" s="616"/>
      <c r="EB9" s="616"/>
      <c r="EC9" s="616"/>
      <c r="ED9" s="616"/>
      <c r="EE9" s="616"/>
      <c r="EF9" s="616"/>
      <c r="EG9" s="616"/>
      <c r="EH9" s="616"/>
      <c r="EI9" s="616"/>
      <c r="EJ9" s="616"/>
      <c r="EK9" s="616"/>
      <c r="EL9" s="616"/>
      <c r="EM9" s="616"/>
      <c r="EN9" s="616"/>
      <c r="EO9" s="616"/>
      <c r="EP9" s="616"/>
      <c r="EQ9" s="616"/>
      <c r="ER9" s="616"/>
      <c r="ES9" s="616"/>
      <c r="ET9" s="616"/>
      <c r="EU9" s="616"/>
      <c r="EV9" s="616"/>
      <c r="EW9" s="616"/>
      <c r="EX9" s="616"/>
      <c r="EY9" s="616"/>
      <c r="EZ9" s="616"/>
      <c r="FA9" s="616"/>
      <c r="FB9" s="616"/>
      <c r="FC9" s="616"/>
      <c r="FD9" s="616"/>
      <c r="FE9" s="616"/>
      <c r="FF9" s="616"/>
      <c r="FG9" s="616"/>
      <c r="FH9" s="616"/>
      <c r="FI9" s="616"/>
      <c r="FJ9" s="616"/>
      <c r="FK9" s="616"/>
      <c r="FL9" s="616"/>
      <c r="FM9" s="616"/>
      <c r="FN9" s="616"/>
      <c r="FO9" s="616"/>
      <c r="FP9" s="616"/>
      <c r="FQ9" s="616"/>
      <c r="FR9" s="616"/>
      <c r="FS9" s="616"/>
      <c r="FT9" s="616"/>
      <c r="FU9" s="616"/>
      <c r="FV9" s="616"/>
      <c r="FW9" s="616"/>
      <c r="FX9" s="616"/>
      <c r="FY9" s="616"/>
      <c r="FZ9" s="616"/>
      <c r="GA9" s="616"/>
      <c r="GB9" s="616"/>
      <c r="GC9" s="616"/>
      <c r="GD9" s="616"/>
      <c r="GE9" s="616"/>
      <c r="GF9" s="616"/>
      <c r="GG9" s="616"/>
      <c r="GH9" s="616"/>
      <c r="GI9" s="616"/>
      <c r="GJ9" s="616"/>
      <c r="GK9" s="616"/>
      <c r="GL9" s="616"/>
      <c r="GM9" s="616"/>
      <c r="GN9" s="616"/>
      <c r="GO9" s="616"/>
      <c r="GP9" s="616"/>
      <c r="GQ9" s="616"/>
      <c r="GR9" s="616"/>
      <c r="GS9" s="616"/>
      <c r="GT9" s="616"/>
      <c r="GU9" s="616"/>
      <c r="GV9" s="616"/>
      <c r="GW9" s="616"/>
      <c r="GX9" s="616"/>
      <c r="GY9" s="616"/>
      <c r="GZ9" s="616"/>
      <c r="HA9" s="616"/>
      <c r="HB9" s="616"/>
      <c r="HC9" s="616"/>
      <c r="HD9" s="616"/>
      <c r="HE9" s="616"/>
      <c r="HF9" s="616"/>
      <c r="HG9" s="616"/>
      <c r="HH9" s="616"/>
      <c r="HI9" s="616"/>
      <c r="HJ9" s="616"/>
      <c r="HK9" s="616"/>
      <c r="HL9" s="616"/>
      <c r="HM9" s="616"/>
      <c r="HN9" s="616"/>
      <c r="HO9" s="616"/>
      <c r="HP9" s="616"/>
      <c r="HQ9" s="616"/>
      <c r="HR9" s="616"/>
      <c r="HS9" s="616"/>
      <c r="HT9" s="616"/>
      <c r="HU9" s="616"/>
      <c r="HV9" s="616"/>
      <c r="HW9" s="616"/>
      <c r="HX9" s="616"/>
      <c r="HY9" s="616"/>
      <c r="HZ9" s="616"/>
      <c r="IA9" s="616"/>
      <c r="IB9" s="616"/>
      <c r="IC9" s="616"/>
      <c r="ID9" s="616"/>
      <c r="IE9" s="616"/>
      <c r="IF9" s="616"/>
      <c r="IG9" s="616"/>
      <c r="IH9" s="616"/>
      <c r="II9" s="616"/>
      <c r="IJ9" s="616"/>
      <c r="IK9" s="616"/>
      <c r="IL9" s="616"/>
    </row>
    <row r="10" spans="1:246" s="513" customFormat="1" ht="12.75">
      <c r="A10" s="604">
        <v>2</v>
      </c>
      <c r="B10" s="604">
        <v>4</v>
      </c>
      <c r="C10" s="606" t="s">
        <v>40</v>
      </c>
      <c r="D10" s="605">
        <v>0</v>
      </c>
      <c r="E10" s="605"/>
      <c r="F10" s="605"/>
      <c r="G10" s="605"/>
      <c r="H10" s="605">
        <f>F10+G10</f>
        <v>0</v>
      </c>
      <c r="I10" s="605">
        <f>E10-H10</f>
        <v>0</v>
      </c>
      <c r="J10" s="615"/>
      <c r="K10" s="616"/>
      <c r="L10" s="616"/>
      <c r="M10" s="616"/>
      <c r="N10" s="616"/>
      <c r="O10" s="616"/>
      <c r="P10" s="616"/>
      <c r="Q10" s="616"/>
      <c r="R10" s="616"/>
      <c r="S10" s="616"/>
      <c r="T10" s="616"/>
      <c r="U10" s="616"/>
      <c r="V10" s="616"/>
      <c r="W10" s="616"/>
      <c r="X10" s="616"/>
      <c r="Y10" s="616"/>
      <c r="Z10" s="616"/>
      <c r="AA10" s="616"/>
      <c r="AB10" s="616"/>
      <c r="AC10" s="616"/>
      <c r="AD10" s="616"/>
      <c r="AE10" s="616"/>
      <c r="AF10" s="616"/>
      <c r="AG10" s="616"/>
      <c r="AH10" s="616"/>
      <c r="AI10" s="616"/>
      <c r="AJ10" s="616"/>
      <c r="AK10" s="616"/>
      <c r="AL10" s="616"/>
      <c r="AM10" s="616"/>
      <c r="AN10" s="616"/>
      <c r="AO10" s="616"/>
      <c r="AP10" s="616"/>
      <c r="AQ10" s="616"/>
      <c r="AR10" s="616"/>
      <c r="AS10" s="616"/>
      <c r="AT10" s="616"/>
      <c r="AU10" s="616"/>
      <c r="AV10" s="616"/>
      <c r="AW10" s="616"/>
      <c r="AX10" s="616"/>
      <c r="AY10" s="616"/>
      <c r="AZ10" s="616"/>
      <c r="BA10" s="616"/>
      <c r="BB10" s="616"/>
      <c r="BC10" s="616"/>
      <c r="BD10" s="616"/>
      <c r="BE10" s="616"/>
      <c r="BF10" s="616"/>
      <c r="BG10" s="616"/>
      <c r="BH10" s="616"/>
      <c r="BI10" s="616"/>
      <c r="BJ10" s="616"/>
      <c r="BK10" s="616"/>
      <c r="BL10" s="616"/>
      <c r="BM10" s="616"/>
      <c r="BN10" s="616"/>
      <c r="BO10" s="616"/>
      <c r="BP10" s="616"/>
      <c r="BQ10" s="616"/>
      <c r="BR10" s="616"/>
      <c r="BS10" s="616"/>
      <c r="BT10" s="616"/>
      <c r="BU10" s="616"/>
      <c r="BV10" s="616"/>
      <c r="BW10" s="616"/>
      <c r="BX10" s="616"/>
      <c r="BY10" s="616"/>
      <c r="BZ10" s="616"/>
      <c r="CA10" s="616"/>
      <c r="CB10" s="616"/>
      <c r="CC10" s="616"/>
      <c r="CD10" s="616"/>
      <c r="CE10" s="616"/>
      <c r="CF10" s="616"/>
      <c r="CG10" s="616"/>
      <c r="CH10" s="616"/>
      <c r="CI10" s="616"/>
      <c r="CJ10" s="616"/>
      <c r="CK10" s="616"/>
      <c r="CL10" s="616"/>
      <c r="CM10" s="616"/>
      <c r="CN10" s="616"/>
      <c r="CO10" s="616"/>
      <c r="CP10" s="616"/>
      <c r="CQ10" s="616"/>
      <c r="CR10" s="616"/>
      <c r="CS10" s="616"/>
      <c r="CT10" s="616"/>
      <c r="CU10" s="616"/>
      <c r="CV10" s="616"/>
      <c r="CW10" s="616"/>
      <c r="CX10" s="616"/>
      <c r="CY10" s="616"/>
      <c r="CZ10" s="616"/>
      <c r="DA10" s="616"/>
      <c r="DB10" s="616"/>
      <c r="DC10" s="616"/>
      <c r="DD10" s="616"/>
      <c r="DE10" s="616"/>
      <c r="DF10" s="616"/>
      <c r="DG10" s="616"/>
      <c r="DH10" s="616"/>
      <c r="DI10" s="616"/>
      <c r="DJ10" s="616"/>
      <c r="DK10" s="616"/>
      <c r="DL10" s="616"/>
      <c r="DM10" s="616"/>
      <c r="DN10" s="616"/>
      <c r="DO10" s="616"/>
      <c r="DP10" s="616"/>
      <c r="DQ10" s="616"/>
      <c r="DR10" s="616"/>
      <c r="DS10" s="616"/>
      <c r="DT10" s="616"/>
      <c r="DU10" s="616"/>
      <c r="DV10" s="616"/>
      <c r="DW10" s="616"/>
      <c r="DX10" s="616"/>
      <c r="DY10" s="616"/>
      <c r="DZ10" s="616"/>
      <c r="EA10" s="616"/>
      <c r="EB10" s="616"/>
      <c r="EC10" s="616"/>
      <c r="ED10" s="616"/>
      <c r="EE10" s="616"/>
      <c r="EF10" s="616"/>
      <c r="EG10" s="616"/>
      <c r="EH10" s="616"/>
      <c r="EI10" s="616"/>
      <c r="EJ10" s="616"/>
      <c r="EK10" s="616"/>
      <c r="EL10" s="616"/>
      <c r="EM10" s="616"/>
      <c r="EN10" s="616"/>
      <c r="EO10" s="616"/>
      <c r="EP10" s="616"/>
      <c r="EQ10" s="616"/>
      <c r="ER10" s="616"/>
      <c r="ES10" s="616"/>
      <c r="ET10" s="616"/>
      <c r="EU10" s="616"/>
      <c r="EV10" s="616"/>
      <c r="EW10" s="616"/>
      <c r="EX10" s="616"/>
      <c r="EY10" s="616"/>
      <c r="EZ10" s="616"/>
      <c r="FA10" s="616"/>
      <c r="FB10" s="616"/>
      <c r="FC10" s="616"/>
      <c r="FD10" s="616"/>
      <c r="FE10" s="616"/>
      <c r="FF10" s="616"/>
      <c r="FG10" s="616"/>
      <c r="FH10" s="616"/>
      <c r="FI10" s="616"/>
      <c r="FJ10" s="616"/>
      <c r="FK10" s="616"/>
      <c r="FL10" s="616"/>
      <c r="FM10" s="616"/>
      <c r="FN10" s="616"/>
      <c r="FO10" s="616"/>
      <c r="FP10" s="616"/>
      <c r="FQ10" s="616"/>
      <c r="FR10" s="616"/>
      <c r="FS10" s="616"/>
      <c r="FT10" s="616"/>
      <c r="FU10" s="616"/>
      <c r="FV10" s="616"/>
      <c r="FW10" s="616"/>
      <c r="FX10" s="616"/>
      <c r="FY10" s="616"/>
      <c r="FZ10" s="616"/>
      <c r="GA10" s="616"/>
      <c r="GB10" s="616"/>
      <c r="GC10" s="616"/>
      <c r="GD10" s="616"/>
      <c r="GE10" s="616"/>
      <c r="GF10" s="616"/>
      <c r="GG10" s="616"/>
      <c r="GH10" s="616"/>
      <c r="GI10" s="616"/>
      <c r="GJ10" s="616"/>
      <c r="GK10" s="616"/>
      <c r="GL10" s="616"/>
      <c r="GM10" s="616"/>
      <c r="GN10" s="616"/>
      <c r="GO10" s="616"/>
      <c r="GP10" s="616"/>
      <c r="GQ10" s="616"/>
      <c r="GR10" s="616"/>
      <c r="GS10" s="616"/>
      <c r="GT10" s="616"/>
      <c r="GU10" s="616"/>
      <c r="GV10" s="616"/>
      <c r="GW10" s="616"/>
      <c r="GX10" s="616"/>
      <c r="GY10" s="616"/>
      <c r="GZ10" s="616"/>
      <c r="HA10" s="616"/>
      <c r="HB10" s="616"/>
      <c r="HC10" s="616"/>
      <c r="HD10" s="616"/>
      <c r="HE10" s="616"/>
      <c r="HF10" s="616"/>
      <c r="HG10" s="616"/>
      <c r="HH10" s="616"/>
      <c r="HI10" s="616"/>
      <c r="HJ10" s="616"/>
      <c r="HK10" s="616"/>
      <c r="HL10" s="616"/>
      <c r="HM10" s="616"/>
      <c r="HN10" s="616"/>
      <c r="HO10" s="616"/>
      <c r="HP10" s="616"/>
      <c r="HQ10" s="616"/>
      <c r="HR10" s="616"/>
      <c r="HS10" s="616"/>
      <c r="HT10" s="616"/>
      <c r="HU10" s="616"/>
      <c r="HV10" s="616"/>
      <c r="HW10" s="616"/>
      <c r="HX10" s="616"/>
      <c r="HY10" s="616"/>
      <c r="HZ10" s="616"/>
      <c r="IA10" s="616"/>
      <c r="IB10" s="616"/>
      <c r="IC10" s="616"/>
      <c r="ID10" s="616"/>
      <c r="IE10" s="616"/>
      <c r="IF10" s="616"/>
      <c r="IG10" s="616"/>
      <c r="IH10" s="616"/>
      <c r="II10" s="616"/>
      <c r="IJ10" s="616"/>
      <c r="IK10" s="616"/>
      <c r="IL10" s="616"/>
    </row>
    <row r="11" spans="1:246" s="513" customFormat="1" ht="12.75">
      <c r="A11" s="604">
        <v>1</v>
      </c>
      <c r="B11" s="603" t="s">
        <v>41</v>
      </c>
      <c r="C11" s="233" t="s">
        <v>42</v>
      </c>
      <c r="D11" s="605">
        <f t="shared" ref="D11:I11" si="1">D12</f>
        <v>0</v>
      </c>
      <c r="E11" s="605">
        <f t="shared" si="1"/>
        <v>0</v>
      </c>
      <c r="F11" s="605">
        <f t="shared" si="1"/>
        <v>0</v>
      </c>
      <c r="G11" s="605">
        <f t="shared" si="1"/>
        <v>0</v>
      </c>
      <c r="H11" s="605">
        <f t="shared" si="1"/>
        <v>0</v>
      </c>
      <c r="I11" s="605">
        <f t="shared" si="1"/>
        <v>0</v>
      </c>
      <c r="J11" s="615"/>
      <c r="K11" s="616"/>
      <c r="L11" s="616"/>
      <c r="M11" s="616"/>
      <c r="N11" s="616"/>
      <c r="O11" s="616"/>
      <c r="P11" s="616"/>
      <c r="Q11" s="616"/>
      <c r="R11" s="616"/>
      <c r="S11" s="616"/>
      <c r="T11" s="616"/>
      <c r="U11" s="616"/>
      <c r="V11" s="616"/>
      <c r="W11" s="616"/>
      <c r="X11" s="616"/>
      <c r="Y11" s="616"/>
      <c r="Z11" s="616"/>
      <c r="AA11" s="616"/>
      <c r="AB11" s="616"/>
      <c r="AC11" s="616"/>
      <c r="AD11" s="616"/>
      <c r="AE11" s="616"/>
      <c r="AF11" s="616"/>
      <c r="AG11" s="616"/>
      <c r="AH11" s="616"/>
      <c r="AI11" s="616"/>
      <c r="AJ11" s="616"/>
      <c r="AK11" s="616"/>
      <c r="AL11" s="616"/>
      <c r="AM11" s="616"/>
      <c r="AN11" s="616"/>
      <c r="AO11" s="616"/>
      <c r="AP11" s="616"/>
      <c r="AQ11" s="616"/>
      <c r="AR11" s="616"/>
      <c r="AS11" s="616"/>
      <c r="AT11" s="616"/>
      <c r="AU11" s="616"/>
      <c r="AV11" s="616"/>
      <c r="AW11" s="616"/>
      <c r="AX11" s="616"/>
      <c r="AY11" s="616"/>
      <c r="AZ11" s="616"/>
      <c r="BA11" s="616"/>
      <c r="BB11" s="616"/>
      <c r="BC11" s="616"/>
      <c r="BD11" s="616"/>
      <c r="BE11" s="616"/>
      <c r="BF11" s="616"/>
      <c r="BG11" s="616"/>
      <c r="BH11" s="616"/>
      <c r="BI11" s="616"/>
      <c r="BJ11" s="616"/>
      <c r="BK11" s="616"/>
      <c r="BL11" s="616"/>
      <c r="BM11" s="616"/>
      <c r="BN11" s="616"/>
      <c r="BO11" s="616"/>
      <c r="BP11" s="616"/>
      <c r="BQ11" s="616"/>
      <c r="BR11" s="616"/>
      <c r="BS11" s="616"/>
      <c r="BT11" s="616"/>
      <c r="BU11" s="616"/>
      <c r="BV11" s="616"/>
      <c r="BW11" s="616"/>
      <c r="BX11" s="616"/>
      <c r="BY11" s="616"/>
      <c r="BZ11" s="616"/>
      <c r="CA11" s="616"/>
      <c r="CB11" s="616"/>
      <c r="CC11" s="616"/>
      <c r="CD11" s="616"/>
      <c r="CE11" s="616"/>
      <c r="CF11" s="616"/>
      <c r="CG11" s="616"/>
      <c r="CH11" s="616"/>
      <c r="CI11" s="616"/>
      <c r="CJ11" s="616"/>
      <c r="CK11" s="616"/>
      <c r="CL11" s="616"/>
      <c r="CM11" s="616"/>
      <c r="CN11" s="616"/>
      <c r="CO11" s="616"/>
      <c r="CP11" s="616"/>
      <c r="CQ11" s="616"/>
      <c r="CR11" s="616"/>
      <c r="CS11" s="616"/>
      <c r="CT11" s="616"/>
      <c r="CU11" s="616"/>
      <c r="CV11" s="616"/>
      <c r="CW11" s="616"/>
      <c r="CX11" s="616"/>
      <c r="CY11" s="616"/>
      <c r="CZ11" s="616"/>
      <c r="DA11" s="616"/>
      <c r="DB11" s="616"/>
      <c r="DC11" s="616"/>
      <c r="DD11" s="616"/>
      <c r="DE11" s="616"/>
      <c r="DF11" s="616"/>
      <c r="DG11" s="616"/>
      <c r="DH11" s="616"/>
      <c r="DI11" s="616"/>
      <c r="DJ11" s="616"/>
      <c r="DK11" s="616"/>
      <c r="DL11" s="616"/>
      <c r="DM11" s="616"/>
      <c r="DN11" s="616"/>
      <c r="DO11" s="616"/>
      <c r="DP11" s="616"/>
      <c r="DQ11" s="616"/>
      <c r="DR11" s="616"/>
      <c r="DS11" s="616"/>
      <c r="DT11" s="616"/>
      <c r="DU11" s="616"/>
      <c r="DV11" s="616"/>
      <c r="DW11" s="616"/>
      <c r="DX11" s="616"/>
      <c r="DY11" s="616"/>
      <c r="DZ11" s="616"/>
      <c r="EA11" s="616"/>
      <c r="EB11" s="616"/>
      <c r="EC11" s="616"/>
      <c r="ED11" s="616"/>
      <c r="EE11" s="616"/>
      <c r="EF11" s="616"/>
      <c r="EG11" s="616"/>
      <c r="EH11" s="616"/>
      <c r="EI11" s="616"/>
      <c r="EJ11" s="616"/>
      <c r="EK11" s="616"/>
      <c r="EL11" s="616"/>
      <c r="EM11" s="616"/>
      <c r="EN11" s="616"/>
      <c r="EO11" s="616"/>
      <c r="EP11" s="616"/>
      <c r="EQ11" s="616"/>
      <c r="ER11" s="616"/>
      <c r="ES11" s="616"/>
      <c r="ET11" s="616"/>
      <c r="EU11" s="616"/>
      <c r="EV11" s="616"/>
      <c r="EW11" s="616"/>
      <c r="EX11" s="616"/>
      <c r="EY11" s="616"/>
      <c r="EZ11" s="616"/>
      <c r="FA11" s="616"/>
      <c r="FB11" s="616"/>
      <c r="FC11" s="616"/>
      <c r="FD11" s="616"/>
      <c r="FE11" s="616"/>
      <c r="FF11" s="616"/>
      <c r="FG11" s="616"/>
      <c r="FH11" s="616"/>
      <c r="FI11" s="616"/>
      <c r="FJ11" s="616"/>
      <c r="FK11" s="616"/>
      <c r="FL11" s="616"/>
      <c r="FM11" s="616"/>
      <c r="FN11" s="616"/>
      <c r="FO11" s="616"/>
      <c r="FP11" s="616"/>
      <c r="FQ11" s="616"/>
      <c r="FR11" s="616"/>
      <c r="FS11" s="616"/>
      <c r="FT11" s="616"/>
      <c r="FU11" s="616"/>
      <c r="FV11" s="616"/>
      <c r="FW11" s="616"/>
      <c r="FX11" s="616"/>
      <c r="FY11" s="616"/>
      <c r="FZ11" s="616"/>
      <c r="GA11" s="616"/>
      <c r="GB11" s="616"/>
      <c r="GC11" s="616"/>
      <c r="GD11" s="616"/>
      <c r="GE11" s="616"/>
      <c r="GF11" s="616"/>
      <c r="GG11" s="616"/>
      <c r="GH11" s="616"/>
      <c r="GI11" s="616"/>
      <c r="GJ11" s="616"/>
      <c r="GK11" s="616"/>
      <c r="GL11" s="616"/>
      <c r="GM11" s="616"/>
      <c r="GN11" s="616"/>
      <c r="GO11" s="616"/>
      <c r="GP11" s="616"/>
      <c r="GQ11" s="616"/>
      <c r="GR11" s="616"/>
      <c r="GS11" s="616"/>
      <c r="GT11" s="616"/>
      <c r="GU11" s="616"/>
      <c r="GV11" s="616"/>
      <c r="GW11" s="616"/>
      <c r="GX11" s="616"/>
      <c r="GY11" s="616"/>
      <c r="GZ11" s="616"/>
      <c r="HA11" s="616"/>
      <c r="HB11" s="616"/>
      <c r="HC11" s="616"/>
      <c r="HD11" s="616"/>
      <c r="HE11" s="616"/>
      <c r="HF11" s="616"/>
      <c r="HG11" s="616"/>
      <c r="HH11" s="616"/>
      <c r="HI11" s="616"/>
      <c r="HJ11" s="616"/>
      <c r="HK11" s="616"/>
      <c r="HL11" s="616"/>
      <c r="HM11" s="616"/>
      <c r="HN11" s="616"/>
      <c r="HO11" s="616"/>
      <c r="HP11" s="616"/>
      <c r="HQ11" s="616"/>
      <c r="HR11" s="616"/>
      <c r="HS11" s="616"/>
      <c r="HT11" s="616"/>
      <c r="HU11" s="616"/>
      <c r="HV11" s="616"/>
      <c r="HW11" s="616"/>
      <c r="HX11" s="616"/>
      <c r="HY11" s="616"/>
      <c r="HZ11" s="616"/>
      <c r="IA11" s="616"/>
      <c r="IB11" s="616"/>
      <c r="IC11" s="616"/>
      <c r="ID11" s="616"/>
      <c r="IE11" s="616"/>
      <c r="IF11" s="616"/>
      <c r="IG11" s="616"/>
      <c r="IH11" s="616"/>
      <c r="II11" s="616"/>
      <c r="IJ11" s="616"/>
      <c r="IK11" s="616"/>
      <c r="IL11" s="616"/>
    </row>
    <row r="12" spans="1:246" s="513" customFormat="1" ht="24">
      <c r="A12" s="604">
        <v>2</v>
      </c>
      <c r="B12" s="604">
        <v>1</v>
      </c>
      <c r="C12" s="607" t="s">
        <v>43</v>
      </c>
      <c r="D12" s="605"/>
      <c r="E12" s="605"/>
      <c r="F12" s="605"/>
      <c r="G12" s="605"/>
      <c r="H12" s="605"/>
      <c r="I12" s="605"/>
      <c r="J12" s="615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616"/>
      <c r="AD12" s="616"/>
      <c r="AE12" s="616"/>
      <c r="AF12" s="616"/>
      <c r="AG12" s="616"/>
      <c r="AH12" s="616"/>
      <c r="AI12" s="616"/>
      <c r="AJ12" s="616"/>
      <c r="AK12" s="616"/>
      <c r="AL12" s="616"/>
      <c r="AM12" s="616"/>
      <c r="AN12" s="616"/>
      <c r="AO12" s="616"/>
      <c r="AP12" s="616"/>
      <c r="AQ12" s="616"/>
      <c r="AR12" s="616"/>
      <c r="AS12" s="616"/>
      <c r="AT12" s="616"/>
      <c r="AU12" s="616"/>
      <c r="AV12" s="616"/>
      <c r="AW12" s="616"/>
      <c r="AX12" s="616"/>
      <c r="AY12" s="616"/>
      <c r="AZ12" s="616"/>
      <c r="BA12" s="616"/>
      <c r="BB12" s="616"/>
      <c r="BC12" s="616"/>
      <c r="BD12" s="616"/>
      <c r="BE12" s="616"/>
      <c r="BF12" s="616"/>
      <c r="BG12" s="616"/>
      <c r="BH12" s="616"/>
      <c r="BI12" s="616"/>
      <c r="BJ12" s="616"/>
      <c r="BK12" s="616"/>
      <c r="BL12" s="616"/>
      <c r="BM12" s="616"/>
      <c r="BN12" s="616"/>
      <c r="BO12" s="616"/>
      <c r="BP12" s="616"/>
      <c r="BQ12" s="616"/>
      <c r="BR12" s="616"/>
      <c r="BS12" s="616"/>
      <c r="BT12" s="616"/>
      <c r="BU12" s="616"/>
      <c r="BV12" s="616"/>
      <c r="BW12" s="616"/>
      <c r="BX12" s="616"/>
      <c r="BY12" s="616"/>
      <c r="BZ12" s="616"/>
      <c r="CA12" s="616"/>
      <c r="CB12" s="616"/>
      <c r="CC12" s="616"/>
      <c r="CD12" s="616"/>
      <c r="CE12" s="616"/>
      <c r="CF12" s="616"/>
      <c r="CG12" s="616"/>
      <c r="CH12" s="616"/>
      <c r="CI12" s="616"/>
      <c r="CJ12" s="616"/>
      <c r="CK12" s="616"/>
      <c r="CL12" s="616"/>
      <c r="CM12" s="616"/>
      <c r="CN12" s="616"/>
      <c r="CO12" s="616"/>
      <c r="CP12" s="616"/>
      <c r="CQ12" s="616"/>
      <c r="CR12" s="616"/>
      <c r="CS12" s="616"/>
      <c r="CT12" s="616"/>
      <c r="CU12" s="616"/>
      <c r="CV12" s="616"/>
      <c r="CW12" s="616"/>
      <c r="CX12" s="616"/>
      <c r="CY12" s="616"/>
      <c r="CZ12" s="616"/>
      <c r="DA12" s="616"/>
      <c r="DB12" s="616"/>
      <c r="DC12" s="616"/>
      <c r="DD12" s="616"/>
      <c r="DE12" s="616"/>
      <c r="DF12" s="616"/>
      <c r="DG12" s="616"/>
      <c r="DH12" s="616"/>
      <c r="DI12" s="616"/>
      <c r="DJ12" s="616"/>
      <c r="DK12" s="616"/>
      <c r="DL12" s="616"/>
      <c r="DM12" s="616"/>
      <c r="DN12" s="616"/>
      <c r="DO12" s="616"/>
      <c r="DP12" s="616"/>
      <c r="DQ12" s="616"/>
      <c r="DR12" s="616"/>
      <c r="DS12" s="616"/>
      <c r="DT12" s="616"/>
      <c r="DU12" s="616"/>
      <c r="DV12" s="616"/>
      <c r="DW12" s="616"/>
      <c r="DX12" s="616"/>
      <c r="DY12" s="616"/>
      <c r="DZ12" s="616"/>
      <c r="EA12" s="616"/>
      <c r="EB12" s="616"/>
      <c r="EC12" s="616"/>
      <c r="ED12" s="616"/>
      <c r="EE12" s="616"/>
      <c r="EF12" s="616"/>
      <c r="EG12" s="616"/>
      <c r="EH12" s="616"/>
      <c r="EI12" s="616"/>
      <c r="EJ12" s="616"/>
      <c r="EK12" s="616"/>
      <c r="EL12" s="616"/>
      <c r="EM12" s="616"/>
      <c r="EN12" s="616"/>
      <c r="EO12" s="616"/>
      <c r="EP12" s="616"/>
      <c r="EQ12" s="616"/>
      <c r="ER12" s="616"/>
      <c r="ES12" s="616"/>
      <c r="ET12" s="616"/>
      <c r="EU12" s="616"/>
      <c r="EV12" s="616"/>
      <c r="EW12" s="616"/>
      <c r="EX12" s="616"/>
      <c r="EY12" s="616"/>
      <c r="EZ12" s="616"/>
      <c r="FA12" s="616"/>
      <c r="FB12" s="616"/>
      <c r="FC12" s="616"/>
      <c r="FD12" s="616"/>
      <c r="FE12" s="616"/>
      <c r="FF12" s="616"/>
      <c r="FG12" s="616"/>
      <c r="FH12" s="616"/>
      <c r="FI12" s="616"/>
      <c r="FJ12" s="616"/>
      <c r="FK12" s="616"/>
      <c r="FL12" s="616"/>
      <c r="FM12" s="616"/>
      <c r="FN12" s="616"/>
      <c r="FO12" s="616"/>
      <c r="FP12" s="616"/>
      <c r="FQ12" s="616"/>
      <c r="FR12" s="616"/>
      <c r="FS12" s="616"/>
      <c r="FT12" s="616"/>
      <c r="FU12" s="616"/>
      <c r="FV12" s="616"/>
      <c r="FW12" s="616"/>
      <c r="FX12" s="616"/>
      <c r="FY12" s="616"/>
      <c r="FZ12" s="616"/>
      <c r="GA12" s="616"/>
      <c r="GB12" s="616"/>
      <c r="GC12" s="616"/>
      <c r="GD12" s="616"/>
      <c r="GE12" s="616"/>
      <c r="GF12" s="616"/>
      <c r="GG12" s="616"/>
      <c r="GH12" s="616"/>
      <c r="GI12" s="616"/>
      <c r="GJ12" s="616"/>
      <c r="GK12" s="616"/>
      <c r="GL12" s="616"/>
      <c r="GM12" s="616"/>
      <c r="GN12" s="616"/>
      <c r="GO12" s="616"/>
      <c r="GP12" s="616"/>
      <c r="GQ12" s="616"/>
      <c r="GR12" s="616"/>
      <c r="GS12" s="616"/>
      <c r="GT12" s="616"/>
      <c r="GU12" s="616"/>
      <c r="GV12" s="616"/>
      <c r="GW12" s="616"/>
      <c r="GX12" s="616"/>
      <c r="GY12" s="616"/>
      <c r="GZ12" s="616"/>
      <c r="HA12" s="616"/>
      <c r="HB12" s="616"/>
      <c r="HC12" s="616"/>
      <c r="HD12" s="616"/>
      <c r="HE12" s="616"/>
      <c r="HF12" s="616"/>
      <c r="HG12" s="616"/>
      <c r="HH12" s="616"/>
      <c r="HI12" s="616"/>
      <c r="HJ12" s="616"/>
      <c r="HK12" s="616"/>
      <c r="HL12" s="616"/>
      <c r="HM12" s="616"/>
      <c r="HN12" s="616"/>
      <c r="HO12" s="616"/>
      <c r="HP12" s="616"/>
      <c r="HQ12" s="616"/>
      <c r="HR12" s="616"/>
      <c r="HS12" s="616"/>
      <c r="HT12" s="616"/>
      <c r="HU12" s="616"/>
      <c r="HV12" s="616"/>
      <c r="HW12" s="616"/>
      <c r="HX12" s="616"/>
      <c r="HY12" s="616"/>
      <c r="HZ12" s="616"/>
      <c r="IA12" s="616"/>
      <c r="IB12" s="616"/>
      <c r="IC12" s="616"/>
      <c r="ID12" s="616"/>
      <c r="IE12" s="616"/>
      <c r="IF12" s="616"/>
      <c r="IG12" s="616"/>
      <c r="IH12" s="616"/>
      <c r="II12" s="616"/>
      <c r="IJ12" s="616"/>
      <c r="IK12" s="616"/>
      <c r="IL12" s="616"/>
    </row>
    <row r="13" spans="1:246" s="513" customFormat="1" ht="12.75">
      <c r="A13" s="604">
        <v>1</v>
      </c>
      <c r="B13" s="603" t="s">
        <v>44</v>
      </c>
      <c r="C13" s="233" t="s">
        <v>45</v>
      </c>
      <c r="D13" s="605">
        <f t="shared" ref="D13:I13" si="2">SUM(D14:D22)</f>
        <v>2386959.7400000002</v>
      </c>
      <c r="E13" s="605">
        <f t="shared" si="2"/>
        <v>2386959.7400000002</v>
      </c>
      <c r="F13" s="605">
        <f t="shared" si="2"/>
        <v>2335878.8000000003</v>
      </c>
      <c r="G13" s="605">
        <f t="shared" si="2"/>
        <v>51080.939999999995</v>
      </c>
      <c r="H13" s="605">
        <f t="shared" si="2"/>
        <v>2386959.7400000002</v>
      </c>
      <c r="I13" s="605">
        <f t="shared" si="2"/>
        <v>0</v>
      </c>
      <c r="J13" s="615"/>
      <c r="K13" s="616"/>
      <c r="L13" s="616"/>
      <c r="M13" s="616"/>
      <c r="N13" s="616"/>
      <c r="O13" s="616"/>
      <c r="P13" s="616"/>
      <c r="Q13" s="616"/>
      <c r="R13" s="616"/>
      <c r="S13" s="616"/>
      <c r="T13" s="616"/>
      <c r="U13" s="616"/>
      <c r="V13" s="616"/>
      <c r="W13" s="616"/>
      <c r="X13" s="616"/>
      <c r="Y13" s="616"/>
      <c r="Z13" s="616"/>
      <c r="AA13" s="616"/>
      <c r="AB13" s="616"/>
      <c r="AC13" s="616"/>
      <c r="AD13" s="616"/>
      <c r="AE13" s="616"/>
      <c r="AF13" s="616"/>
      <c r="AG13" s="616"/>
      <c r="AH13" s="616"/>
      <c r="AI13" s="616"/>
      <c r="AJ13" s="616"/>
      <c r="AK13" s="616"/>
      <c r="AL13" s="616"/>
      <c r="AM13" s="616"/>
      <c r="AN13" s="616"/>
      <c r="AO13" s="616"/>
      <c r="AP13" s="616"/>
      <c r="AQ13" s="616"/>
      <c r="AR13" s="616"/>
      <c r="AS13" s="616"/>
      <c r="AT13" s="616"/>
      <c r="AU13" s="616"/>
      <c r="AV13" s="616"/>
      <c r="AW13" s="616"/>
      <c r="AX13" s="616"/>
      <c r="AY13" s="616"/>
      <c r="AZ13" s="616"/>
      <c r="BA13" s="616"/>
      <c r="BB13" s="616"/>
      <c r="BC13" s="616"/>
      <c r="BD13" s="616"/>
      <c r="BE13" s="616"/>
      <c r="BF13" s="616"/>
      <c r="BG13" s="616"/>
      <c r="BH13" s="616"/>
      <c r="BI13" s="616"/>
      <c r="BJ13" s="616"/>
      <c r="BK13" s="616"/>
      <c r="BL13" s="616"/>
      <c r="BM13" s="616"/>
      <c r="BN13" s="616"/>
      <c r="BO13" s="616"/>
      <c r="BP13" s="616"/>
      <c r="BQ13" s="616"/>
      <c r="BR13" s="616"/>
      <c r="BS13" s="616"/>
      <c r="BT13" s="616"/>
      <c r="BU13" s="616"/>
      <c r="BV13" s="616"/>
      <c r="BW13" s="616"/>
      <c r="BX13" s="616"/>
      <c r="BY13" s="616"/>
      <c r="BZ13" s="616"/>
      <c r="CA13" s="616"/>
      <c r="CB13" s="616"/>
      <c r="CC13" s="616"/>
      <c r="CD13" s="616"/>
      <c r="CE13" s="616"/>
      <c r="CF13" s="616"/>
      <c r="CG13" s="616"/>
      <c r="CH13" s="616"/>
      <c r="CI13" s="616"/>
      <c r="CJ13" s="616"/>
      <c r="CK13" s="616"/>
      <c r="CL13" s="616"/>
      <c r="CM13" s="616"/>
      <c r="CN13" s="616"/>
      <c r="CO13" s="616"/>
      <c r="CP13" s="616"/>
      <c r="CQ13" s="616"/>
      <c r="CR13" s="616"/>
      <c r="CS13" s="616"/>
      <c r="CT13" s="616"/>
      <c r="CU13" s="616"/>
      <c r="CV13" s="616"/>
      <c r="CW13" s="616"/>
      <c r="CX13" s="616"/>
      <c r="CY13" s="616"/>
      <c r="CZ13" s="616"/>
      <c r="DA13" s="616"/>
      <c r="DB13" s="616"/>
      <c r="DC13" s="616"/>
      <c r="DD13" s="616"/>
      <c r="DE13" s="616"/>
      <c r="DF13" s="616"/>
      <c r="DG13" s="616"/>
      <c r="DH13" s="616"/>
      <c r="DI13" s="616"/>
      <c r="DJ13" s="616"/>
      <c r="DK13" s="616"/>
      <c r="DL13" s="616"/>
      <c r="DM13" s="616"/>
      <c r="DN13" s="616"/>
      <c r="DO13" s="616"/>
      <c r="DP13" s="616"/>
      <c r="DQ13" s="616"/>
      <c r="DR13" s="616"/>
      <c r="DS13" s="616"/>
      <c r="DT13" s="616"/>
      <c r="DU13" s="616"/>
      <c r="DV13" s="616"/>
      <c r="DW13" s="616"/>
      <c r="DX13" s="616"/>
      <c r="DY13" s="616"/>
      <c r="DZ13" s="616"/>
      <c r="EA13" s="616"/>
      <c r="EB13" s="616"/>
      <c r="EC13" s="616"/>
      <c r="ED13" s="616"/>
      <c r="EE13" s="616"/>
      <c r="EF13" s="616"/>
      <c r="EG13" s="616"/>
      <c r="EH13" s="616"/>
      <c r="EI13" s="616"/>
      <c r="EJ13" s="616"/>
      <c r="EK13" s="616"/>
      <c r="EL13" s="616"/>
      <c r="EM13" s="616"/>
      <c r="EN13" s="616"/>
      <c r="EO13" s="616"/>
      <c r="EP13" s="616"/>
      <c r="EQ13" s="616"/>
      <c r="ER13" s="616"/>
      <c r="ES13" s="616"/>
      <c r="ET13" s="616"/>
      <c r="EU13" s="616"/>
      <c r="EV13" s="616"/>
      <c r="EW13" s="616"/>
      <c r="EX13" s="616"/>
      <c r="EY13" s="616"/>
      <c r="EZ13" s="616"/>
      <c r="FA13" s="616"/>
      <c r="FB13" s="616"/>
      <c r="FC13" s="616"/>
      <c r="FD13" s="616"/>
      <c r="FE13" s="616"/>
      <c r="FF13" s="616"/>
      <c r="FG13" s="616"/>
      <c r="FH13" s="616"/>
      <c r="FI13" s="616"/>
      <c r="FJ13" s="616"/>
      <c r="FK13" s="616"/>
      <c r="FL13" s="616"/>
      <c r="FM13" s="616"/>
      <c r="FN13" s="616"/>
      <c r="FO13" s="616"/>
      <c r="FP13" s="616"/>
      <c r="FQ13" s="616"/>
      <c r="FR13" s="616"/>
      <c r="FS13" s="616"/>
      <c r="FT13" s="616"/>
      <c r="FU13" s="616"/>
      <c r="FV13" s="616"/>
      <c r="FW13" s="616"/>
      <c r="FX13" s="616"/>
      <c r="FY13" s="616"/>
      <c r="FZ13" s="616"/>
      <c r="GA13" s="616"/>
      <c r="GB13" s="616"/>
      <c r="GC13" s="616"/>
      <c r="GD13" s="616"/>
      <c r="GE13" s="616"/>
      <c r="GF13" s="616"/>
      <c r="GG13" s="616"/>
      <c r="GH13" s="616"/>
      <c r="GI13" s="616"/>
      <c r="GJ13" s="616"/>
      <c r="GK13" s="616"/>
      <c r="GL13" s="616"/>
      <c r="GM13" s="616"/>
      <c r="GN13" s="616"/>
      <c r="GO13" s="616"/>
      <c r="GP13" s="616"/>
      <c r="GQ13" s="616"/>
      <c r="GR13" s="616"/>
      <c r="GS13" s="616"/>
      <c r="GT13" s="616"/>
      <c r="GU13" s="616"/>
      <c r="GV13" s="616"/>
      <c r="GW13" s="616"/>
      <c r="GX13" s="616"/>
      <c r="GY13" s="616"/>
      <c r="GZ13" s="616"/>
      <c r="HA13" s="616"/>
      <c r="HB13" s="616"/>
      <c r="HC13" s="616"/>
      <c r="HD13" s="616"/>
      <c r="HE13" s="616"/>
      <c r="HF13" s="616"/>
      <c r="HG13" s="616"/>
      <c r="HH13" s="616"/>
      <c r="HI13" s="616"/>
      <c r="HJ13" s="616"/>
      <c r="HK13" s="616"/>
      <c r="HL13" s="616"/>
      <c r="HM13" s="616"/>
      <c r="HN13" s="616"/>
      <c r="HO13" s="616"/>
      <c r="HP13" s="616"/>
      <c r="HQ13" s="616"/>
      <c r="HR13" s="616"/>
      <c r="HS13" s="616"/>
      <c r="HT13" s="616"/>
      <c r="HU13" s="616"/>
      <c r="HV13" s="616"/>
      <c r="HW13" s="616"/>
      <c r="HX13" s="616"/>
      <c r="HY13" s="616"/>
      <c r="HZ13" s="616"/>
      <c r="IA13" s="616"/>
      <c r="IB13" s="616"/>
      <c r="IC13" s="616"/>
      <c r="ID13" s="616"/>
      <c r="IE13" s="616"/>
      <c r="IF13" s="616"/>
      <c r="IG13" s="616"/>
      <c r="IH13" s="616"/>
      <c r="II13" s="616"/>
      <c r="IJ13" s="616"/>
      <c r="IK13" s="616"/>
      <c r="IL13" s="616"/>
    </row>
    <row r="14" spans="1:246" s="513" customFormat="1" ht="12.75">
      <c r="A14" s="604">
        <v>2</v>
      </c>
      <c r="B14" s="603">
        <v>1</v>
      </c>
      <c r="C14" s="233" t="s">
        <v>46</v>
      </c>
      <c r="D14" s="605">
        <f>SUMIF(Sheet10!$B$6:$B$30,Sheet3!$C14,Sheet10!K$6:K$30)</f>
        <v>1635607.0799999998</v>
      </c>
      <c r="E14" s="605">
        <f>SUMIF(Sheet10!$B$6:$B$30,Sheet3!$C14,Sheet10!M$6:M$30)</f>
        <v>1635607.0799999998</v>
      </c>
      <c r="F14" s="605">
        <f>ROUND(E14*F$56,2)</f>
        <v>1600605.09</v>
      </c>
      <c r="G14" s="605">
        <f>ROUND(E14*G$56,2)</f>
        <v>35001.99</v>
      </c>
      <c r="H14" s="605">
        <f>F14+G14</f>
        <v>1635607.08</v>
      </c>
      <c r="I14" s="605">
        <f t="shared" ref="I14:I28" si="3">E14-H14</f>
        <v>0</v>
      </c>
      <c r="J14" s="615"/>
      <c r="K14" s="616"/>
      <c r="L14" s="616"/>
      <c r="M14" s="616"/>
      <c r="N14" s="616"/>
      <c r="O14" s="616"/>
      <c r="P14" s="616"/>
      <c r="Q14" s="616"/>
      <c r="R14" s="616"/>
      <c r="S14" s="616"/>
      <c r="T14" s="616"/>
      <c r="U14" s="616"/>
      <c r="V14" s="616"/>
      <c r="W14" s="616"/>
      <c r="X14" s="616"/>
      <c r="Y14" s="616"/>
      <c r="Z14" s="616"/>
      <c r="AA14" s="616"/>
      <c r="AB14" s="616"/>
      <c r="AC14" s="616"/>
      <c r="AD14" s="616"/>
      <c r="AE14" s="616"/>
      <c r="AF14" s="616"/>
      <c r="AG14" s="616"/>
      <c r="AH14" s="616"/>
      <c r="AI14" s="616"/>
      <c r="AJ14" s="616"/>
      <c r="AK14" s="616"/>
      <c r="AL14" s="616"/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6"/>
      <c r="AX14" s="616"/>
      <c r="AY14" s="616"/>
      <c r="AZ14" s="616"/>
      <c r="BA14" s="616"/>
      <c r="BB14" s="616"/>
      <c r="BC14" s="616"/>
      <c r="BD14" s="616"/>
      <c r="BE14" s="616"/>
      <c r="BF14" s="616"/>
      <c r="BG14" s="616"/>
      <c r="BH14" s="616"/>
      <c r="BI14" s="616"/>
      <c r="BJ14" s="616"/>
      <c r="BK14" s="616"/>
      <c r="BL14" s="616"/>
      <c r="BM14" s="616"/>
      <c r="BN14" s="616"/>
      <c r="BO14" s="616"/>
      <c r="BP14" s="616"/>
      <c r="BQ14" s="616"/>
      <c r="BR14" s="616"/>
      <c r="BS14" s="616"/>
      <c r="BT14" s="616"/>
      <c r="BU14" s="616"/>
      <c r="BV14" s="616"/>
      <c r="BW14" s="616"/>
      <c r="BX14" s="616"/>
      <c r="BY14" s="616"/>
      <c r="BZ14" s="616"/>
      <c r="CA14" s="616"/>
      <c r="CB14" s="616"/>
      <c r="CC14" s="616"/>
      <c r="CD14" s="616"/>
      <c r="CE14" s="616"/>
      <c r="CF14" s="616"/>
      <c r="CG14" s="616"/>
      <c r="CH14" s="616"/>
      <c r="CI14" s="616"/>
      <c r="CJ14" s="616"/>
      <c r="CK14" s="616"/>
      <c r="CL14" s="616"/>
      <c r="CM14" s="616"/>
      <c r="CN14" s="616"/>
      <c r="CO14" s="616"/>
      <c r="CP14" s="616"/>
      <c r="CQ14" s="616"/>
      <c r="CR14" s="616"/>
      <c r="CS14" s="616"/>
      <c r="CT14" s="616"/>
      <c r="CU14" s="616"/>
      <c r="CV14" s="616"/>
      <c r="CW14" s="616"/>
      <c r="CX14" s="616"/>
      <c r="CY14" s="616"/>
      <c r="CZ14" s="616"/>
      <c r="DA14" s="616"/>
      <c r="DB14" s="616"/>
      <c r="DC14" s="616"/>
      <c r="DD14" s="616"/>
      <c r="DE14" s="616"/>
      <c r="DF14" s="616"/>
      <c r="DG14" s="616"/>
      <c r="DH14" s="616"/>
      <c r="DI14" s="616"/>
      <c r="DJ14" s="616"/>
      <c r="DK14" s="616"/>
      <c r="DL14" s="616"/>
      <c r="DM14" s="616"/>
      <c r="DN14" s="616"/>
      <c r="DO14" s="616"/>
      <c r="DP14" s="616"/>
      <c r="DQ14" s="616"/>
      <c r="DR14" s="616"/>
      <c r="DS14" s="616"/>
      <c r="DT14" s="616"/>
      <c r="DU14" s="616"/>
      <c r="DV14" s="616"/>
      <c r="DW14" s="616"/>
      <c r="DX14" s="616"/>
      <c r="DY14" s="616"/>
      <c r="DZ14" s="616"/>
      <c r="EA14" s="616"/>
      <c r="EB14" s="616"/>
      <c r="EC14" s="616"/>
      <c r="ED14" s="616"/>
      <c r="EE14" s="616"/>
      <c r="EF14" s="616"/>
      <c r="EG14" s="616"/>
      <c r="EH14" s="616"/>
      <c r="EI14" s="616"/>
      <c r="EJ14" s="616"/>
      <c r="EK14" s="616"/>
      <c r="EL14" s="616"/>
      <c r="EM14" s="616"/>
      <c r="EN14" s="616"/>
      <c r="EO14" s="616"/>
      <c r="EP14" s="616"/>
      <c r="EQ14" s="616"/>
      <c r="ER14" s="616"/>
      <c r="ES14" s="616"/>
      <c r="ET14" s="616"/>
      <c r="EU14" s="616"/>
      <c r="EV14" s="616"/>
      <c r="EW14" s="616"/>
      <c r="EX14" s="616"/>
      <c r="EY14" s="616"/>
      <c r="EZ14" s="616"/>
      <c r="FA14" s="616"/>
      <c r="FB14" s="616"/>
      <c r="FC14" s="616"/>
      <c r="FD14" s="616"/>
      <c r="FE14" s="616"/>
      <c r="FF14" s="616"/>
      <c r="FG14" s="616"/>
      <c r="FH14" s="616"/>
      <c r="FI14" s="616"/>
      <c r="FJ14" s="616"/>
      <c r="FK14" s="616"/>
      <c r="FL14" s="616"/>
      <c r="FM14" s="616"/>
      <c r="FN14" s="616"/>
      <c r="FO14" s="616"/>
      <c r="FP14" s="616"/>
      <c r="FQ14" s="616"/>
      <c r="FR14" s="616"/>
      <c r="FS14" s="616"/>
      <c r="FT14" s="616"/>
      <c r="FU14" s="616"/>
      <c r="FV14" s="616"/>
      <c r="FW14" s="616"/>
      <c r="FX14" s="616"/>
      <c r="FY14" s="616"/>
      <c r="FZ14" s="616"/>
      <c r="GA14" s="616"/>
      <c r="GB14" s="616"/>
      <c r="GC14" s="616"/>
      <c r="GD14" s="616"/>
      <c r="GE14" s="616"/>
      <c r="GF14" s="616"/>
      <c r="GG14" s="616"/>
      <c r="GH14" s="616"/>
      <c r="GI14" s="616"/>
      <c r="GJ14" s="616"/>
      <c r="GK14" s="616"/>
      <c r="GL14" s="616"/>
      <c r="GM14" s="616"/>
      <c r="GN14" s="616"/>
      <c r="GO14" s="616"/>
      <c r="GP14" s="616"/>
      <c r="GQ14" s="616"/>
      <c r="GR14" s="616"/>
      <c r="GS14" s="616"/>
      <c r="GT14" s="616"/>
      <c r="GU14" s="616"/>
      <c r="GV14" s="616"/>
      <c r="GW14" s="616"/>
      <c r="GX14" s="616"/>
      <c r="GY14" s="616"/>
      <c r="GZ14" s="616"/>
      <c r="HA14" s="616"/>
      <c r="HB14" s="616"/>
      <c r="HC14" s="616"/>
      <c r="HD14" s="616"/>
      <c r="HE14" s="616"/>
      <c r="HF14" s="616"/>
      <c r="HG14" s="616"/>
      <c r="HH14" s="616"/>
      <c r="HI14" s="616"/>
      <c r="HJ14" s="616"/>
      <c r="HK14" s="616"/>
      <c r="HL14" s="616"/>
      <c r="HM14" s="616"/>
      <c r="HN14" s="616"/>
      <c r="HO14" s="616"/>
      <c r="HP14" s="616"/>
      <c r="HQ14" s="616"/>
      <c r="HR14" s="616"/>
      <c r="HS14" s="616"/>
      <c r="HT14" s="616"/>
      <c r="HU14" s="616"/>
      <c r="HV14" s="616"/>
      <c r="HW14" s="616"/>
      <c r="HX14" s="616"/>
      <c r="HY14" s="616"/>
      <c r="HZ14" s="616"/>
      <c r="IA14" s="616"/>
      <c r="IB14" s="616"/>
      <c r="IC14" s="616"/>
      <c r="ID14" s="616"/>
      <c r="IE14" s="616"/>
      <c r="IF14" s="616"/>
      <c r="IG14" s="616"/>
      <c r="IH14" s="616"/>
      <c r="II14" s="616"/>
      <c r="IJ14" s="616"/>
      <c r="IK14" s="616"/>
      <c r="IL14" s="616"/>
    </row>
    <row r="15" spans="1:246" s="513" customFormat="1" ht="12.75">
      <c r="A15" s="604">
        <v>2</v>
      </c>
      <c r="B15" s="603">
        <v>2</v>
      </c>
      <c r="C15" s="233" t="s">
        <v>47</v>
      </c>
      <c r="D15" s="605">
        <f>SUMIF(Sheet10!$B$6:$B$30,Sheet3!$C15,Sheet10!K$6:K$30)</f>
        <v>664187.29</v>
      </c>
      <c r="E15" s="605">
        <f>SUMIF(Sheet10!$B$6:$B$30,Sheet3!$C15,Sheet10!M$6:M$30)</f>
        <v>664187.29</v>
      </c>
      <c r="F15" s="605">
        <f>ROUND(E15*F$56,2)</f>
        <v>649973.68000000005</v>
      </c>
      <c r="G15" s="605">
        <f>ROUND(E15*G$56,2)</f>
        <v>14213.61</v>
      </c>
      <c r="H15" s="605">
        <f>F15+G15</f>
        <v>664187.29</v>
      </c>
      <c r="I15" s="605">
        <f t="shared" si="3"/>
        <v>0</v>
      </c>
      <c r="J15" s="615"/>
      <c r="K15" s="616"/>
      <c r="L15" s="616"/>
      <c r="M15" s="616"/>
      <c r="N15" s="616"/>
      <c r="O15" s="616"/>
      <c r="P15" s="616"/>
      <c r="Q15" s="616"/>
      <c r="R15" s="616"/>
      <c r="S15" s="616"/>
      <c r="T15" s="616"/>
      <c r="U15" s="616"/>
      <c r="V15" s="616"/>
      <c r="W15" s="616"/>
      <c r="X15" s="616"/>
      <c r="Y15" s="616"/>
      <c r="Z15" s="616"/>
      <c r="AA15" s="616"/>
      <c r="AB15" s="616"/>
      <c r="AC15" s="616"/>
      <c r="AD15" s="616"/>
      <c r="AE15" s="616"/>
      <c r="AF15" s="616"/>
      <c r="AG15" s="616"/>
      <c r="AH15" s="616"/>
      <c r="AI15" s="616"/>
      <c r="AJ15" s="616"/>
      <c r="AK15" s="616"/>
      <c r="AL15" s="616"/>
      <c r="AM15" s="616"/>
      <c r="AN15" s="616"/>
      <c r="AO15" s="616"/>
      <c r="AP15" s="616"/>
      <c r="AQ15" s="616"/>
      <c r="AR15" s="616"/>
      <c r="AS15" s="616"/>
      <c r="AT15" s="616"/>
      <c r="AU15" s="616"/>
      <c r="AV15" s="616"/>
      <c r="AW15" s="616"/>
      <c r="AX15" s="616"/>
      <c r="AY15" s="616"/>
      <c r="AZ15" s="616"/>
      <c r="BA15" s="616"/>
      <c r="BB15" s="616"/>
      <c r="BC15" s="616"/>
      <c r="BD15" s="616"/>
      <c r="BE15" s="616"/>
      <c r="BF15" s="616"/>
      <c r="BG15" s="616"/>
      <c r="BH15" s="616"/>
      <c r="BI15" s="616"/>
      <c r="BJ15" s="616"/>
      <c r="BK15" s="616"/>
      <c r="BL15" s="616"/>
      <c r="BM15" s="616"/>
      <c r="BN15" s="616"/>
      <c r="BO15" s="616"/>
      <c r="BP15" s="616"/>
      <c r="BQ15" s="616"/>
      <c r="BR15" s="616"/>
      <c r="BS15" s="616"/>
      <c r="BT15" s="616"/>
      <c r="BU15" s="616"/>
      <c r="BV15" s="616"/>
      <c r="BW15" s="616"/>
      <c r="BX15" s="616"/>
      <c r="BY15" s="616"/>
      <c r="BZ15" s="616"/>
      <c r="CA15" s="616"/>
      <c r="CB15" s="616"/>
      <c r="CC15" s="616"/>
      <c r="CD15" s="616"/>
      <c r="CE15" s="616"/>
      <c r="CF15" s="616"/>
      <c r="CG15" s="616"/>
      <c r="CH15" s="616"/>
      <c r="CI15" s="616"/>
      <c r="CJ15" s="616"/>
      <c r="CK15" s="616"/>
      <c r="CL15" s="616"/>
      <c r="CM15" s="616"/>
      <c r="CN15" s="616"/>
      <c r="CO15" s="616"/>
      <c r="CP15" s="616"/>
      <c r="CQ15" s="616"/>
      <c r="CR15" s="616"/>
      <c r="CS15" s="616"/>
      <c r="CT15" s="616"/>
      <c r="CU15" s="616"/>
      <c r="CV15" s="616"/>
      <c r="CW15" s="616"/>
      <c r="CX15" s="616"/>
      <c r="CY15" s="616"/>
      <c r="CZ15" s="616"/>
      <c r="DA15" s="616"/>
      <c r="DB15" s="616"/>
      <c r="DC15" s="616"/>
      <c r="DD15" s="616"/>
      <c r="DE15" s="616"/>
      <c r="DF15" s="616"/>
      <c r="DG15" s="616"/>
      <c r="DH15" s="616"/>
      <c r="DI15" s="616"/>
      <c r="DJ15" s="616"/>
      <c r="DK15" s="616"/>
      <c r="DL15" s="616"/>
      <c r="DM15" s="616"/>
      <c r="DN15" s="616"/>
      <c r="DO15" s="616"/>
      <c r="DP15" s="616"/>
      <c r="DQ15" s="616"/>
      <c r="DR15" s="616"/>
      <c r="DS15" s="616"/>
      <c r="DT15" s="616"/>
      <c r="DU15" s="616"/>
      <c r="DV15" s="616"/>
      <c r="DW15" s="616"/>
      <c r="DX15" s="616"/>
      <c r="DY15" s="616"/>
      <c r="DZ15" s="616"/>
      <c r="EA15" s="616"/>
      <c r="EB15" s="616"/>
      <c r="EC15" s="616"/>
      <c r="ED15" s="616"/>
      <c r="EE15" s="616"/>
      <c r="EF15" s="616"/>
      <c r="EG15" s="616"/>
      <c r="EH15" s="616"/>
      <c r="EI15" s="616"/>
      <c r="EJ15" s="616"/>
      <c r="EK15" s="616"/>
      <c r="EL15" s="616"/>
      <c r="EM15" s="616"/>
      <c r="EN15" s="616"/>
      <c r="EO15" s="616"/>
      <c r="EP15" s="616"/>
      <c r="EQ15" s="616"/>
      <c r="ER15" s="616"/>
      <c r="ES15" s="616"/>
      <c r="ET15" s="616"/>
      <c r="EU15" s="616"/>
      <c r="EV15" s="616"/>
      <c r="EW15" s="616"/>
      <c r="EX15" s="616"/>
      <c r="EY15" s="616"/>
      <c r="EZ15" s="616"/>
      <c r="FA15" s="616"/>
      <c r="FB15" s="616"/>
      <c r="FC15" s="616"/>
      <c r="FD15" s="616"/>
      <c r="FE15" s="616"/>
      <c r="FF15" s="616"/>
      <c r="FG15" s="616"/>
      <c r="FH15" s="616"/>
      <c r="FI15" s="616"/>
      <c r="FJ15" s="616"/>
      <c r="FK15" s="616"/>
      <c r="FL15" s="616"/>
      <c r="FM15" s="616"/>
      <c r="FN15" s="616"/>
      <c r="FO15" s="616"/>
      <c r="FP15" s="616"/>
      <c r="FQ15" s="616"/>
      <c r="FR15" s="616"/>
      <c r="FS15" s="616"/>
      <c r="FT15" s="616"/>
      <c r="FU15" s="616"/>
      <c r="FV15" s="616"/>
      <c r="FW15" s="616"/>
      <c r="FX15" s="616"/>
      <c r="FY15" s="616"/>
      <c r="FZ15" s="616"/>
      <c r="GA15" s="616"/>
      <c r="GB15" s="616"/>
      <c r="GC15" s="616"/>
      <c r="GD15" s="616"/>
      <c r="GE15" s="616"/>
      <c r="GF15" s="616"/>
      <c r="GG15" s="616"/>
      <c r="GH15" s="616"/>
      <c r="GI15" s="616"/>
      <c r="GJ15" s="616"/>
      <c r="GK15" s="616"/>
      <c r="GL15" s="616"/>
      <c r="GM15" s="616"/>
      <c r="GN15" s="616"/>
      <c r="GO15" s="616"/>
      <c r="GP15" s="616"/>
      <c r="GQ15" s="616"/>
      <c r="GR15" s="616"/>
      <c r="GS15" s="616"/>
      <c r="GT15" s="616"/>
      <c r="GU15" s="616"/>
      <c r="GV15" s="616"/>
      <c r="GW15" s="616"/>
      <c r="GX15" s="616"/>
      <c r="GY15" s="616"/>
      <c r="GZ15" s="616"/>
      <c r="HA15" s="616"/>
      <c r="HB15" s="616"/>
      <c r="HC15" s="616"/>
      <c r="HD15" s="616"/>
      <c r="HE15" s="616"/>
      <c r="HF15" s="616"/>
      <c r="HG15" s="616"/>
      <c r="HH15" s="616"/>
      <c r="HI15" s="616"/>
      <c r="HJ15" s="616"/>
      <c r="HK15" s="616"/>
      <c r="HL15" s="616"/>
      <c r="HM15" s="616"/>
      <c r="HN15" s="616"/>
      <c r="HO15" s="616"/>
      <c r="HP15" s="616"/>
      <c r="HQ15" s="616"/>
      <c r="HR15" s="616"/>
      <c r="HS15" s="616"/>
      <c r="HT15" s="616"/>
      <c r="HU15" s="616"/>
      <c r="HV15" s="616"/>
      <c r="HW15" s="616"/>
      <c r="HX15" s="616"/>
      <c r="HY15" s="616"/>
      <c r="HZ15" s="616"/>
      <c r="IA15" s="616"/>
      <c r="IB15" s="616"/>
      <c r="IC15" s="616"/>
      <c r="ID15" s="616"/>
      <c r="IE15" s="616"/>
      <c r="IF15" s="616"/>
      <c r="IG15" s="616"/>
      <c r="IH15" s="616"/>
      <c r="II15" s="616"/>
      <c r="IJ15" s="616"/>
      <c r="IK15" s="616"/>
      <c r="IL15" s="616"/>
    </row>
    <row r="16" spans="1:246" s="513" customFormat="1" ht="12.75">
      <c r="A16" s="604">
        <v>2</v>
      </c>
      <c r="B16" s="603">
        <v>3</v>
      </c>
      <c r="C16" s="233" t="s">
        <v>48</v>
      </c>
      <c r="D16" s="605">
        <f>SUMIF(Sheet10!$B$6:$B$30,Sheet3!$C16,Sheet10!K$6:K$30)</f>
        <v>0</v>
      </c>
      <c r="E16" s="605">
        <f>SUMIF(Sheet10!$B$6:$B$30,Sheet3!$C16,Sheet10!M$6:M$30)</f>
        <v>0</v>
      </c>
      <c r="F16" s="605">
        <f t="shared" ref="F16:F21" si="4">E16*$F$56</f>
        <v>0</v>
      </c>
      <c r="G16" s="605">
        <f t="shared" ref="G16:G22" si="5">E16*$G$56</f>
        <v>0</v>
      </c>
      <c r="H16" s="605">
        <f t="shared" ref="H16:H22" si="6">F16+G16</f>
        <v>0</v>
      </c>
      <c r="I16" s="605">
        <f t="shared" si="3"/>
        <v>0</v>
      </c>
      <c r="J16" s="615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/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16"/>
      <c r="AO16" s="616"/>
      <c r="AP16" s="616"/>
      <c r="AQ16" s="616"/>
      <c r="AR16" s="616"/>
      <c r="AS16" s="616"/>
      <c r="AT16" s="616"/>
      <c r="AU16" s="616"/>
      <c r="AV16" s="616"/>
      <c r="AW16" s="616"/>
      <c r="AX16" s="616"/>
      <c r="AY16" s="616"/>
      <c r="AZ16" s="616"/>
      <c r="BA16" s="616"/>
      <c r="BB16" s="616"/>
      <c r="BC16" s="616"/>
      <c r="BD16" s="616"/>
      <c r="BE16" s="616"/>
      <c r="BF16" s="616"/>
      <c r="BG16" s="616"/>
      <c r="BH16" s="616"/>
      <c r="BI16" s="616"/>
      <c r="BJ16" s="616"/>
      <c r="BK16" s="616"/>
      <c r="BL16" s="616"/>
      <c r="BM16" s="616"/>
      <c r="BN16" s="616"/>
      <c r="BO16" s="616"/>
      <c r="BP16" s="616"/>
      <c r="BQ16" s="616"/>
      <c r="BR16" s="616"/>
      <c r="BS16" s="616"/>
      <c r="BT16" s="616"/>
      <c r="BU16" s="616"/>
      <c r="BV16" s="616"/>
      <c r="BW16" s="616"/>
      <c r="BX16" s="616"/>
      <c r="BY16" s="616"/>
      <c r="BZ16" s="616"/>
      <c r="CA16" s="616"/>
      <c r="CB16" s="616"/>
      <c r="CC16" s="616"/>
      <c r="CD16" s="616"/>
      <c r="CE16" s="616"/>
      <c r="CF16" s="616"/>
      <c r="CG16" s="616"/>
      <c r="CH16" s="616"/>
      <c r="CI16" s="616"/>
      <c r="CJ16" s="616"/>
      <c r="CK16" s="616"/>
      <c r="CL16" s="616"/>
      <c r="CM16" s="616"/>
      <c r="CN16" s="616"/>
      <c r="CO16" s="616"/>
      <c r="CP16" s="616"/>
      <c r="CQ16" s="616"/>
      <c r="CR16" s="616"/>
      <c r="CS16" s="616"/>
      <c r="CT16" s="616"/>
      <c r="CU16" s="616"/>
      <c r="CV16" s="616"/>
      <c r="CW16" s="616"/>
      <c r="CX16" s="616"/>
      <c r="CY16" s="616"/>
      <c r="CZ16" s="616"/>
      <c r="DA16" s="616"/>
      <c r="DB16" s="616"/>
      <c r="DC16" s="616"/>
      <c r="DD16" s="616"/>
      <c r="DE16" s="616"/>
      <c r="DF16" s="616"/>
      <c r="DG16" s="616"/>
      <c r="DH16" s="616"/>
      <c r="DI16" s="616"/>
      <c r="DJ16" s="616"/>
      <c r="DK16" s="616"/>
      <c r="DL16" s="616"/>
      <c r="DM16" s="616"/>
      <c r="DN16" s="616"/>
      <c r="DO16" s="616"/>
      <c r="DP16" s="616"/>
      <c r="DQ16" s="616"/>
      <c r="DR16" s="616"/>
      <c r="DS16" s="616"/>
      <c r="DT16" s="616"/>
      <c r="DU16" s="616"/>
      <c r="DV16" s="616"/>
      <c r="DW16" s="616"/>
      <c r="DX16" s="616"/>
      <c r="DY16" s="616"/>
      <c r="DZ16" s="616"/>
      <c r="EA16" s="616"/>
      <c r="EB16" s="616"/>
      <c r="EC16" s="616"/>
      <c r="ED16" s="616"/>
      <c r="EE16" s="616"/>
      <c r="EF16" s="616"/>
      <c r="EG16" s="616"/>
      <c r="EH16" s="616"/>
      <c r="EI16" s="616"/>
      <c r="EJ16" s="616"/>
      <c r="EK16" s="616"/>
      <c r="EL16" s="616"/>
      <c r="EM16" s="616"/>
      <c r="EN16" s="616"/>
      <c r="EO16" s="616"/>
      <c r="EP16" s="616"/>
      <c r="EQ16" s="616"/>
      <c r="ER16" s="616"/>
      <c r="ES16" s="616"/>
      <c r="ET16" s="616"/>
      <c r="EU16" s="616"/>
      <c r="EV16" s="616"/>
      <c r="EW16" s="616"/>
      <c r="EX16" s="616"/>
      <c r="EY16" s="616"/>
      <c r="EZ16" s="616"/>
      <c r="FA16" s="616"/>
      <c r="FB16" s="616"/>
      <c r="FC16" s="616"/>
      <c r="FD16" s="616"/>
      <c r="FE16" s="616"/>
      <c r="FF16" s="616"/>
      <c r="FG16" s="616"/>
      <c r="FH16" s="616"/>
      <c r="FI16" s="616"/>
      <c r="FJ16" s="616"/>
      <c r="FK16" s="616"/>
      <c r="FL16" s="616"/>
      <c r="FM16" s="616"/>
      <c r="FN16" s="616"/>
      <c r="FO16" s="616"/>
      <c r="FP16" s="616"/>
      <c r="FQ16" s="616"/>
      <c r="FR16" s="616"/>
      <c r="FS16" s="616"/>
      <c r="FT16" s="616"/>
      <c r="FU16" s="616"/>
      <c r="FV16" s="616"/>
      <c r="FW16" s="616"/>
      <c r="FX16" s="616"/>
      <c r="FY16" s="616"/>
      <c r="FZ16" s="616"/>
      <c r="GA16" s="616"/>
      <c r="GB16" s="616"/>
      <c r="GC16" s="616"/>
      <c r="GD16" s="616"/>
      <c r="GE16" s="616"/>
      <c r="GF16" s="616"/>
      <c r="GG16" s="616"/>
      <c r="GH16" s="616"/>
      <c r="GI16" s="616"/>
      <c r="GJ16" s="616"/>
      <c r="GK16" s="616"/>
      <c r="GL16" s="616"/>
      <c r="GM16" s="616"/>
      <c r="GN16" s="616"/>
      <c r="GO16" s="616"/>
      <c r="GP16" s="616"/>
      <c r="GQ16" s="616"/>
      <c r="GR16" s="616"/>
      <c r="GS16" s="616"/>
      <c r="GT16" s="616"/>
      <c r="GU16" s="616"/>
      <c r="GV16" s="616"/>
      <c r="GW16" s="616"/>
      <c r="GX16" s="616"/>
      <c r="GY16" s="616"/>
      <c r="GZ16" s="616"/>
      <c r="HA16" s="616"/>
      <c r="HB16" s="616"/>
      <c r="HC16" s="616"/>
      <c r="HD16" s="616"/>
      <c r="HE16" s="616"/>
      <c r="HF16" s="616"/>
      <c r="HG16" s="616"/>
      <c r="HH16" s="616"/>
      <c r="HI16" s="616"/>
      <c r="HJ16" s="616"/>
      <c r="HK16" s="616"/>
      <c r="HL16" s="616"/>
      <c r="HM16" s="616"/>
      <c r="HN16" s="616"/>
      <c r="HO16" s="616"/>
      <c r="HP16" s="616"/>
      <c r="HQ16" s="616"/>
      <c r="HR16" s="616"/>
      <c r="HS16" s="616"/>
      <c r="HT16" s="616"/>
      <c r="HU16" s="616"/>
      <c r="HV16" s="616"/>
      <c r="HW16" s="616"/>
      <c r="HX16" s="616"/>
      <c r="HY16" s="616"/>
      <c r="HZ16" s="616"/>
      <c r="IA16" s="616"/>
      <c r="IB16" s="616"/>
      <c r="IC16" s="616"/>
      <c r="ID16" s="616"/>
      <c r="IE16" s="616"/>
      <c r="IF16" s="616"/>
      <c r="IG16" s="616"/>
      <c r="IH16" s="616"/>
      <c r="II16" s="616"/>
      <c r="IJ16" s="616"/>
      <c r="IK16" s="616"/>
      <c r="IL16" s="616"/>
    </row>
    <row r="17" spans="1:246" s="513" customFormat="1" ht="12.75">
      <c r="A17" s="604">
        <v>2</v>
      </c>
      <c r="B17" s="603">
        <v>4</v>
      </c>
      <c r="C17" s="233" t="s">
        <v>49</v>
      </c>
      <c r="D17" s="605">
        <f>SUMIF(Sheet10!$B$6:$B$30,Sheet3!$C17,Sheet10!K$6:K$30)</f>
        <v>0</v>
      </c>
      <c r="E17" s="605">
        <f>SUMIF(Sheet10!$B$6:$B$30,Sheet3!$C17,Sheet10!M$6:M$30)</f>
        <v>0</v>
      </c>
      <c r="F17" s="605">
        <f t="shared" si="4"/>
        <v>0</v>
      </c>
      <c r="G17" s="605">
        <f t="shared" si="5"/>
        <v>0</v>
      </c>
      <c r="H17" s="605">
        <f t="shared" si="6"/>
        <v>0</v>
      </c>
      <c r="I17" s="605">
        <f t="shared" si="3"/>
        <v>0</v>
      </c>
      <c r="J17" s="615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6"/>
      <c r="AI17" s="616"/>
      <c r="AJ17" s="616"/>
      <c r="AK17" s="616"/>
      <c r="AL17" s="616"/>
      <c r="AM17" s="616"/>
      <c r="AN17" s="616"/>
      <c r="AO17" s="616"/>
      <c r="AP17" s="616"/>
      <c r="AQ17" s="616"/>
      <c r="AR17" s="616"/>
      <c r="AS17" s="616"/>
      <c r="AT17" s="616"/>
      <c r="AU17" s="616"/>
      <c r="AV17" s="616"/>
      <c r="AW17" s="616"/>
      <c r="AX17" s="616"/>
      <c r="AY17" s="616"/>
      <c r="AZ17" s="616"/>
      <c r="BA17" s="616"/>
      <c r="BB17" s="616"/>
      <c r="BC17" s="616"/>
      <c r="BD17" s="616"/>
      <c r="BE17" s="616"/>
      <c r="BF17" s="616"/>
      <c r="BG17" s="616"/>
      <c r="BH17" s="616"/>
      <c r="BI17" s="616"/>
      <c r="BJ17" s="616"/>
      <c r="BK17" s="616"/>
      <c r="BL17" s="616"/>
      <c r="BM17" s="616"/>
      <c r="BN17" s="616"/>
      <c r="BO17" s="616"/>
      <c r="BP17" s="616"/>
      <c r="BQ17" s="616"/>
      <c r="BR17" s="616"/>
      <c r="BS17" s="616"/>
      <c r="BT17" s="616"/>
      <c r="BU17" s="616"/>
      <c r="BV17" s="616"/>
      <c r="BW17" s="616"/>
      <c r="BX17" s="616"/>
      <c r="BY17" s="616"/>
      <c r="BZ17" s="616"/>
      <c r="CA17" s="616"/>
      <c r="CB17" s="616"/>
      <c r="CC17" s="616"/>
      <c r="CD17" s="616"/>
      <c r="CE17" s="616"/>
      <c r="CF17" s="616"/>
      <c r="CG17" s="616"/>
      <c r="CH17" s="616"/>
      <c r="CI17" s="616"/>
      <c r="CJ17" s="616"/>
      <c r="CK17" s="616"/>
      <c r="CL17" s="616"/>
      <c r="CM17" s="616"/>
      <c r="CN17" s="616"/>
      <c r="CO17" s="616"/>
      <c r="CP17" s="616"/>
      <c r="CQ17" s="616"/>
      <c r="CR17" s="616"/>
      <c r="CS17" s="616"/>
      <c r="CT17" s="616"/>
      <c r="CU17" s="616"/>
      <c r="CV17" s="616"/>
      <c r="CW17" s="616"/>
      <c r="CX17" s="616"/>
      <c r="CY17" s="616"/>
      <c r="CZ17" s="616"/>
      <c r="DA17" s="616"/>
      <c r="DB17" s="616"/>
      <c r="DC17" s="616"/>
      <c r="DD17" s="616"/>
      <c r="DE17" s="616"/>
      <c r="DF17" s="616"/>
      <c r="DG17" s="616"/>
      <c r="DH17" s="616"/>
      <c r="DI17" s="616"/>
      <c r="DJ17" s="616"/>
      <c r="DK17" s="616"/>
      <c r="DL17" s="616"/>
      <c r="DM17" s="616"/>
      <c r="DN17" s="616"/>
      <c r="DO17" s="616"/>
      <c r="DP17" s="616"/>
      <c r="DQ17" s="616"/>
      <c r="DR17" s="616"/>
      <c r="DS17" s="616"/>
      <c r="DT17" s="616"/>
      <c r="DU17" s="616"/>
      <c r="DV17" s="616"/>
      <c r="DW17" s="616"/>
      <c r="DX17" s="616"/>
      <c r="DY17" s="616"/>
      <c r="DZ17" s="616"/>
      <c r="EA17" s="616"/>
      <c r="EB17" s="616"/>
      <c r="EC17" s="616"/>
      <c r="ED17" s="616"/>
      <c r="EE17" s="616"/>
      <c r="EF17" s="616"/>
      <c r="EG17" s="616"/>
      <c r="EH17" s="616"/>
      <c r="EI17" s="616"/>
      <c r="EJ17" s="616"/>
      <c r="EK17" s="616"/>
      <c r="EL17" s="616"/>
      <c r="EM17" s="616"/>
      <c r="EN17" s="616"/>
      <c r="EO17" s="616"/>
      <c r="EP17" s="616"/>
      <c r="EQ17" s="616"/>
      <c r="ER17" s="616"/>
      <c r="ES17" s="616"/>
      <c r="ET17" s="616"/>
      <c r="EU17" s="616"/>
      <c r="EV17" s="616"/>
      <c r="EW17" s="616"/>
      <c r="EX17" s="616"/>
      <c r="EY17" s="616"/>
      <c r="EZ17" s="616"/>
      <c r="FA17" s="616"/>
      <c r="FB17" s="616"/>
      <c r="FC17" s="616"/>
      <c r="FD17" s="616"/>
      <c r="FE17" s="616"/>
      <c r="FF17" s="616"/>
      <c r="FG17" s="616"/>
      <c r="FH17" s="616"/>
      <c r="FI17" s="616"/>
      <c r="FJ17" s="616"/>
      <c r="FK17" s="616"/>
      <c r="FL17" s="616"/>
      <c r="FM17" s="616"/>
      <c r="FN17" s="616"/>
      <c r="FO17" s="616"/>
      <c r="FP17" s="616"/>
      <c r="FQ17" s="616"/>
      <c r="FR17" s="616"/>
      <c r="FS17" s="616"/>
      <c r="FT17" s="616"/>
      <c r="FU17" s="616"/>
      <c r="FV17" s="616"/>
      <c r="FW17" s="616"/>
      <c r="FX17" s="616"/>
      <c r="FY17" s="616"/>
      <c r="FZ17" s="616"/>
      <c r="GA17" s="616"/>
      <c r="GB17" s="616"/>
      <c r="GC17" s="616"/>
      <c r="GD17" s="616"/>
      <c r="GE17" s="616"/>
      <c r="GF17" s="616"/>
      <c r="GG17" s="616"/>
      <c r="GH17" s="616"/>
      <c r="GI17" s="616"/>
      <c r="GJ17" s="616"/>
      <c r="GK17" s="616"/>
      <c r="GL17" s="616"/>
      <c r="GM17" s="616"/>
      <c r="GN17" s="616"/>
      <c r="GO17" s="616"/>
      <c r="GP17" s="616"/>
      <c r="GQ17" s="616"/>
      <c r="GR17" s="616"/>
      <c r="GS17" s="616"/>
      <c r="GT17" s="616"/>
      <c r="GU17" s="616"/>
      <c r="GV17" s="616"/>
      <c r="GW17" s="616"/>
      <c r="GX17" s="616"/>
      <c r="GY17" s="616"/>
      <c r="GZ17" s="616"/>
      <c r="HA17" s="616"/>
      <c r="HB17" s="616"/>
      <c r="HC17" s="616"/>
      <c r="HD17" s="616"/>
      <c r="HE17" s="616"/>
      <c r="HF17" s="616"/>
      <c r="HG17" s="616"/>
      <c r="HH17" s="616"/>
      <c r="HI17" s="616"/>
      <c r="HJ17" s="616"/>
      <c r="HK17" s="616"/>
      <c r="HL17" s="616"/>
      <c r="HM17" s="616"/>
      <c r="HN17" s="616"/>
      <c r="HO17" s="616"/>
      <c r="HP17" s="616"/>
      <c r="HQ17" s="616"/>
      <c r="HR17" s="616"/>
      <c r="HS17" s="616"/>
      <c r="HT17" s="616"/>
      <c r="HU17" s="616"/>
      <c r="HV17" s="616"/>
      <c r="HW17" s="616"/>
      <c r="HX17" s="616"/>
      <c r="HY17" s="616"/>
      <c r="HZ17" s="616"/>
      <c r="IA17" s="616"/>
      <c r="IB17" s="616"/>
      <c r="IC17" s="616"/>
      <c r="ID17" s="616"/>
      <c r="IE17" s="616"/>
      <c r="IF17" s="616"/>
      <c r="IG17" s="616"/>
      <c r="IH17" s="616"/>
      <c r="II17" s="616"/>
      <c r="IJ17" s="616"/>
      <c r="IK17" s="616"/>
      <c r="IL17" s="616"/>
    </row>
    <row r="18" spans="1:246" s="513" customFormat="1" ht="12.75">
      <c r="A18" s="604">
        <v>2</v>
      </c>
      <c r="B18" s="603">
        <v>5</v>
      </c>
      <c r="C18" s="233" t="s">
        <v>50</v>
      </c>
      <c r="D18" s="605">
        <f>SUMIF(Sheet10!$B$6:$B$30,Sheet3!$C18,Sheet10!K$6:K$30)</f>
        <v>0</v>
      </c>
      <c r="E18" s="605">
        <f>SUMIF(Sheet10!$B$6:$B$30,Sheet3!$C18,Sheet10!M$6:M$30)</f>
        <v>0</v>
      </c>
      <c r="F18" s="605">
        <f t="shared" si="4"/>
        <v>0</v>
      </c>
      <c r="G18" s="605">
        <f t="shared" si="5"/>
        <v>0</v>
      </c>
      <c r="H18" s="605">
        <f t="shared" si="6"/>
        <v>0</v>
      </c>
      <c r="I18" s="605">
        <f t="shared" si="3"/>
        <v>0</v>
      </c>
      <c r="J18" s="615"/>
      <c r="K18" s="616"/>
      <c r="L18" s="616"/>
      <c r="M18" s="616"/>
      <c r="N18" s="616"/>
      <c r="O18" s="616"/>
      <c r="P18" s="616"/>
      <c r="Q18" s="616"/>
      <c r="R18" s="616"/>
      <c r="S18" s="616"/>
      <c r="T18" s="616"/>
      <c r="U18" s="616"/>
      <c r="V18" s="616"/>
      <c r="W18" s="616"/>
      <c r="X18" s="616"/>
      <c r="Y18" s="616"/>
      <c r="Z18" s="616"/>
      <c r="AA18" s="616"/>
      <c r="AB18" s="616"/>
      <c r="AC18" s="616"/>
      <c r="AD18" s="616"/>
      <c r="AE18" s="616"/>
      <c r="AF18" s="616"/>
      <c r="AG18" s="616"/>
      <c r="AH18" s="616"/>
      <c r="AI18" s="616"/>
      <c r="AJ18" s="616"/>
      <c r="AK18" s="616"/>
      <c r="AL18" s="616"/>
      <c r="AM18" s="616"/>
      <c r="AN18" s="616"/>
      <c r="AO18" s="616"/>
      <c r="AP18" s="616"/>
      <c r="AQ18" s="616"/>
      <c r="AR18" s="616"/>
      <c r="AS18" s="616"/>
      <c r="AT18" s="616"/>
      <c r="AU18" s="616"/>
      <c r="AV18" s="616"/>
      <c r="AW18" s="616"/>
      <c r="AX18" s="616"/>
      <c r="AY18" s="616"/>
      <c r="AZ18" s="616"/>
      <c r="BA18" s="616"/>
      <c r="BB18" s="616"/>
      <c r="BC18" s="616"/>
      <c r="BD18" s="616"/>
      <c r="BE18" s="616"/>
      <c r="BF18" s="616"/>
      <c r="BG18" s="616"/>
      <c r="BH18" s="616"/>
      <c r="BI18" s="616"/>
      <c r="BJ18" s="616"/>
      <c r="BK18" s="616"/>
      <c r="BL18" s="616"/>
      <c r="BM18" s="616"/>
      <c r="BN18" s="616"/>
      <c r="BO18" s="616"/>
      <c r="BP18" s="616"/>
      <c r="BQ18" s="616"/>
      <c r="BR18" s="616"/>
      <c r="BS18" s="616"/>
      <c r="BT18" s="616"/>
      <c r="BU18" s="616"/>
      <c r="BV18" s="616"/>
      <c r="BW18" s="616"/>
      <c r="BX18" s="616"/>
      <c r="BY18" s="616"/>
      <c r="BZ18" s="616"/>
      <c r="CA18" s="616"/>
      <c r="CB18" s="616"/>
      <c r="CC18" s="616"/>
      <c r="CD18" s="616"/>
      <c r="CE18" s="616"/>
      <c r="CF18" s="616"/>
      <c r="CG18" s="616"/>
      <c r="CH18" s="616"/>
      <c r="CI18" s="616"/>
      <c r="CJ18" s="616"/>
      <c r="CK18" s="616"/>
      <c r="CL18" s="616"/>
      <c r="CM18" s="616"/>
      <c r="CN18" s="616"/>
      <c r="CO18" s="616"/>
      <c r="CP18" s="616"/>
      <c r="CQ18" s="616"/>
      <c r="CR18" s="616"/>
      <c r="CS18" s="616"/>
      <c r="CT18" s="616"/>
      <c r="CU18" s="616"/>
      <c r="CV18" s="616"/>
      <c r="CW18" s="616"/>
      <c r="CX18" s="616"/>
      <c r="CY18" s="616"/>
      <c r="CZ18" s="616"/>
      <c r="DA18" s="616"/>
      <c r="DB18" s="616"/>
      <c r="DC18" s="616"/>
      <c r="DD18" s="616"/>
      <c r="DE18" s="616"/>
      <c r="DF18" s="616"/>
      <c r="DG18" s="616"/>
      <c r="DH18" s="616"/>
      <c r="DI18" s="616"/>
      <c r="DJ18" s="616"/>
      <c r="DK18" s="616"/>
      <c r="DL18" s="616"/>
      <c r="DM18" s="616"/>
      <c r="DN18" s="616"/>
      <c r="DO18" s="616"/>
      <c r="DP18" s="616"/>
      <c r="DQ18" s="616"/>
      <c r="DR18" s="616"/>
      <c r="DS18" s="616"/>
      <c r="DT18" s="616"/>
      <c r="DU18" s="616"/>
      <c r="DV18" s="616"/>
      <c r="DW18" s="616"/>
      <c r="DX18" s="616"/>
      <c r="DY18" s="616"/>
      <c r="DZ18" s="616"/>
      <c r="EA18" s="616"/>
      <c r="EB18" s="616"/>
      <c r="EC18" s="616"/>
      <c r="ED18" s="616"/>
      <c r="EE18" s="616"/>
      <c r="EF18" s="616"/>
      <c r="EG18" s="616"/>
      <c r="EH18" s="616"/>
      <c r="EI18" s="616"/>
      <c r="EJ18" s="616"/>
      <c r="EK18" s="616"/>
      <c r="EL18" s="616"/>
      <c r="EM18" s="616"/>
      <c r="EN18" s="616"/>
      <c r="EO18" s="616"/>
      <c r="EP18" s="616"/>
      <c r="EQ18" s="616"/>
      <c r="ER18" s="616"/>
      <c r="ES18" s="616"/>
      <c r="ET18" s="616"/>
      <c r="EU18" s="616"/>
      <c r="EV18" s="616"/>
      <c r="EW18" s="616"/>
      <c r="EX18" s="616"/>
      <c r="EY18" s="616"/>
      <c r="EZ18" s="616"/>
      <c r="FA18" s="616"/>
      <c r="FB18" s="616"/>
      <c r="FC18" s="616"/>
      <c r="FD18" s="616"/>
      <c r="FE18" s="616"/>
      <c r="FF18" s="616"/>
      <c r="FG18" s="616"/>
      <c r="FH18" s="616"/>
      <c r="FI18" s="616"/>
      <c r="FJ18" s="616"/>
      <c r="FK18" s="616"/>
      <c r="FL18" s="616"/>
      <c r="FM18" s="616"/>
      <c r="FN18" s="616"/>
      <c r="FO18" s="616"/>
      <c r="FP18" s="616"/>
      <c r="FQ18" s="616"/>
      <c r="FR18" s="616"/>
      <c r="FS18" s="616"/>
      <c r="FT18" s="616"/>
      <c r="FU18" s="616"/>
      <c r="FV18" s="616"/>
      <c r="FW18" s="616"/>
      <c r="FX18" s="616"/>
      <c r="FY18" s="616"/>
      <c r="FZ18" s="616"/>
      <c r="GA18" s="616"/>
      <c r="GB18" s="616"/>
      <c r="GC18" s="616"/>
      <c r="GD18" s="616"/>
      <c r="GE18" s="616"/>
      <c r="GF18" s="616"/>
      <c r="GG18" s="616"/>
      <c r="GH18" s="616"/>
      <c r="GI18" s="616"/>
      <c r="GJ18" s="616"/>
      <c r="GK18" s="616"/>
      <c r="GL18" s="616"/>
      <c r="GM18" s="616"/>
      <c r="GN18" s="616"/>
      <c r="GO18" s="616"/>
      <c r="GP18" s="616"/>
      <c r="GQ18" s="616"/>
      <c r="GR18" s="616"/>
      <c r="GS18" s="616"/>
      <c r="GT18" s="616"/>
      <c r="GU18" s="616"/>
      <c r="GV18" s="616"/>
      <c r="GW18" s="616"/>
      <c r="GX18" s="616"/>
      <c r="GY18" s="616"/>
      <c r="GZ18" s="616"/>
      <c r="HA18" s="616"/>
      <c r="HB18" s="616"/>
      <c r="HC18" s="616"/>
      <c r="HD18" s="616"/>
      <c r="HE18" s="616"/>
      <c r="HF18" s="616"/>
      <c r="HG18" s="616"/>
      <c r="HH18" s="616"/>
      <c r="HI18" s="616"/>
      <c r="HJ18" s="616"/>
      <c r="HK18" s="616"/>
      <c r="HL18" s="616"/>
      <c r="HM18" s="616"/>
      <c r="HN18" s="616"/>
      <c r="HO18" s="616"/>
      <c r="HP18" s="616"/>
      <c r="HQ18" s="616"/>
      <c r="HR18" s="616"/>
      <c r="HS18" s="616"/>
      <c r="HT18" s="616"/>
      <c r="HU18" s="616"/>
      <c r="HV18" s="616"/>
      <c r="HW18" s="616"/>
      <c r="HX18" s="616"/>
      <c r="HY18" s="616"/>
      <c r="HZ18" s="616"/>
      <c r="IA18" s="616"/>
      <c r="IB18" s="616"/>
      <c r="IC18" s="616"/>
      <c r="ID18" s="616"/>
      <c r="IE18" s="616"/>
      <c r="IF18" s="616"/>
      <c r="IG18" s="616"/>
      <c r="IH18" s="616"/>
      <c r="II18" s="616"/>
      <c r="IJ18" s="616"/>
      <c r="IK18" s="616"/>
      <c r="IL18" s="616"/>
    </row>
    <row r="19" spans="1:246" s="513" customFormat="1" ht="12.75">
      <c r="A19" s="604">
        <v>2</v>
      </c>
      <c r="B19" s="603">
        <v>6</v>
      </c>
      <c r="C19" s="233" t="s">
        <v>51</v>
      </c>
      <c r="D19" s="605">
        <f>SUMIF(Sheet10!$B$6:$B$30,Sheet3!$C19,Sheet10!K$6:K$30)</f>
        <v>4200</v>
      </c>
      <c r="E19" s="605">
        <f>SUMIF(Sheet10!$B$6:$B$30,Sheet3!$C19,Sheet10!M$6:M$30)</f>
        <v>4200</v>
      </c>
      <c r="F19" s="605">
        <f>ROUND(E19*F$56,2)</f>
        <v>4110.12</v>
      </c>
      <c r="G19" s="605">
        <f>ROUND(E19*G$56,2)</f>
        <v>89.88</v>
      </c>
      <c r="H19" s="605">
        <f t="shared" si="6"/>
        <v>4200</v>
      </c>
      <c r="I19" s="605">
        <f t="shared" si="3"/>
        <v>0</v>
      </c>
      <c r="J19" s="615"/>
      <c r="K19" s="616"/>
      <c r="L19" s="616"/>
      <c r="M19" s="616"/>
      <c r="N19" s="616"/>
      <c r="O19" s="616"/>
      <c r="P19" s="616"/>
      <c r="Q19" s="616"/>
      <c r="R19" s="616"/>
      <c r="S19" s="616"/>
      <c r="T19" s="616"/>
      <c r="U19" s="616"/>
      <c r="V19" s="616"/>
      <c r="W19" s="616"/>
      <c r="X19" s="616"/>
      <c r="Y19" s="616"/>
      <c r="Z19" s="616"/>
      <c r="AA19" s="616"/>
      <c r="AB19" s="616"/>
      <c r="AC19" s="616"/>
      <c r="AD19" s="616"/>
      <c r="AE19" s="616"/>
      <c r="AF19" s="616"/>
      <c r="AG19" s="616"/>
      <c r="AH19" s="616"/>
      <c r="AI19" s="616"/>
      <c r="AJ19" s="616"/>
      <c r="AK19" s="616"/>
      <c r="AL19" s="616"/>
      <c r="AM19" s="616"/>
      <c r="AN19" s="616"/>
      <c r="AO19" s="616"/>
      <c r="AP19" s="616"/>
      <c r="AQ19" s="616"/>
      <c r="AR19" s="616"/>
      <c r="AS19" s="616"/>
      <c r="AT19" s="616"/>
      <c r="AU19" s="616"/>
      <c r="AV19" s="616"/>
      <c r="AW19" s="616"/>
      <c r="AX19" s="616"/>
      <c r="AY19" s="616"/>
      <c r="AZ19" s="616"/>
      <c r="BA19" s="616"/>
      <c r="BB19" s="616"/>
      <c r="BC19" s="616"/>
      <c r="BD19" s="616"/>
      <c r="BE19" s="616"/>
      <c r="BF19" s="616"/>
      <c r="BG19" s="616"/>
      <c r="BH19" s="616"/>
      <c r="BI19" s="616"/>
      <c r="BJ19" s="616"/>
      <c r="BK19" s="616"/>
      <c r="BL19" s="616"/>
      <c r="BM19" s="616"/>
      <c r="BN19" s="616"/>
      <c r="BO19" s="616"/>
      <c r="BP19" s="616"/>
      <c r="BQ19" s="616"/>
      <c r="BR19" s="616"/>
      <c r="BS19" s="616"/>
      <c r="BT19" s="616"/>
      <c r="BU19" s="616"/>
      <c r="BV19" s="616"/>
      <c r="BW19" s="616"/>
      <c r="BX19" s="616"/>
      <c r="BY19" s="616"/>
      <c r="BZ19" s="616"/>
      <c r="CA19" s="616"/>
      <c r="CB19" s="616"/>
      <c r="CC19" s="616"/>
      <c r="CD19" s="616"/>
      <c r="CE19" s="616"/>
      <c r="CF19" s="616"/>
      <c r="CG19" s="616"/>
      <c r="CH19" s="616"/>
      <c r="CI19" s="616"/>
      <c r="CJ19" s="616"/>
      <c r="CK19" s="616"/>
      <c r="CL19" s="616"/>
      <c r="CM19" s="616"/>
      <c r="CN19" s="616"/>
      <c r="CO19" s="616"/>
      <c r="CP19" s="616"/>
      <c r="CQ19" s="616"/>
      <c r="CR19" s="616"/>
      <c r="CS19" s="616"/>
      <c r="CT19" s="616"/>
      <c r="CU19" s="616"/>
      <c r="CV19" s="616"/>
      <c r="CW19" s="616"/>
      <c r="CX19" s="616"/>
      <c r="CY19" s="616"/>
      <c r="CZ19" s="616"/>
      <c r="DA19" s="616"/>
      <c r="DB19" s="616"/>
      <c r="DC19" s="616"/>
      <c r="DD19" s="616"/>
      <c r="DE19" s="616"/>
      <c r="DF19" s="616"/>
      <c r="DG19" s="616"/>
      <c r="DH19" s="616"/>
      <c r="DI19" s="616"/>
      <c r="DJ19" s="616"/>
      <c r="DK19" s="616"/>
      <c r="DL19" s="616"/>
      <c r="DM19" s="616"/>
      <c r="DN19" s="616"/>
      <c r="DO19" s="616"/>
      <c r="DP19" s="616"/>
      <c r="DQ19" s="616"/>
      <c r="DR19" s="616"/>
      <c r="DS19" s="616"/>
      <c r="DT19" s="616"/>
      <c r="DU19" s="616"/>
      <c r="DV19" s="616"/>
      <c r="DW19" s="616"/>
      <c r="DX19" s="616"/>
      <c r="DY19" s="616"/>
      <c r="DZ19" s="616"/>
      <c r="EA19" s="616"/>
      <c r="EB19" s="616"/>
      <c r="EC19" s="616"/>
      <c r="ED19" s="616"/>
      <c r="EE19" s="616"/>
      <c r="EF19" s="616"/>
      <c r="EG19" s="616"/>
      <c r="EH19" s="616"/>
      <c r="EI19" s="616"/>
      <c r="EJ19" s="616"/>
      <c r="EK19" s="616"/>
      <c r="EL19" s="616"/>
      <c r="EM19" s="616"/>
      <c r="EN19" s="616"/>
      <c r="EO19" s="616"/>
      <c r="EP19" s="616"/>
      <c r="EQ19" s="616"/>
      <c r="ER19" s="616"/>
      <c r="ES19" s="616"/>
      <c r="ET19" s="616"/>
      <c r="EU19" s="616"/>
      <c r="EV19" s="616"/>
      <c r="EW19" s="616"/>
      <c r="EX19" s="616"/>
      <c r="EY19" s="616"/>
      <c r="EZ19" s="616"/>
      <c r="FA19" s="616"/>
      <c r="FB19" s="616"/>
      <c r="FC19" s="616"/>
      <c r="FD19" s="616"/>
      <c r="FE19" s="616"/>
      <c r="FF19" s="616"/>
      <c r="FG19" s="616"/>
      <c r="FH19" s="616"/>
      <c r="FI19" s="616"/>
      <c r="FJ19" s="616"/>
      <c r="FK19" s="616"/>
      <c r="FL19" s="616"/>
      <c r="FM19" s="616"/>
      <c r="FN19" s="616"/>
      <c r="FO19" s="616"/>
      <c r="FP19" s="616"/>
      <c r="FQ19" s="616"/>
      <c r="FR19" s="616"/>
      <c r="FS19" s="616"/>
      <c r="FT19" s="616"/>
      <c r="FU19" s="616"/>
      <c r="FV19" s="616"/>
      <c r="FW19" s="616"/>
      <c r="FX19" s="616"/>
      <c r="FY19" s="616"/>
      <c r="FZ19" s="616"/>
      <c r="GA19" s="616"/>
      <c r="GB19" s="616"/>
      <c r="GC19" s="616"/>
      <c r="GD19" s="616"/>
      <c r="GE19" s="616"/>
      <c r="GF19" s="616"/>
      <c r="GG19" s="616"/>
      <c r="GH19" s="616"/>
      <c r="GI19" s="616"/>
      <c r="GJ19" s="616"/>
      <c r="GK19" s="616"/>
      <c r="GL19" s="616"/>
      <c r="GM19" s="616"/>
      <c r="GN19" s="616"/>
      <c r="GO19" s="616"/>
      <c r="GP19" s="616"/>
      <c r="GQ19" s="616"/>
      <c r="GR19" s="616"/>
      <c r="GS19" s="616"/>
      <c r="GT19" s="616"/>
      <c r="GU19" s="616"/>
      <c r="GV19" s="616"/>
      <c r="GW19" s="616"/>
      <c r="GX19" s="616"/>
      <c r="GY19" s="616"/>
      <c r="GZ19" s="616"/>
      <c r="HA19" s="616"/>
      <c r="HB19" s="616"/>
      <c r="HC19" s="616"/>
      <c r="HD19" s="616"/>
      <c r="HE19" s="616"/>
      <c r="HF19" s="616"/>
      <c r="HG19" s="616"/>
      <c r="HH19" s="616"/>
      <c r="HI19" s="616"/>
      <c r="HJ19" s="616"/>
      <c r="HK19" s="616"/>
      <c r="HL19" s="616"/>
      <c r="HM19" s="616"/>
      <c r="HN19" s="616"/>
      <c r="HO19" s="616"/>
      <c r="HP19" s="616"/>
      <c r="HQ19" s="616"/>
      <c r="HR19" s="616"/>
      <c r="HS19" s="616"/>
      <c r="HT19" s="616"/>
      <c r="HU19" s="616"/>
      <c r="HV19" s="616"/>
      <c r="HW19" s="616"/>
      <c r="HX19" s="616"/>
      <c r="HY19" s="616"/>
      <c r="HZ19" s="616"/>
      <c r="IA19" s="616"/>
      <c r="IB19" s="616"/>
      <c r="IC19" s="616"/>
      <c r="ID19" s="616"/>
      <c r="IE19" s="616"/>
      <c r="IF19" s="616"/>
      <c r="IG19" s="616"/>
      <c r="IH19" s="616"/>
      <c r="II19" s="616"/>
      <c r="IJ19" s="616"/>
      <c r="IK19" s="616"/>
      <c r="IL19" s="616"/>
    </row>
    <row r="20" spans="1:246" s="513" customFormat="1" ht="12.75">
      <c r="A20" s="604">
        <v>2</v>
      </c>
      <c r="B20" s="603">
        <v>7</v>
      </c>
      <c r="C20" s="233" t="s">
        <v>52</v>
      </c>
      <c r="D20" s="605">
        <f>SUMIF(Sheet10!$B$6:$B$30,Sheet3!$C20,Sheet10!K$6:K$30)</f>
        <v>82965.37</v>
      </c>
      <c r="E20" s="605">
        <f>SUMIF(Sheet10!$B$6:$B$30,Sheet3!$C20,Sheet10!M$6:M$30)</f>
        <v>82965.37</v>
      </c>
      <c r="F20" s="605">
        <f>ROUND(E20*F$56,2)</f>
        <v>81189.91</v>
      </c>
      <c r="G20" s="605">
        <f>ROUND(E20*G$56,2)</f>
        <v>1775.46</v>
      </c>
      <c r="H20" s="605">
        <f t="shared" si="6"/>
        <v>82965.37000000001</v>
      </c>
      <c r="I20" s="605">
        <f t="shared" si="3"/>
        <v>0</v>
      </c>
      <c r="J20" s="615"/>
      <c r="K20" s="616"/>
      <c r="L20" s="616"/>
      <c r="M20" s="616"/>
      <c r="N20" s="616"/>
      <c r="O20" s="616"/>
      <c r="P20" s="616"/>
      <c r="Q20" s="616"/>
      <c r="R20" s="616"/>
      <c r="S20" s="616"/>
      <c r="T20" s="616"/>
      <c r="U20" s="616"/>
      <c r="V20" s="616"/>
      <c r="W20" s="616"/>
      <c r="X20" s="616"/>
      <c r="Y20" s="616"/>
      <c r="Z20" s="616"/>
      <c r="AA20" s="616"/>
      <c r="AB20" s="616"/>
      <c r="AC20" s="616"/>
      <c r="AD20" s="616"/>
      <c r="AE20" s="616"/>
      <c r="AF20" s="616"/>
      <c r="AG20" s="616"/>
      <c r="AH20" s="616"/>
      <c r="AI20" s="616"/>
      <c r="AJ20" s="616"/>
      <c r="AK20" s="616"/>
      <c r="AL20" s="616"/>
      <c r="AM20" s="616"/>
      <c r="AN20" s="616"/>
      <c r="AO20" s="616"/>
      <c r="AP20" s="616"/>
      <c r="AQ20" s="616"/>
      <c r="AR20" s="616"/>
      <c r="AS20" s="616"/>
      <c r="AT20" s="616"/>
      <c r="AU20" s="616"/>
      <c r="AV20" s="616"/>
      <c r="AW20" s="616"/>
      <c r="AX20" s="616"/>
      <c r="AY20" s="616"/>
      <c r="AZ20" s="616"/>
      <c r="BA20" s="616"/>
      <c r="BB20" s="616"/>
      <c r="BC20" s="616"/>
      <c r="BD20" s="616"/>
      <c r="BE20" s="616"/>
      <c r="BF20" s="616"/>
      <c r="BG20" s="616"/>
      <c r="BH20" s="616"/>
      <c r="BI20" s="616"/>
      <c r="BJ20" s="616"/>
      <c r="BK20" s="616"/>
      <c r="BL20" s="616"/>
      <c r="BM20" s="616"/>
      <c r="BN20" s="616"/>
      <c r="BO20" s="616"/>
      <c r="BP20" s="616"/>
      <c r="BQ20" s="616"/>
      <c r="BR20" s="616"/>
      <c r="BS20" s="616"/>
      <c r="BT20" s="616"/>
      <c r="BU20" s="616"/>
      <c r="BV20" s="616"/>
      <c r="BW20" s="616"/>
      <c r="BX20" s="616"/>
      <c r="BY20" s="616"/>
      <c r="BZ20" s="616"/>
      <c r="CA20" s="616"/>
      <c r="CB20" s="616"/>
      <c r="CC20" s="616"/>
      <c r="CD20" s="616"/>
      <c r="CE20" s="616"/>
      <c r="CF20" s="616"/>
      <c r="CG20" s="616"/>
      <c r="CH20" s="616"/>
      <c r="CI20" s="616"/>
      <c r="CJ20" s="616"/>
      <c r="CK20" s="616"/>
      <c r="CL20" s="616"/>
      <c r="CM20" s="616"/>
      <c r="CN20" s="616"/>
      <c r="CO20" s="616"/>
      <c r="CP20" s="616"/>
      <c r="CQ20" s="616"/>
      <c r="CR20" s="616"/>
      <c r="CS20" s="616"/>
      <c r="CT20" s="616"/>
      <c r="CU20" s="616"/>
      <c r="CV20" s="616"/>
      <c r="CW20" s="616"/>
      <c r="CX20" s="616"/>
      <c r="CY20" s="616"/>
      <c r="CZ20" s="616"/>
      <c r="DA20" s="616"/>
      <c r="DB20" s="616"/>
      <c r="DC20" s="616"/>
      <c r="DD20" s="616"/>
      <c r="DE20" s="616"/>
      <c r="DF20" s="616"/>
      <c r="DG20" s="616"/>
      <c r="DH20" s="616"/>
      <c r="DI20" s="616"/>
      <c r="DJ20" s="616"/>
      <c r="DK20" s="616"/>
      <c r="DL20" s="616"/>
      <c r="DM20" s="616"/>
      <c r="DN20" s="616"/>
      <c r="DO20" s="616"/>
      <c r="DP20" s="616"/>
      <c r="DQ20" s="616"/>
      <c r="DR20" s="616"/>
      <c r="DS20" s="616"/>
      <c r="DT20" s="616"/>
      <c r="DU20" s="616"/>
      <c r="DV20" s="616"/>
      <c r="DW20" s="616"/>
      <c r="DX20" s="616"/>
      <c r="DY20" s="616"/>
      <c r="DZ20" s="616"/>
      <c r="EA20" s="616"/>
      <c r="EB20" s="616"/>
      <c r="EC20" s="616"/>
      <c r="ED20" s="616"/>
      <c r="EE20" s="616"/>
      <c r="EF20" s="616"/>
      <c r="EG20" s="616"/>
      <c r="EH20" s="616"/>
      <c r="EI20" s="616"/>
      <c r="EJ20" s="616"/>
      <c r="EK20" s="616"/>
      <c r="EL20" s="616"/>
      <c r="EM20" s="616"/>
      <c r="EN20" s="616"/>
      <c r="EO20" s="616"/>
      <c r="EP20" s="616"/>
      <c r="EQ20" s="616"/>
      <c r="ER20" s="616"/>
      <c r="ES20" s="616"/>
      <c r="ET20" s="616"/>
      <c r="EU20" s="616"/>
      <c r="EV20" s="616"/>
      <c r="EW20" s="616"/>
      <c r="EX20" s="616"/>
      <c r="EY20" s="616"/>
      <c r="EZ20" s="616"/>
      <c r="FA20" s="616"/>
      <c r="FB20" s="616"/>
      <c r="FC20" s="616"/>
      <c r="FD20" s="616"/>
      <c r="FE20" s="616"/>
      <c r="FF20" s="616"/>
      <c r="FG20" s="616"/>
      <c r="FH20" s="616"/>
      <c r="FI20" s="616"/>
      <c r="FJ20" s="616"/>
      <c r="FK20" s="616"/>
      <c r="FL20" s="616"/>
      <c r="FM20" s="616"/>
      <c r="FN20" s="616"/>
      <c r="FO20" s="616"/>
      <c r="FP20" s="616"/>
      <c r="FQ20" s="616"/>
      <c r="FR20" s="616"/>
      <c r="FS20" s="616"/>
      <c r="FT20" s="616"/>
      <c r="FU20" s="616"/>
      <c r="FV20" s="616"/>
      <c r="FW20" s="616"/>
      <c r="FX20" s="616"/>
      <c r="FY20" s="616"/>
      <c r="FZ20" s="616"/>
      <c r="GA20" s="616"/>
      <c r="GB20" s="616"/>
      <c r="GC20" s="616"/>
      <c r="GD20" s="616"/>
      <c r="GE20" s="616"/>
      <c r="GF20" s="616"/>
      <c r="GG20" s="616"/>
      <c r="GH20" s="616"/>
      <c r="GI20" s="616"/>
      <c r="GJ20" s="616"/>
      <c r="GK20" s="616"/>
      <c r="GL20" s="616"/>
      <c r="GM20" s="616"/>
      <c r="GN20" s="616"/>
      <c r="GO20" s="616"/>
      <c r="GP20" s="616"/>
      <c r="GQ20" s="616"/>
      <c r="GR20" s="616"/>
      <c r="GS20" s="616"/>
      <c r="GT20" s="616"/>
      <c r="GU20" s="616"/>
      <c r="GV20" s="616"/>
      <c r="GW20" s="616"/>
      <c r="GX20" s="616"/>
      <c r="GY20" s="616"/>
      <c r="GZ20" s="616"/>
      <c r="HA20" s="616"/>
      <c r="HB20" s="616"/>
      <c r="HC20" s="616"/>
      <c r="HD20" s="616"/>
      <c r="HE20" s="616"/>
      <c r="HF20" s="616"/>
      <c r="HG20" s="616"/>
      <c r="HH20" s="616"/>
      <c r="HI20" s="616"/>
      <c r="HJ20" s="616"/>
      <c r="HK20" s="616"/>
      <c r="HL20" s="616"/>
      <c r="HM20" s="616"/>
      <c r="HN20" s="616"/>
      <c r="HO20" s="616"/>
      <c r="HP20" s="616"/>
      <c r="HQ20" s="616"/>
      <c r="HR20" s="616"/>
      <c r="HS20" s="616"/>
      <c r="HT20" s="616"/>
      <c r="HU20" s="616"/>
      <c r="HV20" s="616"/>
      <c r="HW20" s="616"/>
      <c r="HX20" s="616"/>
      <c r="HY20" s="616"/>
      <c r="HZ20" s="616"/>
      <c r="IA20" s="616"/>
      <c r="IB20" s="616"/>
      <c r="IC20" s="616"/>
      <c r="ID20" s="616"/>
      <c r="IE20" s="616"/>
      <c r="IF20" s="616"/>
      <c r="IG20" s="616"/>
      <c r="IH20" s="616"/>
      <c r="II20" s="616"/>
      <c r="IJ20" s="616"/>
      <c r="IK20" s="616"/>
      <c r="IL20" s="616"/>
    </row>
    <row r="21" spans="1:246" s="513" customFormat="1" ht="12.75">
      <c r="A21" s="604">
        <v>2</v>
      </c>
      <c r="B21" s="603">
        <v>8</v>
      </c>
      <c r="C21" s="233" t="s">
        <v>53</v>
      </c>
      <c r="D21" s="605">
        <f>SUMIF(Sheet10!$B$6:$B$30,Sheet3!$C21,Sheet10!K$6:K$30)</f>
        <v>0</v>
      </c>
      <c r="E21" s="605">
        <f>SUMIF(Sheet10!$B$6:$B$30,Sheet3!$C21,Sheet10!M$6:M$30)</f>
        <v>0</v>
      </c>
      <c r="F21" s="605">
        <f t="shared" si="4"/>
        <v>0</v>
      </c>
      <c r="G21" s="605">
        <f t="shared" si="5"/>
        <v>0</v>
      </c>
      <c r="H21" s="605">
        <f t="shared" si="6"/>
        <v>0</v>
      </c>
      <c r="I21" s="605">
        <f t="shared" si="3"/>
        <v>0</v>
      </c>
      <c r="J21" s="615"/>
      <c r="K21" s="616"/>
      <c r="L21" s="616"/>
      <c r="M21" s="616"/>
      <c r="N21" s="616"/>
      <c r="O21" s="616"/>
      <c r="P21" s="616"/>
      <c r="Q21" s="616"/>
      <c r="R21" s="616"/>
      <c r="S21" s="616"/>
      <c r="T21" s="616"/>
      <c r="U21" s="616"/>
      <c r="V21" s="616"/>
      <c r="W21" s="616"/>
      <c r="X21" s="616"/>
      <c r="Y21" s="616"/>
      <c r="Z21" s="616"/>
      <c r="AA21" s="616"/>
      <c r="AB21" s="616"/>
      <c r="AC21" s="616"/>
      <c r="AD21" s="616"/>
      <c r="AE21" s="616"/>
      <c r="AF21" s="616"/>
      <c r="AG21" s="616"/>
      <c r="AH21" s="616"/>
      <c r="AI21" s="616"/>
      <c r="AJ21" s="616"/>
      <c r="AK21" s="616"/>
      <c r="AL21" s="616"/>
      <c r="AM21" s="616"/>
      <c r="AN21" s="616"/>
      <c r="AO21" s="616"/>
      <c r="AP21" s="616"/>
      <c r="AQ21" s="616"/>
      <c r="AR21" s="616"/>
      <c r="AS21" s="616"/>
      <c r="AT21" s="616"/>
      <c r="AU21" s="616"/>
      <c r="AV21" s="616"/>
      <c r="AW21" s="616"/>
      <c r="AX21" s="616"/>
      <c r="AY21" s="616"/>
      <c r="AZ21" s="616"/>
      <c r="BA21" s="616"/>
      <c r="BB21" s="616"/>
      <c r="BC21" s="616"/>
      <c r="BD21" s="616"/>
      <c r="BE21" s="616"/>
      <c r="BF21" s="616"/>
      <c r="BG21" s="616"/>
      <c r="BH21" s="616"/>
      <c r="BI21" s="616"/>
      <c r="BJ21" s="616"/>
      <c r="BK21" s="616"/>
      <c r="BL21" s="616"/>
      <c r="BM21" s="616"/>
      <c r="BN21" s="616"/>
      <c r="BO21" s="616"/>
      <c r="BP21" s="616"/>
      <c r="BQ21" s="616"/>
      <c r="BR21" s="616"/>
      <c r="BS21" s="616"/>
      <c r="BT21" s="616"/>
      <c r="BU21" s="616"/>
      <c r="BV21" s="616"/>
      <c r="BW21" s="616"/>
      <c r="BX21" s="616"/>
      <c r="BY21" s="616"/>
      <c r="BZ21" s="616"/>
      <c r="CA21" s="616"/>
      <c r="CB21" s="616"/>
      <c r="CC21" s="616"/>
      <c r="CD21" s="616"/>
      <c r="CE21" s="616"/>
      <c r="CF21" s="616"/>
      <c r="CG21" s="616"/>
      <c r="CH21" s="616"/>
      <c r="CI21" s="616"/>
      <c r="CJ21" s="616"/>
      <c r="CK21" s="616"/>
      <c r="CL21" s="616"/>
      <c r="CM21" s="616"/>
      <c r="CN21" s="616"/>
      <c r="CO21" s="616"/>
      <c r="CP21" s="616"/>
      <c r="CQ21" s="616"/>
      <c r="CR21" s="616"/>
      <c r="CS21" s="616"/>
      <c r="CT21" s="616"/>
      <c r="CU21" s="616"/>
      <c r="CV21" s="616"/>
      <c r="CW21" s="616"/>
      <c r="CX21" s="616"/>
      <c r="CY21" s="616"/>
      <c r="CZ21" s="616"/>
      <c r="DA21" s="616"/>
      <c r="DB21" s="616"/>
      <c r="DC21" s="616"/>
      <c r="DD21" s="616"/>
      <c r="DE21" s="616"/>
      <c r="DF21" s="616"/>
      <c r="DG21" s="616"/>
      <c r="DH21" s="616"/>
      <c r="DI21" s="616"/>
      <c r="DJ21" s="616"/>
      <c r="DK21" s="616"/>
      <c r="DL21" s="616"/>
      <c r="DM21" s="616"/>
      <c r="DN21" s="616"/>
      <c r="DO21" s="616"/>
      <c r="DP21" s="616"/>
      <c r="DQ21" s="616"/>
      <c r="DR21" s="616"/>
      <c r="DS21" s="616"/>
      <c r="DT21" s="616"/>
      <c r="DU21" s="616"/>
      <c r="DV21" s="616"/>
      <c r="DW21" s="616"/>
      <c r="DX21" s="616"/>
      <c r="DY21" s="616"/>
      <c r="DZ21" s="616"/>
      <c r="EA21" s="616"/>
      <c r="EB21" s="616"/>
      <c r="EC21" s="616"/>
      <c r="ED21" s="616"/>
      <c r="EE21" s="616"/>
      <c r="EF21" s="616"/>
      <c r="EG21" s="616"/>
      <c r="EH21" s="616"/>
      <c r="EI21" s="616"/>
      <c r="EJ21" s="616"/>
      <c r="EK21" s="616"/>
      <c r="EL21" s="616"/>
      <c r="EM21" s="616"/>
      <c r="EN21" s="616"/>
      <c r="EO21" s="616"/>
      <c r="EP21" s="616"/>
      <c r="EQ21" s="616"/>
      <c r="ER21" s="616"/>
      <c r="ES21" s="616"/>
      <c r="ET21" s="616"/>
      <c r="EU21" s="616"/>
      <c r="EV21" s="616"/>
      <c r="EW21" s="616"/>
      <c r="EX21" s="616"/>
      <c r="EY21" s="616"/>
      <c r="EZ21" s="616"/>
      <c r="FA21" s="616"/>
      <c r="FB21" s="616"/>
      <c r="FC21" s="616"/>
      <c r="FD21" s="616"/>
      <c r="FE21" s="616"/>
      <c r="FF21" s="616"/>
      <c r="FG21" s="616"/>
      <c r="FH21" s="616"/>
      <c r="FI21" s="616"/>
      <c r="FJ21" s="616"/>
      <c r="FK21" s="616"/>
      <c r="FL21" s="616"/>
      <c r="FM21" s="616"/>
      <c r="FN21" s="616"/>
      <c r="FO21" s="616"/>
      <c r="FP21" s="616"/>
      <c r="FQ21" s="616"/>
      <c r="FR21" s="616"/>
      <c r="FS21" s="616"/>
      <c r="FT21" s="616"/>
      <c r="FU21" s="616"/>
      <c r="FV21" s="616"/>
      <c r="FW21" s="616"/>
      <c r="FX21" s="616"/>
      <c r="FY21" s="616"/>
      <c r="FZ21" s="616"/>
      <c r="GA21" s="616"/>
      <c r="GB21" s="616"/>
      <c r="GC21" s="616"/>
      <c r="GD21" s="616"/>
      <c r="GE21" s="616"/>
      <c r="GF21" s="616"/>
      <c r="GG21" s="616"/>
      <c r="GH21" s="616"/>
      <c r="GI21" s="616"/>
      <c r="GJ21" s="616"/>
      <c r="GK21" s="616"/>
      <c r="GL21" s="616"/>
      <c r="GM21" s="616"/>
      <c r="GN21" s="616"/>
      <c r="GO21" s="616"/>
      <c r="GP21" s="616"/>
      <c r="GQ21" s="616"/>
      <c r="GR21" s="616"/>
      <c r="GS21" s="616"/>
      <c r="GT21" s="616"/>
      <c r="GU21" s="616"/>
      <c r="GV21" s="616"/>
      <c r="GW21" s="616"/>
      <c r="GX21" s="616"/>
      <c r="GY21" s="616"/>
      <c r="GZ21" s="616"/>
      <c r="HA21" s="616"/>
      <c r="HB21" s="616"/>
      <c r="HC21" s="616"/>
      <c r="HD21" s="616"/>
      <c r="HE21" s="616"/>
      <c r="HF21" s="616"/>
      <c r="HG21" s="616"/>
      <c r="HH21" s="616"/>
      <c r="HI21" s="616"/>
      <c r="HJ21" s="616"/>
      <c r="HK21" s="616"/>
      <c r="HL21" s="616"/>
      <c r="HM21" s="616"/>
      <c r="HN21" s="616"/>
      <c r="HO21" s="616"/>
      <c r="HP21" s="616"/>
      <c r="HQ21" s="616"/>
      <c r="HR21" s="616"/>
      <c r="HS21" s="616"/>
      <c r="HT21" s="616"/>
      <c r="HU21" s="616"/>
      <c r="HV21" s="616"/>
      <c r="HW21" s="616"/>
      <c r="HX21" s="616"/>
      <c r="HY21" s="616"/>
      <c r="HZ21" s="616"/>
      <c r="IA21" s="616"/>
      <c r="IB21" s="616"/>
      <c r="IC21" s="616"/>
      <c r="ID21" s="616"/>
      <c r="IE21" s="616"/>
      <c r="IF21" s="616"/>
      <c r="IG21" s="616"/>
      <c r="IH21" s="616"/>
      <c r="II21" s="616"/>
      <c r="IJ21" s="616"/>
      <c r="IK21" s="616"/>
      <c r="IL21" s="616"/>
    </row>
    <row r="22" spans="1:246" s="513" customFormat="1" ht="12.75">
      <c r="A22" s="604">
        <v>2</v>
      </c>
      <c r="B22" s="603">
        <v>9</v>
      </c>
      <c r="C22" s="233" t="s">
        <v>54</v>
      </c>
      <c r="D22" s="605">
        <f>SUMIF(Sheet10!$B$6:$B$30,Sheet3!$C22,Sheet10!K$6:K$30)</f>
        <v>0</v>
      </c>
      <c r="E22" s="605">
        <f>SUMIF(Sheet10!$B$6:$B$30,Sheet3!$C22,Sheet10!M$6:M$30)</f>
        <v>0</v>
      </c>
      <c r="F22" s="605"/>
      <c r="G22" s="605">
        <f t="shared" si="5"/>
        <v>0</v>
      </c>
      <c r="H22" s="605">
        <f t="shared" si="6"/>
        <v>0</v>
      </c>
      <c r="I22" s="605">
        <f t="shared" si="3"/>
        <v>0</v>
      </c>
      <c r="J22" s="615"/>
      <c r="K22" s="616"/>
      <c r="L22" s="616"/>
      <c r="M22" s="616"/>
      <c r="N22" s="616"/>
      <c r="O22" s="616"/>
      <c r="P22" s="616"/>
      <c r="Q22" s="616"/>
      <c r="R22" s="616"/>
      <c r="S22" s="616"/>
      <c r="T22" s="616"/>
      <c r="U22" s="616"/>
      <c r="V22" s="616"/>
      <c r="W22" s="616"/>
      <c r="X22" s="616"/>
      <c r="Y22" s="616"/>
      <c r="Z22" s="616"/>
      <c r="AA22" s="616"/>
      <c r="AB22" s="616"/>
      <c r="AC22" s="616"/>
      <c r="AD22" s="616"/>
      <c r="AE22" s="616"/>
      <c r="AF22" s="616"/>
      <c r="AG22" s="616"/>
      <c r="AH22" s="616"/>
      <c r="AI22" s="616"/>
      <c r="AJ22" s="616"/>
      <c r="AK22" s="616"/>
      <c r="AL22" s="616"/>
      <c r="AM22" s="616"/>
      <c r="AN22" s="616"/>
      <c r="AO22" s="616"/>
      <c r="AP22" s="616"/>
      <c r="AQ22" s="616"/>
      <c r="AR22" s="616"/>
      <c r="AS22" s="616"/>
      <c r="AT22" s="616"/>
      <c r="AU22" s="616"/>
      <c r="AV22" s="616"/>
      <c r="AW22" s="616"/>
      <c r="AX22" s="616"/>
      <c r="AY22" s="616"/>
      <c r="AZ22" s="616"/>
      <c r="BA22" s="616"/>
      <c r="BB22" s="616"/>
      <c r="BC22" s="616"/>
      <c r="BD22" s="616"/>
      <c r="BE22" s="616"/>
      <c r="BF22" s="616"/>
      <c r="BG22" s="616"/>
      <c r="BH22" s="616"/>
      <c r="BI22" s="616"/>
      <c r="BJ22" s="616"/>
      <c r="BK22" s="616"/>
      <c r="BL22" s="616"/>
      <c r="BM22" s="616"/>
      <c r="BN22" s="616"/>
      <c r="BO22" s="616"/>
      <c r="BP22" s="616"/>
      <c r="BQ22" s="616"/>
      <c r="BR22" s="616"/>
      <c r="BS22" s="616"/>
      <c r="BT22" s="616"/>
      <c r="BU22" s="616"/>
      <c r="BV22" s="616"/>
      <c r="BW22" s="616"/>
      <c r="BX22" s="616"/>
      <c r="BY22" s="616"/>
      <c r="BZ22" s="616"/>
      <c r="CA22" s="616"/>
      <c r="CB22" s="616"/>
      <c r="CC22" s="616"/>
      <c r="CD22" s="616"/>
      <c r="CE22" s="616"/>
      <c r="CF22" s="616"/>
      <c r="CG22" s="616"/>
      <c r="CH22" s="616"/>
      <c r="CI22" s="616"/>
      <c r="CJ22" s="616"/>
      <c r="CK22" s="616"/>
      <c r="CL22" s="616"/>
      <c r="CM22" s="616"/>
      <c r="CN22" s="616"/>
      <c r="CO22" s="616"/>
      <c r="CP22" s="616"/>
      <c r="CQ22" s="616"/>
      <c r="CR22" s="616"/>
      <c r="CS22" s="616"/>
      <c r="CT22" s="616"/>
      <c r="CU22" s="616"/>
      <c r="CV22" s="616"/>
      <c r="CW22" s="616"/>
      <c r="CX22" s="616"/>
      <c r="CY22" s="616"/>
      <c r="CZ22" s="616"/>
      <c r="DA22" s="616"/>
      <c r="DB22" s="616"/>
      <c r="DC22" s="616"/>
      <c r="DD22" s="616"/>
      <c r="DE22" s="616"/>
      <c r="DF22" s="616"/>
      <c r="DG22" s="616"/>
      <c r="DH22" s="616"/>
      <c r="DI22" s="616"/>
      <c r="DJ22" s="616"/>
      <c r="DK22" s="616"/>
      <c r="DL22" s="616"/>
      <c r="DM22" s="616"/>
      <c r="DN22" s="616"/>
      <c r="DO22" s="616"/>
      <c r="DP22" s="616"/>
      <c r="DQ22" s="616"/>
      <c r="DR22" s="616"/>
      <c r="DS22" s="616"/>
      <c r="DT22" s="616"/>
      <c r="DU22" s="616"/>
      <c r="DV22" s="616"/>
      <c r="DW22" s="616"/>
      <c r="DX22" s="616"/>
      <c r="DY22" s="616"/>
      <c r="DZ22" s="616"/>
      <c r="EA22" s="616"/>
      <c r="EB22" s="616"/>
      <c r="EC22" s="616"/>
      <c r="ED22" s="616"/>
      <c r="EE22" s="616"/>
      <c r="EF22" s="616"/>
      <c r="EG22" s="616"/>
      <c r="EH22" s="616"/>
      <c r="EI22" s="616"/>
      <c r="EJ22" s="616"/>
      <c r="EK22" s="616"/>
      <c r="EL22" s="616"/>
      <c r="EM22" s="616"/>
      <c r="EN22" s="616"/>
      <c r="EO22" s="616"/>
      <c r="EP22" s="616"/>
      <c r="EQ22" s="616"/>
      <c r="ER22" s="616"/>
      <c r="ES22" s="616"/>
      <c r="ET22" s="616"/>
      <c r="EU22" s="616"/>
      <c r="EV22" s="616"/>
      <c r="EW22" s="616"/>
      <c r="EX22" s="616"/>
      <c r="EY22" s="616"/>
      <c r="EZ22" s="616"/>
      <c r="FA22" s="616"/>
      <c r="FB22" s="616"/>
      <c r="FC22" s="616"/>
      <c r="FD22" s="616"/>
      <c r="FE22" s="616"/>
      <c r="FF22" s="616"/>
      <c r="FG22" s="616"/>
      <c r="FH22" s="616"/>
      <c r="FI22" s="616"/>
      <c r="FJ22" s="616"/>
      <c r="FK22" s="616"/>
      <c r="FL22" s="616"/>
      <c r="FM22" s="616"/>
      <c r="FN22" s="616"/>
      <c r="FO22" s="616"/>
      <c r="FP22" s="616"/>
      <c r="FQ22" s="616"/>
      <c r="FR22" s="616"/>
      <c r="FS22" s="616"/>
      <c r="FT22" s="616"/>
      <c r="FU22" s="616"/>
      <c r="FV22" s="616"/>
      <c r="FW22" s="616"/>
      <c r="FX22" s="616"/>
      <c r="FY22" s="616"/>
      <c r="FZ22" s="616"/>
      <c r="GA22" s="616"/>
      <c r="GB22" s="616"/>
      <c r="GC22" s="616"/>
      <c r="GD22" s="616"/>
      <c r="GE22" s="616"/>
      <c r="GF22" s="616"/>
      <c r="GG22" s="616"/>
      <c r="GH22" s="616"/>
      <c r="GI22" s="616"/>
      <c r="GJ22" s="616"/>
      <c r="GK22" s="616"/>
      <c r="GL22" s="616"/>
      <c r="GM22" s="616"/>
      <c r="GN22" s="616"/>
      <c r="GO22" s="616"/>
      <c r="GP22" s="616"/>
      <c r="GQ22" s="616"/>
      <c r="GR22" s="616"/>
      <c r="GS22" s="616"/>
      <c r="GT22" s="616"/>
      <c r="GU22" s="616"/>
      <c r="GV22" s="616"/>
      <c r="GW22" s="616"/>
      <c r="GX22" s="616"/>
      <c r="GY22" s="616"/>
      <c r="GZ22" s="616"/>
      <c r="HA22" s="616"/>
      <c r="HB22" s="616"/>
      <c r="HC22" s="616"/>
      <c r="HD22" s="616"/>
      <c r="HE22" s="616"/>
      <c r="HF22" s="616"/>
      <c r="HG22" s="616"/>
      <c r="HH22" s="616"/>
      <c r="HI22" s="616"/>
      <c r="HJ22" s="616"/>
      <c r="HK22" s="616"/>
      <c r="HL22" s="616"/>
      <c r="HM22" s="616"/>
      <c r="HN22" s="616"/>
      <c r="HO22" s="616"/>
      <c r="HP22" s="616"/>
      <c r="HQ22" s="616"/>
      <c r="HR22" s="616"/>
      <c r="HS22" s="616"/>
      <c r="HT22" s="616"/>
      <c r="HU22" s="616"/>
      <c r="HV22" s="616"/>
      <c r="HW22" s="616"/>
      <c r="HX22" s="616"/>
      <c r="HY22" s="616"/>
      <c r="HZ22" s="616"/>
      <c r="IA22" s="616"/>
      <c r="IB22" s="616"/>
      <c r="IC22" s="616"/>
      <c r="ID22" s="616"/>
      <c r="IE22" s="616"/>
      <c r="IF22" s="616"/>
      <c r="IG22" s="616"/>
      <c r="IH22" s="616"/>
      <c r="II22" s="616"/>
      <c r="IJ22" s="616"/>
      <c r="IK22" s="616"/>
      <c r="IL22" s="616"/>
    </row>
    <row r="23" spans="1:246" s="122" customFormat="1" ht="12.75">
      <c r="A23" s="604">
        <v>1</v>
      </c>
      <c r="B23" s="603" t="s">
        <v>55</v>
      </c>
      <c r="C23" s="233" t="s">
        <v>598</v>
      </c>
      <c r="D23" s="605">
        <f ca="1">SUM(D24:D28)</f>
        <v>0</v>
      </c>
      <c r="E23" s="605">
        <f ca="1">SUM(E24:E28)</f>
        <v>0</v>
      </c>
      <c r="F23" s="605">
        <f ca="1">SUM(F24:F28)</f>
        <v>0</v>
      </c>
      <c r="G23" s="605">
        <f ca="1">SUM(G24:G28)</f>
        <v>0</v>
      </c>
      <c r="H23" s="605">
        <f ca="1">SUM(H24:H28)</f>
        <v>0</v>
      </c>
      <c r="I23" s="605">
        <f t="shared" ca="1" si="3"/>
        <v>0</v>
      </c>
      <c r="J23" s="615"/>
      <c r="K23" s="616"/>
      <c r="L23" s="616"/>
      <c r="M23" s="616"/>
      <c r="N23" s="616"/>
      <c r="O23" s="616"/>
      <c r="P23" s="616"/>
      <c r="Q23" s="616"/>
      <c r="R23" s="616"/>
      <c r="S23" s="616"/>
      <c r="T23" s="616"/>
      <c r="U23" s="616"/>
      <c r="V23" s="616"/>
      <c r="W23" s="616"/>
      <c r="X23" s="616"/>
      <c r="Y23" s="616"/>
      <c r="Z23" s="616"/>
      <c r="AA23" s="616"/>
      <c r="AB23" s="616"/>
      <c r="AC23" s="616"/>
      <c r="AD23" s="616"/>
      <c r="AE23" s="616"/>
      <c r="AF23" s="616"/>
      <c r="AG23" s="616"/>
      <c r="AH23" s="616"/>
      <c r="AI23" s="616"/>
      <c r="AJ23" s="616"/>
      <c r="AK23" s="616"/>
      <c r="AL23" s="616"/>
      <c r="AM23" s="616"/>
      <c r="AN23" s="616"/>
      <c r="AO23" s="616"/>
      <c r="AP23" s="616"/>
      <c r="AQ23" s="616"/>
      <c r="AR23" s="616"/>
      <c r="AS23" s="616"/>
      <c r="AT23" s="616"/>
      <c r="AU23" s="616"/>
      <c r="AV23" s="616"/>
      <c r="AW23" s="616"/>
      <c r="AX23" s="616"/>
      <c r="AY23" s="616"/>
      <c r="AZ23" s="616"/>
      <c r="BA23" s="616"/>
      <c r="BB23" s="616"/>
      <c r="BC23" s="616"/>
      <c r="BD23" s="616"/>
      <c r="BE23" s="616"/>
      <c r="BF23" s="616"/>
      <c r="BG23" s="616"/>
      <c r="BH23" s="616"/>
      <c r="BI23" s="616"/>
      <c r="BJ23" s="616"/>
      <c r="BK23" s="616"/>
      <c r="BL23" s="616"/>
      <c r="BM23" s="616"/>
      <c r="BN23" s="616"/>
      <c r="BO23" s="616"/>
      <c r="BP23" s="616"/>
      <c r="BQ23" s="616"/>
      <c r="BR23" s="616"/>
      <c r="BS23" s="616"/>
      <c r="BT23" s="616"/>
      <c r="BU23" s="616"/>
      <c r="BV23" s="616"/>
      <c r="BW23" s="616"/>
      <c r="BX23" s="616"/>
      <c r="BY23" s="616"/>
      <c r="BZ23" s="616"/>
      <c r="CA23" s="616"/>
      <c r="CB23" s="616"/>
      <c r="CC23" s="616"/>
      <c r="CD23" s="616"/>
      <c r="CE23" s="616"/>
      <c r="CF23" s="616"/>
      <c r="CG23" s="616"/>
      <c r="CH23" s="616"/>
      <c r="CI23" s="616"/>
      <c r="CJ23" s="616"/>
      <c r="CK23" s="616"/>
      <c r="CL23" s="616"/>
      <c r="CM23" s="616"/>
      <c r="CN23" s="616"/>
      <c r="CO23" s="616"/>
      <c r="CP23" s="616"/>
      <c r="CQ23" s="616"/>
      <c r="CR23" s="616"/>
      <c r="CS23" s="616"/>
      <c r="CT23" s="616"/>
      <c r="CU23" s="616"/>
      <c r="CV23" s="616"/>
      <c r="CW23" s="616"/>
      <c r="CX23" s="616"/>
      <c r="CY23" s="616"/>
      <c r="CZ23" s="616"/>
      <c r="DA23" s="616"/>
      <c r="DB23" s="616"/>
      <c r="DC23" s="616"/>
      <c r="DD23" s="616"/>
      <c r="DE23" s="616"/>
      <c r="DF23" s="616"/>
      <c r="DG23" s="616"/>
      <c r="DH23" s="616"/>
      <c r="DI23" s="616"/>
      <c r="DJ23" s="616"/>
      <c r="DK23" s="616"/>
      <c r="DL23" s="616"/>
      <c r="DM23" s="616"/>
      <c r="DN23" s="616"/>
      <c r="DO23" s="616"/>
      <c r="DP23" s="616"/>
      <c r="DQ23" s="616"/>
      <c r="DR23" s="616"/>
      <c r="DS23" s="616"/>
      <c r="DT23" s="616"/>
      <c r="DU23" s="616"/>
      <c r="DV23" s="616"/>
      <c r="DW23" s="616"/>
      <c r="DX23" s="616"/>
      <c r="DY23" s="616"/>
      <c r="DZ23" s="616"/>
      <c r="EA23" s="616"/>
      <c r="EB23" s="616"/>
      <c r="EC23" s="616"/>
      <c r="ED23" s="616"/>
      <c r="EE23" s="616"/>
      <c r="EF23" s="616"/>
      <c r="EG23" s="616"/>
      <c r="EH23" s="616"/>
      <c r="EI23" s="616"/>
      <c r="EJ23" s="616"/>
      <c r="EK23" s="616"/>
      <c r="EL23" s="616"/>
      <c r="EM23" s="616"/>
      <c r="EN23" s="616"/>
      <c r="EO23" s="616"/>
      <c r="EP23" s="616"/>
      <c r="EQ23" s="616"/>
      <c r="ER23" s="616"/>
      <c r="ES23" s="616"/>
      <c r="ET23" s="616"/>
      <c r="EU23" s="616"/>
      <c r="EV23" s="616"/>
      <c r="EW23" s="616"/>
      <c r="EX23" s="616"/>
      <c r="EY23" s="616"/>
      <c r="EZ23" s="616"/>
      <c r="FA23" s="616"/>
      <c r="FB23" s="616"/>
      <c r="FC23" s="616"/>
      <c r="FD23" s="616"/>
      <c r="FE23" s="616"/>
      <c r="FF23" s="616"/>
      <c r="FG23" s="616"/>
      <c r="FH23" s="616"/>
      <c r="FI23" s="616"/>
      <c r="FJ23" s="616"/>
      <c r="FK23" s="616"/>
      <c r="FL23" s="616"/>
      <c r="FM23" s="616"/>
      <c r="FN23" s="616"/>
      <c r="FO23" s="616"/>
      <c r="FP23" s="616"/>
      <c r="FQ23" s="616"/>
      <c r="FR23" s="616"/>
      <c r="FS23" s="616"/>
      <c r="FT23" s="616"/>
      <c r="FU23" s="616"/>
      <c r="FV23" s="616"/>
      <c r="FW23" s="616"/>
      <c r="FX23" s="616"/>
      <c r="FY23" s="616"/>
      <c r="FZ23" s="616"/>
      <c r="GA23" s="616"/>
      <c r="GB23" s="616"/>
      <c r="GC23" s="616"/>
      <c r="GD23" s="616"/>
      <c r="GE23" s="616"/>
      <c r="GF23" s="616"/>
      <c r="GG23" s="616"/>
      <c r="GH23" s="616"/>
      <c r="GI23" s="616"/>
      <c r="GJ23" s="616"/>
      <c r="GK23" s="616"/>
      <c r="GL23" s="616"/>
      <c r="GM23" s="616"/>
      <c r="GN23" s="616"/>
      <c r="GO23" s="616"/>
      <c r="GP23" s="616"/>
      <c r="GQ23" s="616"/>
      <c r="GR23" s="616"/>
      <c r="GS23" s="616"/>
      <c r="GT23" s="616"/>
      <c r="GU23" s="616"/>
      <c r="GV23" s="616"/>
      <c r="GW23" s="616"/>
      <c r="GX23" s="616"/>
      <c r="GY23" s="616"/>
      <c r="GZ23" s="616"/>
      <c r="HA23" s="616"/>
      <c r="HB23" s="616"/>
      <c r="HC23" s="616"/>
      <c r="HD23" s="616"/>
      <c r="HE23" s="616"/>
      <c r="HF23" s="616"/>
      <c r="HG23" s="616"/>
      <c r="HH23" s="616"/>
      <c r="HI23" s="616"/>
      <c r="HJ23" s="616"/>
      <c r="HK23" s="616"/>
      <c r="HL23" s="616"/>
      <c r="HM23" s="616"/>
      <c r="HN23" s="616"/>
      <c r="HO23" s="616"/>
      <c r="HP23" s="616"/>
      <c r="HQ23" s="616"/>
      <c r="HR23" s="616"/>
      <c r="HS23" s="616"/>
      <c r="HT23" s="616"/>
      <c r="HU23" s="616"/>
      <c r="HV23" s="616"/>
      <c r="HW23" s="616"/>
      <c r="HX23" s="616"/>
      <c r="HY23" s="616"/>
      <c r="HZ23" s="616"/>
      <c r="IA23" s="616"/>
      <c r="IB23" s="616"/>
      <c r="IC23" s="616"/>
      <c r="ID23" s="616"/>
      <c r="IE23" s="616"/>
      <c r="IF23" s="616"/>
      <c r="IG23" s="616"/>
      <c r="IH23" s="616"/>
      <c r="II23" s="616"/>
      <c r="IJ23" s="616"/>
      <c r="IK23" s="616"/>
      <c r="IL23" s="616"/>
    </row>
    <row r="24" spans="1:246" s="513" customFormat="1" ht="12.75">
      <c r="A24" s="604">
        <v>2</v>
      </c>
      <c r="B24" s="603">
        <v>1</v>
      </c>
      <c r="C24" s="233" t="s">
        <v>598</v>
      </c>
      <c r="D24" s="605">
        <f>SUMIF(Sheet12!$B$6:$B87,Sheet3!$C24,Sheet12!K$6:K$87)</f>
        <v>0</v>
      </c>
      <c r="E24" s="605">
        <f>SUMIF(Sheet12!$B$6:$B87,Sheet3!$C24,Sheet12!M$6:M$87)</f>
        <v>0</v>
      </c>
      <c r="F24" s="605">
        <f>ROUND(E24*F$56,2)</f>
        <v>0</v>
      </c>
      <c r="G24" s="605">
        <f>ROUND(E24*G$56,2)</f>
        <v>0</v>
      </c>
      <c r="H24" s="605">
        <f>F24+G24</f>
        <v>0</v>
      </c>
      <c r="I24" s="605">
        <f t="shared" si="3"/>
        <v>0</v>
      </c>
      <c r="J24" s="615"/>
      <c r="K24" s="616"/>
      <c r="L24" s="616"/>
      <c r="M24" s="616"/>
      <c r="N24" s="616"/>
      <c r="O24" s="616"/>
      <c r="P24" s="616"/>
      <c r="Q24" s="616"/>
      <c r="R24" s="616"/>
      <c r="S24" s="616"/>
      <c r="T24" s="616"/>
      <c r="U24" s="616"/>
      <c r="V24" s="616"/>
      <c r="W24" s="616"/>
      <c r="X24" s="616"/>
      <c r="Y24" s="616"/>
      <c r="Z24" s="616"/>
      <c r="AA24" s="616"/>
      <c r="AB24" s="616"/>
      <c r="AC24" s="616"/>
      <c r="AD24" s="616"/>
      <c r="AE24" s="616"/>
      <c r="AF24" s="616"/>
      <c r="AG24" s="616"/>
      <c r="AH24" s="616"/>
      <c r="AI24" s="616"/>
      <c r="AJ24" s="616"/>
      <c r="AK24" s="616"/>
      <c r="AL24" s="616"/>
      <c r="AM24" s="616"/>
      <c r="AN24" s="616"/>
      <c r="AO24" s="616"/>
      <c r="AP24" s="616"/>
      <c r="AQ24" s="616"/>
      <c r="AR24" s="616"/>
      <c r="AS24" s="616"/>
      <c r="AT24" s="616"/>
      <c r="AU24" s="616"/>
      <c r="AV24" s="616"/>
      <c r="AW24" s="616"/>
      <c r="AX24" s="616"/>
      <c r="AY24" s="616"/>
      <c r="AZ24" s="616"/>
      <c r="BA24" s="616"/>
      <c r="BB24" s="616"/>
      <c r="BC24" s="616"/>
      <c r="BD24" s="616"/>
      <c r="BE24" s="616"/>
      <c r="BF24" s="616"/>
      <c r="BG24" s="616"/>
      <c r="BH24" s="616"/>
      <c r="BI24" s="616"/>
      <c r="BJ24" s="616"/>
      <c r="BK24" s="616"/>
      <c r="BL24" s="616"/>
      <c r="BM24" s="616"/>
      <c r="BN24" s="616"/>
      <c r="BO24" s="616"/>
      <c r="BP24" s="616"/>
      <c r="BQ24" s="616"/>
      <c r="BR24" s="616"/>
      <c r="BS24" s="616"/>
      <c r="BT24" s="616"/>
      <c r="BU24" s="616"/>
      <c r="BV24" s="616"/>
      <c r="BW24" s="616"/>
      <c r="BX24" s="616"/>
      <c r="BY24" s="616"/>
      <c r="BZ24" s="616"/>
      <c r="CA24" s="616"/>
      <c r="CB24" s="616"/>
      <c r="CC24" s="616"/>
      <c r="CD24" s="616"/>
      <c r="CE24" s="616"/>
      <c r="CF24" s="616"/>
      <c r="CG24" s="616"/>
      <c r="CH24" s="616"/>
      <c r="CI24" s="616"/>
      <c r="CJ24" s="616"/>
      <c r="CK24" s="616"/>
      <c r="CL24" s="616"/>
      <c r="CM24" s="616"/>
      <c r="CN24" s="616"/>
      <c r="CO24" s="616"/>
      <c r="CP24" s="616"/>
      <c r="CQ24" s="616"/>
      <c r="CR24" s="616"/>
      <c r="CS24" s="616"/>
      <c r="CT24" s="616"/>
      <c r="CU24" s="616"/>
      <c r="CV24" s="616"/>
      <c r="CW24" s="616"/>
      <c r="CX24" s="616"/>
      <c r="CY24" s="616"/>
      <c r="CZ24" s="616"/>
      <c r="DA24" s="616"/>
      <c r="DB24" s="616"/>
      <c r="DC24" s="616"/>
      <c r="DD24" s="616"/>
      <c r="DE24" s="616"/>
      <c r="DF24" s="616"/>
      <c r="DG24" s="616"/>
      <c r="DH24" s="616"/>
      <c r="DI24" s="616"/>
      <c r="DJ24" s="616"/>
      <c r="DK24" s="616"/>
      <c r="DL24" s="616"/>
      <c r="DM24" s="616"/>
      <c r="DN24" s="616"/>
      <c r="DO24" s="616"/>
      <c r="DP24" s="616"/>
      <c r="DQ24" s="616"/>
      <c r="DR24" s="616"/>
      <c r="DS24" s="616"/>
      <c r="DT24" s="616"/>
      <c r="DU24" s="616"/>
      <c r="DV24" s="616"/>
      <c r="DW24" s="616"/>
      <c r="DX24" s="616"/>
      <c r="DY24" s="616"/>
      <c r="DZ24" s="616"/>
      <c r="EA24" s="616"/>
      <c r="EB24" s="616"/>
      <c r="EC24" s="616"/>
      <c r="ED24" s="616"/>
      <c r="EE24" s="616"/>
      <c r="EF24" s="616"/>
      <c r="EG24" s="616"/>
      <c r="EH24" s="616"/>
      <c r="EI24" s="616"/>
      <c r="EJ24" s="616"/>
      <c r="EK24" s="616"/>
      <c r="EL24" s="616"/>
      <c r="EM24" s="616"/>
      <c r="EN24" s="616"/>
      <c r="EO24" s="616"/>
      <c r="EP24" s="616"/>
      <c r="EQ24" s="616"/>
      <c r="ER24" s="616"/>
      <c r="ES24" s="616"/>
      <c r="ET24" s="616"/>
      <c r="EU24" s="616"/>
      <c r="EV24" s="616"/>
      <c r="EW24" s="616"/>
      <c r="EX24" s="616"/>
      <c r="EY24" s="616"/>
      <c r="EZ24" s="616"/>
      <c r="FA24" s="616"/>
      <c r="FB24" s="616"/>
      <c r="FC24" s="616"/>
      <c r="FD24" s="616"/>
      <c r="FE24" s="616"/>
      <c r="FF24" s="616"/>
      <c r="FG24" s="616"/>
      <c r="FH24" s="616"/>
      <c r="FI24" s="616"/>
      <c r="FJ24" s="616"/>
      <c r="FK24" s="616"/>
      <c r="FL24" s="616"/>
      <c r="FM24" s="616"/>
      <c r="FN24" s="616"/>
      <c r="FO24" s="616"/>
      <c r="FP24" s="616"/>
      <c r="FQ24" s="616"/>
      <c r="FR24" s="616"/>
      <c r="FS24" s="616"/>
      <c r="FT24" s="616"/>
      <c r="FU24" s="616"/>
      <c r="FV24" s="616"/>
      <c r="FW24" s="616"/>
      <c r="FX24" s="616"/>
      <c r="FY24" s="616"/>
      <c r="FZ24" s="616"/>
      <c r="GA24" s="616"/>
      <c r="GB24" s="616"/>
      <c r="GC24" s="616"/>
      <c r="GD24" s="616"/>
      <c r="GE24" s="616"/>
      <c r="GF24" s="616"/>
      <c r="GG24" s="616"/>
      <c r="GH24" s="616"/>
      <c r="GI24" s="616"/>
      <c r="GJ24" s="616"/>
      <c r="GK24" s="616"/>
      <c r="GL24" s="616"/>
      <c r="GM24" s="616"/>
      <c r="GN24" s="616"/>
      <c r="GO24" s="616"/>
      <c r="GP24" s="616"/>
      <c r="GQ24" s="616"/>
      <c r="GR24" s="616"/>
      <c r="GS24" s="616"/>
      <c r="GT24" s="616"/>
      <c r="GU24" s="616"/>
      <c r="GV24" s="616"/>
      <c r="GW24" s="616"/>
      <c r="GX24" s="616"/>
      <c r="GY24" s="616"/>
      <c r="GZ24" s="616"/>
      <c r="HA24" s="616"/>
      <c r="HB24" s="616"/>
      <c r="HC24" s="616"/>
      <c r="HD24" s="616"/>
      <c r="HE24" s="616"/>
      <c r="HF24" s="616"/>
      <c r="HG24" s="616"/>
      <c r="HH24" s="616"/>
      <c r="HI24" s="616"/>
      <c r="HJ24" s="616"/>
      <c r="HK24" s="616"/>
      <c r="HL24" s="616"/>
      <c r="HM24" s="616"/>
      <c r="HN24" s="616"/>
      <c r="HO24" s="616"/>
      <c r="HP24" s="616"/>
      <c r="HQ24" s="616"/>
      <c r="HR24" s="616"/>
      <c r="HS24" s="616"/>
      <c r="HT24" s="616"/>
      <c r="HU24" s="616"/>
      <c r="HV24" s="616"/>
      <c r="HW24" s="616"/>
      <c r="HX24" s="616"/>
      <c r="HY24" s="616"/>
      <c r="HZ24" s="616"/>
      <c r="IA24" s="616"/>
      <c r="IB24" s="616"/>
      <c r="IC24" s="616"/>
      <c r="ID24" s="616"/>
      <c r="IE24" s="616"/>
      <c r="IF24" s="616"/>
      <c r="IG24" s="616"/>
      <c r="IH24" s="616"/>
      <c r="II24" s="616"/>
      <c r="IJ24" s="616"/>
      <c r="IK24" s="616"/>
      <c r="IL24" s="616"/>
    </row>
    <row r="25" spans="1:246" s="513" customFormat="1" ht="12.75">
      <c r="A25" s="604">
        <v>2</v>
      </c>
      <c r="B25" s="603">
        <v>2</v>
      </c>
      <c r="C25" s="233" t="s">
        <v>598</v>
      </c>
      <c r="D25" s="605">
        <f ca="1">SUMIF(Sheet12!$B$6:$B88,Sheet3!$C25,Sheet12!K$6:K$87)</f>
        <v>0</v>
      </c>
      <c r="E25" s="605">
        <f ca="1">SUMIF(Sheet12!$B$6:$B88,Sheet3!$C25,Sheet12!M$6:M$87)</f>
        <v>0</v>
      </c>
      <c r="F25" s="605">
        <f ca="1">ROUND(E25*F$56,2)</f>
        <v>0</v>
      </c>
      <c r="G25" s="605">
        <f ca="1">ROUND(E25*G$56,2)</f>
        <v>0</v>
      </c>
      <c r="H25" s="605">
        <f ca="1">F25+G25</f>
        <v>0</v>
      </c>
      <c r="I25" s="605">
        <f t="shared" ca="1" si="3"/>
        <v>0</v>
      </c>
      <c r="J25" s="615"/>
      <c r="K25" s="616"/>
      <c r="L25" s="616"/>
      <c r="M25" s="616"/>
      <c r="N25" s="616"/>
      <c r="O25" s="616"/>
      <c r="P25" s="616"/>
      <c r="Q25" s="616"/>
      <c r="R25" s="616"/>
      <c r="S25" s="616"/>
      <c r="T25" s="616"/>
      <c r="U25" s="616"/>
      <c r="V25" s="616"/>
      <c r="W25" s="616"/>
      <c r="X25" s="616"/>
      <c r="Y25" s="616"/>
      <c r="Z25" s="616"/>
      <c r="AA25" s="616"/>
      <c r="AB25" s="616"/>
      <c r="AC25" s="616"/>
      <c r="AD25" s="616"/>
      <c r="AE25" s="616"/>
      <c r="AF25" s="616"/>
      <c r="AG25" s="616"/>
      <c r="AH25" s="616"/>
      <c r="AI25" s="616"/>
      <c r="AJ25" s="616"/>
      <c r="AK25" s="616"/>
      <c r="AL25" s="616"/>
      <c r="AM25" s="616"/>
      <c r="AN25" s="616"/>
      <c r="AO25" s="616"/>
      <c r="AP25" s="616"/>
      <c r="AQ25" s="616"/>
      <c r="AR25" s="616"/>
      <c r="AS25" s="616"/>
      <c r="AT25" s="616"/>
      <c r="AU25" s="616"/>
      <c r="AV25" s="616"/>
      <c r="AW25" s="616"/>
      <c r="AX25" s="616"/>
      <c r="AY25" s="616"/>
      <c r="AZ25" s="616"/>
      <c r="BA25" s="616"/>
      <c r="BB25" s="616"/>
      <c r="BC25" s="616"/>
      <c r="BD25" s="616"/>
      <c r="BE25" s="616"/>
      <c r="BF25" s="616"/>
      <c r="BG25" s="616"/>
      <c r="BH25" s="616"/>
      <c r="BI25" s="616"/>
      <c r="BJ25" s="616"/>
      <c r="BK25" s="616"/>
      <c r="BL25" s="616"/>
      <c r="BM25" s="616"/>
      <c r="BN25" s="616"/>
      <c r="BO25" s="616"/>
      <c r="BP25" s="616"/>
      <c r="BQ25" s="616"/>
      <c r="BR25" s="616"/>
      <c r="BS25" s="616"/>
      <c r="BT25" s="616"/>
      <c r="BU25" s="616"/>
      <c r="BV25" s="616"/>
      <c r="BW25" s="616"/>
      <c r="BX25" s="616"/>
      <c r="BY25" s="616"/>
      <c r="BZ25" s="616"/>
      <c r="CA25" s="616"/>
      <c r="CB25" s="616"/>
      <c r="CC25" s="616"/>
      <c r="CD25" s="616"/>
      <c r="CE25" s="616"/>
      <c r="CF25" s="616"/>
      <c r="CG25" s="616"/>
      <c r="CH25" s="616"/>
      <c r="CI25" s="616"/>
      <c r="CJ25" s="616"/>
      <c r="CK25" s="616"/>
      <c r="CL25" s="616"/>
      <c r="CM25" s="616"/>
      <c r="CN25" s="616"/>
      <c r="CO25" s="616"/>
      <c r="CP25" s="616"/>
      <c r="CQ25" s="616"/>
      <c r="CR25" s="616"/>
      <c r="CS25" s="616"/>
      <c r="CT25" s="616"/>
      <c r="CU25" s="616"/>
      <c r="CV25" s="616"/>
      <c r="CW25" s="616"/>
      <c r="CX25" s="616"/>
      <c r="CY25" s="616"/>
      <c r="CZ25" s="616"/>
      <c r="DA25" s="616"/>
      <c r="DB25" s="616"/>
      <c r="DC25" s="616"/>
      <c r="DD25" s="616"/>
      <c r="DE25" s="616"/>
      <c r="DF25" s="616"/>
      <c r="DG25" s="616"/>
      <c r="DH25" s="616"/>
      <c r="DI25" s="616"/>
      <c r="DJ25" s="616"/>
      <c r="DK25" s="616"/>
      <c r="DL25" s="616"/>
      <c r="DM25" s="616"/>
      <c r="DN25" s="616"/>
      <c r="DO25" s="616"/>
      <c r="DP25" s="616"/>
      <c r="DQ25" s="616"/>
      <c r="DR25" s="616"/>
      <c r="DS25" s="616"/>
      <c r="DT25" s="616"/>
      <c r="DU25" s="616"/>
      <c r="DV25" s="616"/>
      <c r="DW25" s="616"/>
      <c r="DX25" s="616"/>
      <c r="DY25" s="616"/>
      <c r="DZ25" s="616"/>
      <c r="EA25" s="616"/>
      <c r="EB25" s="616"/>
      <c r="EC25" s="616"/>
      <c r="ED25" s="616"/>
      <c r="EE25" s="616"/>
      <c r="EF25" s="616"/>
      <c r="EG25" s="616"/>
      <c r="EH25" s="616"/>
      <c r="EI25" s="616"/>
      <c r="EJ25" s="616"/>
      <c r="EK25" s="616"/>
      <c r="EL25" s="616"/>
      <c r="EM25" s="616"/>
      <c r="EN25" s="616"/>
      <c r="EO25" s="616"/>
      <c r="EP25" s="616"/>
      <c r="EQ25" s="616"/>
      <c r="ER25" s="616"/>
      <c r="ES25" s="616"/>
      <c r="ET25" s="616"/>
      <c r="EU25" s="616"/>
      <c r="EV25" s="616"/>
      <c r="EW25" s="616"/>
      <c r="EX25" s="616"/>
      <c r="EY25" s="616"/>
      <c r="EZ25" s="616"/>
      <c r="FA25" s="616"/>
      <c r="FB25" s="616"/>
      <c r="FC25" s="616"/>
      <c r="FD25" s="616"/>
      <c r="FE25" s="616"/>
      <c r="FF25" s="616"/>
      <c r="FG25" s="616"/>
      <c r="FH25" s="616"/>
      <c r="FI25" s="616"/>
      <c r="FJ25" s="616"/>
      <c r="FK25" s="616"/>
      <c r="FL25" s="616"/>
      <c r="FM25" s="616"/>
      <c r="FN25" s="616"/>
      <c r="FO25" s="616"/>
      <c r="FP25" s="616"/>
      <c r="FQ25" s="616"/>
      <c r="FR25" s="616"/>
      <c r="FS25" s="616"/>
      <c r="FT25" s="616"/>
      <c r="FU25" s="616"/>
      <c r="FV25" s="616"/>
      <c r="FW25" s="616"/>
      <c r="FX25" s="616"/>
      <c r="FY25" s="616"/>
      <c r="FZ25" s="616"/>
      <c r="GA25" s="616"/>
      <c r="GB25" s="616"/>
      <c r="GC25" s="616"/>
      <c r="GD25" s="616"/>
      <c r="GE25" s="616"/>
      <c r="GF25" s="616"/>
      <c r="GG25" s="616"/>
      <c r="GH25" s="616"/>
      <c r="GI25" s="616"/>
      <c r="GJ25" s="616"/>
      <c r="GK25" s="616"/>
      <c r="GL25" s="616"/>
      <c r="GM25" s="616"/>
      <c r="GN25" s="616"/>
      <c r="GO25" s="616"/>
      <c r="GP25" s="616"/>
      <c r="GQ25" s="616"/>
      <c r="GR25" s="616"/>
      <c r="GS25" s="616"/>
      <c r="GT25" s="616"/>
      <c r="GU25" s="616"/>
      <c r="GV25" s="616"/>
      <c r="GW25" s="616"/>
      <c r="GX25" s="616"/>
      <c r="GY25" s="616"/>
      <c r="GZ25" s="616"/>
      <c r="HA25" s="616"/>
      <c r="HB25" s="616"/>
      <c r="HC25" s="616"/>
      <c r="HD25" s="616"/>
      <c r="HE25" s="616"/>
      <c r="HF25" s="616"/>
      <c r="HG25" s="616"/>
      <c r="HH25" s="616"/>
      <c r="HI25" s="616"/>
      <c r="HJ25" s="616"/>
      <c r="HK25" s="616"/>
      <c r="HL25" s="616"/>
      <c r="HM25" s="616"/>
      <c r="HN25" s="616"/>
      <c r="HO25" s="616"/>
      <c r="HP25" s="616"/>
      <c r="HQ25" s="616"/>
      <c r="HR25" s="616"/>
      <c r="HS25" s="616"/>
      <c r="HT25" s="616"/>
      <c r="HU25" s="616"/>
      <c r="HV25" s="616"/>
      <c r="HW25" s="616"/>
      <c r="HX25" s="616"/>
      <c r="HY25" s="616"/>
      <c r="HZ25" s="616"/>
      <c r="IA25" s="616"/>
      <c r="IB25" s="616"/>
      <c r="IC25" s="616"/>
      <c r="ID25" s="616"/>
      <c r="IE25" s="616"/>
      <c r="IF25" s="616"/>
      <c r="IG25" s="616"/>
      <c r="IH25" s="616"/>
      <c r="II25" s="616"/>
      <c r="IJ25" s="616"/>
      <c r="IK25" s="616"/>
      <c r="IL25" s="616"/>
    </row>
    <row r="26" spans="1:246" s="513" customFormat="1" ht="12.75">
      <c r="A26" s="604">
        <v>2</v>
      </c>
      <c r="B26" s="603">
        <v>3</v>
      </c>
      <c r="C26" s="233" t="s">
        <v>598</v>
      </c>
      <c r="D26" s="605">
        <f ca="1">SUMIF(Sheet12!$B$6:$B89,Sheet3!$C26,Sheet12!K$6:K$87)</f>
        <v>0</v>
      </c>
      <c r="E26" s="605">
        <f ca="1">SUMIF(Sheet12!$B$6:$B89,Sheet3!$C26,Sheet12!M$6:M$87)</f>
        <v>0</v>
      </c>
      <c r="F26" s="605"/>
      <c r="G26" s="605"/>
      <c r="H26" s="605">
        <f>F26+G26</f>
        <v>0</v>
      </c>
      <c r="I26" s="605">
        <f t="shared" ca="1" si="3"/>
        <v>0</v>
      </c>
      <c r="J26" s="615"/>
      <c r="K26" s="616"/>
      <c r="L26" s="616"/>
      <c r="M26" s="616"/>
      <c r="N26" s="616"/>
      <c r="O26" s="616"/>
      <c r="P26" s="616"/>
      <c r="Q26" s="616"/>
      <c r="R26" s="616"/>
      <c r="S26" s="616"/>
      <c r="T26" s="616"/>
      <c r="U26" s="616"/>
      <c r="V26" s="616"/>
      <c r="W26" s="616"/>
      <c r="X26" s="616"/>
      <c r="Y26" s="616"/>
      <c r="Z26" s="616"/>
      <c r="AA26" s="616"/>
      <c r="AB26" s="616"/>
      <c r="AC26" s="616"/>
      <c r="AD26" s="616"/>
      <c r="AE26" s="616"/>
      <c r="AF26" s="616"/>
      <c r="AG26" s="616"/>
      <c r="AH26" s="616"/>
      <c r="AI26" s="616"/>
      <c r="AJ26" s="616"/>
      <c r="AK26" s="616"/>
      <c r="AL26" s="616"/>
      <c r="AM26" s="616"/>
      <c r="AN26" s="616"/>
      <c r="AO26" s="616"/>
      <c r="AP26" s="616"/>
      <c r="AQ26" s="616"/>
      <c r="AR26" s="616"/>
      <c r="AS26" s="616"/>
      <c r="AT26" s="616"/>
      <c r="AU26" s="616"/>
      <c r="AV26" s="616"/>
      <c r="AW26" s="616"/>
      <c r="AX26" s="616"/>
      <c r="AY26" s="616"/>
      <c r="AZ26" s="616"/>
      <c r="BA26" s="616"/>
      <c r="BB26" s="616"/>
      <c r="BC26" s="616"/>
      <c r="BD26" s="616"/>
      <c r="BE26" s="616"/>
      <c r="BF26" s="616"/>
      <c r="BG26" s="616"/>
      <c r="BH26" s="616"/>
      <c r="BI26" s="616"/>
      <c r="BJ26" s="616"/>
      <c r="BK26" s="616"/>
      <c r="BL26" s="616"/>
      <c r="BM26" s="616"/>
      <c r="BN26" s="616"/>
      <c r="BO26" s="616"/>
      <c r="BP26" s="616"/>
      <c r="BQ26" s="616"/>
      <c r="BR26" s="616"/>
      <c r="BS26" s="616"/>
      <c r="BT26" s="616"/>
      <c r="BU26" s="616"/>
      <c r="BV26" s="616"/>
      <c r="BW26" s="616"/>
      <c r="BX26" s="616"/>
      <c r="BY26" s="616"/>
      <c r="BZ26" s="616"/>
      <c r="CA26" s="616"/>
      <c r="CB26" s="616"/>
      <c r="CC26" s="616"/>
      <c r="CD26" s="616"/>
      <c r="CE26" s="616"/>
      <c r="CF26" s="616"/>
      <c r="CG26" s="616"/>
      <c r="CH26" s="616"/>
      <c r="CI26" s="616"/>
      <c r="CJ26" s="616"/>
      <c r="CK26" s="616"/>
      <c r="CL26" s="616"/>
      <c r="CM26" s="616"/>
      <c r="CN26" s="616"/>
      <c r="CO26" s="616"/>
      <c r="CP26" s="616"/>
      <c r="CQ26" s="616"/>
      <c r="CR26" s="616"/>
      <c r="CS26" s="616"/>
      <c r="CT26" s="616"/>
      <c r="CU26" s="616"/>
      <c r="CV26" s="616"/>
      <c r="CW26" s="616"/>
      <c r="CX26" s="616"/>
      <c r="CY26" s="616"/>
      <c r="CZ26" s="616"/>
      <c r="DA26" s="616"/>
      <c r="DB26" s="616"/>
      <c r="DC26" s="616"/>
      <c r="DD26" s="616"/>
      <c r="DE26" s="616"/>
      <c r="DF26" s="616"/>
      <c r="DG26" s="616"/>
      <c r="DH26" s="616"/>
      <c r="DI26" s="616"/>
      <c r="DJ26" s="616"/>
      <c r="DK26" s="616"/>
      <c r="DL26" s="616"/>
      <c r="DM26" s="616"/>
      <c r="DN26" s="616"/>
      <c r="DO26" s="616"/>
      <c r="DP26" s="616"/>
      <c r="DQ26" s="616"/>
      <c r="DR26" s="616"/>
      <c r="DS26" s="616"/>
      <c r="DT26" s="616"/>
      <c r="DU26" s="616"/>
      <c r="DV26" s="616"/>
      <c r="DW26" s="616"/>
      <c r="DX26" s="616"/>
      <c r="DY26" s="616"/>
      <c r="DZ26" s="616"/>
      <c r="EA26" s="616"/>
      <c r="EB26" s="616"/>
      <c r="EC26" s="616"/>
      <c r="ED26" s="616"/>
      <c r="EE26" s="616"/>
      <c r="EF26" s="616"/>
      <c r="EG26" s="616"/>
      <c r="EH26" s="616"/>
      <c r="EI26" s="616"/>
      <c r="EJ26" s="616"/>
      <c r="EK26" s="616"/>
      <c r="EL26" s="616"/>
      <c r="EM26" s="616"/>
      <c r="EN26" s="616"/>
      <c r="EO26" s="616"/>
      <c r="EP26" s="616"/>
      <c r="EQ26" s="616"/>
      <c r="ER26" s="616"/>
      <c r="ES26" s="616"/>
      <c r="ET26" s="616"/>
      <c r="EU26" s="616"/>
      <c r="EV26" s="616"/>
      <c r="EW26" s="616"/>
      <c r="EX26" s="616"/>
      <c r="EY26" s="616"/>
      <c r="EZ26" s="616"/>
      <c r="FA26" s="616"/>
      <c r="FB26" s="616"/>
      <c r="FC26" s="616"/>
      <c r="FD26" s="616"/>
      <c r="FE26" s="616"/>
      <c r="FF26" s="616"/>
      <c r="FG26" s="616"/>
      <c r="FH26" s="616"/>
      <c r="FI26" s="616"/>
      <c r="FJ26" s="616"/>
      <c r="FK26" s="616"/>
      <c r="FL26" s="616"/>
      <c r="FM26" s="616"/>
      <c r="FN26" s="616"/>
      <c r="FO26" s="616"/>
      <c r="FP26" s="616"/>
      <c r="FQ26" s="616"/>
      <c r="FR26" s="616"/>
      <c r="FS26" s="616"/>
      <c r="FT26" s="616"/>
      <c r="FU26" s="616"/>
      <c r="FV26" s="616"/>
      <c r="FW26" s="616"/>
      <c r="FX26" s="616"/>
      <c r="FY26" s="616"/>
      <c r="FZ26" s="616"/>
      <c r="GA26" s="616"/>
      <c r="GB26" s="616"/>
      <c r="GC26" s="616"/>
      <c r="GD26" s="616"/>
      <c r="GE26" s="616"/>
      <c r="GF26" s="616"/>
      <c r="GG26" s="616"/>
      <c r="GH26" s="616"/>
      <c r="GI26" s="616"/>
      <c r="GJ26" s="616"/>
      <c r="GK26" s="616"/>
      <c r="GL26" s="616"/>
      <c r="GM26" s="616"/>
      <c r="GN26" s="616"/>
      <c r="GO26" s="616"/>
      <c r="GP26" s="616"/>
      <c r="GQ26" s="616"/>
      <c r="GR26" s="616"/>
      <c r="GS26" s="616"/>
      <c r="GT26" s="616"/>
      <c r="GU26" s="616"/>
      <c r="GV26" s="616"/>
      <c r="GW26" s="616"/>
      <c r="GX26" s="616"/>
      <c r="GY26" s="616"/>
      <c r="GZ26" s="616"/>
      <c r="HA26" s="616"/>
      <c r="HB26" s="616"/>
      <c r="HC26" s="616"/>
      <c r="HD26" s="616"/>
      <c r="HE26" s="616"/>
      <c r="HF26" s="616"/>
      <c r="HG26" s="616"/>
      <c r="HH26" s="616"/>
      <c r="HI26" s="616"/>
      <c r="HJ26" s="616"/>
      <c r="HK26" s="616"/>
      <c r="HL26" s="616"/>
      <c r="HM26" s="616"/>
      <c r="HN26" s="616"/>
      <c r="HO26" s="616"/>
      <c r="HP26" s="616"/>
      <c r="HQ26" s="616"/>
      <c r="HR26" s="616"/>
      <c r="HS26" s="616"/>
      <c r="HT26" s="616"/>
      <c r="HU26" s="616"/>
      <c r="HV26" s="616"/>
      <c r="HW26" s="616"/>
      <c r="HX26" s="616"/>
      <c r="HY26" s="616"/>
      <c r="HZ26" s="616"/>
      <c r="IA26" s="616"/>
      <c r="IB26" s="616"/>
      <c r="IC26" s="616"/>
      <c r="ID26" s="616"/>
      <c r="IE26" s="616"/>
      <c r="IF26" s="616"/>
      <c r="IG26" s="616"/>
      <c r="IH26" s="616"/>
      <c r="II26" s="616"/>
      <c r="IJ26" s="616"/>
      <c r="IK26" s="616"/>
      <c r="IL26" s="616"/>
    </row>
    <row r="27" spans="1:246" s="513" customFormat="1" ht="12.75">
      <c r="A27" s="604">
        <v>2</v>
      </c>
      <c r="B27" s="603">
        <v>4</v>
      </c>
      <c r="C27" s="233" t="s">
        <v>598</v>
      </c>
      <c r="D27" s="605">
        <f ca="1">SUMIF(Sheet12!$B$6:$B90,Sheet3!$C27,Sheet12!K$6:K$87)</f>
        <v>0</v>
      </c>
      <c r="E27" s="605">
        <f ca="1">SUMIF(Sheet12!$B$6:$B90,Sheet3!$C27,Sheet12!M$6:M$87)</f>
        <v>0</v>
      </c>
      <c r="F27" s="605"/>
      <c r="G27" s="605"/>
      <c r="H27" s="605">
        <f>F27+G27</f>
        <v>0</v>
      </c>
      <c r="I27" s="605">
        <f t="shared" ca="1" si="3"/>
        <v>0</v>
      </c>
      <c r="J27" s="615"/>
      <c r="K27" s="616"/>
      <c r="L27" s="616"/>
      <c r="M27" s="616"/>
      <c r="N27" s="616"/>
      <c r="O27" s="616"/>
      <c r="P27" s="616"/>
      <c r="Q27" s="616"/>
      <c r="R27" s="616"/>
      <c r="S27" s="616"/>
      <c r="T27" s="616"/>
      <c r="U27" s="616"/>
      <c r="V27" s="616"/>
      <c r="W27" s="616"/>
      <c r="X27" s="616"/>
      <c r="Y27" s="616"/>
      <c r="Z27" s="616"/>
      <c r="AA27" s="616"/>
      <c r="AB27" s="616"/>
      <c r="AC27" s="616"/>
      <c r="AD27" s="616"/>
      <c r="AE27" s="616"/>
      <c r="AF27" s="616"/>
      <c r="AG27" s="616"/>
      <c r="AH27" s="616"/>
      <c r="AI27" s="616"/>
      <c r="AJ27" s="616"/>
      <c r="AK27" s="616"/>
      <c r="AL27" s="616"/>
      <c r="AM27" s="616"/>
      <c r="AN27" s="616"/>
      <c r="AO27" s="616"/>
      <c r="AP27" s="616"/>
      <c r="AQ27" s="616"/>
      <c r="AR27" s="616"/>
      <c r="AS27" s="616"/>
      <c r="AT27" s="616"/>
      <c r="AU27" s="616"/>
      <c r="AV27" s="616"/>
      <c r="AW27" s="616"/>
      <c r="AX27" s="616"/>
      <c r="AY27" s="616"/>
      <c r="AZ27" s="616"/>
      <c r="BA27" s="616"/>
      <c r="BB27" s="616"/>
      <c r="BC27" s="616"/>
      <c r="BD27" s="616"/>
      <c r="BE27" s="616"/>
      <c r="BF27" s="616"/>
      <c r="BG27" s="616"/>
      <c r="BH27" s="616"/>
      <c r="BI27" s="616"/>
      <c r="BJ27" s="616"/>
      <c r="BK27" s="616"/>
      <c r="BL27" s="616"/>
      <c r="BM27" s="616"/>
      <c r="BN27" s="616"/>
      <c r="BO27" s="616"/>
      <c r="BP27" s="616"/>
      <c r="BQ27" s="616"/>
      <c r="BR27" s="616"/>
      <c r="BS27" s="616"/>
      <c r="BT27" s="616"/>
      <c r="BU27" s="616"/>
      <c r="BV27" s="616"/>
      <c r="BW27" s="616"/>
      <c r="BX27" s="616"/>
      <c r="BY27" s="616"/>
      <c r="BZ27" s="616"/>
      <c r="CA27" s="616"/>
      <c r="CB27" s="616"/>
      <c r="CC27" s="616"/>
      <c r="CD27" s="616"/>
      <c r="CE27" s="616"/>
      <c r="CF27" s="616"/>
      <c r="CG27" s="616"/>
      <c r="CH27" s="616"/>
      <c r="CI27" s="616"/>
      <c r="CJ27" s="616"/>
      <c r="CK27" s="616"/>
      <c r="CL27" s="616"/>
      <c r="CM27" s="616"/>
      <c r="CN27" s="616"/>
      <c r="CO27" s="616"/>
      <c r="CP27" s="616"/>
      <c r="CQ27" s="616"/>
      <c r="CR27" s="616"/>
      <c r="CS27" s="616"/>
      <c r="CT27" s="616"/>
      <c r="CU27" s="616"/>
      <c r="CV27" s="616"/>
      <c r="CW27" s="616"/>
      <c r="CX27" s="616"/>
      <c r="CY27" s="616"/>
      <c r="CZ27" s="616"/>
      <c r="DA27" s="616"/>
      <c r="DB27" s="616"/>
      <c r="DC27" s="616"/>
      <c r="DD27" s="616"/>
      <c r="DE27" s="616"/>
      <c r="DF27" s="616"/>
      <c r="DG27" s="616"/>
      <c r="DH27" s="616"/>
      <c r="DI27" s="616"/>
      <c r="DJ27" s="616"/>
      <c r="DK27" s="616"/>
      <c r="DL27" s="616"/>
      <c r="DM27" s="616"/>
      <c r="DN27" s="616"/>
      <c r="DO27" s="616"/>
      <c r="DP27" s="616"/>
      <c r="DQ27" s="616"/>
      <c r="DR27" s="616"/>
      <c r="DS27" s="616"/>
      <c r="DT27" s="616"/>
      <c r="DU27" s="616"/>
      <c r="DV27" s="616"/>
      <c r="DW27" s="616"/>
      <c r="DX27" s="616"/>
      <c r="DY27" s="616"/>
      <c r="DZ27" s="616"/>
      <c r="EA27" s="616"/>
      <c r="EB27" s="616"/>
      <c r="EC27" s="616"/>
      <c r="ED27" s="616"/>
      <c r="EE27" s="616"/>
      <c r="EF27" s="616"/>
      <c r="EG27" s="616"/>
      <c r="EH27" s="616"/>
      <c r="EI27" s="616"/>
      <c r="EJ27" s="616"/>
      <c r="EK27" s="616"/>
      <c r="EL27" s="616"/>
      <c r="EM27" s="616"/>
      <c r="EN27" s="616"/>
      <c r="EO27" s="616"/>
      <c r="EP27" s="616"/>
      <c r="EQ27" s="616"/>
      <c r="ER27" s="616"/>
      <c r="ES27" s="616"/>
      <c r="ET27" s="616"/>
      <c r="EU27" s="616"/>
      <c r="EV27" s="616"/>
      <c r="EW27" s="616"/>
      <c r="EX27" s="616"/>
      <c r="EY27" s="616"/>
      <c r="EZ27" s="616"/>
      <c r="FA27" s="616"/>
      <c r="FB27" s="616"/>
      <c r="FC27" s="616"/>
      <c r="FD27" s="616"/>
      <c r="FE27" s="616"/>
      <c r="FF27" s="616"/>
      <c r="FG27" s="616"/>
      <c r="FH27" s="616"/>
      <c r="FI27" s="616"/>
      <c r="FJ27" s="616"/>
      <c r="FK27" s="616"/>
      <c r="FL27" s="616"/>
      <c r="FM27" s="616"/>
      <c r="FN27" s="616"/>
      <c r="FO27" s="616"/>
      <c r="FP27" s="616"/>
      <c r="FQ27" s="616"/>
      <c r="FR27" s="616"/>
      <c r="FS27" s="616"/>
      <c r="FT27" s="616"/>
      <c r="FU27" s="616"/>
      <c r="FV27" s="616"/>
      <c r="FW27" s="616"/>
      <c r="FX27" s="616"/>
      <c r="FY27" s="616"/>
      <c r="FZ27" s="616"/>
      <c r="GA27" s="616"/>
      <c r="GB27" s="616"/>
      <c r="GC27" s="616"/>
      <c r="GD27" s="616"/>
      <c r="GE27" s="616"/>
      <c r="GF27" s="616"/>
      <c r="GG27" s="616"/>
      <c r="GH27" s="616"/>
      <c r="GI27" s="616"/>
      <c r="GJ27" s="616"/>
      <c r="GK27" s="616"/>
      <c r="GL27" s="616"/>
      <c r="GM27" s="616"/>
      <c r="GN27" s="616"/>
      <c r="GO27" s="616"/>
      <c r="GP27" s="616"/>
      <c r="GQ27" s="616"/>
      <c r="GR27" s="616"/>
      <c r="GS27" s="616"/>
      <c r="GT27" s="616"/>
      <c r="GU27" s="616"/>
      <c r="GV27" s="616"/>
      <c r="GW27" s="616"/>
      <c r="GX27" s="616"/>
      <c r="GY27" s="616"/>
      <c r="GZ27" s="616"/>
      <c r="HA27" s="616"/>
      <c r="HB27" s="616"/>
      <c r="HC27" s="616"/>
      <c r="HD27" s="616"/>
      <c r="HE27" s="616"/>
      <c r="HF27" s="616"/>
      <c r="HG27" s="616"/>
      <c r="HH27" s="616"/>
      <c r="HI27" s="616"/>
      <c r="HJ27" s="616"/>
      <c r="HK27" s="616"/>
      <c r="HL27" s="616"/>
      <c r="HM27" s="616"/>
      <c r="HN27" s="616"/>
      <c r="HO27" s="616"/>
      <c r="HP27" s="616"/>
      <c r="HQ27" s="616"/>
      <c r="HR27" s="616"/>
      <c r="HS27" s="616"/>
      <c r="HT27" s="616"/>
      <c r="HU27" s="616"/>
      <c r="HV27" s="616"/>
      <c r="HW27" s="616"/>
      <c r="HX27" s="616"/>
      <c r="HY27" s="616"/>
      <c r="HZ27" s="616"/>
      <c r="IA27" s="616"/>
      <c r="IB27" s="616"/>
      <c r="IC27" s="616"/>
      <c r="ID27" s="616"/>
      <c r="IE27" s="616"/>
      <c r="IF27" s="616"/>
      <c r="IG27" s="616"/>
      <c r="IH27" s="616"/>
      <c r="II27" s="616"/>
      <c r="IJ27" s="616"/>
      <c r="IK27" s="616"/>
      <c r="IL27" s="616"/>
    </row>
    <row r="28" spans="1:246" s="513" customFormat="1" ht="12.75">
      <c r="A28" s="604">
        <v>2</v>
      </c>
      <c r="B28" s="603">
        <v>5</v>
      </c>
      <c r="C28" s="233" t="s">
        <v>598</v>
      </c>
      <c r="D28" s="605">
        <f ca="1">SUMIF(Sheet12!$B$6:$B91,Sheet3!$C28,Sheet12!K$6:K$87)</f>
        <v>0</v>
      </c>
      <c r="E28" s="605">
        <f ca="1">SUMIF(Sheet12!$B$6:$B91,Sheet3!$C28,Sheet12!M$6:M$87)</f>
        <v>0</v>
      </c>
      <c r="F28" s="605">
        <f ca="1">E28*1</f>
        <v>0</v>
      </c>
      <c r="G28" s="605"/>
      <c r="H28" s="605">
        <f ca="1">F28+G28</f>
        <v>0</v>
      </c>
      <c r="I28" s="605">
        <f t="shared" ca="1" si="3"/>
        <v>0</v>
      </c>
      <c r="J28" s="615"/>
      <c r="K28" s="616"/>
      <c r="L28" s="616"/>
      <c r="M28" s="616"/>
      <c r="N28" s="616"/>
      <c r="O28" s="616"/>
      <c r="P28" s="616"/>
      <c r="Q28" s="616"/>
      <c r="R28" s="616"/>
      <c r="S28" s="616"/>
      <c r="T28" s="616"/>
      <c r="U28" s="616"/>
      <c r="V28" s="616"/>
      <c r="W28" s="616"/>
      <c r="X28" s="616"/>
      <c r="Y28" s="616"/>
      <c r="Z28" s="616"/>
      <c r="AA28" s="616"/>
      <c r="AB28" s="616"/>
      <c r="AC28" s="616"/>
      <c r="AD28" s="616"/>
      <c r="AE28" s="616"/>
      <c r="AF28" s="616"/>
      <c r="AG28" s="616"/>
      <c r="AH28" s="616"/>
      <c r="AI28" s="616"/>
      <c r="AJ28" s="616"/>
      <c r="AK28" s="616"/>
      <c r="AL28" s="616"/>
      <c r="AM28" s="616"/>
      <c r="AN28" s="616"/>
      <c r="AO28" s="616"/>
      <c r="AP28" s="616"/>
      <c r="AQ28" s="616"/>
      <c r="AR28" s="616"/>
      <c r="AS28" s="616"/>
      <c r="AT28" s="616"/>
      <c r="AU28" s="616"/>
      <c r="AV28" s="616"/>
      <c r="AW28" s="616"/>
      <c r="AX28" s="616"/>
      <c r="AY28" s="616"/>
      <c r="AZ28" s="616"/>
      <c r="BA28" s="616"/>
      <c r="BB28" s="616"/>
      <c r="BC28" s="616"/>
      <c r="BD28" s="616"/>
      <c r="BE28" s="616"/>
      <c r="BF28" s="616"/>
      <c r="BG28" s="616"/>
      <c r="BH28" s="616"/>
      <c r="BI28" s="616"/>
      <c r="BJ28" s="616"/>
      <c r="BK28" s="616"/>
      <c r="BL28" s="616"/>
      <c r="BM28" s="616"/>
      <c r="BN28" s="616"/>
      <c r="BO28" s="616"/>
      <c r="BP28" s="616"/>
      <c r="BQ28" s="616"/>
      <c r="BR28" s="616"/>
      <c r="BS28" s="616"/>
      <c r="BT28" s="616"/>
      <c r="BU28" s="616"/>
      <c r="BV28" s="616"/>
      <c r="BW28" s="616"/>
      <c r="BX28" s="616"/>
      <c r="BY28" s="616"/>
      <c r="BZ28" s="616"/>
      <c r="CA28" s="616"/>
      <c r="CB28" s="616"/>
      <c r="CC28" s="616"/>
      <c r="CD28" s="616"/>
      <c r="CE28" s="616"/>
      <c r="CF28" s="616"/>
      <c r="CG28" s="616"/>
      <c r="CH28" s="616"/>
      <c r="CI28" s="616"/>
      <c r="CJ28" s="616"/>
      <c r="CK28" s="616"/>
      <c r="CL28" s="616"/>
      <c r="CM28" s="616"/>
      <c r="CN28" s="616"/>
      <c r="CO28" s="616"/>
      <c r="CP28" s="616"/>
      <c r="CQ28" s="616"/>
      <c r="CR28" s="616"/>
      <c r="CS28" s="616"/>
      <c r="CT28" s="616"/>
      <c r="CU28" s="616"/>
      <c r="CV28" s="616"/>
      <c r="CW28" s="616"/>
      <c r="CX28" s="616"/>
      <c r="CY28" s="616"/>
      <c r="CZ28" s="616"/>
      <c r="DA28" s="616"/>
      <c r="DB28" s="616"/>
      <c r="DC28" s="616"/>
      <c r="DD28" s="616"/>
      <c r="DE28" s="616"/>
      <c r="DF28" s="616"/>
      <c r="DG28" s="616"/>
      <c r="DH28" s="616"/>
      <c r="DI28" s="616"/>
      <c r="DJ28" s="616"/>
      <c r="DK28" s="616"/>
      <c r="DL28" s="616"/>
      <c r="DM28" s="616"/>
      <c r="DN28" s="616"/>
      <c r="DO28" s="616"/>
      <c r="DP28" s="616"/>
      <c r="DQ28" s="616"/>
      <c r="DR28" s="616"/>
      <c r="DS28" s="616"/>
      <c r="DT28" s="616"/>
      <c r="DU28" s="616"/>
      <c r="DV28" s="616"/>
      <c r="DW28" s="616"/>
      <c r="DX28" s="616"/>
      <c r="DY28" s="616"/>
      <c r="DZ28" s="616"/>
      <c r="EA28" s="616"/>
      <c r="EB28" s="616"/>
      <c r="EC28" s="616"/>
      <c r="ED28" s="616"/>
      <c r="EE28" s="616"/>
      <c r="EF28" s="616"/>
      <c r="EG28" s="616"/>
      <c r="EH28" s="616"/>
      <c r="EI28" s="616"/>
      <c r="EJ28" s="616"/>
      <c r="EK28" s="616"/>
      <c r="EL28" s="616"/>
      <c r="EM28" s="616"/>
      <c r="EN28" s="616"/>
      <c r="EO28" s="616"/>
      <c r="EP28" s="616"/>
      <c r="EQ28" s="616"/>
      <c r="ER28" s="616"/>
      <c r="ES28" s="616"/>
      <c r="ET28" s="616"/>
      <c r="EU28" s="616"/>
      <c r="EV28" s="616"/>
      <c r="EW28" s="616"/>
      <c r="EX28" s="616"/>
      <c r="EY28" s="616"/>
      <c r="EZ28" s="616"/>
      <c r="FA28" s="616"/>
      <c r="FB28" s="616"/>
      <c r="FC28" s="616"/>
      <c r="FD28" s="616"/>
      <c r="FE28" s="616"/>
      <c r="FF28" s="616"/>
      <c r="FG28" s="616"/>
      <c r="FH28" s="616"/>
      <c r="FI28" s="616"/>
      <c r="FJ28" s="616"/>
      <c r="FK28" s="616"/>
      <c r="FL28" s="616"/>
      <c r="FM28" s="616"/>
      <c r="FN28" s="616"/>
      <c r="FO28" s="616"/>
      <c r="FP28" s="616"/>
      <c r="FQ28" s="616"/>
      <c r="FR28" s="616"/>
      <c r="FS28" s="616"/>
      <c r="FT28" s="616"/>
      <c r="FU28" s="616"/>
      <c r="FV28" s="616"/>
      <c r="FW28" s="616"/>
      <c r="FX28" s="616"/>
      <c r="FY28" s="616"/>
      <c r="FZ28" s="616"/>
      <c r="GA28" s="616"/>
      <c r="GB28" s="616"/>
      <c r="GC28" s="616"/>
      <c r="GD28" s="616"/>
      <c r="GE28" s="616"/>
      <c r="GF28" s="616"/>
      <c r="GG28" s="616"/>
      <c r="GH28" s="616"/>
      <c r="GI28" s="616"/>
      <c r="GJ28" s="616"/>
      <c r="GK28" s="616"/>
      <c r="GL28" s="616"/>
      <c r="GM28" s="616"/>
      <c r="GN28" s="616"/>
      <c r="GO28" s="616"/>
      <c r="GP28" s="616"/>
      <c r="GQ28" s="616"/>
      <c r="GR28" s="616"/>
      <c r="GS28" s="616"/>
      <c r="GT28" s="616"/>
      <c r="GU28" s="616"/>
      <c r="GV28" s="616"/>
      <c r="GW28" s="616"/>
      <c r="GX28" s="616"/>
      <c r="GY28" s="616"/>
      <c r="GZ28" s="616"/>
      <c r="HA28" s="616"/>
      <c r="HB28" s="616"/>
      <c r="HC28" s="616"/>
      <c r="HD28" s="616"/>
      <c r="HE28" s="616"/>
      <c r="HF28" s="616"/>
      <c r="HG28" s="616"/>
      <c r="HH28" s="616"/>
      <c r="HI28" s="616"/>
      <c r="HJ28" s="616"/>
      <c r="HK28" s="616"/>
      <c r="HL28" s="616"/>
      <c r="HM28" s="616"/>
      <c r="HN28" s="616"/>
      <c r="HO28" s="616"/>
      <c r="HP28" s="616"/>
      <c r="HQ28" s="616"/>
      <c r="HR28" s="616"/>
      <c r="HS28" s="616"/>
      <c r="HT28" s="616"/>
      <c r="HU28" s="616"/>
      <c r="HV28" s="616"/>
      <c r="HW28" s="616"/>
      <c r="HX28" s="616"/>
      <c r="HY28" s="616"/>
      <c r="HZ28" s="616"/>
      <c r="IA28" s="616"/>
      <c r="IB28" s="616"/>
      <c r="IC28" s="616"/>
      <c r="ID28" s="616"/>
      <c r="IE28" s="616"/>
      <c r="IF28" s="616"/>
      <c r="IG28" s="616"/>
      <c r="IH28" s="616"/>
      <c r="II28" s="616"/>
      <c r="IJ28" s="616"/>
      <c r="IK28" s="616"/>
      <c r="IL28" s="616"/>
    </row>
    <row r="29" spans="1:246" s="513" customFormat="1" ht="12.75">
      <c r="A29" s="604">
        <v>1</v>
      </c>
      <c r="B29" s="603" t="s">
        <v>59</v>
      </c>
      <c r="C29" s="233" t="s">
        <v>598</v>
      </c>
      <c r="D29" s="605">
        <f t="shared" ref="D29:I29" si="7">SUM(D30:D38)</f>
        <v>2773755.01</v>
      </c>
      <c r="E29" s="605">
        <f t="shared" si="7"/>
        <v>2766755.01</v>
      </c>
      <c r="F29" s="605">
        <f t="shared" si="7"/>
        <v>2707546.4499999997</v>
      </c>
      <c r="G29" s="605">
        <f t="shared" si="7"/>
        <v>59208.560000000005</v>
      </c>
      <c r="H29" s="605">
        <f t="shared" si="7"/>
        <v>2766755.0100000002</v>
      </c>
      <c r="I29" s="605">
        <f t="shared" si="7"/>
        <v>0</v>
      </c>
      <c r="J29" s="615"/>
      <c r="K29" s="616"/>
      <c r="L29" s="616"/>
      <c r="M29" s="616"/>
      <c r="N29" s="616"/>
      <c r="O29" s="616"/>
      <c r="P29" s="616"/>
      <c r="Q29" s="616"/>
      <c r="R29" s="616"/>
      <c r="S29" s="616"/>
      <c r="T29" s="616"/>
      <c r="U29" s="616"/>
      <c r="V29" s="616"/>
      <c r="W29" s="616"/>
      <c r="X29" s="616"/>
      <c r="Y29" s="616"/>
      <c r="Z29" s="616"/>
      <c r="AA29" s="616"/>
      <c r="AB29" s="616"/>
      <c r="AC29" s="616"/>
      <c r="AD29" s="616"/>
      <c r="AE29" s="616"/>
      <c r="AF29" s="616"/>
      <c r="AG29" s="616"/>
      <c r="AH29" s="616"/>
      <c r="AI29" s="616"/>
      <c r="AJ29" s="616"/>
      <c r="AK29" s="616"/>
      <c r="AL29" s="616"/>
      <c r="AM29" s="616"/>
      <c r="AN29" s="616"/>
      <c r="AO29" s="616"/>
      <c r="AP29" s="616"/>
      <c r="AQ29" s="616"/>
      <c r="AR29" s="616"/>
      <c r="AS29" s="616"/>
      <c r="AT29" s="616"/>
      <c r="AU29" s="616"/>
      <c r="AV29" s="616"/>
      <c r="AW29" s="616"/>
      <c r="AX29" s="616"/>
      <c r="AY29" s="616"/>
      <c r="AZ29" s="616"/>
      <c r="BA29" s="616"/>
      <c r="BB29" s="616"/>
      <c r="BC29" s="616"/>
      <c r="BD29" s="616"/>
      <c r="BE29" s="616"/>
      <c r="BF29" s="616"/>
      <c r="BG29" s="616"/>
      <c r="BH29" s="616"/>
      <c r="BI29" s="616"/>
      <c r="BJ29" s="616"/>
      <c r="BK29" s="616"/>
      <c r="BL29" s="616"/>
      <c r="BM29" s="616"/>
      <c r="BN29" s="616"/>
      <c r="BO29" s="616"/>
      <c r="BP29" s="616"/>
      <c r="BQ29" s="616"/>
      <c r="BR29" s="616"/>
      <c r="BS29" s="616"/>
      <c r="BT29" s="616"/>
      <c r="BU29" s="616"/>
      <c r="BV29" s="616"/>
      <c r="BW29" s="616"/>
      <c r="BX29" s="616"/>
      <c r="BY29" s="616"/>
      <c r="BZ29" s="616"/>
      <c r="CA29" s="616"/>
      <c r="CB29" s="616"/>
      <c r="CC29" s="616"/>
      <c r="CD29" s="616"/>
      <c r="CE29" s="616"/>
      <c r="CF29" s="616"/>
      <c r="CG29" s="616"/>
      <c r="CH29" s="616"/>
      <c r="CI29" s="616"/>
      <c r="CJ29" s="616"/>
      <c r="CK29" s="616"/>
      <c r="CL29" s="616"/>
      <c r="CM29" s="616"/>
      <c r="CN29" s="616"/>
      <c r="CO29" s="616"/>
      <c r="CP29" s="616"/>
      <c r="CQ29" s="616"/>
      <c r="CR29" s="616"/>
      <c r="CS29" s="616"/>
      <c r="CT29" s="616"/>
      <c r="CU29" s="616"/>
      <c r="CV29" s="616"/>
      <c r="CW29" s="616"/>
      <c r="CX29" s="616"/>
      <c r="CY29" s="616"/>
      <c r="CZ29" s="616"/>
      <c r="DA29" s="616"/>
      <c r="DB29" s="616"/>
      <c r="DC29" s="616"/>
      <c r="DD29" s="616"/>
      <c r="DE29" s="616"/>
      <c r="DF29" s="616"/>
      <c r="DG29" s="616"/>
      <c r="DH29" s="616"/>
      <c r="DI29" s="616"/>
      <c r="DJ29" s="616"/>
      <c r="DK29" s="616"/>
      <c r="DL29" s="616"/>
      <c r="DM29" s="616"/>
      <c r="DN29" s="616"/>
      <c r="DO29" s="616"/>
      <c r="DP29" s="616"/>
      <c r="DQ29" s="616"/>
      <c r="DR29" s="616"/>
      <c r="DS29" s="616"/>
      <c r="DT29" s="616"/>
      <c r="DU29" s="616"/>
      <c r="DV29" s="616"/>
      <c r="DW29" s="616"/>
      <c r="DX29" s="616"/>
      <c r="DY29" s="616"/>
      <c r="DZ29" s="616"/>
      <c r="EA29" s="616"/>
      <c r="EB29" s="616"/>
      <c r="EC29" s="616"/>
      <c r="ED29" s="616"/>
      <c r="EE29" s="616"/>
      <c r="EF29" s="616"/>
      <c r="EG29" s="616"/>
      <c r="EH29" s="616"/>
      <c r="EI29" s="616"/>
      <c r="EJ29" s="616"/>
      <c r="EK29" s="616"/>
      <c r="EL29" s="616"/>
      <c r="EM29" s="616"/>
      <c r="EN29" s="616"/>
      <c r="EO29" s="616"/>
      <c r="EP29" s="616"/>
      <c r="EQ29" s="616"/>
      <c r="ER29" s="616"/>
      <c r="ES29" s="616"/>
      <c r="ET29" s="616"/>
      <c r="EU29" s="616"/>
      <c r="EV29" s="616"/>
      <c r="EW29" s="616"/>
      <c r="EX29" s="616"/>
      <c r="EY29" s="616"/>
      <c r="EZ29" s="616"/>
      <c r="FA29" s="616"/>
      <c r="FB29" s="616"/>
      <c r="FC29" s="616"/>
      <c r="FD29" s="616"/>
      <c r="FE29" s="616"/>
      <c r="FF29" s="616"/>
      <c r="FG29" s="616"/>
      <c r="FH29" s="616"/>
      <c r="FI29" s="616"/>
      <c r="FJ29" s="616"/>
      <c r="FK29" s="616"/>
      <c r="FL29" s="616"/>
      <c r="FM29" s="616"/>
      <c r="FN29" s="616"/>
      <c r="FO29" s="616"/>
      <c r="FP29" s="616"/>
      <c r="FQ29" s="616"/>
      <c r="FR29" s="616"/>
      <c r="FS29" s="616"/>
      <c r="FT29" s="616"/>
      <c r="FU29" s="616"/>
      <c r="FV29" s="616"/>
      <c r="FW29" s="616"/>
      <c r="FX29" s="616"/>
      <c r="FY29" s="616"/>
      <c r="FZ29" s="616"/>
      <c r="GA29" s="616"/>
      <c r="GB29" s="616"/>
      <c r="GC29" s="616"/>
      <c r="GD29" s="616"/>
      <c r="GE29" s="616"/>
      <c r="GF29" s="616"/>
      <c r="GG29" s="616"/>
      <c r="GH29" s="616"/>
      <c r="GI29" s="616"/>
      <c r="GJ29" s="616"/>
      <c r="GK29" s="616"/>
      <c r="GL29" s="616"/>
      <c r="GM29" s="616"/>
      <c r="GN29" s="616"/>
      <c r="GO29" s="616"/>
      <c r="GP29" s="616"/>
      <c r="GQ29" s="616"/>
      <c r="GR29" s="616"/>
      <c r="GS29" s="616"/>
      <c r="GT29" s="616"/>
      <c r="GU29" s="616"/>
      <c r="GV29" s="616"/>
      <c r="GW29" s="616"/>
      <c r="GX29" s="616"/>
      <c r="GY29" s="616"/>
      <c r="GZ29" s="616"/>
      <c r="HA29" s="616"/>
      <c r="HB29" s="616"/>
      <c r="HC29" s="616"/>
      <c r="HD29" s="616"/>
      <c r="HE29" s="616"/>
      <c r="HF29" s="616"/>
      <c r="HG29" s="616"/>
      <c r="HH29" s="616"/>
      <c r="HI29" s="616"/>
      <c r="HJ29" s="616"/>
      <c r="HK29" s="616"/>
      <c r="HL29" s="616"/>
      <c r="HM29" s="616"/>
      <c r="HN29" s="616"/>
      <c r="HO29" s="616"/>
      <c r="HP29" s="616"/>
      <c r="HQ29" s="616"/>
      <c r="HR29" s="616"/>
      <c r="HS29" s="616"/>
      <c r="HT29" s="616"/>
      <c r="HU29" s="616"/>
      <c r="HV29" s="616"/>
      <c r="HW29" s="616"/>
      <c r="HX29" s="616"/>
      <c r="HY29" s="616"/>
      <c r="HZ29" s="616"/>
      <c r="IA29" s="616"/>
      <c r="IB29" s="616"/>
      <c r="IC29" s="616"/>
      <c r="ID29" s="616"/>
      <c r="IE29" s="616"/>
      <c r="IF29" s="616"/>
      <c r="IG29" s="616"/>
      <c r="IH29" s="616"/>
      <c r="II29" s="616"/>
      <c r="IJ29" s="616"/>
      <c r="IK29" s="616"/>
      <c r="IL29" s="616"/>
    </row>
    <row r="30" spans="1:246" s="513" customFormat="1" ht="12.75">
      <c r="A30" s="604">
        <v>2</v>
      </c>
      <c r="B30" s="603">
        <v>1</v>
      </c>
      <c r="C30" s="233" t="s">
        <v>598</v>
      </c>
      <c r="D30" s="605"/>
      <c r="E30" s="605"/>
      <c r="F30" s="605"/>
      <c r="G30" s="605">
        <f>E30*$G$56</f>
        <v>0</v>
      </c>
      <c r="H30" s="605">
        <f>F30+G30</f>
        <v>0</v>
      </c>
      <c r="I30" s="605">
        <f t="shared" ref="I30:I38" si="8">E30-H30</f>
        <v>0</v>
      </c>
      <c r="J30" s="615"/>
      <c r="K30" s="616"/>
      <c r="L30" s="616"/>
      <c r="M30" s="616"/>
      <c r="N30" s="616"/>
      <c r="O30" s="616"/>
      <c r="P30" s="616"/>
      <c r="Q30" s="616"/>
      <c r="R30" s="616"/>
      <c r="S30" s="616"/>
      <c r="T30" s="616"/>
      <c r="U30" s="616"/>
      <c r="V30" s="616"/>
      <c r="W30" s="616"/>
      <c r="X30" s="616"/>
      <c r="Y30" s="616"/>
      <c r="Z30" s="616"/>
      <c r="AA30" s="616"/>
      <c r="AB30" s="616"/>
      <c r="AC30" s="616"/>
      <c r="AD30" s="616"/>
      <c r="AE30" s="616"/>
      <c r="AF30" s="616"/>
      <c r="AG30" s="616"/>
      <c r="AH30" s="616"/>
      <c r="AI30" s="616"/>
      <c r="AJ30" s="616"/>
      <c r="AK30" s="616"/>
      <c r="AL30" s="616"/>
      <c r="AM30" s="616"/>
      <c r="AN30" s="616"/>
      <c r="AO30" s="616"/>
      <c r="AP30" s="616"/>
      <c r="AQ30" s="616"/>
      <c r="AR30" s="616"/>
      <c r="AS30" s="616"/>
      <c r="AT30" s="616"/>
      <c r="AU30" s="616"/>
      <c r="AV30" s="616"/>
      <c r="AW30" s="616"/>
      <c r="AX30" s="616"/>
      <c r="AY30" s="616"/>
      <c r="AZ30" s="616"/>
      <c r="BA30" s="616"/>
      <c r="BB30" s="616"/>
      <c r="BC30" s="616"/>
      <c r="BD30" s="616"/>
      <c r="BE30" s="616"/>
      <c r="BF30" s="616"/>
      <c r="BG30" s="616"/>
      <c r="BH30" s="616"/>
      <c r="BI30" s="616"/>
      <c r="BJ30" s="616"/>
      <c r="BK30" s="616"/>
      <c r="BL30" s="616"/>
      <c r="BM30" s="616"/>
      <c r="BN30" s="616"/>
      <c r="BO30" s="616"/>
      <c r="BP30" s="616"/>
      <c r="BQ30" s="616"/>
      <c r="BR30" s="616"/>
      <c r="BS30" s="616"/>
      <c r="BT30" s="616"/>
      <c r="BU30" s="616"/>
      <c r="BV30" s="616"/>
      <c r="BW30" s="616"/>
      <c r="BX30" s="616"/>
      <c r="BY30" s="616"/>
      <c r="BZ30" s="616"/>
      <c r="CA30" s="616"/>
      <c r="CB30" s="616"/>
      <c r="CC30" s="616"/>
      <c r="CD30" s="616"/>
      <c r="CE30" s="616"/>
      <c r="CF30" s="616"/>
      <c r="CG30" s="616"/>
      <c r="CH30" s="616"/>
      <c r="CI30" s="616"/>
      <c r="CJ30" s="616"/>
      <c r="CK30" s="616"/>
      <c r="CL30" s="616"/>
      <c r="CM30" s="616"/>
      <c r="CN30" s="616"/>
      <c r="CO30" s="616"/>
      <c r="CP30" s="616"/>
      <c r="CQ30" s="616"/>
      <c r="CR30" s="616"/>
      <c r="CS30" s="616"/>
      <c r="CT30" s="616"/>
      <c r="CU30" s="616"/>
      <c r="CV30" s="616"/>
      <c r="CW30" s="616"/>
      <c r="CX30" s="616"/>
      <c r="CY30" s="616"/>
      <c r="CZ30" s="616"/>
      <c r="DA30" s="616"/>
      <c r="DB30" s="616"/>
      <c r="DC30" s="616"/>
      <c r="DD30" s="616"/>
      <c r="DE30" s="616"/>
      <c r="DF30" s="616"/>
      <c r="DG30" s="616"/>
      <c r="DH30" s="616"/>
      <c r="DI30" s="616"/>
      <c r="DJ30" s="616"/>
      <c r="DK30" s="616"/>
      <c r="DL30" s="616"/>
      <c r="DM30" s="616"/>
      <c r="DN30" s="616"/>
      <c r="DO30" s="616"/>
      <c r="DP30" s="616"/>
      <c r="DQ30" s="616"/>
      <c r="DR30" s="616"/>
      <c r="DS30" s="616"/>
      <c r="DT30" s="616"/>
      <c r="DU30" s="616"/>
      <c r="DV30" s="616"/>
      <c r="DW30" s="616"/>
      <c r="DX30" s="616"/>
      <c r="DY30" s="616"/>
      <c r="DZ30" s="616"/>
      <c r="EA30" s="616"/>
      <c r="EB30" s="616"/>
      <c r="EC30" s="616"/>
      <c r="ED30" s="616"/>
      <c r="EE30" s="616"/>
      <c r="EF30" s="616"/>
      <c r="EG30" s="616"/>
      <c r="EH30" s="616"/>
      <c r="EI30" s="616"/>
      <c r="EJ30" s="616"/>
      <c r="EK30" s="616"/>
      <c r="EL30" s="616"/>
      <c r="EM30" s="616"/>
      <c r="EN30" s="616"/>
      <c r="EO30" s="616"/>
      <c r="EP30" s="616"/>
      <c r="EQ30" s="616"/>
      <c r="ER30" s="616"/>
      <c r="ES30" s="616"/>
      <c r="ET30" s="616"/>
      <c r="EU30" s="616"/>
      <c r="EV30" s="616"/>
      <c r="EW30" s="616"/>
      <c r="EX30" s="616"/>
      <c r="EY30" s="616"/>
      <c r="EZ30" s="616"/>
      <c r="FA30" s="616"/>
      <c r="FB30" s="616"/>
      <c r="FC30" s="616"/>
      <c r="FD30" s="616"/>
      <c r="FE30" s="616"/>
      <c r="FF30" s="616"/>
      <c r="FG30" s="616"/>
      <c r="FH30" s="616"/>
      <c r="FI30" s="616"/>
      <c r="FJ30" s="616"/>
      <c r="FK30" s="616"/>
      <c r="FL30" s="616"/>
      <c r="FM30" s="616"/>
      <c r="FN30" s="616"/>
      <c r="FO30" s="616"/>
      <c r="FP30" s="616"/>
      <c r="FQ30" s="616"/>
      <c r="FR30" s="616"/>
      <c r="FS30" s="616"/>
      <c r="FT30" s="616"/>
      <c r="FU30" s="616"/>
      <c r="FV30" s="616"/>
      <c r="FW30" s="616"/>
      <c r="FX30" s="616"/>
      <c r="FY30" s="616"/>
      <c r="FZ30" s="616"/>
      <c r="GA30" s="616"/>
      <c r="GB30" s="616"/>
      <c r="GC30" s="616"/>
      <c r="GD30" s="616"/>
      <c r="GE30" s="616"/>
      <c r="GF30" s="616"/>
      <c r="GG30" s="616"/>
      <c r="GH30" s="616"/>
      <c r="GI30" s="616"/>
      <c r="GJ30" s="616"/>
      <c r="GK30" s="616"/>
      <c r="GL30" s="616"/>
      <c r="GM30" s="616"/>
      <c r="GN30" s="616"/>
      <c r="GO30" s="616"/>
      <c r="GP30" s="616"/>
      <c r="GQ30" s="616"/>
      <c r="GR30" s="616"/>
      <c r="GS30" s="616"/>
      <c r="GT30" s="616"/>
      <c r="GU30" s="616"/>
      <c r="GV30" s="616"/>
      <c r="GW30" s="616"/>
      <c r="GX30" s="616"/>
      <c r="GY30" s="616"/>
      <c r="GZ30" s="616"/>
      <c r="HA30" s="616"/>
      <c r="HB30" s="616"/>
      <c r="HC30" s="616"/>
      <c r="HD30" s="616"/>
      <c r="HE30" s="616"/>
      <c r="HF30" s="616"/>
      <c r="HG30" s="616"/>
      <c r="HH30" s="616"/>
      <c r="HI30" s="616"/>
      <c r="HJ30" s="616"/>
      <c r="HK30" s="616"/>
      <c r="HL30" s="616"/>
      <c r="HM30" s="616"/>
      <c r="HN30" s="616"/>
      <c r="HO30" s="616"/>
      <c r="HP30" s="616"/>
      <c r="HQ30" s="616"/>
      <c r="HR30" s="616"/>
      <c r="HS30" s="616"/>
      <c r="HT30" s="616"/>
      <c r="HU30" s="616"/>
      <c r="HV30" s="616"/>
      <c r="HW30" s="616"/>
      <c r="HX30" s="616"/>
      <c r="HY30" s="616"/>
      <c r="HZ30" s="616"/>
      <c r="IA30" s="616"/>
      <c r="IB30" s="616"/>
      <c r="IC30" s="616"/>
      <c r="ID30" s="616"/>
      <c r="IE30" s="616"/>
      <c r="IF30" s="616"/>
      <c r="IG30" s="616"/>
      <c r="IH30" s="616"/>
      <c r="II30" s="616"/>
      <c r="IJ30" s="616"/>
      <c r="IK30" s="616"/>
      <c r="IL30" s="616"/>
    </row>
    <row r="31" spans="1:246" s="513" customFormat="1" ht="12.75">
      <c r="A31" s="604">
        <v>2</v>
      </c>
      <c r="B31" s="603">
        <v>2</v>
      </c>
      <c r="C31" s="233" t="s">
        <v>598</v>
      </c>
      <c r="D31" s="605">
        <v>145314.37</v>
      </c>
      <c r="E31" s="605">
        <v>145314.37</v>
      </c>
      <c r="F31" s="605">
        <f>ROUND(E31*F$56,2)</f>
        <v>142204.64000000001</v>
      </c>
      <c r="G31" s="605">
        <f>ROUND(E31*G$56,2)</f>
        <v>3109.73</v>
      </c>
      <c r="H31" s="605">
        <f t="shared" ref="H31:H38" si="9">F31+G31</f>
        <v>145314.37000000002</v>
      </c>
      <c r="I31" s="605">
        <f t="shared" si="8"/>
        <v>0</v>
      </c>
      <c r="J31" s="615"/>
      <c r="K31" s="616"/>
      <c r="L31" s="616"/>
      <c r="M31" s="616"/>
      <c r="N31" s="616"/>
      <c r="O31" s="616"/>
      <c r="P31" s="616"/>
      <c r="Q31" s="616"/>
      <c r="R31" s="616"/>
      <c r="S31" s="616"/>
      <c r="T31" s="616"/>
      <c r="U31" s="616"/>
      <c r="V31" s="616"/>
      <c r="W31" s="616"/>
      <c r="X31" s="616"/>
      <c r="Y31" s="616"/>
      <c r="Z31" s="616"/>
      <c r="AA31" s="616"/>
      <c r="AB31" s="616"/>
      <c r="AC31" s="616"/>
      <c r="AD31" s="616"/>
      <c r="AE31" s="616"/>
      <c r="AF31" s="616"/>
      <c r="AG31" s="616"/>
      <c r="AH31" s="616"/>
      <c r="AI31" s="616"/>
      <c r="AJ31" s="616"/>
      <c r="AK31" s="616"/>
      <c r="AL31" s="616"/>
      <c r="AM31" s="616"/>
      <c r="AN31" s="616"/>
      <c r="AO31" s="616"/>
      <c r="AP31" s="616"/>
      <c r="AQ31" s="616"/>
      <c r="AR31" s="616"/>
      <c r="AS31" s="616"/>
      <c r="AT31" s="616"/>
      <c r="AU31" s="616"/>
      <c r="AV31" s="616"/>
      <c r="AW31" s="616"/>
      <c r="AX31" s="616"/>
      <c r="AY31" s="616"/>
      <c r="AZ31" s="616"/>
      <c r="BA31" s="616"/>
      <c r="BB31" s="616"/>
      <c r="BC31" s="616"/>
      <c r="BD31" s="616"/>
      <c r="BE31" s="616"/>
      <c r="BF31" s="616"/>
      <c r="BG31" s="616"/>
      <c r="BH31" s="616"/>
      <c r="BI31" s="616"/>
      <c r="BJ31" s="616"/>
      <c r="BK31" s="616"/>
      <c r="BL31" s="616"/>
      <c r="BM31" s="616"/>
      <c r="BN31" s="616"/>
      <c r="BO31" s="616"/>
      <c r="BP31" s="616"/>
      <c r="BQ31" s="616"/>
      <c r="BR31" s="616"/>
      <c r="BS31" s="616"/>
      <c r="BT31" s="616"/>
      <c r="BU31" s="616"/>
      <c r="BV31" s="616"/>
      <c r="BW31" s="616"/>
      <c r="BX31" s="616"/>
      <c r="BY31" s="616"/>
      <c r="BZ31" s="616"/>
      <c r="CA31" s="616"/>
      <c r="CB31" s="616"/>
      <c r="CC31" s="616"/>
      <c r="CD31" s="616"/>
      <c r="CE31" s="616"/>
      <c r="CF31" s="616"/>
      <c r="CG31" s="616"/>
      <c r="CH31" s="616"/>
      <c r="CI31" s="616"/>
      <c r="CJ31" s="616"/>
      <c r="CK31" s="616"/>
      <c r="CL31" s="616"/>
      <c r="CM31" s="616"/>
      <c r="CN31" s="616"/>
      <c r="CO31" s="616"/>
      <c r="CP31" s="616"/>
      <c r="CQ31" s="616"/>
      <c r="CR31" s="616"/>
      <c r="CS31" s="616"/>
      <c r="CT31" s="616"/>
      <c r="CU31" s="616"/>
      <c r="CV31" s="616"/>
      <c r="CW31" s="616"/>
      <c r="CX31" s="616"/>
      <c r="CY31" s="616"/>
      <c r="CZ31" s="616"/>
      <c r="DA31" s="616"/>
      <c r="DB31" s="616"/>
      <c r="DC31" s="616"/>
      <c r="DD31" s="616"/>
      <c r="DE31" s="616"/>
      <c r="DF31" s="616"/>
      <c r="DG31" s="616"/>
      <c r="DH31" s="616"/>
      <c r="DI31" s="616"/>
      <c r="DJ31" s="616"/>
      <c r="DK31" s="616"/>
      <c r="DL31" s="616"/>
      <c r="DM31" s="616"/>
      <c r="DN31" s="616"/>
      <c r="DO31" s="616"/>
      <c r="DP31" s="616"/>
      <c r="DQ31" s="616"/>
      <c r="DR31" s="616"/>
      <c r="DS31" s="616"/>
      <c r="DT31" s="616"/>
      <c r="DU31" s="616"/>
      <c r="DV31" s="616"/>
      <c r="DW31" s="616"/>
      <c r="DX31" s="616"/>
      <c r="DY31" s="616"/>
      <c r="DZ31" s="616"/>
      <c r="EA31" s="616"/>
      <c r="EB31" s="616"/>
      <c r="EC31" s="616"/>
      <c r="ED31" s="616"/>
      <c r="EE31" s="616"/>
      <c r="EF31" s="616"/>
      <c r="EG31" s="616"/>
      <c r="EH31" s="616"/>
      <c r="EI31" s="616"/>
      <c r="EJ31" s="616"/>
      <c r="EK31" s="616"/>
      <c r="EL31" s="616"/>
      <c r="EM31" s="616"/>
      <c r="EN31" s="616"/>
      <c r="EO31" s="616"/>
      <c r="EP31" s="616"/>
      <c r="EQ31" s="616"/>
      <c r="ER31" s="616"/>
      <c r="ES31" s="616"/>
      <c r="ET31" s="616"/>
      <c r="EU31" s="616"/>
      <c r="EV31" s="616"/>
      <c r="EW31" s="616"/>
      <c r="EX31" s="616"/>
      <c r="EY31" s="616"/>
      <c r="EZ31" s="616"/>
      <c r="FA31" s="616"/>
      <c r="FB31" s="616"/>
      <c r="FC31" s="616"/>
      <c r="FD31" s="616"/>
      <c r="FE31" s="616"/>
      <c r="FF31" s="616"/>
      <c r="FG31" s="616"/>
      <c r="FH31" s="616"/>
      <c r="FI31" s="616"/>
      <c r="FJ31" s="616"/>
      <c r="FK31" s="616"/>
      <c r="FL31" s="616"/>
      <c r="FM31" s="616"/>
      <c r="FN31" s="616"/>
      <c r="FO31" s="616"/>
      <c r="FP31" s="616"/>
      <c r="FQ31" s="616"/>
      <c r="FR31" s="616"/>
      <c r="FS31" s="616"/>
      <c r="FT31" s="616"/>
      <c r="FU31" s="616"/>
      <c r="FV31" s="616"/>
      <c r="FW31" s="616"/>
      <c r="FX31" s="616"/>
      <c r="FY31" s="616"/>
      <c r="FZ31" s="616"/>
      <c r="GA31" s="616"/>
      <c r="GB31" s="616"/>
      <c r="GC31" s="616"/>
      <c r="GD31" s="616"/>
      <c r="GE31" s="616"/>
      <c r="GF31" s="616"/>
      <c r="GG31" s="616"/>
      <c r="GH31" s="616"/>
      <c r="GI31" s="616"/>
      <c r="GJ31" s="616"/>
      <c r="GK31" s="616"/>
      <c r="GL31" s="616"/>
      <c r="GM31" s="616"/>
      <c r="GN31" s="616"/>
      <c r="GO31" s="616"/>
      <c r="GP31" s="616"/>
      <c r="GQ31" s="616"/>
      <c r="GR31" s="616"/>
      <c r="GS31" s="616"/>
      <c r="GT31" s="616"/>
      <c r="GU31" s="616"/>
      <c r="GV31" s="616"/>
      <c r="GW31" s="616"/>
      <c r="GX31" s="616"/>
      <c r="GY31" s="616"/>
      <c r="GZ31" s="616"/>
      <c r="HA31" s="616"/>
      <c r="HB31" s="616"/>
      <c r="HC31" s="616"/>
      <c r="HD31" s="616"/>
      <c r="HE31" s="616"/>
      <c r="HF31" s="616"/>
      <c r="HG31" s="616"/>
      <c r="HH31" s="616"/>
      <c r="HI31" s="616"/>
      <c r="HJ31" s="616"/>
      <c r="HK31" s="616"/>
      <c r="HL31" s="616"/>
      <c r="HM31" s="616"/>
      <c r="HN31" s="616"/>
      <c r="HO31" s="616"/>
      <c r="HP31" s="616"/>
      <c r="HQ31" s="616"/>
      <c r="HR31" s="616"/>
      <c r="HS31" s="616"/>
      <c r="HT31" s="616"/>
      <c r="HU31" s="616"/>
      <c r="HV31" s="616"/>
      <c r="HW31" s="616"/>
      <c r="HX31" s="616"/>
      <c r="HY31" s="616"/>
      <c r="HZ31" s="616"/>
      <c r="IA31" s="616"/>
      <c r="IB31" s="616"/>
      <c r="IC31" s="616"/>
      <c r="ID31" s="616"/>
      <c r="IE31" s="616"/>
      <c r="IF31" s="616"/>
      <c r="IG31" s="616"/>
      <c r="IH31" s="616"/>
      <c r="II31" s="616"/>
      <c r="IJ31" s="616"/>
      <c r="IK31" s="616"/>
      <c r="IL31" s="616"/>
    </row>
    <row r="32" spans="1:246" s="513" customFormat="1" ht="12.75">
      <c r="A32" s="604">
        <v>2</v>
      </c>
      <c r="B32" s="603">
        <v>3</v>
      </c>
      <c r="C32" s="233" t="s">
        <v>598</v>
      </c>
      <c r="D32" s="605">
        <v>1684125.19</v>
      </c>
      <c r="E32" s="605">
        <v>1684125.19</v>
      </c>
      <c r="F32" s="605">
        <f>ROUND(E32*F$56,2)</f>
        <v>1648084.91</v>
      </c>
      <c r="G32" s="605">
        <f>ROUND(E32*G$56,2)</f>
        <v>36040.28</v>
      </c>
      <c r="H32" s="605">
        <f t="shared" si="9"/>
        <v>1684125.19</v>
      </c>
      <c r="I32" s="605">
        <f t="shared" si="8"/>
        <v>0</v>
      </c>
      <c r="J32" s="615"/>
      <c r="K32" s="616"/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  <c r="W32" s="616"/>
      <c r="X32" s="616"/>
      <c r="Y32" s="616"/>
      <c r="Z32" s="616"/>
      <c r="AA32" s="616"/>
      <c r="AB32" s="616"/>
      <c r="AC32" s="616"/>
      <c r="AD32" s="616"/>
      <c r="AE32" s="616"/>
      <c r="AF32" s="616"/>
      <c r="AG32" s="616"/>
      <c r="AH32" s="616"/>
      <c r="AI32" s="616"/>
      <c r="AJ32" s="616"/>
      <c r="AK32" s="616"/>
      <c r="AL32" s="616"/>
      <c r="AM32" s="616"/>
      <c r="AN32" s="616"/>
      <c r="AO32" s="616"/>
      <c r="AP32" s="616"/>
      <c r="AQ32" s="616"/>
      <c r="AR32" s="616"/>
      <c r="AS32" s="616"/>
      <c r="AT32" s="616"/>
      <c r="AU32" s="616"/>
      <c r="AV32" s="616"/>
      <c r="AW32" s="616"/>
      <c r="AX32" s="616"/>
      <c r="AY32" s="616"/>
      <c r="AZ32" s="616"/>
      <c r="BA32" s="616"/>
      <c r="BB32" s="616"/>
      <c r="BC32" s="616"/>
      <c r="BD32" s="616"/>
      <c r="BE32" s="616"/>
      <c r="BF32" s="616"/>
      <c r="BG32" s="616"/>
      <c r="BH32" s="616"/>
      <c r="BI32" s="616"/>
      <c r="BJ32" s="616"/>
      <c r="BK32" s="616"/>
      <c r="BL32" s="616"/>
      <c r="BM32" s="616"/>
      <c r="BN32" s="616"/>
      <c r="BO32" s="616"/>
      <c r="BP32" s="616"/>
      <c r="BQ32" s="616"/>
      <c r="BR32" s="616"/>
      <c r="BS32" s="616"/>
      <c r="BT32" s="616"/>
      <c r="BU32" s="616"/>
      <c r="BV32" s="616"/>
      <c r="BW32" s="616"/>
      <c r="BX32" s="616"/>
      <c r="BY32" s="616"/>
      <c r="BZ32" s="616"/>
      <c r="CA32" s="616"/>
      <c r="CB32" s="616"/>
      <c r="CC32" s="616"/>
      <c r="CD32" s="616"/>
      <c r="CE32" s="616"/>
      <c r="CF32" s="616"/>
      <c r="CG32" s="616"/>
      <c r="CH32" s="616"/>
      <c r="CI32" s="616"/>
      <c r="CJ32" s="616"/>
      <c r="CK32" s="616"/>
      <c r="CL32" s="616"/>
      <c r="CM32" s="616"/>
      <c r="CN32" s="616"/>
      <c r="CO32" s="616"/>
      <c r="CP32" s="616"/>
      <c r="CQ32" s="616"/>
      <c r="CR32" s="616"/>
      <c r="CS32" s="616"/>
      <c r="CT32" s="616"/>
      <c r="CU32" s="616"/>
      <c r="CV32" s="616"/>
      <c r="CW32" s="616"/>
      <c r="CX32" s="616"/>
      <c r="CY32" s="616"/>
      <c r="CZ32" s="616"/>
      <c r="DA32" s="616"/>
      <c r="DB32" s="616"/>
      <c r="DC32" s="616"/>
      <c r="DD32" s="616"/>
      <c r="DE32" s="616"/>
      <c r="DF32" s="616"/>
      <c r="DG32" s="616"/>
      <c r="DH32" s="616"/>
      <c r="DI32" s="616"/>
      <c r="DJ32" s="616"/>
      <c r="DK32" s="616"/>
      <c r="DL32" s="616"/>
      <c r="DM32" s="616"/>
      <c r="DN32" s="616"/>
      <c r="DO32" s="616"/>
      <c r="DP32" s="616"/>
      <c r="DQ32" s="616"/>
      <c r="DR32" s="616"/>
      <c r="DS32" s="616"/>
      <c r="DT32" s="616"/>
      <c r="DU32" s="616"/>
      <c r="DV32" s="616"/>
      <c r="DW32" s="616"/>
      <c r="DX32" s="616"/>
      <c r="DY32" s="616"/>
      <c r="DZ32" s="616"/>
      <c r="EA32" s="616"/>
      <c r="EB32" s="616"/>
      <c r="EC32" s="616"/>
      <c r="ED32" s="616"/>
      <c r="EE32" s="616"/>
      <c r="EF32" s="616"/>
      <c r="EG32" s="616"/>
      <c r="EH32" s="616"/>
      <c r="EI32" s="616"/>
      <c r="EJ32" s="616"/>
      <c r="EK32" s="616"/>
      <c r="EL32" s="616"/>
      <c r="EM32" s="616"/>
      <c r="EN32" s="616"/>
      <c r="EO32" s="616"/>
      <c r="EP32" s="616"/>
      <c r="EQ32" s="616"/>
      <c r="ER32" s="616"/>
      <c r="ES32" s="616"/>
      <c r="ET32" s="616"/>
      <c r="EU32" s="616"/>
      <c r="EV32" s="616"/>
      <c r="EW32" s="616"/>
      <c r="EX32" s="616"/>
      <c r="EY32" s="616"/>
      <c r="EZ32" s="616"/>
      <c r="FA32" s="616"/>
      <c r="FB32" s="616"/>
      <c r="FC32" s="616"/>
      <c r="FD32" s="616"/>
      <c r="FE32" s="616"/>
      <c r="FF32" s="616"/>
      <c r="FG32" s="616"/>
      <c r="FH32" s="616"/>
      <c r="FI32" s="616"/>
      <c r="FJ32" s="616"/>
      <c r="FK32" s="616"/>
      <c r="FL32" s="616"/>
      <c r="FM32" s="616"/>
      <c r="FN32" s="616"/>
      <c r="FO32" s="616"/>
      <c r="FP32" s="616"/>
      <c r="FQ32" s="616"/>
      <c r="FR32" s="616"/>
      <c r="FS32" s="616"/>
      <c r="FT32" s="616"/>
      <c r="FU32" s="616"/>
      <c r="FV32" s="616"/>
      <c r="FW32" s="616"/>
      <c r="FX32" s="616"/>
      <c r="FY32" s="616"/>
      <c r="FZ32" s="616"/>
      <c r="GA32" s="616"/>
      <c r="GB32" s="616"/>
      <c r="GC32" s="616"/>
      <c r="GD32" s="616"/>
      <c r="GE32" s="616"/>
      <c r="GF32" s="616"/>
      <c r="GG32" s="616"/>
      <c r="GH32" s="616"/>
      <c r="GI32" s="616"/>
      <c r="GJ32" s="616"/>
      <c r="GK32" s="616"/>
      <c r="GL32" s="616"/>
      <c r="GM32" s="616"/>
      <c r="GN32" s="616"/>
      <c r="GO32" s="616"/>
      <c r="GP32" s="616"/>
      <c r="GQ32" s="616"/>
      <c r="GR32" s="616"/>
      <c r="GS32" s="616"/>
      <c r="GT32" s="616"/>
      <c r="GU32" s="616"/>
      <c r="GV32" s="616"/>
      <c r="GW32" s="616"/>
      <c r="GX32" s="616"/>
      <c r="GY32" s="616"/>
      <c r="GZ32" s="616"/>
      <c r="HA32" s="616"/>
      <c r="HB32" s="616"/>
      <c r="HC32" s="616"/>
      <c r="HD32" s="616"/>
      <c r="HE32" s="616"/>
      <c r="HF32" s="616"/>
      <c r="HG32" s="616"/>
      <c r="HH32" s="616"/>
      <c r="HI32" s="616"/>
      <c r="HJ32" s="616"/>
      <c r="HK32" s="616"/>
      <c r="HL32" s="616"/>
      <c r="HM32" s="616"/>
      <c r="HN32" s="616"/>
      <c r="HO32" s="616"/>
      <c r="HP32" s="616"/>
      <c r="HQ32" s="616"/>
      <c r="HR32" s="616"/>
      <c r="HS32" s="616"/>
      <c r="HT32" s="616"/>
      <c r="HU32" s="616"/>
      <c r="HV32" s="616"/>
      <c r="HW32" s="616"/>
      <c r="HX32" s="616"/>
      <c r="HY32" s="616"/>
      <c r="HZ32" s="616"/>
      <c r="IA32" s="616"/>
      <c r="IB32" s="616"/>
      <c r="IC32" s="616"/>
      <c r="ID32" s="616"/>
      <c r="IE32" s="616"/>
      <c r="IF32" s="616"/>
      <c r="IG32" s="616"/>
      <c r="IH32" s="616"/>
      <c r="II32" s="616"/>
      <c r="IJ32" s="616"/>
      <c r="IK32" s="616"/>
      <c r="IL32" s="616"/>
    </row>
    <row r="33" spans="1:246" s="513" customFormat="1" ht="12.75">
      <c r="A33" s="604">
        <v>2</v>
      </c>
      <c r="B33" s="603">
        <v>4</v>
      </c>
      <c r="C33" s="233" t="s">
        <v>598</v>
      </c>
      <c r="D33" s="605"/>
      <c r="E33" s="605">
        <v>0</v>
      </c>
      <c r="F33" s="605"/>
      <c r="G33" s="605"/>
      <c r="H33" s="605">
        <f t="shared" si="9"/>
        <v>0</v>
      </c>
      <c r="I33" s="605">
        <f t="shared" si="8"/>
        <v>0</v>
      </c>
      <c r="J33" s="615"/>
      <c r="K33" s="616"/>
      <c r="L33" s="616"/>
      <c r="M33" s="616"/>
      <c r="N33" s="616"/>
      <c r="O33" s="616"/>
      <c r="P33" s="616"/>
      <c r="Q33" s="616"/>
      <c r="R33" s="616"/>
      <c r="S33" s="616"/>
      <c r="T33" s="616"/>
      <c r="U33" s="616"/>
      <c r="V33" s="616"/>
      <c r="W33" s="616"/>
      <c r="X33" s="616"/>
      <c r="Y33" s="616"/>
      <c r="Z33" s="616"/>
      <c r="AA33" s="616"/>
      <c r="AB33" s="616"/>
      <c r="AC33" s="616"/>
      <c r="AD33" s="616"/>
      <c r="AE33" s="616"/>
      <c r="AF33" s="616"/>
      <c r="AG33" s="616"/>
      <c r="AH33" s="616"/>
      <c r="AI33" s="616"/>
      <c r="AJ33" s="616"/>
      <c r="AK33" s="616"/>
      <c r="AL33" s="616"/>
      <c r="AM33" s="616"/>
      <c r="AN33" s="616"/>
      <c r="AO33" s="616"/>
      <c r="AP33" s="616"/>
      <c r="AQ33" s="616"/>
      <c r="AR33" s="616"/>
      <c r="AS33" s="616"/>
      <c r="AT33" s="616"/>
      <c r="AU33" s="616"/>
      <c r="AV33" s="616"/>
      <c r="AW33" s="616"/>
      <c r="AX33" s="616"/>
      <c r="AY33" s="616"/>
      <c r="AZ33" s="616"/>
      <c r="BA33" s="616"/>
      <c r="BB33" s="616"/>
      <c r="BC33" s="616"/>
      <c r="BD33" s="616"/>
      <c r="BE33" s="616"/>
      <c r="BF33" s="616"/>
      <c r="BG33" s="616"/>
      <c r="BH33" s="616"/>
      <c r="BI33" s="616"/>
      <c r="BJ33" s="616"/>
      <c r="BK33" s="616"/>
      <c r="BL33" s="616"/>
      <c r="BM33" s="616"/>
      <c r="BN33" s="616"/>
      <c r="BO33" s="616"/>
      <c r="BP33" s="616"/>
      <c r="BQ33" s="616"/>
      <c r="BR33" s="616"/>
      <c r="BS33" s="616"/>
      <c r="BT33" s="616"/>
      <c r="BU33" s="616"/>
      <c r="BV33" s="616"/>
      <c r="BW33" s="616"/>
      <c r="BX33" s="616"/>
      <c r="BY33" s="616"/>
      <c r="BZ33" s="616"/>
      <c r="CA33" s="616"/>
      <c r="CB33" s="616"/>
      <c r="CC33" s="616"/>
      <c r="CD33" s="616"/>
      <c r="CE33" s="616"/>
      <c r="CF33" s="616"/>
      <c r="CG33" s="616"/>
      <c r="CH33" s="616"/>
      <c r="CI33" s="616"/>
      <c r="CJ33" s="616"/>
      <c r="CK33" s="616"/>
      <c r="CL33" s="616"/>
      <c r="CM33" s="616"/>
      <c r="CN33" s="616"/>
      <c r="CO33" s="616"/>
      <c r="CP33" s="616"/>
      <c r="CQ33" s="616"/>
      <c r="CR33" s="616"/>
      <c r="CS33" s="616"/>
      <c r="CT33" s="616"/>
      <c r="CU33" s="616"/>
      <c r="CV33" s="616"/>
      <c r="CW33" s="616"/>
      <c r="CX33" s="616"/>
      <c r="CY33" s="616"/>
      <c r="CZ33" s="616"/>
      <c r="DA33" s="616"/>
      <c r="DB33" s="616"/>
      <c r="DC33" s="616"/>
      <c r="DD33" s="616"/>
      <c r="DE33" s="616"/>
      <c r="DF33" s="616"/>
      <c r="DG33" s="616"/>
      <c r="DH33" s="616"/>
      <c r="DI33" s="616"/>
      <c r="DJ33" s="616"/>
      <c r="DK33" s="616"/>
      <c r="DL33" s="616"/>
      <c r="DM33" s="616"/>
      <c r="DN33" s="616"/>
      <c r="DO33" s="616"/>
      <c r="DP33" s="616"/>
      <c r="DQ33" s="616"/>
      <c r="DR33" s="616"/>
      <c r="DS33" s="616"/>
      <c r="DT33" s="616"/>
      <c r="DU33" s="616"/>
      <c r="DV33" s="616"/>
      <c r="DW33" s="616"/>
      <c r="DX33" s="616"/>
      <c r="DY33" s="616"/>
      <c r="DZ33" s="616"/>
      <c r="EA33" s="616"/>
      <c r="EB33" s="616"/>
      <c r="EC33" s="616"/>
      <c r="ED33" s="616"/>
      <c r="EE33" s="616"/>
      <c r="EF33" s="616"/>
      <c r="EG33" s="616"/>
      <c r="EH33" s="616"/>
      <c r="EI33" s="616"/>
      <c r="EJ33" s="616"/>
      <c r="EK33" s="616"/>
      <c r="EL33" s="616"/>
      <c r="EM33" s="616"/>
      <c r="EN33" s="616"/>
      <c r="EO33" s="616"/>
      <c r="EP33" s="616"/>
      <c r="EQ33" s="616"/>
      <c r="ER33" s="616"/>
      <c r="ES33" s="616"/>
      <c r="ET33" s="616"/>
      <c r="EU33" s="616"/>
      <c r="EV33" s="616"/>
      <c r="EW33" s="616"/>
      <c r="EX33" s="616"/>
      <c r="EY33" s="616"/>
      <c r="EZ33" s="616"/>
      <c r="FA33" s="616"/>
      <c r="FB33" s="616"/>
      <c r="FC33" s="616"/>
      <c r="FD33" s="616"/>
      <c r="FE33" s="616"/>
      <c r="FF33" s="616"/>
      <c r="FG33" s="616"/>
      <c r="FH33" s="616"/>
      <c r="FI33" s="616"/>
      <c r="FJ33" s="616"/>
      <c r="FK33" s="616"/>
      <c r="FL33" s="616"/>
      <c r="FM33" s="616"/>
      <c r="FN33" s="616"/>
      <c r="FO33" s="616"/>
      <c r="FP33" s="616"/>
      <c r="FQ33" s="616"/>
      <c r="FR33" s="616"/>
      <c r="FS33" s="616"/>
      <c r="FT33" s="616"/>
      <c r="FU33" s="616"/>
      <c r="FV33" s="616"/>
      <c r="FW33" s="616"/>
      <c r="FX33" s="616"/>
      <c r="FY33" s="616"/>
      <c r="FZ33" s="616"/>
      <c r="GA33" s="616"/>
      <c r="GB33" s="616"/>
      <c r="GC33" s="616"/>
      <c r="GD33" s="616"/>
      <c r="GE33" s="616"/>
      <c r="GF33" s="616"/>
      <c r="GG33" s="616"/>
      <c r="GH33" s="616"/>
      <c r="GI33" s="616"/>
      <c r="GJ33" s="616"/>
      <c r="GK33" s="616"/>
      <c r="GL33" s="616"/>
      <c r="GM33" s="616"/>
      <c r="GN33" s="616"/>
      <c r="GO33" s="616"/>
      <c r="GP33" s="616"/>
      <c r="GQ33" s="616"/>
      <c r="GR33" s="616"/>
      <c r="GS33" s="616"/>
      <c r="GT33" s="616"/>
      <c r="GU33" s="616"/>
      <c r="GV33" s="616"/>
      <c r="GW33" s="616"/>
      <c r="GX33" s="616"/>
      <c r="GY33" s="616"/>
      <c r="GZ33" s="616"/>
      <c r="HA33" s="616"/>
      <c r="HB33" s="616"/>
      <c r="HC33" s="616"/>
      <c r="HD33" s="616"/>
      <c r="HE33" s="616"/>
      <c r="HF33" s="616"/>
      <c r="HG33" s="616"/>
      <c r="HH33" s="616"/>
      <c r="HI33" s="616"/>
      <c r="HJ33" s="616"/>
      <c r="HK33" s="616"/>
      <c r="HL33" s="616"/>
      <c r="HM33" s="616"/>
      <c r="HN33" s="616"/>
      <c r="HO33" s="616"/>
      <c r="HP33" s="616"/>
      <c r="HQ33" s="616"/>
      <c r="HR33" s="616"/>
      <c r="HS33" s="616"/>
      <c r="HT33" s="616"/>
      <c r="HU33" s="616"/>
      <c r="HV33" s="616"/>
      <c r="HW33" s="616"/>
      <c r="HX33" s="616"/>
      <c r="HY33" s="616"/>
      <c r="HZ33" s="616"/>
      <c r="IA33" s="616"/>
      <c r="IB33" s="616"/>
      <c r="IC33" s="616"/>
      <c r="ID33" s="616"/>
      <c r="IE33" s="616"/>
      <c r="IF33" s="616"/>
      <c r="IG33" s="616"/>
      <c r="IH33" s="616"/>
      <c r="II33" s="616"/>
      <c r="IJ33" s="616"/>
      <c r="IK33" s="616"/>
      <c r="IL33" s="616"/>
    </row>
    <row r="34" spans="1:246" s="513" customFormat="1" ht="12.75">
      <c r="A34" s="604">
        <v>2</v>
      </c>
      <c r="B34" s="603">
        <v>5</v>
      </c>
      <c r="C34" s="233" t="s">
        <v>598</v>
      </c>
      <c r="D34" s="605"/>
      <c r="E34" s="605">
        <v>0</v>
      </c>
      <c r="F34" s="605"/>
      <c r="G34" s="605"/>
      <c r="H34" s="605">
        <f t="shared" si="9"/>
        <v>0</v>
      </c>
      <c r="I34" s="605">
        <f t="shared" si="8"/>
        <v>0</v>
      </c>
      <c r="J34" s="615"/>
      <c r="K34" s="616"/>
      <c r="L34" s="616"/>
      <c r="M34" s="616"/>
      <c r="N34" s="616"/>
      <c r="O34" s="616"/>
      <c r="P34" s="616"/>
      <c r="Q34" s="616"/>
      <c r="R34" s="616"/>
      <c r="S34" s="616"/>
      <c r="T34" s="616"/>
      <c r="U34" s="616"/>
      <c r="V34" s="616"/>
      <c r="W34" s="616"/>
      <c r="X34" s="616"/>
      <c r="Y34" s="616"/>
      <c r="Z34" s="616"/>
      <c r="AA34" s="616"/>
      <c r="AB34" s="616"/>
      <c r="AC34" s="616"/>
      <c r="AD34" s="616"/>
      <c r="AE34" s="616"/>
      <c r="AF34" s="616"/>
      <c r="AG34" s="616"/>
      <c r="AH34" s="616"/>
      <c r="AI34" s="616"/>
      <c r="AJ34" s="616"/>
      <c r="AK34" s="616"/>
      <c r="AL34" s="616"/>
      <c r="AM34" s="616"/>
      <c r="AN34" s="616"/>
      <c r="AO34" s="616"/>
      <c r="AP34" s="616"/>
      <c r="AQ34" s="616"/>
      <c r="AR34" s="616"/>
      <c r="AS34" s="616"/>
      <c r="AT34" s="616"/>
      <c r="AU34" s="616"/>
      <c r="AV34" s="616"/>
      <c r="AW34" s="616"/>
      <c r="AX34" s="616"/>
      <c r="AY34" s="616"/>
      <c r="AZ34" s="616"/>
      <c r="BA34" s="616"/>
      <c r="BB34" s="616"/>
      <c r="BC34" s="616"/>
      <c r="BD34" s="616"/>
      <c r="BE34" s="616"/>
      <c r="BF34" s="616"/>
      <c r="BG34" s="616"/>
      <c r="BH34" s="616"/>
      <c r="BI34" s="616"/>
      <c r="BJ34" s="616"/>
      <c r="BK34" s="616"/>
      <c r="BL34" s="616"/>
      <c r="BM34" s="616"/>
      <c r="BN34" s="616"/>
      <c r="BO34" s="616"/>
      <c r="BP34" s="616"/>
      <c r="BQ34" s="616"/>
      <c r="BR34" s="616"/>
      <c r="BS34" s="616"/>
      <c r="BT34" s="616"/>
      <c r="BU34" s="616"/>
      <c r="BV34" s="616"/>
      <c r="BW34" s="616"/>
      <c r="BX34" s="616"/>
      <c r="BY34" s="616"/>
      <c r="BZ34" s="616"/>
      <c r="CA34" s="616"/>
      <c r="CB34" s="616"/>
      <c r="CC34" s="616"/>
      <c r="CD34" s="616"/>
      <c r="CE34" s="616"/>
      <c r="CF34" s="616"/>
      <c r="CG34" s="616"/>
      <c r="CH34" s="616"/>
      <c r="CI34" s="616"/>
      <c r="CJ34" s="616"/>
      <c r="CK34" s="616"/>
      <c r="CL34" s="616"/>
      <c r="CM34" s="616"/>
      <c r="CN34" s="616"/>
      <c r="CO34" s="616"/>
      <c r="CP34" s="616"/>
      <c r="CQ34" s="616"/>
      <c r="CR34" s="616"/>
      <c r="CS34" s="616"/>
      <c r="CT34" s="616"/>
      <c r="CU34" s="616"/>
      <c r="CV34" s="616"/>
      <c r="CW34" s="616"/>
      <c r="CX34" s="616"/>
      <c r="CY34" s="616"/>
      <c r="CZ34" s="616"/>
      <c r="DA34" s="616"/>
      <c r="DB34" s="616"/>
      <c r="DC34" s="616"/>
      <c r="DD34" s="616"/>
      <c r="DE34" s="616"/>
      <c r="DF34" s="616"/>
      <c r="DG34" s="616"/>
      <c r="DH34" s="616"/>
      <c r="DI34" s="616"/>
      <c r="DJ34" s="616"/>
      <c r="DK34" s="616"/>
      <c r="DL34" s="616"/>
      <c r="DM34" s="616"/>
      <c r="DN34" s="616"/>
      <c r="DO34" s="616"/>
      <c r="DP34" s="616"/>
      <c r="DQ34" s="616"/>
      <c r="DR34" s="616"/>
      <c r="DS34" s="616"/>
      <c r="DT34" s="616"/>
      <c r="DU34" s="616"/>
      <c r="DV34" s="616"/>
      <c r="DW34" s="616"/>
      <c r="DX34" s="616"/>
      <c r="DY34" s="616"/>
      <c r="DZ34" s="616"/>
      <c r="EA34" s="616"/>
      <c r="EB34" s="616"/>
      <c r="EC34" s="616"/>
      <c r="ED34" s="616"/>
      <c r="EE34" s="616"/>
      <c r="EF34" s="616"/>
      <c r="EG34" s="616"/>
      <c r="EH34" s="616"/>
      <c r="EI34" s="616"/>
      <c r="EJ34" s="616"/>
      <c r="EK34" s="616"/>
      <c r="EL34" s="616"/>
      <c r="EM34" s="616"/>
      <c r="EN34" s="616"/>
      <c r="EO34" s="616"/>
      <c r="EP34" s="616"/>
      <c r="EQ34" s="616"/>
      <c r="ER34" s="616"/>
      <c r="ES34" s="616"/>
      <c r="ET34" s="616"/>
      <c r="EU34" s="616"/>
      <c r="EV34" s="616"/>
      <c r="EW34" s="616"/>
      <c r="EX34" s="616"/>
      <c r="EY34" s="616"/>
      <c r="EZ34" s="616"/>
      <c r="FA34" s="616"/>
      <c r="FB34" s="616"/>
      <c r="FC34" s="616"/>
      <c r="FD34" s="616"/>
      <c r="FE34" s="616"/>
      <c r="FF34" s="616"/>
      <c r="FG34" s="616"/>
      <c r="FH34" s="616"/>
      <c r="FI34" s="616"/>
      <c r="FJ34" s="616"/>
      <c r="FK34" s="616"/>
      <c r="FL34" s="616"/>
      <c r="FM34" s="616"/>
      <c r="FN34" s="616"/>
      <c r="FO34" s="616"/>
      <c r="FP34" s="616"/>
      <c r="FQ34" s="616"/>
      <c r="FR34" s="616"/>
      <c r="FS34" s="616"/>
      <c r="FT34" s="616"/>
      <c r="FU34" s="616"/>
      <c r="FV34" s="616"/>
      <c r="FW34" s="616"/>
      <c r="FX34" s="616"/>
      <c r="FY34" s="616"/>
      <c r="FZ34" s="616"/>
      <c r="GA34" s="616"/>
      <c r="GB34" s="616"/>
      <c r="GC34" s="616"/>
      <c r="GD34" s="616"/>
      <c r="GE34" s="616"/>
      <c r="GF34" s="616"/>
      <c r="GG34" s="616"/>
      <c r="GH34" s="616"/>
      <c r="GI34" s="616"/>
      <c r="GJ34" s="616"/>
      <c r="GK34" s="616"/>
      <c r="GL34" s="616"/>
      <c r="GM34" s="616"/>
      <c r="GN34" s="616"/>
      <c r="GO34" s="616"/>
      <c r="GP34" s="616"/>
      <c r="GQ34" s="616"/>
      <c r="GR34" s="616"/>
      <c r="GS34" s="616"/>
      <c r="GT34" s="616"/>
      <c r="GU34" s="616"/>
      <c r="GV34" s="616"/>
      <c r="GW34" s="616"/>
      <c r="GX34" s="616"/>
      <c r="GY34" s="616"/>
      <c r="GZ34" s="616"/>
      <c r="HA34" s="616"/>
      <c r="HB34" s="616"/>
      <c r="HC34" s="616"/>
      <c r="HD34" s="616"/>
      <c r="HE34" s="616"/>
      <c r="HF34" s="616"/>
      <c r="HG34" s="616"/>
      <c r="HH34" s="616"/>
      <c r="HI34" s="616"/>
      <c r="HJ34" s="616"/>
      <c r="HK34" s="616"/>
      <c r="HL34" s="616"/>
      <c r="HM34" s="616"/>
      <c r="HN34" s="616"/>
      <c r="HO34" s="616"/>
      <c r="HP34" s="616"/>
      <c r="HQ34" s="616"/>
      <c r="HR34" s="616"/>
      <c r="HS34" s="616"/>
      <c r="HT34" s="616"/>
      <c r="HU34" s="616"/>
      <c r="HV34" s="616"/>
      <c r="HW34" s="616"/>
      <c r="HX34" s="616"/>
      <c r="HY34" s="616"/>
      <c r="HZ34" s="616"/>
      <c r="IA34" s="616"/>
      <c r="IB34" s="616"/>
      <c r="IC34" s="616"/>
      <c r="ID34" s="616"/>
      <c r="IE34" s="616"/>
      <c r="IF34" s="616"/>
      <c r="IG34" s="616"/>
      <c r="IH34" s="616"/>
      <c r="II34" s="616"/>
      <c r="IJ34" s="616"/>
      <c r="IK34" s="616"/>
      <c r="IL34" s="616"/>
    </row>
    <row r="35" spans="1:246" s="513" customFormat="1" ht="12.75">
      <c r="A35" s="604">
        <v>2</v>
      </c>
      <c r="B35" s="603">
        <v>6</v>
      </c>
      <c r="C35" s="233" t="s">
        <v>598</v>
      </c>
      <c r="D35" s="605"/>
      <c r="E35" s="605">
        <v>0</v>
      </c>
      <c r="F35" s="605"/>
      <c r="G35" s="605"/>
      <c r="H35" s="605">
        <f t="shared" si="9"/>
        <v>0</v>
      </c>
      <c r="I35" s="605">
        <f t="shared" si="8"/>
        <v>0</v>
      </c>
      <c r="J35" s="615"/>
      <c r="K35" s="616"/>
      <c r="L35" s="616"/>
      <c r="M35" s="616"/>
      <c r="N35" s="616"/>
      <c r="O35" s="616"/>
      <c r="P35" s="616"/>
      <c r="Q35" s="616"/>
      <c r="R35" s="616"/>
      <c r="S35" s="616"/>
      <c r="T35" s="616"/>
      <c r="U35" s="616"/>
      <c r="V35" s="616"/>
      <c r="W35" s="616"/>
      <c r="X35" s="616"/>
      <c r="Y35" s="616"/>
      <c r="Z35" s="616"/>
      <c r="AA35" s="616"/>
      <c r="AB35" s="616"/>
      <c r="AC35" s="616"/>
      <c r="AD35" s="616"/>
      <c r="AE35" s="616"/>
      <c r="AF35" s="616"/>
      <c r="AG35" s="616"/>
      <c r="AH35" s="616"/>
      <c r="AI35" s="616"/>
      <c r="AJ35" s="616"/>
      <c r="AK35" s="616"/>
      <c r="AL35" s="616"/>
      <c r="AM35" s="616"/>
      <c r="AN35" s="616"/>
      <c r="AO35" s="616"/>
      <c r="AP35" s="616"/>
      <c r="AQ35" s="616"/>
      <c r="AR35" s="616"/>
      <c r="AS35" s="616"/>
      <c r="AT35" s="616"/>
      <c r="AU35" s="616"/>
      <c r="AV35" s="616"/>
      <c r="AW35" s="616"/>
      <c r="AX35" s="616"/>
      <c r="AY35" s="616"/>
      <c r="AZ35" s="616"/>
      <c r="BA35" s="616"/>
      <c r="BB35" s="616"/>
      <c r="BC35" s="616"/>
      <c r="BD35" s="616"/>
      <c r="BE35" s="616"/>
      <c r="BF35" s="616"/>
      <c r="BG35" s="616"/>
      <c r="BH35" s="616"/>
      <c r="BI35" s="616"/>
      <c r="BJ35" s="616"/>
      <c r="BK35" s="616"/>
      <c r="BL35" s="616"/>
      <c r="BM35" s="616"/>
      <c r="BN35" s="616"/>
      <c r="BO35" s="616"/>
      <c r="BP35" s="616"/>
      <c r="BQ35" s="616"/>
      <c r="BR35" s="616"/>
      <c r="BS35" s="616"/>
      <c r="BT35" s="616"/>
      <c r="BU35" s="616"/>
      <c r="BV35" s="616"/>
      <c r="BW35" s="616"/>
      <c r="BX35" s="616"/>
      <c r="BY35" s="616"/>
      <c r="BZ35" s="616"/>
      <c r="CA35" s="616"/>
      <c r="CB35" s="616"/>
      <c r="CC35" s="616"/>
      <c r="CD35" s="616"/>
      <c r="CE35" s="616"/>
      <c r="CF35" s="616"/>
      <c r="CG35" s="616"/>
      <c r="CH35" s="616"/>
      <c r="CI35" s="616"/>
      <c r="CJ35" s="616"/>
      <c r="CK35" s="616"/>
      <c r="CL35" s="616"/>
      <c r="CM35" s="616"/>
      <c r="CN35" s="616"/>
      <c r="CO35" s="616"/>
      <c r="CP35" s="616"/>
      <c r="CQ35" s="616"/>
      <c r="CR35" s="616"/>
      <c r="CS35" s="616"/>
      <c r="CT35" s="616"/>
      <c r="CU35" s="616"/>
      <c r="CV35" s="616"/>
      <c r="CW35" s="616"/>
      <c r="CX35" s="616"/>
      <c r="CY35" s="616"/>
      <c r="CZ35" s="616"/>
      <c r="DA35" s="616"/>
      <c r="DB35" s="616"/>
      <c r="DC35" s="616"/>
      <c r="DD35" s="616"/>
      <c r="DE35" s="616"/>
      <c r="DF35" s="616"/>
      <c r="DG35" s="616"/>
      <c r="DH35" s="616"/>
      <c r="DI35" s="616"/>
      <c r="DJ35" s="616"/>
      <c r="DK35" s="616"/>
      <c r="DL35" s="616"/>
      <c r="DM35" s="616"/>
      <c r="DN35" s="616"/>
      <c r="DO35" s="616"/>
      <c r="DP35" s="616"/>
      <c r="DQ35" s="616"/>
      <c r="DR35" s="616"/>
      <c r="DS35" s="616"/>
      <c r="DT35" s="616"/>
      <c r="DU35" s="616"/>
      <c r="DV35" s="616"/>
      <c r="DW35" s="616"/>
      <c r="DX35" s="616"/>
      <c r="DY35" s="616"/>
      <c r="DZ35" s="616"/>
      <c r="EA35" s="616"/>
      <c r="EB35" s="616"/>
      <c r="EC35" s="616"/>
      <c r="ED35" s="616"/>
      <c r="EE35" s="616"/>
      <c r="EF35" s="616"/>
      <c r="EG35" s="616"/>
      <c r="EH35" s="616"/>
      <c r="EI35" s="616"/>
      <c r="EJ35" s="616"/>
      <c r="EK35" s="616"/>
      <c r="EL35" s="616"/>
      <c r="EM35" s="616"/>
      <c r="EN35" s="616"/>
      <c r="EO35" s="616"/>
      <c r="EP35" s="616"/>
      <c r="EQ35" s="616"/>
      <c r="ER35" s="616"/>
      <c r="ES35" s="616"/>
      <c r="ET35" s="616"/>
      <c r="EU35" s="616"/>
      <c r="EV35" s="616"/>
      <c r="EW35" s="616"/>
      <c r="EX35" s="616"/>
      <c r="EY35" s="616"/>
      <c r="EZ35" s="616"/>
      <c r="FA35" s="616"/>
      <c r="FB35" s="616"/>
      <c r="FC35" s="616"/>
      <c r="FD35" s="616"/>
      <c r="FE35" s="616"/>
      <c r="FF35" s="616"/>
      <c r="FG35" s="616"/>
      <c r="FH35" s="616"/>
      <c r="FI35" s="616"/>
      <c r="FJ35" s="616"/>
      <c r="FK35" s="616"/>
      <c r="FL35" s="616"/>
      <c r="FM35" s="616"/>
      <c r="FN35" s="616"/>
      <c r="FO35" s="616"/>
      <c r="FP35" s="616"/>
      <c r="FQ35" s="616"/>
      <c r="FR35" s="616"/>
      <c r="FS35" s="616"/>
      <c r="FT35" s="616"/>
      <c r="FU35" s="616"/>
      <c r="FV35" s="616"/>
      <c r="FW35" s="616"/>
      <c r="FX35" s="616"/>
      <c r="FY35" s="616"/>
      <c r="FZ35" s="616"/>
      <c r="GA35" s="616"/>
      <c r="GB35" s="616"/>
      <c r="GC35" s="616"/>
      <c r="GD35" s="616"/>
      <c r="GE35" s="616"/>
      <c r="GF35" s="616"/>
      <c r="GG35" s="616"/>
      <c r="GH35" s="616"/>
      <c r="GI35" s="616"/>
      <c r="GJ35" s="616"/>
      <c r="GK35" s="616"/>
      <c r="GL35" s="616"/>
      <c r="GM35" s="616"/>
      <c r="GN35" s="616"/>
      <c r="GO35" s="616"/>
      <c r="GP35" s="616"/>
      <c r="GQ35" s="616"/>
      <c r="GR35" s="616"/>
      <c r="GS35" s="616"/>
      <c r="GT35" s="616"/>
      <c r="GU35" s="616"/>
      <c r="GV35" s="616"/>
      <c r="GW35" s="616"/>
      <c r="GX35" s="616"/>
      <c r="GY35" s="616"/>
      <c r="GZ35" s="616"/>
      <c r="HA35" s="616"/>
      <c r="HB35" s="616"/>
      <c r="HC35" s="616"/>
      <c r="HD35" s="616"/>
      <c r="HE35" s="616"/>
      <c r="HF35" s="616"/>
      <c r="HG35" s="616"/>
      <c r="HH35" s="616"/>
      <c r="HI35" s="616"/>
      <c r="HJ35" s="616"/>
      <c r="HK35" s="616"/>
      <c r="HL35" s="616"/>
      <c r="HM35" s="616"/>
      <c r="HN35" s="616"/>
      <c r="HO35" s="616"/>
      <c r="HP35" s="616"/>
      <c r="HQ35" s="616"/>
      <c r="HR35" s="616"/>
      <c r="HS35" s="616"/>
      <c r="HT35" s="616"/>
      <c r="HU35" s="616"/>
      <c r="HV35" s="616"/>
      <c r="HW35" s="616"/>
      <c r="HX35" s="616"/>
      <c r="HY35" s="616"/>
      <c r="HZ35" s="616"/>
      <c r="IA35" s="616"/>
      <c r="IB35" s="616"/>
      <c r="IC35" s="616"/>
      <c r="ID35" s="616"/>
      <c r="IE35" s="616"/>
      <c r="IF35" s="616"/>
      <c r="IG35" s="616"/>
      <c r="IH35" s="616"/>
      <c r="II35" s="616"/>
      <c r="IJ35" s="616"/>
      <c r="IK35" s="616"/>
      <c r="IL35" s="616"/>
    </row>
    <row r="36" spans="1:246" s="513" customFormat="1" ht="12.75">
      <c r="A36" s="604">
        <v>2</v>
      </c>
      <c r="B36" s="603">
        <v>7</v>
      </c>
      <c r="C36" s="233" t="s">
        <v>598</v>
      </c>
      <c r="D36" s="605">
        <v>123300</v>
      </c>
      <c r="E36" s="605">
        <v>123300</v>
      </c>
      <c r="F36" s="605">
        <f>ROUND(E36*F$56,2)</f>
        <v>120661.38</v>
      </c>
      <c r="G36" s="605">
        <f>ROUND(E36*G$56,2)</f>
        <v>2638.62</v>
      </c>
      <c r="H36" s="605">
        <f t="shared" si="9"/>
        <v>123300</v>
      </c>
      <c r="I36" s="605">
        <f t="shared" si="8"/>
        <v>0</v>
      </c>
      <c r="J36" s="615"/>
      <c r="K36" s="616"/>
      <c r="L36" s="616"/>
      <c r="M36" s="616"/>
      <c r="N36" s="616"/>
      <c r="O36" s="616"/>
      <c r="P36" s="616"/>
      <c r="Q36" s="616"/>
      <c r="R36" s="616"/>
      <c r="S36" s="616"/>
      <c r="T36" s="616"/>
      <c r="U36" s="616"/>
      <c r="V36" s="616"/>
      <c r="W36" s="616"/>
      <c r="X36" s="616"/>
      <c r="Y36" s="616"/>
      <c r="Z36" s="616"/>
      <c r="AA36" s="616"/>
      <c r="AB36" s="616"/>
      <c r="AC36" s="616"/>
      <c r="AD36" s="616"/>
      <c r="AE36" s="616"/>
      <c r="AF36" s="616"/>
      <c r="AG36" s="616"/>
      <c r="AH36" s="616"/>
      <c r="AI36" s="616"/>
      <c r="AJ36" s="616"/>
      <c r="AK36" s="616"/>
      <c r="AL36" s="616"/>
      <c r="AM36" s="616"/>
      <c r="AN36" s="616"/>
      <c r="AO36" s="616"/>
      <c r="AP36" s="616"/>
      <c r="AQ36" s="616"/>
      <c r="AR36" s="616"/>
      <c r="AS36" s="616"/>
      <c r="AT36" s="616"/>
      <c r="AU36" s="616"/>
      <c r="AV36" s="616"/>
      <c r="AW36" s="616"/>
      <c r="AX36" s="616"/>
      <c r="AY36" s="616"/>
      <c r="AZ36" s="616"/>
      <c r="BA36" s="616"/>
      <c r="BB36" s="616"/>
      <c r="BC36" s="616"/>
      <c r="BD36" s="616"/>
      <c r="BE36" s="616"/>
      <c r="BF36" s="616"/>
      <c r="BG36" s="616"/>
      <c r="BH36" s="616"/>
      <c r="BI36" s="616"/>
      <c r="BJ36" s="616"/>
      <c r="BK36" s="616"/>
      <c r="BL36" s="616"/>
      <c r="BM36" s="616"/>
      <c r="BN36" s="616"/>
      <c r="BO36" s="616"/>
      <c r="BP36" s="616"/>
      <c r="BQ36" s="616"/>
      <c r="BR36" s="616"/>
      <c r="BS36" s="616"/>
      <c r="BT36" s="616"/>
      <c r="BU36" s="616"/>
      <c r="BV36" s="616"/>
      <c r="BW36" s="616"/>
      <c r="BX36" s="616"/>
      <c r="BY36" s="616"/>
      <c r="BZ36" s="616"/>
      <c r="CA36" s="616"/>
      <c r="CB36" s="616"/>
      <c r="CC36" s="616"/>
      <c r="CD36" s="616"/>
      <c r="CE36" s="616"/>
      <c r="CF36" s="616"/>
      <c r="CG36" s="616"/>
      <c r="CH36" s="616"/>
      <c r="CI36" s="616"/>
      <c r="CJ36" s="616"/>
      <c r="CK36" s="616"/>
      <c r="CL36" s="616"/>
      <c r="CM36" s="616"/>
      <c r="CN36" s="616"/>
      <c r="CO36" s="616"/>
      <c r="CP36" s="616"/>
      <c r="CQ36" s="616"/>
      <c r="CR36" s="616"/>
      <c r="CS36" s="616"/>
      <c r="CT36" s="616"/>
      <c r="CU36" s="616"/>
      <c r="CV36" s="616"/>
      <c r="CW36" s="616"/>
      <c r="CX36" s="616"/>
      <c r="CY36" s="616"/>
      <c r="CZ36" s="616"/>
      <c r="DA36" s="616"/>
      <c r="DB36" s="616"/>
      <c r="DC36" s="616"/>
      <c r="DD36" s="616"/>
      <c r="DE36" s="616"/>
      <c r="DF36" s="616"/>
      <c r="DG36" s="616"/>
      <c r="DH36" s="616"/>
      <c r="DI36" s="616"/>
      <c r="DJ36" s="616"/>
      <c r="DK36" s="616"/>
      <c r="DL36" s="616"/>
      <c r="DM36" s="616"/>
      <c r="DN36" s="616"/>
      <c r="DO36" s="616"/>
      <c r="DP36" s="616"/>
      <c r="DQ36" s="616"/>
      <c r="DR36" s="616"/>
      <c r="DS36" s="616"/>
      <c r="DT36" s="616"/>
      <c r="DU36" s="616"/>
      <c r="DV36" s="616"/>
      <c r="DW36" s="616"/>
      <c r="DX36" s="616"/>
      <c r="DY36" s="616"/>
      <c r="DZ36" s="616"/>
      <c r="EA36" s="616"/>
      <c r="EB36" s="616"/>
      <c r="EC36" s="616"/>
      <c r="ED36" s="616"/>
      <c r="EE36" s="616"/>
      <c r="EF36" s="616"/>
      <c r="EG36" s="616"/>
      <c r="EH36" s="616"/>
      <c r="EI36" s="616"/>
      <c r="EJ36" s="616"/>
      <c r="EK36" s="616"/>
      <c r="EL36" s="616"/>
      <c r="EM36" s="616"/>
      <c r="EN36" s="616"/>
      <c r="EO36" s="616"/>
      <c r="EP36" s="616"/>
      <c r="EQ36" s="616"/>
      <c r="ER36" s="616"/>
      <c r="ES36" s="616"/>
      <c r="ET36" s="616"/>
      <c r="EU36" s="616"/>
      <c r="EV36" s="616"/>
      <c r="EW36" s="616"/>
      <c r="EX36" s="616"/>
      <c r="EY36" s="616"/>
      <c r="EZ36" s="616"/>
      <c r="FA36" s="616"/>
      <c r="FB36" s="616"/>
      <c r="FC36" s="616"/>
      <c r="FD36" s="616"/>
      <c r="FE36" s="616"/>
      <c r="FF36" s="616"/>
      <c r="FG36" s="616"/>
      <c r="FH36" s="616"/>
      <c r="FI36" s="616"/>
      <c r="FJ36" s="616"/>
      <c r="FK36" s="616"/>
      <c r="FL36" s="616"/>
      <c r="FM36" s="616"/>
      <c r="FN36" s="616"/>
      <c r="FO36" s="616"/>
      <c r="FP36" s="616"/>
      <c r="FQ36" s="616"/>
      <c r="FR36" s="616"/>
      <c r="FS36" s="616"/>
      <c r="FT36" s="616"/>
      <c r="FU36" s="616"/>
      <c r="FV36" s="616"/>
      <c r="FW36" s="616"/>
      <c r="FX36" s="616"/>
      <c r="FY36" s="616"/>
      <c r="FZ36" s="616"/>
      <c r="GA36" s="616"/>
      <c r="GB36" s="616"/>
      <c r="GC36" s="616"/>
      <c r="GD36" s="616"/>
      <c r="GE36" s="616"/>
      <c r="GF36" s="616"/>
      <c r="GG36" s="616"/>
      <c r="GH36" s="616"/>
      <c r="GI36" s="616"/>
      <c r="GJ36" s="616"/>
      <c r="GK36" s="616"/>
      <c r="GL36" s="616"/>
      <c r="GM36" s="616"/>
      <c r="GN36" s="616"/>
      <c r="GO36" s="616"/>
      <c r="GP36" s="616"/>
      <c r="GQ36" s="616"/>
      <c r="GR36" s="616"/>
      <c r="GS36" s="616"/>
      <c r="GT36" s="616"/>
      <c r="GU36" s="616"/>
      <c r="GV36" s="616"/>
      <c r="GW36" s="616"/>
      <c r="GX36" s="616"/>
      <c r="GY36" s="616"/>
      <c r="GZ36" s="616"/>
      <c r="HA36" s="616"/>
      <c r="HB36" s="616"/>
      <c r="HC36" s="616"/>
      <c r="HD36" s="616"/>
      <c r="HE36" s="616"/>
      <c r="HF36" s="616"/>
      <c r="HG36" s="616"/>
      <c r="HH36" s="616"/>
      <c r="HI36" s="616"/>
      <c r="HJ36" s="616"/>
      <c r="HK36" s="616"/>
      <c r="HL36" s="616"/>
      <c r="HM36" s="616"/>
      <c r="HN36" s="616"/>
      <c r="HO36" s="616"/>
      <c r="HP36" s="616"/>
      <c r="HQ36" s="616"/>
      <c r="HR36" s="616"/>
      <c r="HS36" s="616"/>
      <c r="HT36" s="616"/>
      <c r="HU36" s="616"/>
      <c r="HV36" s="616"/>
      <c r="HW36" s="616"/>
      <c r="HX36" s="616"/>
      <c r="HY36" s="616"/>
      <c r="HZ36" s="616"/>
      <c r="IA36" s="616"/>
      <c r="IB36" s="616"/>
      <c r="IC36" s="616"/>
      <c r="ID36" s="616"/>
      <c r="IE36" s="616"/>
      <c r="IF36" s="616"/>
      <c r="IG36" s="616"/>
      <c r="IH36" s="616"/>
      <c r="II36" s="616"/>
      <c r="IJ36" s="616"/>
      <c r="IK36" s="616"/>
      <c r="IL36" s="616"/>
    </row>
    <row r="37" spans="1:246" s="513" customFormat="1" ht="12.75">
      <c r="A37" s="604">
        <v>2</v>
      </c>
      <c r="B37" s="603">
        <v>8</v>
      </c>
      <c r="C37" s="233" t="s">
        <v>598</v>
      </c>
      <c r="D37" s="605"/>
      <c r="E37" s="605"/>
      <c r="F37" s="605"/>
      <c r="G37" s="605"/>
      <c r="H37" s="605">
        <f t="shared" si="9"/>
        <v>0</v>
      </c>
      <c r="I37" s="605">
        <f t="shared" si="8"/>
        <v>0</v>
      </c>
      <c r="J37" s="615"/>
      <c r="K37" s="616"/>
      <c r="L37" s="616"/>
      <c r="M37" s="616"/>
      <c r="N37" s="616"/>
      <c r="O37" s="616"/>
      <c r="P37" s="616"/>
      <c r="Q37" s="616"/>
      <c r="R37" s="616"/>
      <c r="S37" s="616"/>
      <c r="T37" s="616"/>
      <c r="U37" s="616"/>
      <c r="V37" s="616"/>
      <c r="W37" s="616"/>
      <c r="X37" s="616"/>
      <c r="Y37" s="616"/>
      <c r="Z37" s="616"/>
      <c r="AA37" s="616"/>
      <c r="AB37" s="616"/>
      <c r="AC37" s="616"/>
      <c r="AD37" s="616"/>
      <c r="AE37" s="616"/>
      <c r="AF37" s="616"/>
      <c r="AG37" s="616"/>
      <c r="AH37" s="616"/>
      <c r="AI37" s="616"/>
      <c r="AJ37" s="616"/>
      <c r="AK37" s="616"/>
      <c r="AL37" s="616"/>
      <c r="AM37" s="616"/>
      <c r="AN37" s="616"/>
      <c r="AO37" s="616"/>
      <c r="AP37" s="616"/>
      <c r="AQ37" s="616"/>
      <c r="AR37" s="616"/>
      <c r="AS37" s="616"/>
      <c r="AT37" s="616"/>
      <c r="AU37" s="616"/>
      <c r="AV37" s="616"/>
      <c r="AW37" s="616"/>
      <c r="AX37" s="616"/>
      <c r="AY37" s="616"/>
      <c r="AZ37" s="616"/>
      <c r="BA37" s="616"/>
      <c r="BB37" s="616"/>
      <c r="BC37" s="616"/>
      <c r="BD37" s="616"/>
      <c r="BE37" s="616"/>
      <c r="BF37" s="616"/>
      <c r="BG37" s="616"/>
      <c r="BH37" s="616"/>
      <c r="BI37" s="616"/>
      <c r="BJ37" s="616"/>
      <c r="BK37" s="616"/>
      <c r="BL37" s="616"/>
      <c r="BM37" s="616"/>
      <c r="BN37" s="616"/>
      <c r="BO37" s="616"/>
      <c r="BP37" s="616"/>
      <c r="BQ37" s="616"/>
      <c r="BR37" s="616"/>
      <c r="BS37" s="616"/>
      <c r="BT37" s="616"/>
      <c r="BU37" s="616"/>
      <c r="BV37" s="616"/>
      <c r="BW37" s="616"/>
      <c r="BX37" s="616"/>
      <c r="BY37" s="616"/>
      <c r="BZ37" s="616"/>
      <c r="CA37" s="616"/>
      <c r="CB37" s="616"/>
      <c r="CC37" s="616"/>
      <c r="CD37" s="616"/>
      <c r="CE37" s="616"/>
      <c r="CF37" s="616"/>
      <c r="CG37" s="616"/>
      <c r="CH37" s="616"/>
      <c r="CI37" s="616"/>
      <c r="CJ37" s="616"/>
      <c r="CK37" s="616"/>
      <c r="CL37" s="616"/>
      <c r="CM37" s="616"/>
      <c r="CN37" s="616"/>
      <c r="CO37" s="616"/>
      <c r="CP37" s="616"/>
      <c r="CQ37" s="616"/>
      <c r="CR37" s="616"/>
      <c r="CS37" s="616"/>
      <c r="CT37" s="616"/>
      <c r="CU37" s="616"/>
      <c r="CV37" s="616"/>
      <c r="CW37" s="616"/>
      <c r="CX37" s="616"/>
      <c r="CY37" s="616"/>
      <c r="CZ37" s="616"/>
      <c r="DA37" s="616"/>
      <c r="DB37" s="616"/>
      <c r="DC37" s="616"/>
      <c r="DD37" s="616"/>
      <c r="DE37" s="616"/>
      <c r="DF37" s="616"/>
      <c r="DG37" s="616"/>
      <c r="DH37" s="616"/>
      <c r="DI37" s="616"/>
      <c r="DJ37" s="616"/>
      <c r="DK37" s="616"/>
      <c r="DL37" s="616"/>
      <c r="DM37" s="616"/>
      <c r="DN37" s="616"/>
      <c r="DO37" s="616"/>
      <c r="DP37" s="616"/>
      <c r="DQ37" s="616"/>
      <c r="DR37" s="616"/>
      <c r="DS37" s="616"/>
      <c r="DT37" s="616"/>
      <c r="DU37" s="616"/>
      <c r="DV37" s="616"/>
      <c r="DW37" s="616"/>
      <c r="DX37" s="616"/>
      <c r="DY37" s="616"/>
      <c r="DZ37" s="616"/>
      <c r="EA37" s="616"/>
      <c r="EB37" s="616"/>
      <c r="EC37" s="616"/>
      <c r="ED37" s="616"/>
      <c r="EE37" s="616"/>
      <c r="EF37" s="616"/>
      <c r="EG37" s="616"/>
      <c r="EH37" s="616"/>
      <c r="EI37" s="616"/>
      <c r="EJ37" s="616"/>
      <c r="EK37" s="616"/>
      <c r="EL37" s="616"/>
      <c r="EM37" s="616"/>
      <c r="EN37" s="616"/>
      <c r="EO37" s="616"/>
      <c r="EP37" s="616"/>
      <c r="EQ37" s="616"/>
      <c r="ER37" s="616"/>
      <c r="ES37" s="616"/>
      <c r="ET37" s="616"/>
      <c r="EU37" s="616"/>
      <c r="EV37" s="616"/>
      <c r="EW37" s="616"/>
      <c r="EX37" s="616"/>
      <c r="EY37" s="616"/>
      <c r="EZ37" s="616"/>
      <c r="FA37" s="616"/>
      <c r="FB37" s="616"/>
      <c r="FC37" s="616"/>
      <c r="FD37" s="616"/>
      <c r="FE37" s="616"/>
      <c r="FF37" s="616"/>
      <c r="FG37" s="616"/>
      <c r="FH37" s="616"/>
      <c r="FI37" s="616"/>
      <c r="FJ37" s="616"/>
      <c r="FK37" s="616"/>
      <c r="FL37" s="616"/>
      <c r="FM37" s="616"/>
      <c r="FN37" s="616"/>
      <c r="FO37" s="616"/>
      <c r="FP37" s="616"/>
      <c r="FQ37" s="616"/>
      <c r="FR37" s="616"/>
      <c r="FS37" s="616"/>
      <c r="FT37" s="616"/>
      <c r="FU37" s="616"/>
      <c r="FV37" s="616"/>
      <c r="FW37" s="616"/>
      <c r="FX37" s="616"/>
      <c r="FY37" s="616"/>
      <c r="FZ37" s="616"/>
      <c r="GA37" s="616"/>
      <c r="GB37" s="616"/>
      <c r="GC37" s="616"/>
      <c r="GD37" s="616"/>
      <c r="GE37" s="616"/>
      <c r="GF37" s="616"/>
      <c r="GG37" s="616"/>
      <c r="GH37" s="616"/>
      <c r="GI37" s="616"/>
      <c r="GJ37" s="616"/>
      <c r="GK37" s="616"/>
      <c r="GL37" s="616"/>
      <c r="GM37" s="616"/>
      <c r="GN37" s="616"/>
      <c r="GO37" s="616"/>
      <c r="GP37" s="616"/>
      <c r="GQ37" s="616"/>
      <c r="GR37" s="616"/>
      <c r="GS37" s="616"/>
      <c r="GT37" s="616"/>
      <c r="GU37" s="616"/>
      <c r="GV37" s="616"/>
      <c r="GW37" s="616"/>
      <c r="GX37" s="616"/>
      <c r="GY37" s="616"/>
      <c r="GZ37" s="616"/>
      <c r="HA37" s="616"/>
      <c r="HB37" s="616"/>
      <c r="HC37" s="616"/>
      <c r="HD37" s="616"/>
      <c r="HE37" s="616"/>
      <c r="HF37" s="616"/>
      <c r="HG37" s="616"/>
      <c r="HH37" s="616"/>
      <c r="HI37" s="616"/>
      <c r="HJ37" s="616"/>
      <c r="HK37" s="616"/>
      <c r="HL37" s="616"/>
      <c r="HM37" s="616"/>
      <c r="HN37" s="616"/>
      <c r="HO37" s="616"/>
      <c r="HP37" s="616"/>
      <c r="HQ37" s="616"/>
      <c r="HR37" s="616"/>
      <c r="HS37" s="616"/>
      <c r="HT37" s="616"/>
      <c r="HU37" s="616"/>
      <c r="HV37" s="616"/>
      <c r="HW37" s="616"/>
      <c r="HX37" s="616"/>
      <c r="HY37" s="616"/>
      <c r="HZ37" s="616"/>
      <c r="IA37" s="616"/>
      <c r="IB37" s="616"/>
      <c r="IC37" s="616"/>
      <c r="ID37" s="616"/>
      <c r="IE37" s="616"/>
      <c r="IF37" s="616"/>
      <c r="IG37" s="616"/>
      <c r="IH37" s="616"/>
      <c r="II37" s="616"/>
      <c r="IJ37" s="616"/>
      <c r="IK37" s="616"/>
      <c r="IL37" s="616"/>
    </row>
    <row r="38" spans="1:246" s="513" customFormat="1" ht="12.75">
      <c r="A38" s="604">
        <v>2</v>
      </c>
      <c r="B38" s="603">
        <v>9</v>
      </c>
      <c r="C38" s="233" t="s">
        <v>598</v>
      </c>
      <c r="D38" s="605">
        <v>821015.45</v>
      </c>
      <c r="E38" s="605">
        <f>821015.45-7000</f>
        <v>814015.45</v>
      </c>
      <c r="F38" s="605">
        <f>ROUND(E38*F$56,2)</f>
        <v>796595.52</v>
      </c>
      <c r="G38" s="605">
        <f>ROUND(E38*G$56,2)</f>
        <v>17419.93</v>
      </c>
      <c r="H38" s="605">
        <f t="shared" si="9"/>
        <v>814015.45000000007</v>
      </c>
      <c r="I38" s="605">
        <f t="shared" si="8"/>
        <v>0</v>
      </c>
      <c r="J38" s="615"/>
      <c r="K38" s="616"/>
      <c r="L38" s="616"/>
      <c r="M38" s="616"/>
      <c r="N38" s="616"/>
      <c r="O38" s="616"/>
      <c r="P38" s="616"/>
      <c r="Q38" s="616"/>
      <c r="R38" s="616"/>
      <c r="S38" s="616"/>
      <c r="T38" s="616"/>
      <c r="U38" s="616"/>
      <c r="V38" s="616"/>
      <c r="W38" s="616"/>
      <c r="X38" s="616"/>
      <c r="Y38" s="616"/>
      <c r="Z38" s="616"/>
      <c r="AA38" s="616"/>
      <c r="AB38" s="616"/>
      <c r="AC38" s="616"/>
      <c r="AD38" s="616"/>
      <c r="AE38" s="616"/>
      <c r="AF38" s="616"/>
      <c r="AG38" s="616"/>
      <c r="AH38" s="616"/>
      <c r="AI38" s="616"/>
      <c r="AJ38" s="616"/>
      <c r="AK38" s="616"/>
      <c r="AL38" s="616"/>
      <c r="AM38" s="616"/>
      <c r="AN38" s="616"/>
      <c r="AO38" s="616"/>
      <c r="AP38" s="616"/>
      <c r="AQ38" s="616"/>
      <c r="AR38" s="616"/>
      <c r="AS38" s="616"/>
      <c r="AT38" s="616"/>
      <c r="AU38" s="616"/>
      <c r="AV38" s="616"/>
      <c r="AW38" s="616"/>
      <c r="AX38" s="616"/>
      <c r="AY38" s="616"/>
      <c r="AZ38" s="616"/>
      <c r="BA38" s="616"/>
      <c r="BB38" s="616"/>
      <c r="BC38" s="616"/>
      <c r="BD38" s="616"/>
      <c r="BE38" s="616"/>
      <c r="BF38" s="616"/>
      <c r="BG38" s="616"/>
      <c r="BH38" s="616"/>
      <c r="BI38" s="616"/>
      <c r="BJ38" s="616"/>
      <c r="BK38" s="616"/>
      <c r="BL38" s="616"/>
      <c r="BM38" s="616"/>
      <c r="BN38" s="616"/>
      <c r="BO38" s="616"/>
      <c r="BP38" s="616"/>
      <c r="BQ38" s="616"/>
      <c r="BR38" s="616"/>
      <c r="BS38" s="616"/>
      <c r="BT38" s="616"/>
      <c r="BU38" s="616"/>
      <c r="BV38" s="616"/>
      <c r="BW38" s="616"/>
      <c r="BX38" s="616"/>
      <c r="BY38" s="616"/>
      <c r="BZ38" s="616"/>
      <c r="CA38" s="616"/>
      <c r="CB38" s="616"/>
      <c r="CC38" s="616"/>
      <c r="CD38" s="616"/>
      <c r="CE38" s="616"/>
      <c r="CF38" s="616"/>
      <c r="CG38" s="616"/>
      <c r="CH38" s="616"/>
      <c r="CI38" s="616"/>
      <c r="CJ38" s="616"/>
      <c r="CK38" s="616"/>
      <c r="CL38" s="616"/>
      <c r="CM38" s="616"/>
      <c r="CN38" s="616"/>
      <c r="CO38" s="616"/>
      <c r="CP38" s="616"/>
      <c r="CQ38" s="616"/>
      <c r="CR38" s="616"/>
      <c r="CS38" s="616"/>
      <c r="CT38" s="616"/>
      <c r="CU38" s="616"/>
      <c r="CV38" s="616"/>
      <c r="CW38" s="616"/>
      <c r="CX38" s="616"/>
      <c r="CY38" s="616"/>
      <c r="CZ38" s="616"/>
      <c r="DA38" s="616"/>
      <c r="DB38" s="616"/>
      <c r="DC38" s="616"/>
      <c r="DD38" s="616"/>
      <c r="DE38" s="616"/>
      <c r="DF38" s="616"/>
      <c r="DG38" s="616"/>
      <c r="DH38" s="616"/>
      <c r="DI38" s="616"/>
      <c r="DJ38" s="616"/>
      <c r="DK38" s="616"/>
      <c r="DL38" s="616"/>
      <c r="DM38" s="616"/>
      <c r="DN38" s="616"/>
      <c r="DO38" s="616"/>
      <c r="DP38" s="616"/>
      <c r="DQ38" s="616"/>
      <c r="DR38" s="616"/>
      <c r="DS38" s="616"/>
      <c r="DT38" s="616"/>
      <c r="DU38" s="616"/>
      <c r="DV38" s="616"/>
      <c r="DW38" s="616"/>
      <c r="DX38" s="616"/>
      <c r="DY38" s="616"/>
      <c r="DZ38" s="616"/>
      <c r="EA38" s="616"/>
      <c r="EB38" s="616"/>
      <c r="EC38" s="616"/>
      <c r="ED38" s="616"/>
      <c r="EE38" s="616"/>
      <c r="EF38" s="616"/>
      <c r="EG38" s="616"/>
      <c r="EH38" s="616"/>
      <c r="EI38" s="616"/>
      <c r="EJ38" s="616"/>
      <c r="EK38" s="616"/>
      <c r="EL38" s="616"/>
      <c r="EM38" s="616"/>
      <c r="EN38" s="616"/>
      <c r="EO38" s="616"/>
      <c r="EP38" s="616"/>
      <c r="EQ38" s="616"/>
      <c r="ER38" s="616"/>
      <c r="ES38" s="616"/>
      <c r="ET38" s="616"/>
      <c r="EU38" s="616"/>
      <c r="EV38" s="616"/>
      <c r="EW38" s="616"/>
      <c r="EX38" s="616"/>
      <c r="EY38" s="616"/>
      <c r="EZ38" s="616"/>
      <c r="FA38" s="616"/>
      <c r="FB38" s="616"/>
      <c r="FC38" s="616"/>
      <c r="FD38" s="616"/>
      <c r="FE38" s="616"/>
      <c r="FF38" s="616"/>
      <c r="FG38" s="616"/>
      <c r="FH38" s="616"/>
      <c r="FI38" s="616"/>
      <c r="FJ38" s="616"/>
      <c r="FK38" s="616"/>
      <c r="FL38" s="616"/>
      <c r="FM38" s="616"/>
      <c r="FN38" s="616"/>
      <c r="FO38" s="616"/>
      <c r="FP38" s="616"/>
      <c r="FQ38" s="616"/>
      <c r="FR38" s="616"/>
      <c r="FS38" s="616"/>
      <c r="FT38" s="616"/>
      <c r="FU38" s="616"/>
      <c r="FV38" s="616"/>
      <c r="FW38" s="616"/>
      <c r="FX38" s="616"/>
      <c r="FY38" s="616"/>
      <c r="FZ38" s="616"/>
      <c r="GA38" s="616"/>
      <c r="GB38" s="616"/>
      <c r="GC38" s="616"/>
      <c r="GD38" s="616"/>
      <c r="GE38" s="616"/>
      <c r="GF38" s="616"/>
      <c r="GG38" s="616"/>
      <c r="GH38" s="616"/>
      <c r="GI38" s="616"/>
      <c r="GJ38" s="616"/>
      <c r="GK38" s="616"/>
      <c r="GL38" s="616"/>
      <c r="GM38" s="616"/>
      <c r="GN38" s="616"/>
      <c r="GO38" s="616"/>
      <c r="GP38" s="616"/>
      <c r="GQ38" s="616"/>
      <c r="GR38" s="616"/>
      <c r="GS38" s="616"/>
      <c r="GT38" s="616"/>
      <c r="GU38" s="616"/>
      <c r="GV38" s="616"/>
      <c r="GW38" s="616"/>
      <c r="GX38" s="616"/>
      <c r="GY38" s="616"/>
      <c r="GZ38" s="616"/>
      <c r="HA38" s="616"/>
      <c r="HB38" s="616"/>
      <c r="HC38" s="616"/>
      <c r="HD38" s="616"/>
      <c r="HE38" s="616"/>
      <c r="HF38" s="616"/>
      <c r="HG38" s="616"/>
      <c r="HH38" s="616"/>
      <c r="HI38" s="616"/>
      <c r="HJ38" s="616"/>
      <c r="HK38" s="616"/>
      <c r="HL38" s="616"/>
      <c r="HM38" s="616"/>
      <c r="HN38" s="616"/>
      <c r="HO38" s="616"/>
      <c r="HP38" s="616"/>
      <c r="HQ38" s="616"/>
      <c r="HR38" s="616"/>
      <c r="HS38" s="616"/>
      <c r="HT38" s="616"/>
      <c r="HU38" s="616"/>
      <c r="HV38" s="616"/>
      <c r="HW38" s="616"/>
      <c r="HX38" s="616"/>
      <c r="HY38" s="616"/>
      <c r="HZ38" s="616"/>
      <c r="IA38" s="616"/>
      <c r="IB38" s="616"/>
      <c r="IC38" s="616"/>
      <c r="ID38" s="616"/>
      <c r="IE38" s="616"/>
      <c r="IF38" s="616"/>
      <c r="IG38" s="616"/>
      <c r="IH38" s="616"/>
      <c r="II38" s="616"/>
      <c r="IJ38" s="616"/>
      <c r="IK38" s="616"/>
      <c r="IL38" s="616"/>
    </row>
    <row r="39" spans="1:246" s="513" customFormat="1" ht="12.75">
      <c r="A39" s="604">
        <v>1</v>
      </c>
      <c r="B39" s="603" t="s">
        <v>64</v>
      </c>
      <c r="C39" s="233" t="s">
        <v>598</v>
      </c>
      <c r="D39" s="605">
        <f t="shared" ref="D39:I39" si="10">SUM(D40:D44)</f>
        <v>0</v>
      </c>
      <c r="E39" s="605">
        <f t="shared" si="10"/>
        <v>0</v>
      </c>
      <c r="F39" s="605">
        <f t="shared" si="10"/>
        <v>-39188.559999999998</v>
      </c>
      <c r="G39" s="605">
        <f t="shared" si="10"/>
        <v>39188.559999999998</v>
      </c>
      <c r="H39" s="605">
        <f t="shared" si="10"/>
        <v>0</v>
      </c>
      <c r="I39" s="605">
        <f t="shared" si="10"/>
        <v>0</v>
      </c>
      <c r="J39" s="615"/>
      <c r="K39" s="616"/>
      <c r="L39" s="616"/>
      <c r="M39" s="616"/>
      <c r="N39" s="616"/>
      <c r="O39" s="616"/>
      <c r="P39" s="616"/>
      <c r="Q39" s="616"/>
      <c r="R39" s="616"/>
      <c r="S39" s="616"/>
      <c r="T39" s="616"/>
      <c r="U39" s="616"/>
      <c r="V39" s="616"/>
      <c r="W39" s="616"/>
      <c r="X39" s="616"/>
      <c r="Y39" s="616"/>
      <c r="Z39" s="616"/>
      <c r="AA39" s="616"/>
      <c r="AB39" s="616"/>
      <c r="AC39" s="616"/>
      <c r="AD39" s="616"/>
      <c r="AE39" s="616"/>
      <c r="AF39" s="616"/>
      <c r="AG39" s="616"/>
      <c r="AH39" s="616"/>
      <c r="AI39" s="616"/>
      <c r="AJ39" s="616"/>
      <c r="AK39" s="616"/>
      <c r="AL39" s="616"/>
      <c r="AM39" s="616"/>
      <c r="AN39" s="616"/>
      <c r="AO39" s="616"/>
      <c r="AP39" s="616"/>
      <c r="AQ39" s="616"/>
      <c r="AR39" s="616"/>
      <c r="AS39" s="616"/>
      <c r="AT39" s="616"/>
      <c r="AU39" s="616"/>
      <c r="AV39" s="616"/>
      <c r="AW39" s="616"/>
      <c r="AX39" s="616"/>
      <c r="AY39" s="616"/>
      <c r="AZ39" s="616"/>
      <c r="BA39" s="616"/>
      <c r="BB39" s="616"/>
      <c r="BC39" s="616"/>
      <c r="BD39" s="616"/>
      <c r="BE39" s="616"/>
      <c r="BF39" s="616"/>
      <c r="BG39" s="616"/>
      <c r="BH39" s="616"/>
      <c r="BI39" s="616"/>
      <c r="BJ39" s="616"/>
      <c r="BK39" s="616"/>
      <c r="BL39" s="616"/>
      <c r="BM39" s="616"/>
      <c r="BN39" s="616"/>
      <c r="BO39" s="616"/>
      <c r="BP39" s="616"/>
      <c r="BQ39" s="616"/>
      <c r="BR39" s="616"/>
      <c r="BS39" s="616"/>
      <c r="BT39" s="616"/>
      <c r="BU39" s="616"/>
      <c r="BV39" s="616"/>
      <c r="BW39" s="616"/>
      <c r="BX39" s="616"/>
      <c r="BY39" s="616"/>
      <c r="BZ39" s="616"/>
      <c r="CA39" s="616"/>
      <c r="CB39" s="616"/>
      <c r="CC39" s="616"/>
      <c r="CD39" s="616"/>
      <c r="CE39" s="616"/>
      <c r="CF39" s="616"/>
      <c r="CG39" s="616"/>
      <c r="CH39" s="616"/>
      <c r="CI39" s="616"/>
      <c r="CJ39" s="616"/>
      <c r="CK39" s="616"/>
      <c r="CL39" s="616"/>
      <c r="CM39" s="616"/>
      <c r="CN39" s="616"/>
      <c r="CO39" s="616"/>
      <c r="CP39" s="616"/>
      <c r="CQ39" s="616"/>
      <c r="CR39" s="616"/>
      <c r="CS39" s="616"/>
      <c r="CT39" s="616"/>
      <c r="CU39" s="616"/>
      <c r="CV39" s="616"/>
      <c r="CW39" s="616"/>
      <c r="CX39" s="616"/>
      <c r="CY39" s="616"/>
      <c r="CZ39" s="616"/>
      <c r="DA39" s="616"/>
      <c r="DB39" s="616"/>
      <c r="DC39" s="616"/>
      <c r="DD39" s="616"/>
      <c r="DE39" s="616"/>
      <c r="DF39" s="616"/>
      <c r="DG39" s="616"/>
      <c r="DH39" s="616"/>
      <c r="DI39" s="616"/>
      <c r="DJ39" s="616"/>
      <c r="DK39" s="616"/>
      <c r="DL39" s="616"/>
      <c r="DM39" s="616"/>
      <c r="DN39" s="616"/>
      <c r="DO39" s="616"/>
      <c r="DP39" s="616"/>
      <c r="DQ39" s="616"/>
      <c r="DR39" s="616"/>
      <c r="DS39" s="616"/>
      <c r="DT39" s="616"/>
      <c r="DU39" s="616"/>
      <c r="DV39" s="616"/>
      <c r="DW39" s="616"/>
      <c r="DX39" s="616"/>
      <c r="DY39" s="616"/>
      <c r="DZ39" s="616"/>
      <c r="EA39" s="616"/>
      <c r="EB39" s="616"/>
      <c r="EC39" s="616"/>
      <c r="ED39" s="616"/>
      <c r="EE39" s="616"/>
      <c r="EF39" s="616"/>
      <c r="EG39" s="616"/>
      <c r="EH39" s="616"/>
      <c r="EI39" s="616"/>
      <c r="EJ39" s="616"/>
      <c r="EK39" s="616"/>
      <c r="EL39" s="616"/>
      <c r="EM39" s="616"/>
      <c r="EN39" s="616"/>
      <c r="EO39" s="616"/>
      <c r="EP39" s="616"/>
      <c r="EQ39" s="616"/>
      <c r="ER39" s="616"/>
      <c r="ES39" s="616"/>
      <c r="ET39" s="616"/>
      <c r="EU39" s="616"/>
      <c r="EV39" s="616"/>
      <c r="EW39" s="616"/>
      <c r="EX39" s="616"/>
      <c r="EY39" s="616"/>
      <c r="EZ39" s="616"/>
      <c r="FA39" s="616"/>
      <c r="FB39" s="616"/>
      <c r="FC39" s="616"/>
      <c r="FD39" s="616"/>
      <c r="FE39" s="616"/>
      <c r="FF39" s="616"/>
      <c r="FG39" s="616"/>
      <c r="FH39" s="616"/>
      <c r="FI39" s="616"/>
      <c r="FJ39" s="616"/>
      <c r="FK39" s="616"/>
      <c r="FL39" s="616"/>
      <c r="FM39" s="616"/>
      <c r="FN39" s="616"/>
      <c r="FO39" s="616"/>
      <c r="FP39" s="616"/>
      <c r="FQ39" s="616"/>
      <c r="FR39" s="616"/>
      <c r="FS39" s="616"/>
      <c r="FT39" s="616"/>
      <c r="FU39" s="616"/>
      <c r="FV39" s="616"/>
      <c r="FW39" s="616"/>
      <c r="FX39" s="616"/>
      <c r="FY39" s="616"/>
      <c r="FZ39" s="616"/>
      <c r="GA39" s="616"/>
      <c r="GB39" s="616"/>
      <c r="GC39" s="616"/>
      <c r="GD39" s="616"/>
      <c r="GE39" s="616"/>
      <c r="GF39" s="616"/>
      <c r="GG39" s="616"/>
      <c r="GH39" s="616"/>
      <c r="GI39" s="616"/>
      <c r="GJ39" s="616"/>
      <c r="GK39" s="616"/>
      <c r="GL39" s="616"/>
      <c r="GM39" s="616"/>
      <c r="GN39" s="616"/>
      <c r="GO39" s="616"/>
      <c r="GP39" s="616"/>
      <c r="GQ39" s="616"/>
      <c r="GR39" s="616"/>
      <c r="GS39" s="616"/>
      <c r="GT39" s="616"/>
      <c r="GU39" s="616"/>
      <c r="GV39" s="616"/>
      <c r="GW39" s="616"/>
      <c r="GX39" s="616"/>
      <c r="GY39" s="616"/>
      <c r="GZ39" s="616"/>
      <c r="HA39" s="616"/>
      <c r="HB39" s="616"/>
      <c r="HC39" s="616"/>
      <c r="HD39" s="616"/>
      <c r="HE39" s="616"/>
      <c r="HF39" s="616"/>
      <c r="HG39" s="616"/>
      <c r="HH39" s="616"/>
      <c r="HI39" s="616"/>
      <c r="HJ39" s="616"/>
      <c r="HK39" s="616"/>
      <c r="HL39" s="616"/>
      <c r="HM39" s="616"/>
      <c r="HN39" s="616"/>
      <c r="HO39" s="616"/>
      <c r="HP39" s="616"/>
      <c r="HQ39" s="616"/>
      <c r="HR39" s="616"/>
      <c r="HS39" s="616"/>
      <c r="HT39" s="616"/>
      <c r="HU39" s="616"/>
      <c r="HV39" s="616"/>
      <c r="HW39" s="616"/>
      <c r="HX39" s="616"/>
      <c r="HY39" s="616"/>
      <c r="HZ39" s="616"/>
      <c r="IA39" s="616"/>
      <c r="IB39" s="616"/>
      <c r="IC39" s="616"/>
      <c r="ID39" s="616"/>
      <c r="IE39" s="616"/>
      <c r="IF39" s="616"/>
      <c r="IG39" s="616"/>
      <c r="IH39" s="616"/>
      <c r="II39" s="616"/>
      <c r="IJ39" s="616"/>
      <c r="IK39" s="616"/>
      <c r="IL39" s="616"/>
    </row>
    <row r="40" spans="1:246" s="513" customFormat="1" ht="12.75">
      <c r="A40" s="604">
        <v>2</v>
      </c>
      <c r="B40" s="603">
        <v>1</v>
      </c>
      <c r="C40" s="233" t="s">
        <v>598</v>
      </c>
      <c r="D40" s="605">
        <f>SUMIF(Sheet16!$B$6:$B$15,Sheet3!$C40,Sheet16!K$6:K$15)</f>
        <v>0</v>
      </c>
      <c r="E40" s="605">
        <f>SUMIF(Sheet16!$B$6:$B$9,Sheet3!$C40,Sheet16!M$6:M$9)</f>
        <v>0</v>
      </c>
      <c r="F40" s="605"/>
      <c r="G40" s="605"/>
      <c r="H40" s="605"/>
      <c r="I40" s="605"/>
      <c r="J40" s="615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  <c r="W40" s="616"/>
      <c r="X40" s="616"/>
      <c r="Y40" s="616"/>
      <c r="Z40" s="616"/>
      <c r="AA40" s="616"/>
      <c r="AB40" s="616"/>
      <c r="AC40" s="616"/>
      <c r="AD40" s="616"/>
      <c r="AE40" s="616"/>
      <c r="AF40" s="616"/>
      <c r="AG40" s="616"/>
      <c r="AH40" s="616"/>
      <c r="AI40" s="616"/>
      <c r="AJ40" s="616"/>
      <c r="AK40" s="616"/>
      <c r="AL40" s="616"/>
      <c r="AM40" s="616"/>
      <c r="AN40" s="616"/>
      <c r="AO40" s="616"/>
      <c r="AP40" s="616"/>
      <c r="AQ40" s="616"/>
      <c r="AR40" s="616"/>
      <c r="AS40" s="616"/>
      <c r="AT40" s="616"/>
      <c r="AU40" s="616"/>
      <c r="AV40" s="616"/>
      <c r="AW40" s="616"/>
      <c r="AX40" s="616"/>
      <c r="AY40" s="616"/>
      <c r="AZ40" s="616"/>
      <c r="BA40" s="616"/>
      <c r="BB40" s="616"/>
      <c r="BC40" s="616"/>
      <c r="BD40" s="616"/>
      <c r="BE40" s="616"/>
      <c r="BF40" s="616"/>
      <c r="BG40" s="616"/>
      <c r="BH40" s="616"/>
      <c r="BI40" s="616"/>
      <c r="BJ40" s="616"/>
      <c r="BK40" s="616"/>
      <c r="BL40" s="616"/>
      <c r="BM40" s="616"/>
      <c r="BN40" s="616"/>
      <c r="BO40" s="616"/>
      <c r="BP40" s="616"/>
      <c r="BQ40" s="616"/>
      <c r="BR40" s="616"/>
      <c r="BS40" s="616"/>
      <c r="BT40" s="616"/>
      <c r="BU40" s="616"/>
      <c r="BV40" s="616"/>
      <c r="BW40" s="616"/>
      <c r="BX40" s="616"/>
      <c r="BY40" s="616"/>
      <c r="BZ40" s="616"/>
      <c r="CA40" s="616"/>
      <c r="CB40" s="616"/>
      <c r="CC40" s="616"/>
      <c r="CD40" s="616"/>
      <c r="CE40" s="616"/>
      <c r="CF40" s="616"/>
      <c r="CG40" s="616"/>
      <c r="CH40" s="616"/>
      <c r="CI40" s="616"/>
      <c r="CJ40" s="616"/>
      <c r="CK40" s="616"/>
      <c r="CL40" s="616"/>
      <c r="CM40" s="616"/>
      <c r="CN40" s="616"/>
      <c r="CO40" s="616"/>
      <c r="CP40" s="616"/>
      <c r="CQ40" s="616"/>
      <c r="CR40" s="616"/>
      <c r="CS40" s="616"/>
      <c r="CT40" s="616"/>
      <c r="CU40" s="616"/>
      <c r="CV40" s="616"/>
      <c r="CW40" s="616"/>
      <c r="CX40" s="616"/>
      <c r="CY40" s="616"/>
      <c r="CZ40" s="616"/>
      <c r="DA40" s="616"/>
      <c r="DB40" s="616"/>
      <c r="DC40" s="616"/>
      <c r="DD40" s="616"/>
      <c r="DE40" s="616"/>
      <c r="DF40" s="616"/>
      <c r="DG40" s="616"/>
      <c r="DH40" s="616"/>
      <c r="DI40" s="616"/>
      <c r="DJ40" s="616"/>
      <c r="DK40" s="616"/>
      <c r="DL40" s="616"/>
      <c r="DM40" s="616"/>
      <c r="DN40" s="616"/>
      <c r="DO40" s="616"/>
      <c r="DP40" s="616"/>
      <c r="DQ40" s="616"/>
      <c r="DR40" s="616"/>
      <c r="DS40" s="616"/>
      <c r="DT40" s="616"/>
      <c r="DU40" s="616"/>
      <c r="DV40" s="616"/>
      <c r="DW40" s="616"/>
      <c r="DX40" s="616"/>
      <c r="DY40" s="616"/>
      <c r="DZ40" s="616"/>
      <c r="EA40" s="616"/>
      <c r="EB40" s="616"/>
      <c r="EC40" s="616"/>
      <c r="ED40" s="616"/>
      <c r="EE40" s="616"/>
      <c r="EF40" s="616"/>
      <c r="EG40" s="616"/>
      <c r="EH40" s="616"/>
      <c r="EI40" s="616"/>
      <c r="EJ40" s="616"/>
      <c r="EK40" s="616"/>
      <c r="EL40" s="616"/>
      <c r="EM40" s="616"/>
      <c r="EN40" s="616"/>
      <c r="EO40" s="616"/>
      <c r="EP40" s="616"/>
      <c r="EQ40" s="616"/>
      <c r="ER40" s="616"/>
      <c r="ES40" s="616"/>
      <c r="ET40" s="616"/>
      <c r="EU40" s="616"/>
      <c r="EV40" s="616"/>
      <c r="EW40" s="616"/>
      <c r="EX40" s="616"/>
      <c r="EY40" s="616"/>
      <c r="EZ40" s="616"/>
      <c r="FA40" s="616"/>
      <c r="FB40" s="616"/>
      <c r="FC40" s="616"/>
      <c r="FD40" s="616"/>
      <c r="FE40" s="616"/>
      <c r="FF40" s="616"/>
      <c r="FG40" s="616"/>
      <c r="FH40" s="616"/>
      <c r="FI40" s="616"/>
      <c r="FJ40" s="616"/>
      <c r="FK40" s="616"/>
      <c r="FL40" s="616"/>
      <c r="FM40" s="616"/>
      <c r="FN40" s="616"/>
      <c r="FO40" s="616"/>
      <c r="FP40" s="616"/>
      <c r="FQ40" s="616"/>
      <c r="FR40" s="616"/>
      <c r="FS40" s="616"/>
      <c r="FT40" s="616"/>
      <c r="FU40" s="616"/>
      <c r="FV40" s="616"/>
      <c r="FW40" s="616"/>
      <c r="FX40" s="616"/>
      <c r="FY40" s="616"/>
      <c r="FZ40" s="616"/>
      <c r="GA40" s="616"/>
      <c r="GB40" s="616"/>
      <c r="GC40" s="616"/>
      <c r="GD40" s="616"/>
      <c r="GE40" s="616"/>
      <c r="GF40" s="616"/>
      <c r="GG40" s="616"/>
      <c r="GH40" s="616"/>
      <c r="GI40" s="616"/>
      <c r="GJ40" s="616"/>
      <c r="GK40" s="616"/>
      <c r="GL40" s="616"/>
      <c r="GM40" s="616"/>
      <c r="GN40" s="616"/>
      <c r="GO40" s="616"/>
      <c r="GP40" s="616"/>
      <c r="GQ40" s="616"/>
      <c r="GR40" s="616"/>
      <c r="GS40" s="616"/>
      <c r="GT40" s="616"/>
      <c r="GU40" s="616"/>
      <c r="GV40" s="616"/>
      <c r="GW40" s="616"/>
      <c r="GX40" s="616"/>
      <c r="GY40" s="616"/>
      <c r="GZ40" s="616"/>
      <c r="HA40" s="616"/>
      <c r="HB40" s="616"/>
      <c r="HC40" s="616"/>
      <c r="HD40" s="616"/>
      <c r="HE40" s="616"/>
      <c r="HF40" s="616"/>
      <c r="HG40" s="616"/>
      <c r="HH40" s="616"/>
      <c r="HI40" s="616"/>
      <c r="HJ40" s="616"/>
      <c r="HK40" s="616"/>
      <c r="HL40" s="616"/>
      <c r="HM40" s="616"/>
      <c r="HN40" s="616"/>
      <c r="HO40" s="616"/>
      <c r="HP40" s="616"/>
      <c r="HQ40" s="616"/>
      <c r="HR40" s="616"/>
      <c r="HS40" s="616"/>
      <c r="HT40" s="616"/>
      <c r="HU40" s="616"/>
      <c r="HV40" s="616"/>
      <c r="HW40" s="616"/>
      <c r="HX40" s="616"/>
      <c r="HY40" s="616"/>
      <c r="HZ40" s="616"/>
      <c r="IA40" s="616"/>
      <c r="IB40" s="616"/>
      <c r="IC40" s="616"/>
      <c r="ID40" s="616"/>
      <c r="IE40" s="616"/>
      <c r="IF40" s="616"/>
      <c r="IG40" s="616"/>
      <c r="IH40" s="616"/>
      <c r="II40" s="616"/>
      <c r="IJ40" s="616"/>
      <c r="IK40" s="616"/>
      <c r="IL40" s="616"/>
    </row>
    <row r="41" spans="1:246" s="598" customFormat="1" ht="12.75">
      <c r="A41" s="604">
        <v>2</v>
      </c>
      <c r="B41" s="603">
        <v>2</v>
      </c>
      <c r="C41" s="233" t="s">
        <v>598</v>
      </c>
      <c r="D41" s="605">
        <f>SUMIF(Sheet16!$B$6:$B$15,Sheet3!$C41,Sheet16!K$6:K$15)</f>
        <v>0</v>
      </c>
      <c r="E41" s="605">
        <f>SUMIF(Sheet16!$B$6:$B$9,Sheet3!$C41,Sheet16!M$6:M$9)</f>
        <v>0</v>
      </c>
      <c r="F41" s="605">
        <f>ROUND(E41*F$56,2)</f>
        <v>0</v>
      </c>
      <c r="G41" s="605">
        <f>ROUND(E41*G$56,2)</f>
        <v>0</v>
      </c>
      <c r="H41" s="605">
        <f>F41+G41</f>
        <v>0</v>
      </c>
      <c r="I41" s="605">
        <f>E41-H41</f>
        <v>0</v>
      </c>
      <c r="J41" s="615"/>
    </row>
    <row r="42" spans="1:246" s="598" customFormat="1" ht="12.75">
      <c r="A42" s="604">
        <v>2</v>
      </c>
      <c r="B42" s="603">
        <v>3</v>
      </c>
      <c r="C42" s="233" t="s">
        <v>598</v>
      </c>
      <c r="D42" s="605">
        <f>SUMIF(Sheet16!$B$6:$B$15,Sheet3!$C42,Sheet16!K$6:K$15)</f>
        <v>0</v>
      </c>
      <c r="E42" s="605">
        <f>SUMIF(Sheet16!$B$6:$B$9,Sheet3!$C42,Sheet16!M$6:M$9)</f>
        <v>0</v>
      </c>
      <c r="F42" s="605">
        <f>ROUND(E42*F$56,2)</f>
        <v>0</v>
      </c>
      <c r="G42" s="605">
        <f>ROUND(E42*G$56,2)</f>
        <v>0</v>
      </c>
      <c r="H42" s="605">
        <f>F42+G42</f>
        <v>0</v>
      </c>
      <c r="I42" s="605">
        <f>E42-H42</f>
        <v>0</v>
      </c>
      <c r="J42" s="615"/>
    </row>
    <row r="43" spans="1:246" s="513" customFormat="1" ht="12.75">
      <c r="A43" s="604">
        <v>2</v>
      </c>
      <c r="B43" s="603">
        <v>4</v>
      </c>
      <c r="C43" s="233" t="s">
        <v>598</v>
      </c>
      <c r="D43" s="605">
        <f>SUMIF(Sheet16!$B$6:$B$15,Sheet3!$C43,Sheet16!K$6:K$15)</f>
        <v>0</v>
      </c>
      <c r="E43" s="605">
        <f>SUMIF(Sheet16!$B$6:$B$9,Sheet3!$C43,Sheet16!M$6:M$9)-40045.53</f>
        <v>-40045.53</v>
      </c>
      <c r="F43" s="605">
        <f>ROUND(E43*F$56,2)</f>
        <v>-39188.559999999998</v>
      </c>
      <c r="G43" s="605">
        <f>ROUND(E43*G$56,2)</f>
        <v>-856.97</v>
      </c>
      <c r="H43" s="605">
        <f>F43+G43</f>
        <v>-40045.53</v>
      </c>
      <c r="I43" s="605">
        <f>E43-H43</f>
        <v>0</v>
      </c>
      <c r="J43" s="615"/>
      <c r="K43" s="616"/>
      <c r="L43" s="616"/>
      <c r="M43" s="616"/>
      <c r="N43" s="616"/>
      <c r="O43" s="616"/>
      <c r="P43" s="616"/>
      <c r="Q43" s="616"/>
      <c r="R43" s="616"/>
      <c r="S43" s="616"/>
      <c r="T43" s="616"/>
      <c r="U43" s="616"/>
      <c r="V43" s="616"/>
      <c r="W43" s="616"/>
      <c r="X43" s="616"/>
      <c r="Y43" s="616"/>
      <c r="Z43" s="616"/>
      <c r="AA43" s="616"/>
      <c r="AB43" s="616"/>
      <c r="AC43" s="616"/>
      <c r="AD43" s="616"/>
      <c r="AE43" s="616"/>
      <c r="AF43" s="616"/>
      <c r="AG43" s="616"/>
      <c r="AH43" s="616"/>
      <c r="AI43" s="616"/>
      <c r="AJ43" s="616"/>
      <c r="AK43" s="616"/>
      <c r="AL43" s="616"/>
      <c r="AM43" s="616"/>
      <c r="AN43" s="616"/>
      <c r="AO43" s="616"/>
      <c r="AP43" s="616"/>
      <c r="AQ43" s="616"/>
      <c r="AR43" s="616"/>
      <c r="AS43" s="616"/>
      <c r="AT43" s="616"/>
      <c r="AU43" s="616"/>
      <c r="AV43" s="616"/>
      <c r="AW43" s="616"/>
      <c r="AX43" s="616"/>
      <c r="AY43" s="616"/>
      <c r="AZ43" s="616"/>
      <c r="BA43" s="616"/>
      <c r="BB43" s="616"/>
      <c r="BC43" s="616"/>
      <c r="BD43" s="616"/>
      <c r="BE43" s="616"/>
      <c r="BF43" s="616"/>
      <c r="BG43" s="616"/>
      <c r="BH43" s="616"/>
      <c r="BI43" s="616"/>
      <c r="BJ43" s="616"/>
      <c r="BK43" s="616"/>
      <c r="BL43" s="616"/>
      <c r="BM43" s="616"/>
      <c r="BN43" s="616"/>
      <c r="BO43" s="616"/>
      <c r="BP43" s="616"/>
      <c r="BQ43" s="616"/>
      <c r="BR43" s="616"/>
      <c r="BS43" s="616"/>
      <c r="BT43" s="616"/>
      <c r="BU43" s="616"/>
      <c r="BV43" s="616"/>
      <c r="BW43" s="616"/>
      <c r="BX43" s="616"/>
      <c r="BY43" s="616"/>
      <c r="BZ43" s="616"/>
      <c r="CA43" s="616"/>
      <c r="CB43" s="616"/>
      <c r="CC43" s="616"/>
      <c r="CD43" s="616"/>
      <c r="CE43" s="616"/>
      <c r="CF43" s="616"/>
      <c r="CG43" s="616"/>
      <c r="CH43" s="616"/>
      <c r="CI43" s="616"/>
      <c r="CJ43" s="616"/>
      <c r="CK43" s="616"/>
      <c r="CL43" s="616"/>
      <c r="CM43" s="616"/>
      <c r="CN43" s="616"/>
      <c r="CO43" s="616"/>
      <c r="CP43" s="616"/>
      <c r="CQ43" s="616"/>
      <c r="CR43" s="616"/>
      <c r="CS43" s="616"/>
      <c r="CT43" s="616"/>
      <c r="CU43" s="616"/>
      <c r="CV43" s="616"/>
      <c r="CW43" s="616"/>
      <c r="CX43" s="616"/>
      <c r="CY43" s="616"/>
      <c r="CZ43" s="616"/>
      <c r="DA43" s="616"/>
      <c r="DB43" s="616"/>
      <c r="DC43" s="616"/>
      <c r="DD43" s="616"/>
      <c r="DE43" s="616"/>
      <c r="DF43" s="616"/>
      <c r="DG43" s="616"/>
      <c r="DH43" s="616"/>
      <c r="DI43" s="616"/>
      <c r="DJ43" s="616"/>
      <c r="DK43" s="616"/>
      <c r="DL43" s="616"/>
      <c r="DM43" s="616"/>
      <c r="DN43" s="616"/>
      <c r="DO43" s="616"/>
      <c r="DP43" s="616"/>
      <c r="DQ43" s="616"/>
      <c r="DR43" s="616"/>
      <c r="DS43" s="616"/>
      <c r="DT43" s="616"/>
      <c r="DU43" s="616"/>
      <c r="DV43" s="616"/>
      <c r="DW43" s="616"/>
      <c r="DX43" s="616"/>
      <c r="DY43" s="616"/>
      <c r="DZ43" s="616"/>
      <c r="EA43" s="616"/>
      <c r="EB43" s="616"/>
      <c r="EC43" s="616"/>
      <c r="ED43" s="616"/>
      <c r="EE43" s="616"/>
      <c r="EF43" s="616"/>
      <c r="EG43" s="616"/>
      <c r="EH43" s="616"/>
      <c r="EI43" s="616"/>
      <c r="EJ43" s="616"/>
      <c r="EK43" s="616"/>
      <c r="EL43" s="616"/>
      <c r="EM43" s="616"/>
      <c r="EN43" s="616"/>
      <c r="EO43" s="616"/>
      <c r="EP43" s="616"/>
      <c r="EQ43" s="616"/>
      <c r="ER43" s="616"/>
      <c r="ES43" s="616"/>
      <c r="ET43" s="616"/>
      <c r="EU43" s="616"/>
      <c r="EV43" s="616"/>
      <c r="EW43" s="616"/>
      <c r="EX43" s="616"/>
      <c r="EY43" s="616"/>
      <c r="EZ43" s="616"/>
      <c r="FA43" s="616"/>
      <c r="FB43" s="616"/>
      <c r="FC43" s="616"/>
      <c r="FD43" s="616"/>
      <c r="FE43" s="616"/>
      <c r="FF43" s="616"/>
      <c r="FG43" s="616"/>
      <c r="FH43" s="616"/>
      <c r="FI43" s="616"/>
      <c r="FJ43" s="616"/>
      <c r="FK43" s="616"/>
      <c r="FL43" s="616"/>
      <c r="FM43" s="616"/>
      <c r="FN43" s="616"/>
      <c r="FO43" s="616"/>
      <c r="FP43" s="616"/>
      <c r="FQ43" s="616"/>
      <c r="FR43" s="616"/>
      <c r="FS43" s="616"/>
      <c r="FT43" s="616"/>
      <c r="FU43" s="616"/>
      <c r="FV43" s="616"/>
      <c r="FW43" s="616"/>
      <c r="FX43" s="616"/>
      <c r="FY43" s="616"/>
      <c r="FZ43" s="616"/>
      <c r="GA43" s="616"/>
      <c r="GB43" s="616"/>
      <c r="GC43" s="616"/>
      <c r="GD43" s="616"/>
      <c r="GE43" s="616"/>
      <c r="GF43" s="616"/>
      <c r="GG43" s="616"/>
      <c r="GH43" s="616"/>
      <c r="GI43" s="616"/>
      <c r="GJ43" s="616"/>
      <c r="GK43" s="616"/>
      <c r="GL43" s="616"/>
      <c r="GM43" s="616"/>
      <c r="GN43" s="616"/>
      <c r="GO43" s="616"/>
      <c r="GP43" s="616"/>
      <c r="GQ43" s="616"/>
      <c r="GR43" s="616"/>
      <c r="GS43" s="616"/>
      <c r="GT43" s="616"/>
      <c r="GU43" s="616"/>
      <c r="GV43" s="616"/>
      <c r="GW43" s="616"/>
      <c r="GX43" s="616"/>
      <c r="GY43" s="616"/>
      <c r="GZ43" s="616"/>
      <c r="HA43" s="616"/>
      <c r="HB43" s="616"/>
      <c r="HC43" s="616"/>
      <c r="HD43" s="616"/>
      <c r="HE43" s="616"/>
      <c r="HF43" s="616"/>
      <c r="HG43" s="616"/>
      <c r="HH43" s="616"/>
      <c r="HI43" s="616"/>
      <c r="HJ43" s="616"/>
      <c r="HK43" s="616"/>
      <c r="HL43" s="616"/>
      <c r="HM43" s="616"/>
      <c r="HN43" s="616"/>
      <c r="HO43" s="616"/>
      <c r="HP43" s="616"/>
      <c r="HQ43" s="616"/>
      <c r="HR43" s="616"/>
      <c r="HS43" s="616"/>
      <c r="HT43" s="616"/>
      <c r="HU43" s="616"/>
      <c r="HV43" s="616"/>
      <c r="HW43" s="616"/>
      <c r="HX43" s="616"/>
      <c r="HY43" s="616"/>
      <c r="HZ43" s="616"/>
      <c r="IA43" s="616"/>
      <c r="IB43" s="616"/>
      <c r="IC43" s="616"/>
      <c r="ID43" s="616"/>
      <c r="IE43" s="616"/>
      <c r="IF43" s="616"/>
      <c r="IG43" s="616"/>
      <c r="IH43" s="616"/>
      <c r="II43" s="616"/>
      <c r="IJ43" s="616"/>
      <c r="IK43" s="616"/>
      <c r="IL43" s="616"/>
    </row>
    <row r="44" spans="1:246" s="513" customFormat="1" ht="12.75">
      <c r="A44" s="604">
        <v>2</v>
      </c>
      <c r="B44" s="603">
        <v>5</v>
      </c>
      <c r="C44" s="233" t="s">
        <v>598</v>
      </c>
      <c r="D44" s="605"/>
      <c r="E44" s="605">
        <v>40045.53</v>
      </c>
      <c r="F44" s="605"/>
      <c r="G44" s="605">
        <v>40045.53</v>
      </c>
      <c r="H44" s="605">
        <f>F44+G44</f>
        <v>40045.53</v>
      </c>
      <c r="I44" s="605">
        <f>E44-H44</f>
        <v>0</v>
      </c>
      <c r="J44" s="615" t="s">
        <v>68</v>
      </c>
      <c r="K44" s="616"/>
      <c r="L44" s="616"/>
      <c r="M44" s="616"/>
      <c r="N44" s="616"/>
      <c r="O44" s="616"/>
      <c r="P44" s="616"/>
      <c r="Q44" s="616"/>
      <c r="R44" s="616"/>
      <c r="S44" s="616"/>
      <c r="T44" s="616"/>
      <c r="U44" s="616"/>
      <c r="V44" s="616"/>
      <c r="W44" s="616"/>
      <c r="X44" s="616"/>
      <c r="Y44" s="616"/>
      <c r="Z44" s="616"/>
      <c r="AA44" s="616"/>
      <c r="AB44" s="616"/>
      <c r="AC44" s="616"/>
      <c r="AD44" s="616"/>
      <c r="AE44" s="616"/>
      <c r="AF44" s="616"/>
      <c r="AG44" s="616"/>
      <c r="AH44" s="616"/>
      <c r="AI44" s="616"/>
      <c r="AJ44" s="616"/>
      <c r="AK44" s="616"/>
      <c r="AL44" s="616"/>
      <c r="AM44" s="616"/>
      <c r="AN44" s="616"/>
      <c r="AO44" s="616"/>
      <c r="AP44" s="616"/>
      <c r="AQ44" s="616"/>
      <c r="AR44" s="616"/>
      <c r="AS44" s="616"/>
      <c r="AT44" s="616"/>
      <c r="AU44" s="616"/>
      <c r="AV44" s="616"/>
      <c r="AW44" s="616"/>
      <c r="AX44" s="616"/>
      <c r="AY44" s="616"/>
      <c r="AZ44" s="616"/>
      <c r="BA44" s="616"/>
      <c r="BB44" s="616"/>
      <c r="BC44" s="616"/>
      <c r="BD44" s="616"/>
      <c r="BE44" s="616"/>
      <c r="BF44" s="616"/>
      <c r="BG44" s="616"/>
      <c r="BH44" s="616"/>
      <c r="BI44" s="616"/>
      <c r="BJ44" s="616"/>
      <c r="BK44" s="616"/>
      <c r="BL44" s="616"/>
      <c r="BM44" s="616"/>
      <c r="BN44" s="616"/>
      <c r="BO44" s="616"/>
      <c r="BP44" s="616"/>
      <c r="BQ44" s="616"/>
      <c r="BR44" s="616"/>
      <c r="BS44" s="616"/>
      <c r="BT44" s="616"/>
      <c r="BU44" s="616"/>
      <c r="BV44" s="616"/>
      <c r="BW44" s="616"/>
      <c r="BX44" s="616"/>
      <c r="BY44" s="616"/>
      <c r="BZ44" s="616"/>
      <c r="CA44" s="616"/>
      <c r="CB44" s="616"/>
      <c r="CC44" s="616"/>
      <c r="CD44" s="616"/>
      <c r="CE44" s="616"/>
      <c r="CF44" s="616"/>
      <c r="CG44" s="616"/>
      <c r="CH44" s="616"/>
      <c r="CI44" s="616"/>
      <c r="CJ44" s="616"/>
      <c r="CK44" s="616"/>
      <c r="CL44" s="616"/>
      <c r="CM44" s="616"/>
      <c r="CN44" s="616"/>
      <c r="CO44" s="616"/>
      <c r="CP44" s="616"/>
      <c r="CQ44" s="616"/>
      <c r="CR44" s="616"/>
      <c r="CS44" s="616"/>
      <c r="CT44" s="616"/>
      <c r="CU44" s="616"/>
      <c r="CV44" s="616"/>
      <c r="CW44" s="616"/>
      <c r="CX44" s="616"/>
      <c r="CY44" s="616"/>
      <c r="CZ44" s="616"/>
      <c r="DA44" s="616"/>
      <c r="DB44" s="616"/>
      <c r="DC44" s="616"/>
      <c r="DD44" s="616"/>
      <c r="DE44" s="616"/>
      <c r="DF44" s="616"/>
      <c r="DG44" s="616"/>
      <c r="DH44" s="616"/>
      <c r="DI44" s="616"/>
      <c r="DJ44" s="616"/>
      <c r="DK44" s="616"/>
      <c r="DL44" s="616"/>
      <c r="DM44" s="616"/>
      <c r="DN44" s="616"/>
      <c r="DO44" s="616"/>
      <c r="DP44" s="616"/>
      <c r="DQ44" s="616"/>
      <c r="DR44" s="616"/>
      <c r="DS44" s="616"/>
      <c r="DT44" s="616"/>
      <c r="DU44" s="616"/>
      <c r="DV44" s="616"/>
      <c r="DW44" s="616"/>
      <c r="DX44" s="616"/>
      <c r="DY44" s="616"/>
      <c r="DZ44" s="616"/>
      <c r="EA44" s="616"/>
      <c r="EB44" s="616"/>
      <c r="EC44" s="616"/>
      <c r="ED44" s="616"/>
      <c r="EE44" s="616"/>
      <c r="EF44" s="616"/>
      <c r="EG44" s="616"/>
      <c r="EH44" s="616"/>
      <c r="EI44" s="616"/>
      <c r="EJ44" s="616"/>
      <c r="EK44" s="616"/>
      <c r="EL44" s="616"/>
      <c r="EM44" s="616"/>
      <c r="EN44" s="616"/>
      <c r="EO44" s="616"/>
      <c r="EP44" s="616"/>
      <c r="EQ44" s="616"/>
      <c r="ER44" s="616"/>
      <c r="ES44" s="616"/>
      <c r="ET44" s="616"/>
      <c r="EU44" s="616"/>
      <c r="EV44" s="616"/>
      <c r="EW44" s="616"/>
      <c r="EX44" s="616"/>
      <c r="EY44" s="616"/>
      <c r="EZ44" s="616"/>
      <c r="FA44" s="616"/>
      <c r="FB44" s="616"/>
      <c r="FC44" s="616"/>
      <c r="FD44" s="616"/>
      <c r="FE44" s="616"/>
      <c r="FF44" s="616"/>
      <c r="FG44" s="616"/>
      <c r="FH44" s="616"/>
      <c r="FI44" s="616"/>
      <c r="FJ44" s="616"/>
      <c r="FK44" s="616"/>
      <c r="FL44" s="616"/>
      <c r="FM44" s="616"/>
      <c r="FN44" s="616"/>
      <c r="FO44" s="616"/>
      <c r="FP44" s="616"/>
      <c r="FQ44" s="616"/>
      <c r="FR44" s="616"/>
      <c r="FS44" s="616"/>
      <c r="FT44" s="616"/>
      <c r="FU44" s="616"/>
      <c r="FV44" s="616"/>
      <c r="FW44" s="616"/>
      <c r="FX44" s="616"/>
      <c r="FY44" s="616"/>
      <c r="FZ44" s="616"/>
      <c r="GA44" s="616"/>
      <c r="GB44" s="616"/>
      <c r="GC44" s="616"/>
      <c r="GD44" s="616"/>
      <c r="GE44" s="616"/>
      <c r="GF44" s="616"/>
      <c r="GG44" s="616"/>
      <c r="GH44" s="616"/>
      <c r="GI44" s="616"/>
      <c r="GJ44" s="616"/>
      <c r="GK44" s="616"/>
      <c r="GL44" s="616"/>
      <c r="GM44" s="616"/>
      <c r="GN44" s="616"/>
      <c r="GO44" s="616"/>
      <c r="GP44" s="616"/>
      <c r="GQ44" s="616"/>
      <c r="GR44" s="616"/>
      <c r="GS44" s="616"/>
      <c r="GT44" s="616"/>
      <c r="GU44" s="616"/>
      <c r="GV44" s="616"/>
      <c r="GW44" s="616"/>
      <c r="GX44" s="616"/>
      <c r="GY44" s="616"/>
      <c r="GZ44" s="616"/>
      <c r="HA44" s="616"/>
      <c r="HB44" s="616"/>
      <c r="HC44" s="616"/>
      <c r="HD44" s="616"/>
      <c r="HE44" s="616"/>
      <c r="HF44" s="616"/>
      <c r="HG44" s="616"/>
      <c r="HH44" s="616"/>
      <c r="HI44" s="616"/>
      <c r="HJ44" s="616"/>
      <c r="HK44" s="616"/>
      <c r="HL44" s="616"/>
      <c r="HM44" s="616"/>
      <c r="HN44" s="616"/>
      <c r="HO44" s="616"/>
      <c r="HP44" s="616"/>
      <c r="HQ44" s="616"/>
      <c r="HR44" s="616"/>
      <c r="HS44" s="616"/>
      <c r="HT44" s="616"/>
      <c r="HU44" s="616"/>
      <c r="HV44" s="616"/>
      <c r="HW44" s="616"/>
      <c r="HX44" s="616"/>
      <c r="HY44" s="616"/>
      <c r="HZ44" s="616"/>
      <c r="IA44" s="616"/>
      <c r="IB44" s="616"/>
      <c r="IC44" s="616"/>
      <c r="ID44" s="616"/>
      <c r="IE44" s="616"/>
      <c r="IF44" s="616"/>
      <c r="IG44" s="616"/>
      <c r="IH44" s="616"/>
      <c r="II44" s="616"/>
      <c r="IJ44" s="616"/>
      <c r="IK44" s="616"/>
      <c r="IL44" s="616"/>
    </row>
    <row r="45" spans="1:246" s="513" customFormat="1" ht="12.75">
      <c r="A45" s="604">
        <v>1</v>
      </c>
      <c r="B45" s="603" t="s">
        <v>69</v>
      </c>
      <c r="C45" s="233" t="s">
        <v>598</v>
      </c>
      <c r="D45" s="605">
        <f t="shared" ref="D45:I45" si="11">SUM(D46:D52)</f>
        <v>0</v>
      </c>
      <c r="E45" s="605">
        <f t="shared" si="11"/>
        <v>0</v>
      </c>
      <c r="F45" s="605">
        <f t="shared" si="11"/>
        <v>0</v>
      </c>
      <c r="G45" s="605">
        <f t="shared" si="11"/>
        <v>0</v>
      </c>
      <c r="H45" s="605">
        <f t="shared" si="11"/>
        <v>0</v>
      </c>
      <c r="I45" s="605">
        <f t="shared" si="11"/>
        <v>0</v>
      </c>
      <c r="J45" s="615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  <c r="W45" s="616"/>
      <c r="X45" s="616"/>
      <c r="Y45" s="616"/>
      <c r="Z45" s="616"/>
      <c r="AA45" s="616"/>
      <c r="AB45" s="616"/>
      <c r="AC45" s="616"/>
      <c r="AD45" s="616"/>
      <c r="AE45" s="616"/>
      <c r="AF45" s="616"/>
      <c r="AG45" s="616"/>
      <c r="AH45" s="616"/>
      <c r="AI45" s="616"/>
      <c r="AJ45" s="616"/>
      <c r="AK45" s="616"/>
      <c r="AL45" s="616"/>
      <c r="AM45" s="616"/>
      <c r="AN45" s="616"/>
      <c r="AO45" s="616"/>
      <c r="AP45" s="616"/>
      <c r="AQ45" s="616"/>
      <c r="AR45" s="616"/>
      <c r="AS45" s="616"/>
      <c r="AT45" s="616"/>
      <c r="AU45" s="616"/>
      <c r="AV45" s="616"/>
      <c r="AW45" s="616"/>
      <c r="AX45" s="616"/>
      <c r="AY45" s="616"/>
      <c r="AZ45" s="616"/>
      <c r="BA45" s="616"/>
      <c r="BB45" s="616"/>
      <c r="BC45" s="616"/>
      <c r="BD45" s="616"/>
      <c r="BE45" s="616"/>
      <c r="BF45" s="616"/>
      <c r="BG45" s="616"/>
      <c r="BH45" s="616"/>
      <c r="BI45" s="616"/>
      <c r="BJ45" s="616"/>
      <c r="BK45" s="616"/>
      <c r="BL45" s="616"/>
      <c r="BM45" s="616"/>
      <c r="BN45" s="616"/>
      <c r="BO45" s="616"/>
      <c r="BP45" s="616"/>
      <c r="BQ45" s="616"/>
      <c r="BR45" s="616"/>
      <c r="BS45" s="616"/>
      <c r="BT45" s="616"/>
      <c r="BU45" s="616"/>
      <c r="BV45" s="616"/>
      <c r="BW45" s="616"/>
      <c r="BX45" s="616"/>
      <c r="BY45" s="616"/>
      <c r="BZ45" s="616"/>
      <c r="CA45" s="616"/>
      <c r="CB45" s="616"/>
      <c r="CC45" s="616"/>
      <c r="CD45" s="616"/>
      <c r="CE45" s="616"/>
      <c r="CF45" s="616"/>
      <c r="CG45" s="616"/>
      <c r="CH45" s="616"/>
      <c r="CI45" s="616"/>
      <c r="CJ45" s="616"/>
      <c r="CK45" s="616"/>
      <c r="CL45" s="616"/>
      <c r="CM45" s="616"/>
      <c r="CN45" s="616"/>
      <c r="CO45" s="616"/>
      <c r="CP45" s="616"/>
      <c r="CQ45" s="616"/>
      <c r="CR45" s="616"/>
      <c r="CS45" s="616"/>
      <c r="CT45" s="616"/>
      <c r="CU45" s="616"/>
      <c r="CV45" s="616"/>
      <c r="CW45" s="616"/>
      <c r="CX45" s="616"/>
      <c r="CY45" s="616"/>
      <c r="CZ45" s="616"/>
      <c r="DA45" s="616"/>
      <c r="DB45" s="616"/>
      <c r="DC45" s="616"/>
      <c r="DD45" s="616"/>
      <c r="DE45" s="616"/>
      <c r="DF45" s="616"/>
      <c r="DG45" s="616"/>
      <c r="DH45" s="616"/>
      <c r="DI45" s="616"/>
      <c r="DJ45" s="616"/>
      <c r="DK45" s="616"/>
      <c r="DL45" s="616"/>
      <c r="DM45" s="616"/>
      <c r="DN45" s="616"/>
      <c r="DO45" s="616"/>
      <c r="DP45" s="616"/>
      <c r="DQ45" s="616"/>
      <c r="DR45" s="616"/>
      <c r="DS45" s="616"/>
      <c r="DT45" s="616"/>
      <c r="DU45" s="616"/>
      <c r="DV45" s="616"/>
      <c r="DW45" s="616"/>
      <c r="DX45" s="616"/>
      <c r="DY45" s="616"/>
      <c r="DZ45" s="616"/>
      <c r="EA45" s="616"/>
      <c r="EB45" s="616"/>
      <c r="EC45" s="616"/>
      <c r="ED45" s="616"/>
      <c r="EE45" s="616"/>
      <c r="EF45" s="616"/>
      <c r="EG45" s="616"/>
      <c r="EH45" s="616"/>
      <c r="EI45" s="616"/>
      <c r="EJ45" s="616"/>
      <c r="EK45" s="616"/>
      <c r="EL45" s="616"/>
      <c r="EM45" s="616"/>
      <c r="EN45" s="616"/>
      <c r="EO45" s="616"/>
      <c r="EP45" s="616"/>
      <c r="EQ45" s="616"/>
      <c r="ER45" s="616"/>
      <c r="ES45" s="616"/>
      <c r="ET45" s="616"/>
      <c r="EU45" s="616"/>
      <c r="EV45" s="616"/>
      <c r="EW45" s="616"/>
      <c r="EX45" s="616"/>
      <c r="EY45" s="616"/>
      <c r="EZ45" s="616"/>
      <c r="FA45" s="616"/>
      <c r="FB45" s="616"/>
      <c r="FC45" s="616"/>
      <c r="FD45" s="616"/>
      <c r="FE45" s="616"/>
      <c r="FF45" s="616"/>
      <c r="FG45" s="616"/>
      <c r="FH45" s="616"/>
      <c r="FI45" s="616"/>
      <c r="FJ45" s="616"/>
      <c r="FK45" s="616"/>
      <c r="FL45" s="616"/>
      <c r="FM45" s="616"/>
      <c r="FN45" s="616"/>
      <c r="FO45" s="616"/>
      <c r="FP45" s="616"/>
      <c r="FQ45" s="616"/>
      <c r="FR45" s="616"/>
      <c r="FS45" s="616"/>
      <c r="FT45" s="616"/>
      <c r="FU45" s="616"/>
      <c r="FV45" s="616"/>
      <c r="FW45" s="616"/>
      <c r="FX45" s="616"/>
      <c r="FY45" s="616"/>
      <c r="FZ45" s="616"/>
      <c r="GA45" s="616"/>
      <c r="GB45" s="616"/>
      <c r="GC45" s="616"/>
      <c r="GD45" s="616"/>
      <c r="GE45" s="616"/>
      <c r="GF45" s="616"/>
      <c r="GG45" s="616"/>
      <c r="GH45" s="616"/>
      <c r="GI45" s="616"/>
      <c r="GJ45" s="616"/>
      <c r="GK45" s="616"/>
      <c r="GL45" s="616"/>
      <c r="GM45" s="616"/>
      <c r="GN45" s="616"/>
      <c r="GO45" s="616"/>
      <c r="GP45" s="616"/>
      <c r="GQ45" s="616"/>
      <c r="GR45" s="616"/>
      <c r="GS45" s="616"/>
      <c r="GT45" s="616"/>
      <c r="GU45" s="616"/>
      <c r="GV45" s="616"/>
      <c r="GW45" s="616"/>
      <c r="GX45" s="616"/>
      <c r="GY45" s="616"/>
      <c r="GZ45" s="616"/>
      <c r="HA45" s="616"/>
      <c r="HB45" s="616"/>
      <c r="HC45" s="616"/>
      <c r="HD45" s="616"/>
      <c r="HE45" s="616"/>
      <c r="HF45" s="616"/>
      <c r="HG45" s="616"/>
      <c r="HH45" s="616"/>
      <c r="HI45" s="616"/>
      <c r="HJ45" s="616"/>
      <c r="HK45" s="616"/>
      <c r="HL45" s="616"/>
      <c r="HM45" s="616"/>
      <c r="HN45" s="616"/>
      <c r="HO45" s="616"/>
      <c r="HP45" s="616"/>
      <c r="HQ45" s="616"/>
      <c r="HR45" s="616"/>
      <c r="HS45" s="616"/>
      <c r="HT45" s="616"/>
      <c r="HU45" s="616"/>
      <c r="HV45" s="616"/>
      <c r="HW45" s="616"/>
      <c r="HX45" s="616"/>
      <c r="HY45" s="616"/>
      <c r="HZ45" s="616"/>
      <c r="IA45" s="616"/>
      <c r="IB45" s="616"/>
      <c r="IC45" s="616"/>
      <c r="ID45" s="616"/>
      <c r="IE45" s="616"/>
      <c r="IF45" s="616"/>
      <c r="IG45" s="616"/>
      <c r="IH45" s="616"/>
      <c r="II45" s="616"/>
      <c r="IJ45" s="616"/>
      <c r="IK45" s="616"/>
      <c r="IL45" s="616"/>
    </row>
    <row r="46" spans="1:246" s="513" customFormat="1" ht="12.75">
      <c r="A46" s="604">
        <v>2</v>
      </c>
      <c r="B46" s="603">
        <v>1</v>
      </c>
      <c r="C46" s="233" t="s">
        <v>598</v>
      </c>
      <c r="D46" s="605">
        <f>SUMIF(Sheet22!$B$6:$B$100,Sheet3!$C46,Sheet22!K$6:K$100)</f>
        <v>0</v>
      </c>
      <c r="E46" s="605">
        <f>SUMIF(Sheet22!$B$6:$B$100,Sheet3!$C46,Sheet22!M$6:M$100)</f>
        <v>0</v>
      </c>
      <c r="F46" s="605">
        <f>ROUND(E46*F$56,2)</f>
        <v>0</v>
      </c>
      <c r="G46" s="605">
        <f>ROUND(E46*G$56,2)</f>
        <v>0</v>
      </c>
      <c r="H46" s="605">
        <f>F46+G46</f>
        <v>0</v>
      </c>
      <c r="I46" s="605">
        <f t="shared" ref="I46:I52" si="12">E46-H46</f>
        <v>0</v>
      </c>
      <c r="J46" s="615"/>
      <c r="K46" s="616"/>
      <c r="L46" s="616"/>
      <c r="M46" s="616"/>
      <c r="N46" s="616"/>
      <c r="O46" s="616"/>
      <c r="P46" s="616"/>
      <c r="Q46" s="616"/>
      <c r="R46" s="616"/>
      <c r="S46" s="616"/>
      <c r="T46" s="616"/>
      <c r="U46" s="616"/>
      <c r="V46" s="616"/>
      <c r="W46" s="616"/>
      <c r="X46" s="616"/>
      <c r="Y46" s="616"/>
      <c r="Z46" s="616"/>
      <c r="AA46" s="616"/>
      <c r="AB46" s="616"/>
      <c r="AC46" s="616"/>
      <c r="AD46" s="616"/>
      <c r="AE46" s="616"/>
      <c r="AF46" s="616"/>
      <c r="AG46" s="616"/>
      <c r="AH46" s="616"/>
      <c r="AI46" s="616"/>
      <c r="AJ46" s="616"/>
      <c r="AK46" s="616"/>
      <c r="AL46" s="616"/>
      <c r="AM46" s="616"/>
      <c r="AN46" s="616"/>
      <c r="AO46" s="616"/>
      <c r="AP46" s="616"/>
      <c r="AQ46" s="616"/>
      <c r="AR46" s="616"/>
      <c r="AS46" s="616"/>
      <c r="AT46" s="616"/>
      <c r="AU46" s="616"/>
      <c r="AV46" s="616"/>
      <c r="AW46" s="616"/>
      <c r="AX46" s="616"/>
      <c r="AY46" s="616"/>
      <c r="AZ46" s="616"/>
      <c r="BA46" s="616"/>
      <c r="BB46" s="616"/>
      <c r="BC46" s="616"/>
      <c r="BD46" s="616"/>
      <c r="BE46" s="616"/>
      <c r="BF46" s="616"/>
      <c r="BG46" s="616"/>
      <c r="BH46" s="616"/>
      <c r="BI46" s="616"/>
      <c r="BJ46" s="616"/>
      <c r="BK46" s="616"/>
      <c r="BL46" s="616"/>
      <c r="BM46" s="616"/>
      <c r="BN46" s="616"/>
      <c r="BO46" s="616"/>
      <c r="BP46" s="616"/>
      <c r="BQ46" s="616"/>
      <c r="BR46" s="616"/>
      <c r="BS46" s="616"/>
      <c r="BT46" s="616"/>
      <c r="BU46" s="616"/>
      <c r="BV46" s="616"/>
      <c r="BW46" s="616"/>
      <c r="BX46" s="616"/>
      <c r="BY46" s="616"/>
      <c r="BZ46" s="616"/>
      <c r="CA46" s="616"/>
      <c r="CB46" s="616"/>
      <c r="CC46" s="616"/>
      <c r="CD46" s="616"/>
      <c r="CE46" s="616"/>
      <c r="CF46" s="616"/>
      <c r="CG46" s="616"/>
      <c r="CH46" s="616"/>
      <c r="CI46" s="616"/>
      <c r="CJ46" s="616"/>
      <c r="CK46" s="616"/>
      <c r="CL46" s="616"/>
      <c r="CM46" s="616"/>
      <c r="CN46" s="616"/>
      <c r="CO46" s="616"/>
      <c r="CP46" s="616"/>
      <c r="CQ46" s="616"/>
      <c r="CR46" s="616"/>
      <c r="CS46" s="616"/>
      <c r="CT46" s="616"/>
      <c r="CU46" s="616"/>
      <c r="CV46" s="616"/>
      <c r="CW46" s="616"/>
      <c r="CX46" s="616"/>
      <c r="CY46" s="616"/>
      <c r="CZ46" s="616"/>
      <c r="DA46" s="616"/>
      <c r="DB46" s="616"/>
      <c r="DC46" s="616"/>
      <c r="DD46" s="616"/>
      <c r="DE46" s="616"/>
      <c r="DF46" s="616"/>
      <c r="DG46" s="616"/>
      <c r="DH46" s="616"/>
      <c r="DI46" s="616"/>
      <c r="DJ46" s="616"/>
      <c r="DK46" s="616"/>
      <c r="DL46" s="616"/>
      <c r="DM46" s="616"/>
      <c r="DN46" s="616"/>
      <c r="DO46" s="616"/>
      <c r="DP46" s="616"/>
      <c r="DQ46" s="616"/>
      <c r="DR46" s="616"/>
      <c r="DS46" s="616"/>
      <c r="DT46" s="616"/>
      <c r="DU46" s="616"/>
      <c r="DV46" s="616"/>
      <c r="DW46" s="616"/>
      <c r="DX46" s="616"/>
      <c r="DY46" s="616"/>
      <c r="DZ46" s="616"/>
      <c r="EA46" s="616"/>
      <c r="EB46" s="616"/>
      <c r="EC46" s="616"/>
      <c r="ED46" s="616"/>
      <c r="EE46" s="616"/>
      <c r="EF46" s="616"/>
      <c r="EG46" s="616"/>
      <c r="EH46" s="616"/>
      <c r="EI46" s="616"/>
      <c r="EJ46" s="616"/>
      <c r="EK46" s="616"/>
      <c r="EL46" s="616"/>
      <c r="EM46" s="616"/>
      <c r="EN46" s="616"/>
      <c r="EO46" s="616"/>
      <c r="EP46" s="616"/>
      <c r="EQ46" s="616"/>
      <c r="ER46" s="616"/>
      <c r="ES46" s="616"/>
      <c r="ET46" s="616"/>
      <c r="EU46" s="616"/>
      <c r="EV46" s="616"/>
      <c r="EW46" s="616"/>
      <c r="EX46" s="616"/>
      <c r="EY46" s="616"/>
      <c r="EZ46" s="616"/>
      <c r="FA46" s="616"/>
      <c r="FB46" s="616"/>
      <c r="FC46" s="616"/>
      <c r="FD46" s="616"/>
      <c r="FE46" s="616"/>
      <c r="FF46" s="616"/>
      <c r="FG46" s="616"/>
      <c r="FH46" s="616"/>
      <c r="FI46" s="616"/>
      <c r="FJ46" s="616"/>
      <c r="FK46" s="616"/>
      <c r="FL46" s="616"/>
      <c r="FM46" s="616"/>
      <c r="FN46" s="616"/>
      <c r="FO46" s="616"/>
      <c r="FP46" s="616"/>
      <c r="FQ46" s="616"/>
      <c r="FR46" s="616"/>
      <c r="FS46" s="616"/>
      <c r="FT46" s="616"/>
      <c r="FU46" s="616"/>
      <c r="FV46" s="616"/>
      <c r="FW46" s="616"/>
      <c r="FX46" s="616"/>
      <c r="FY46" s="616"/>
      <c r="FZ46" s="616"/>
      <c r="GA46" s="616"/>
      <c r="GB46" s="616"/>
      <c r="GC46" s="616"/>
      <c r="GD46" s="616"/>
      <c r="GE46" s="616"/>
      <c r="GF46" s="616"/>
      <c r="GG46" s="616"/>
      <c r="GH46" s="616"/>
      <c r="GI46" s="616"/>
      <c r="GJ46" s="616"/>
      <c r="GK46" s="616"/>
      <c r="GL46" s="616"/>
      <c r="GM46" s="616"/>
      <c r="GN46" s="616"/>
      <c r="GO46" s="616"/>
      <c r="GP46" s="616"/>
      <c r="GQ46" s="616"/>
      <c r="GR46" s="616"/>
      <c r="GS46" s="616"/>
      <c r="GT46" s="616"/>
      <c r="GU46" s="616"/>
      <c r="GV46" s="616"/>
      <c r="GW46" s="616"/>
      <c r="GX46" s="616"/>
      <c r="GY46" s="616"/>
      <c r="GZ46" s="616"/>
      <c r="HA46" s="616"/>
      <c r="HB46" s="616"/>
      <c r="HC46" s="616"/>
      <c r="HD46" s="616"/>
      <c r="HE46" s="616"/>
      <c r="HF46" s="616"/>
      <c r="HG46" s="616"/>
      <c r="HH46" s="616"/>
      <c r="HI46" s="616"/>
      <c r="HJ46" s="616"/>
      <c r="HK46" s="616"/>
      <c r="HL46" s="616"/>
      <c r="HM46" s="616"/>
      <c r="HN46" s="616"/>
      <c r="HO46" s="616"/>
      <c r="HP46" s="616"/>
      <c r="HQ46" s="616"/>
      <c r="HR46" s="616"/>
      <c r="HS46" s="616"/>
      <c r="HT46" s="616"/>
      <c r="HU46" s="616"/>
      <c r="HV46" s="616"/>
      <c r="HW46" s="616"/>
      <c r="HX46" s="616"/>
      <c r="HY46" s="616"/>
      <c r="HZ46" s="616"/>
      <c r="IA46" s="616"/>
      <c r="IB46" s="616"/>
      <c r="IC46" s="616"/>
      <c r="ID46" s="616"/>
      <c r="IE46" s="616"/>
      <c r="IF46" s="616"/>
      <c r="IG46" s="616"/>
      <c r="IH46" s="616"/>
      <c r="II46" s="616"/>
      <c r="IJ46" s="616"/>
      <c r="IK46" s="616"/>
      <c r="IL46" s="616"/>
    </row>
    <row r="47" spans="1:246" s="513" customFormat="1" ht="12.75">
      <c r="A47" s="604">
        <v>2</v>
      </c>
      <c r="B47" s="603">
        <v>2</v>
      </c>
      <c r="C47" s="233" t="s">
        <v>598</v>
      </c>
      <c r="D47" s="605">
        <f>SUMIF(Sheet22!$B$6:$B$100,Sheet3!$C47,Sheet22!K$6:K$100)</f>
        <v>0</v>
      </c>
      <c r="E47" s="605">
        <f>SUMIF(Sheet22!$B$6:$B$100,Sheet3!$C47,Sheet22!M$6:M$100)</f>
        <v>0</v>
      </c>
      <c r="F47" s="605">
        <f>ROUND(E47*F$56,2)</f>
        <v>0</v>
      </c>
      <c r="G47" s="605">
        <f>ROUND(E47*G$56,2)</f>
        <v>0</v>
      </c>
      <c r="H47" s="605">
        <f t="shared" ref="H47:H52" si="13">F47+G47</f>
        <v>0</v>
      </c>
      <c r="I47" s="605">
        <f t="shared" si="12"/>
        <v>0</v>
      </c>
      <c r="J47" s="615"/>
      <c r="K47" s="616"/>
      <c r="L47" s="616"/>
      <c r="M47" s="616"/>
      <c r="N47" s="616"/>
      <c r="O47" s="616"/>
      <c r="P47" s="616"/>
      <c r="Q47" s="616"/>
      <c r="R47" s="616"/>
      <c r="S47" s="616"/>
      <c r="T47" s="616"/>
      <c r="U47" s="616"/>
      <c r="V47" s="616"/>
      <c r="W47" s="616"/>
      <c r="X47" s="616"/>
      <c r="Y47" s="616"/>
      <c r="Z47" s="616"/>
      <c r="AA47" s="616"/>
      <c r="AB47" s="616"/>
      <c r="AC47" s="616"/>
      <c r="AD47" s="616"/>
      <c r="AE47" s="616"/>
      <c r="AF47" s="616"/>
      <c r="AG47" s="616"/>
      <c r="AH47" s="616"/>
      <c r="AI47" s="616"/>
      <c r="AJ47" s="616"/>
      <c r="AK47" s="616"/>
      <c r="AL47" s="616"/>
      <c r="AM47" s="616"/>
      <c r="AN47" s="616"/>
      <c r="AO47" s="616"/>
      <c r="AP47" s="616"/>
      <c r="AQ47" s="616"/>
      <c r="AR47" s="616"/>
      <c r="AS47" s="616"/>
      <c r="AT47" s="616"/>
      <c r="AU47" s="616"/>
      <c r="AV47" s="616"/>
      <c r="AW47" s="616"/>
      <c r="AX47" s="616"/>
      <c r="AY47" s="616"/>
      <c r="AZ47" s="616"/>
      <c r="BA47" s="616"/>
      <c r="BB47" s="616"/>
      <c r="BC47" s="616"/>
      <c r="BD47" s="616"/>
      <c r="BE47" s="616"/>
      <c r="BF47" s="616"/>
      <c r="BG47" s="616"/>
      <c r="BH47" s="616"/>
      <c r="BI47" s="616"/>
      <c r="BJ47" s="616"/>
      <c r="BK47" s="616"/>
      <c r="BL47" s="616"/>
      <c r="BM47" s="616"/>
      <c r="BN47" s="616"/>
      <c r="BO47" s="616"/>
      <c r="BP47" s="616"/>
      <c r="BQ47" s="616"/>
      <c r="BR47" s="616"/>
      <c r="BS47" s="616"/>
      <c r="BT47" s="616"/>
      <c r="BU47" s="616"/>
      <c r="BV47" s="616"/>
      <c r="BW47" s="616"/>
      <c r="BX47" s="616"/>
      <c r="BY47" s="616"/>
      <c r="BZ47" s="616"/>
      <c r="CA47" s="616"/>
      <c r="CB47" s="616"/>
      <c r="CC47" s="616"/>
      <c r="CD47" s="616"/>
      <c r="CE47" s="616"/>
      <c r="CF47" s="616"/>
      <c r="CG47" s="616"/>
      <c r="CH47" s="616"/>
      <c r="CI47" s="616"/>
      <c r="CJ47" s="616"/>
      <c r="CK47" s="616"/>
      <c r="CL47" s="616"/>
      <c r="CM47" s="616"/>
      <c r="CN47" s="616"/>
      <c r="CO47" s="616"/>
      <c r="CP47" s="616"/>
      <c r="CQ47" s="616"/>
      <c r="CR47" s="616"/>
      <c r="CS47" s="616"/>
      <c r="CT47" s="616"/>
      <c r="CU47" s="616"/>
      <c r="CV47" s="616"/>
      <c r="CW47" s="616"/>
      <c r="CX47" s="616"/>
      <c r="CY47" s="616"/>
      <c r="CZ47" s="616"/>
      <c r="DA47" s="616"/>
      <c r="DB47" s="616"/>
      <c r="DC47" s="616"/>
      <c r="DD47" s="616"/>
      <c r="DE47" s="616"/>
      <c r="DF47" s="616"/>
      <c r="DG47" s="616"/>
      <c r="DH47" s="616"/>
      <c r="DI47" s="616"/>
      <c r="DJ47" s="616"/>
      <c r="DK47" s="616"/>
      <c r="DL47" s="616"/>
      <c r="DM47" s="616"/>
      <c r="DN47" s="616"/>
      <c r="DO47" s="616"/>
      <c r="DP47" s="616"/>
      <c r="DQ47" s="616"/>
      <c r="DR47" s="616"/>
      <c r="DS47" s="616"/>
      <c r="DT47" s="616"/>
      <c r="DU47" s="616"/>
      <c r="DV47" s="616"/>
      <c r="DW47" s="616"/>
      <c r="DX47" s="616"/>
      <c r="DY47" s="616"/>
      <c r="DZ47" s="616"/>
      <c r="EA47" s="616"/>
      <c r="EB47" s="616"/>
      <c r="EC47" s="616"/>
      <c r="ED47" s="616"/>
      <c r="EE47" s="616"/>
      <c r="EF47" s="616"/>
      <c r="EG47" s="616"/>
      <c r="EH47" s="616"/>
      <c r="EI47" s="616"/>
      <c r="EJ47" s="616"/>
      <c r="EK47" s="616"/>
      <c r="EL47" s="616"/>
      <c r="EM47" s="616"/>
      <c r="EN47" s="616"/>
      <c r="EO47" s="616"/>
      <c r="EP47" s="616"/>
      <c r="EQ47" s="616"/>
      <c r="ER47" s="616"/>
      <c r="ES47" s="616"/>
      <c r="ET47" s="616"/>
      <c r="EU47" s="616"/>
      <c r="EV47" s="616"/>
      <c r="EW47" s="616"/>
      <c r="EX47" s="616"/>
      <c r="EY47" s="616"/>
      <c r="EZ47" s="616"/>
      <c r="FA47" s="616"/>
      <c r="FB47" s="616"/>
      <c r="FC47" s="616"/>
      <c r="FD47" s="616"/>
      <c r="FE47" s="616"/>
      <c r="FF47" s="616"/>
      <c r="FG47" s="616"/>
      <c r="FH47" s="616"/>
      <c r="FI47" s="616"/>
      <c r="FJ47" s="616"/>
      <c r="FK47" s="616"/>
      <c r="FL47" s="616"/>
      <c r="FM47" s="616"/>
      <c r="FN47" s="616"/>
      <c r="FO47" s="616"/>
      <c r="FP47" s="616"/>
      <c r="FQ47" s="616"/>
      <c r="FR47" s="616"/>
      <c r="FS47" s="616"/>
      <c r="FT47" s="616"/>
      <c r="FU47" s="616"/>
      <c r="FV47" s="616"/>
      <c r="FW47" s="616"/>
      <c r="FX47" s="616"/>
      <c r="FY47" s="616"/>
      <c r="FZ47" s="616"/>
      <c r="GA47" s="616"/>
      <c r="GB47" s="616"/>
      <c r="GC47" s="616"/>
      <c r="GD47" s="616"/>
      <c r="GE47" s="616"/>
      <c r="GF47" s="616"/>
      <c r="GG47" s="616"/>
      <c r="GH47" s="616"/>
      <c r="GI47" s="616"/>
      <c r="GJ47" s="616"/>
      <c r="GK47" s="616"/>
      <c r="GL47" s="616"/>
      <c r="GM47" s="616"/>
      <c r="GN47" s="616"/>
      <c r="GO47" s="616"/>
      <c r="GP47" s="616"/>
      <c r="GQ47" s="616"/>
      <c r="GR47" s="616"/>
      <c r="GS47" s="616"/>
      <c r="GT47" s="616"/>
      <c r="GU47" s="616"/>
      <c r="GV47" s="616"/>
      <c r="GW47" s="616"/>
      <c r="GX47" s="616"/>
      <c r="GY47" s="616"/>
      <c r="GZ47" s="616"/>
      <c r="HA47" s="616"/>
      <c r="HB47" s="616"/>
      <c r="HC47" s="616"/>
      <c r="HD47" s="616"/>
      <c r="HE47" s="616"/>
      <c r="HF47" s="616"/>
      <c r="HG47" s="616"/>
      <c r="HH47" s="616"/>
      <c r="HI47" s="616"/>
      <c r="HJ47" s="616"/>
      <c r="HK47" s="616"/>
      <c r="HL47" s="616"/>
      <c r="HM47" s="616"/>
      <c r="HN47" s="616"/>
      <c r="HO47" s="616"/>
      <c r="HP47" s="616"/>
      <c r="HQ47" s="616"/>
      <c r="HR47" s="616"/>
      <c r="HS47" s="616"/>
      <c r="HT47" s="616"/>
      <c r="HU47" s="616"/>
      <c r="HV47" s="616"/>
      <c r="HW47" s="616"/>
      <c r="HX47" s="616"/>
      <c r="HY47" s="616"/>
      <c r="HZ47" s="616"/>
      <c r="IA47" s="616"/>
      <c r="IB47" s="616"/>
      <c r="IC47" s="616"/>
      <c r="ID47" s="616"/>
      <c r="IE47" s="616"/>
      <c r="IF47" s="616"/>
      <c r="IG47" s="616"/>
      <c r="IH47" s="616"/>
      <c r="II47" s="616"/>
      <c r="IJ47" s="616"/>
      <c r="IK47" s="616"/>
      <c r="IL47" s="616"/>
    </row>
    <row r="48" spans="1:246" s="513" customFormat="1" ht="12.75">
      <c r="A48" s="604">
        <v>2</v>
      </c>
      <c r="B48" s="603">
        <v>3</v>
      </c>
      <c r="C48" s="233" t="s">
        <v>598</v>
      </c>
      <c r="D48" s="605">
        <f>SUMIF(Sheet22!$B$6:$B$100,Sheet3!$C48,Sheet22!K$6:K$100)</f>
        <v>0</v>
      </c>
      <c r="E48" s="605">
        <f>SUMIF(Sheet22!$B$6:$B$100,Sheet3!$C48,Sheet22!M$6:M$100)</f>
        <v>0</v>
      </c>
      <c r="F48" s="605"/>
      <c r="G48" s="605"/>
      <c r="H48" s="605">
        <f t="shared" si="13"/>
        <v>0</v>
      </c>
      <c r="I48" s="605">
        <f t="shared" si="12"/>
        <v>0</v>
      </c>
      <c r="J48" s="615"/>
      <c r="K48" s="616"/>
      <c r="L48" s="616"/>
      <c r="M48" s="616"/>
      <c r="N48" s="616"/>
      <c r="O48" s="616"/>
      <c r="P48" s="616"/>
      <c r="Q48" s="616"/>
      <c r="R48" s="616"/>
      <c r="S48" s="616"/>
      <c r="T48" s="616"/>
      <c r="U48" s="616"/>
      <c r="V48" s="616"/>
      <c r="W48" s="616"/>
      <c r="X48" s="616"/>
      <c r="Y48" s="616"/>
      <c r="Z48" s="616"/>
      <c r="AA48" s="616"/>
      <c r="AB48" s="616"/>
      <c r="AC48" s="616"/>
      <c r="AD48" s="616"/>
      <c r="AE48" s="616"/>
      <c r="AF48" s="616"/>
      <c r="AG48" s="616"/>
      <c r="AH48" s="616"/>
      <c r="AI48" s="616"/>
      <c r="AJ48" s="616"/>
      <c r="AK48" s="616"/>
      <c r="AL48" s="616"/>
      <c r="AM48" s="616"/>
      <c r="AN48" s="616"/>
      <c r="AO48" s="616"/>
      <c r="AP48" s="616"/>
      <c r="AQ48" s="616"/>
      <c r="AR48" s="616"/>
      <c r="AS48" s="616"/>
      <c r="AT48" s="616"/>
      <c r="AU48" s="616"/>
      <c r="AV48" s="616"/>
      <c r="AW48" s="616"/>
      <c r="AX48" s="616"/>
      <c r="AY48" s="616"/>
      <c r="AZ48" s="616"/>
      <c r="BA48" s="616"/>
      <c r="BB48" s="616"/>
      <c r="BC48" s="616"/>
      <c r="BD48" s="616"/>
      <c r="BE48" s="616"/>
      <c r="BF48" s="616"/>
      <c r="BG48" s="616"/>
      <c r="BH48" s="616"/>
      <c r="BI48" s="616"/>
      <c r="BJ48" s="616"/>
      <c r="BK48" s="616"/>
      <c r="BL48" s="616"/>
      <c r="BM48" s="616"/>
      <c r="BN48" s="616"/>
      <c r="BO48" s="616"/>
      <c r="BP48" s="616"/>
      <c r="BQ48" s="616"/>
      <c r="BR48" s="616"/>
      <c r="BS48" s="616"/>
      <c r="BT48" s="616"/>
      <c r="BU48" s="616"/>
      <c r="BV48" s="616"/>
      <c r="BW48" s="616"/>
      <c r="BX48" s="616"/>
      <c r="BY48" s="616"/>
      <c r="BZ48" s="616"/>
      <c r="CA48" s="616"/>
      <c r="CB48" s="616"/>
      <c r="CC48" s="616"/>
      <c r="CD48" s="616"/>
      <c r="CE48" s="616"/>
      <c r="CF48" s="616"/>
      <c r="CG48" s="616"/>
      <c r="CH48" s="616"/>
      <c r="CI48" s="616"/>
      <c r="CJ48" s="616"/>
      <c r="CK48" s="616"/>
      <c r="CL48" s="616"/>
      <c r="CM48" s="616"/>
      <c r="CN48" s="616"/>
      <c r="CO48" s="616"/>
      <c r="CP48" s="616"/>
      <c r="CQ48" s="616"/>
      <c r="CR48" s="616"/>
      <c r="CS48" s="616"/>
      <c r="CT48" s="616"/>
      <c r="CU48" s="616"/>
      <c r="CV48" s="616"/>
      <c r="CW48" s="616"/>
      <c r="CX48" s="616"/>
      <c r="CY48" s="616"/>
      <c r="CZ48" s="616"/>
      <c r="DA48" s="616"/>
      <c r="DB48" s="616"/>
      <c r="DC48" s="616"/>
      <c r="DD48" s="616"/>
      <c r="DE48" s="616"/>
      <c r="DF48" s="616"/>
      <c r="DG48" s="616"/>
      <c r="DH48" s="616"/>
      <c r="DI48" s="616"/>
      <c r="DJ48" s="616"/>
      <c r="DK48" s="616"/>
      <c r="DL48" s="616"/>
      <c r="DM48" s="616"/>
      <c r="DN48" s="616"/>
      <c r="DO48" s="616"/>
      <c r="DP48" s="616"/>
      <c r="DQ48" s="616"/>
      <c r="DR48" s="616"/>
      <c r="DS48" s="616"/>
      <c r="DT48" s="616"/>
      <c r="DU48" s="616"/>
      <c r="DV48" s="616"/>
      <c r="DW48" s="616"/>
      <c r="DX48" s="616"/>
      <c r="DY48" s="616"/>
      <c r="DZ48" s="616"/>
      <c r="EA48" s="616"/>
      <c r="EB48" s="616"/>
      <c r="EC48" s="616"/>
      <c r="ED48" s="616"/>
      <c r="EE48" s="616"/>
      <c r="EF48" s="616"/>
      <c r="EG48" s="616"/>
      <c r="EH48" s="616"/>
      <c r="EI48" s="616"/>
      <c r="EJ48" s="616"/>
      <c r="EK48" s="616"/>
      <c r="EL48" s="616"/>
      <c r="EM48" s="616"/>
      <c r="EN48" s="616"/>
      <c r="EO48" s="616"/>
      <c r="EP48" s="616"/>
      <c r="EQ48" s="616"/>
      <c r="ER48" s="616"/>
      <c r="ES48" s="616"/>
      <c r="ET48" s="616"/>
      <c r="EU48" s="616"/>
      <c r="EV48" s="616"/>
      <c r="EW48" s="616"/>
      <c r="EX48" s="616"/>
      <c r="EY48" s="616"/>
      <c r="EZ48" s="616"/>
      <c r="FA48" s="616"/>
      <c r="FB48" s="616"/>
      <c r="FC48" s="616"/>
      <c r="FD48" s="616"/>
      <c r="FE48" s="616"/>
      <c r="FF48" s="616"/>
      <c r="FG48" s="616"/>
      <c r="FH48" s="616"/>
      <c r="FI48" s="616"/>
      <c r="FJ48" s="616"/>
      <c r="FK48" s="616"/>
      <c r="FL48" s="616"/>
      <c r="FM48" s="616"/>
      <c r="FN48" s="616"/>
      <c r="FO48" s="616"/>
      <c r="FP48" s="616"/>
      <c r="FQ48" s="616"/>
      <c r="FR48" s="616"/>
      <c r="FS48" s="616"/>
      <c r="FT48" s="616"/>
      <c r="FU48" s="616"/>
      <c r="FV48" s="616"/>
      <c r="FW48" s="616"/>
      <c r="FX48" s="616"/>
      <c r="FY48" s="616"/>
      <c r="FZ48" s="616"/>
      <c r="GA48" s="616"/>
      <c r="GB48" s="616"/>
      <c r="GC48" s="616"/>
      <c r="GD48" s="616"/>
      <c r="GE48" s="616"/>
      <c r="GF48" s="616"/>
      <c r="GG48" s="616"/>
      <c r="GH48" s="616"/>
      <c r="GI48" s="616"/>
      <c r="GJ48" s="616"/>
      <c r="GK48" s="616"/>
      <c r="GL48" s="616"/>
      <c r="GM48" s="616"/>
      <c r="GN48" s="616"/>
      <c r="GO48" s="616"/>
      <c r="GP48" s="616"/>
      <c r="GQ48" s="616"/>
      <c r="GR48" s="616"/>
      <c r="GS48" s="616"/>
      <c r="GT48" s="616"/>
      <c r="GU48" s="616"/>
      <c r="GV48" s="616"/>
      <c r="GW48" s="616"/>
      <c r="GX48" s="616"/>
      <c r="GY48" s="616"/>
      <c r="GZ48" s="616"/>
      <c r="HA48" s="616"/>
      <c r="HB48" s="616"/>
      <c r="HC48" s="616"/>
      <c r="HD48" s="616"/>
      <c r="HE48" s="616"/>
      <c r="HF48" s="616"/>
      <c r="HG48" s="616"/>
      <c r="HH48" s="616"/>
      <c r="HI48" s="616"/>
      <c r="HJ48" s="616"/>
      <c r="HK48" s="616"/>
      <c r="HL48" s="616"/>
      <c r="HM48" s="616"/>
      <c r="HN48" s="616"/>
      <c r="HO48" s="616"/>
      <c r="HP48" s="616"/>
      <c r="HQ48" s="616"/>
      <c r="HR48" s="616"/>
      <c r="HS48" s="616"/>
      <c r="HT48" s="616"/>
      <c r="HU48" s="616"/>
      <c r="HV48" s="616"/>
      <c r="HW48" s="616"/>
      <c r="HX48" s="616"/>
      <c r="HY48" s="616"/>
      <c r="HZ48" s="616"/>
      <c r="IA48" s="616"/>
      <c r="IB48" s="616"/>
      <c r="IC48" s="616"/>
      <c r="ID48" s="616"/>
      <c r="IE48" s="616"/>
      <c r="IF48" s="616"/>
      <c r="IG48" s="616"/>
      <c r="IH48" s="616"/>
      <c r="II48" s="616"/>
      <c r="IJ48" s="616"/>
      <c r="IK48" s="616"/>
      <c r="IL48" s="616"/>
    </row>
    <row r="49" spans="1:246" s="513" customFormat="1" ht="12.75">
      <c r="A49" s="604">
        <v>2</v>
      </c>
      <c r="B49" s="603">
        <v>4</v>
      </c>
      <c r="C49" s="233" t="s">
        <v>598</v>
      </c>
      <c r="D49" s="605">
        <f>SUMIF(Sheet22!$B$6:$B$100,Sheet3!$C49,Sheet22!K$6:K$100)</f>
        <v>0</v>
      </c>
      <c r="E49" s="605">
        <f>SUMIF(Sheet22!$B$6:$B$100,Sheet3!$C49,Sheet22!M$6:M$100)</f>
        <v>0</v>
      </c>
      <c r="F49" s="605"/>
      <c r="G49" s="605"/>
      <c r="H49" s="605">
        <f t="shared" si="13"/>
        <v>0</v>
      </c>
      <c r="I49" s="605">
        <f t="shared" si="12"/>
        <v>0</v>
      </c>
      <c r="J49" s="615"/>
      <c r="K49" s="616"/>
      <c r="L49" s="616"/>
      <c r="M49" s="616"/>
      <c r="N49" s="616"/>
      <c r="O49" s="616"/>
      <c r="P49" s="616"/>
      <c r="Q49" s="616"/>
      <c r="R49" s="616"/>
      <c r="S49" s="616"/>
      <c r="T49" s="616"/>
      <c r="U49" s="616"/>
      <c r="V49" s="616"/>
      <c r="W49" s="616"/>
      <c r="X49" s="616"/>
      <c r="Y49" s="616"/>
      <c r="Z49" s="616"/>
      <c r="AA49" s="616"/>
      <c r="AB49" s="616"/>
      <c r="AC49" s="616"/>
      <c r="AD49" s="616"/>
      <c r="AE49" s="616"/>
      <c r="AF49" s="616"/>
      <c r="AG49" s="616"/>
      <c r="AH49" s="616"/>
      <c r="AI49" s="616"/>
      <c r="AJ49" s="616"/>
      <c r="AK49" s="616"/>
      <c r="AL49" s="616"/>
      <c r="AM49" s="616"/>
      <c r="AN49" s="616"/>
      <c r="AO49" s="616"/>
      <c r="AP49" s="616"/>
      <c r="AQ49" s="616"/>
      <c r="AR49" s="616"/>
      <c r="AS49" s="616"/>
      <c r="AT49" s="616"/>
      <c r="AU49" s="616"/>
      <c r="AV49" s="616"/>
      <c r="AW49" s="616"/>
      <c r="AX49" s="616"/>
      <c r="AY49" s="616"/>
      <c r="AZ49" s="616"/>
      <c r="BA49" s="616"/>
      <c r="BB49" s="616"/>
      <c r="BC49" s="616"/>
      <c r="BD49" s="616"/>
      <c r="BE49" s="616"/>
      <c r="BF49" s="616"/>
      <c r="BG49" s="616"/>
      <c r="BH49" s="616"/>
      <c r="BI49" s="616"/>
      <c r="BJ49" s="616"/>
      <c r="BK49" s="616"/>
      <c r="BL49" s="616"/>
      <c r="BM49" s="616"/>
      <c r="BN49" s="616"/>
      <c r="BO49" s="616"/>
      <c r="BP49" s="616"/>
      <c r="BQ49" s="616"/>
      <c r="BR49" s="616"/>
      <c r="BS49" s="616"/>
      <c r="BT49" s="616"/>
      <c r="BU49" s="616"/>
      <c r="BV49" s="616"/>
      <c r="BW49" s="616"/>
      <c r="BX49" s="616"/>
      <c r="BY49" s="616"/>
      <c r="BZ49" s="616"/>
      <c r="CA49" s="616"/>
      <c r="CB49" s="616"/>
      <c r="CC49" s="616"/>
      <c r="CD49" s="616"/>
      <c r="CE49" s="616"/>
      <c r="CF49" s="616"/>
      <c r="CG49" s="616"/>
      <c r="CH49" s="616"/>
      <c r="CI49" s="616"/>
      <c r="CJ49" s="616"/>
      <c r="CK49" s="616"/>
      <c r="CL49" s="616"/>
      <c r="CM49" s="616"/>
      <c r="CN49" s="616"/>
      <c r="CO49" s="616"/>
      <c r="CP49" s="616"/>
      <c r="CQ49" s="616"/>
      <c r="CR49" s="616"/>
      <c r="CS49" s="616"/>
      <c r="CT49" s="616"/>
      <c r="CU49" s="616"/>
      <c r="CV49" s="616"/>
      <c r="CW49" s="616"/>
      <c r="CX49" s="616"/>
      <c r="CY49" s="616"/>
      <c r="CZ49" s="616"/>
      <c r="DA49" s="616"/>
      <c r="DB49" s="616"/>
      <c r="DC49" s="616"/>
      <c r="DD49" s="616"/>
      <c r="DE49" s="616"/>
      <c r="DF49" s="616"/>
      <c r="DG49" s="616"/>
      <c r="DH49" s="616"/>
      <c r="DI49" s="616"/>
      <c r="DJ49" s="616"/>
      <c r="DK49" s="616"/>
      <c r="DL49" s="616"/>
      <c r="DM49" s="616"/>
      <c r="DN49" s="616"/>
      <c r="DO49" s="616"/>
      <c r="DP49" s="616"/>
      <c r="DQ49" s="616"/>
      <c r="DR49" s="616"/>
      <c r="DS49" s="616"/>
      <c r="DT49" s="616"/>
      <c r="DU49" s="616"/>
      <c r="DV49" s="616"/>
      <c r="DW49" s="616"/>
      <c r="DX49" s="616"/>
      <c r="DY49" s="616"/>
      <c r="DZ49" s="616"/>
      <c r="EA49" s="616"/>
      <c r="EB49" s="616"/>
      <c r="EC49" s="616"/>
      <c r="ED49" s="616"/>
      <c r="EE49" s="616"/>
      <c r="EF49" s="616"/>
      <c r="EG49" s="616"/>
      <c r="EH49" s="616"/>
      <c r="EI49" s="616"/>
      <c r="EJ49" s="616"/>
      <c r="EK49" s="616"/>
      <c r="EL49" s="616"/>
      <c r="EM49" s="616"/>
      <c r="EN49" s="616"/>
      <c r="EO49" s="616"/>
      <c r="EP49" s="616"/>
      <c r="EQ49" s="616"/>
      <c r="ER49" s="616"/>
      <c r="ES49" s="616"/>
      <c r="ET49" s="616"/>
      <c r="EU49" s="616"/>
      <c r="EV49" s="616"/>
      <c r="EW49" s="616"/>
      <c r="EX49" s="616"/>
      <c r="EY49" s="616"/>
      <c r="EZ49" s="616"/>
      <c r="FA49" s="616"/>
      <c r="FB49" s="616"/>
      <c r="FC49" s="616"/>
      <c r="FD49" s="616"/>
      <c r="FE49" s="616"/>
      <c r="FF49" s="616"/>
      <c r="FG49" s="616"/>
      <c r="FH49" s="616"/>
      <c r="FI49" s="616"/>
      <c r="FJ49" s="616"/>
      <c r="FK49" s="616"/>
      <c r="FL49" s="616"/>
      <c r="FM49" s="616"/>
      <c r="FN49" s="616"/>
      <c r="FO49" s="616"/>
      <c r="FP49" s="616"/>
      <c r="FQ49" s="616"/>
      <c r="FR49" s="616"/>
      <c r="FS49" s="616"/>
      <c r="FT49" s="616"/>
      <c r="FU49" s="616"/>
      <c r="FV49" s="616"/>
      <c r="FW49" s="616"/>
      <c r="FX49" s="616"/>
      <c r="FY49" s="616"/>
      <c r="FZ49" s="616"/>
      <c r="GA49" s="616"/>
      <c r="GB49" s="616"/>
      <c r="GC49" s="616"/>
      <c r="GD49" s="616"/>
      <c r="GE49" s="616"/>
      <c r="GF49" s="616"/>
      <c r="GG49" s="616"/>
      <c r="GH49" s="616"/>
      <c r="GI49" s="616"/>
      <c r="GJ49" s="616"/>
      <c r="GK49" s="616"/>
      <c r="GL49" s="616"/>
      <c r="GM49" s="616"/>
      <c r="GN49" s="616"/>
      <c r="GO49" s="616"/>
      <c r="GP49" s="616"/>
      <c r="GQ49" s="616"/>
      <c r="GR49" s="616"/>
      <c r="GS49" s="616"/>
      <c r="GT49" s="616"/>
      <c r="GU49" s="616"/>
      <c r="GV49" s="616"/>
      <c r="GW49" s="616"/>
      <c r="GX49" s="616"/>
      <c r="GY49" s="616"/>
      <c r="GZ49" s="616"/>
      <c r="HA49" s="616"/>
      <c r="HB49" s="616"/>
      <c r="HC49" s="616"/>
      <c r="HD49" s="616"/>
      <c r="HE49" s="616"/>
      <c r="HF49" s="616"/>
      <c r="HG49" s="616"/>
      <c r="HH49" s="616"/>
      <c r="HI49" s="616"/>
      <c r="HJ49" s="616"/>
      <c r="HK49" s="616"/>
      <c r="HL49" s="616"/>
      <c r="HM49" s="616"/>
      <c r="HN49" s="616"/>
      <c r="HO49" s="616"/>
      <c r="HP49" s="616"/>
      <c r="HQ49" s="616"/>
      <c r="HR49" s="616"/>
      <c r="HS49" s="616"/>
      <c r="HT49" s="616"/>
      <c r="HU49" s="616"/>
      <c r="HV49" s="616"/>
      <c r="HW49" s="616"/>
      <c r="HX49" s="616"/>
      <c r="HY49" s="616"/>
      <c r="HZ49" s="616"/>
      <c r="IA49" s="616"/>
      <c r="IB49" s="616"/>
      <c r="IC49" s="616"/>
      <c r="ID49" s="616"/>
      <c r="IE49" s="616"/>
      <c r="IF49" s="616"/>
      <c r="IG49" s="616"/>
      <c r="IH49" s="616"/>
      <c r="II49" s="616"/>
      <c r="IJ49" s="616"/>
      <c r="IK49" s="616"/>
      <c r="IL49" s="616"/>
    </row>
    <row r="50" spans="1:246" s="513" customFormat="1" ht="12.75">
      <c r="A50" s="604">
        <v>2</v>
      </c>
      <c r="B50" s="603">
        <v>5</v>
      </c>
      <c r="C50" s="233" t="s">
        <v>598</v>
      </c>
      <c r="D50" s="605">
        <f>SUMIF(Sheet22!$B$6:$B$100,Sheet3!$C50,Sheet22!K$6:K$100)</f>
        <v>0</v>
      </c>
      <c r="E50" s="605">
        <f>SUMIF(Sheet22!$B$6:$B$100,Sheet3!$C50,Sheet22!M$6:M$100)</f>
        <v>0</v>
      </c>
      <c r="F50" s="605"/>
      <c r="G50" s="605"/>
      <c r="H50" s="605">
        <f t="shared" si="13"/>
        <v>0</v>
      </c>
      <c r="I50" s="605">
        <f t="shared" si="12"/>
        <v>0</v>
      </c>
      <c r="J50" s="615"/>
      <c r="K50" s="616"/>
      <c r="L50" s="616"/>
      <c r="M50" s="616"/>
      <c r="N50" s="616"/>
      <c r="O50" s="616"/>
      <c r="P50" s="616"/>
      <c r="Q50" s="616"/>
      <c r="R50" s="616"/>
      <c r="S50" s="616"/>
      <c r="T50" s="616"/>
      <c r="U50" s="616"/>
      <c r="V50" s="616"/>
      <c r="W50" s="616"/>
      <c r="X50" s="616"/>
      <c r="Y50" s="616"/>
      <c r="Z50" s="616"/>
      <c r="AA50" s="616"/>
      <c r="AB50" s="616"/>
      <c r="AC50" s="616"/>
      <c r="AD50" s="616"/>
      <c r="AE50" s="616"/>
      <c r="AF50" s="616"/>
      <c r="AG50" s="616"/>
      <c r="AH50" s="616"/>
      <c r="AI50" s="616"/>
      <c r="AJ50" s="616"/>
      <c r="AK50" s="616"/>
      <c r="AL50" s="616"/>
      <c r="AM50" s="616"/>
      <c r="AN50" s="616"/>
      <c r="AO50" s="616"/>
      <c r="AP50" s="616"/>
      <c r="AQ50" s="616"/>
      <c r="AR50" s="616"/>
      <c r="AS50" s="616"/>
      <c r="AT50" s="616"/>
      <c r="AU50" s="616"/>
      <c r="AV50" s="616"/>
      <c r="AW50" s="616"/>
      <c r="AX50" s="616"/>
      <c r="AY50" s="616"/>
      <c r="AZ50" s="616"/>
      <c r="BA50" s="616"/>
      <c r="BB50" s="616"/>
      <c r="BC50" s="616"/>
      <c r="BD50" s="616"/>
      <c r="BE50" s="616"/>
      <c r="BF50" s="616"/>
      <c r="BG50" s="616"/>
      <c r="BH50" s="616"/>
      <c r="BI50" s="616"/>
      <c r="BJ50" s="616"/>
      <c r="BK50" s="616"/>
      <c r="BL50" s="616"/>
      <c r="BM50" s="616"/>
      <c r="BN50" s="616"/>
      <c r="BO50" s="616"/>
      <c r="BP50" s="616"/>
      <c r="BQ50" s="616"/>
      <c r="BR50" s="616"/>
      <c r="BS50" s="616"/>
      <c r="BT50" s="616"/>
      <c r="BU50" s="616"/>
      <c r="BV50" s="616"/>
      <c r="BW50" s="616"/>
      <c r="BX50" s="616"/>
      <c r="BY50" s="616"/>
      <c r="BZ50" s="616"/>
      <c r="CA50" s="616"/>
      <c r="CB50" s="616"/>
      <c r="CC50" s="616"/>
      <c r="CD50" s="616"/>
      <c r="CE50" s="616"/>
      <c r="CF50" s="616"/>
      <c r="CG50" s="616"/>
      <c r="CH50" s="616"/>
      <c r="CI50" s="616"/>
      <c r="CJ50" s="616"/>
      <c r="CK50" s="616"/>
      <c r="CL50" s="616"/>
      <c r="CM50" s="616"/>
      <c r="CN50" s="616"/>
      <c r="CO50" s="616"/>
      <c r="CP50" s="616"/>
      <c r="CQ50" s="616"/>
      <c r="CR50" s="616"/>
      <c r="CS50" s="616"/>
      <c r="CT50" s="616"/>
      <c r="CU50" s="616"/>
      <c r="CV50" s="616"/>
      <c r="CW50" s="616"/>
      <c r="CX50" s="616"/>
      <c r="CY50" s="616"/>
      <c r="CZ50" s="616"/>
      <c r="DA50" s="616"/>
      <c r="DB50" s="616"/>
      <c r="DC50" s="616"/>
      <c r="DD50" s="616"/>
      <c r="DE50" s="616"/>
      <c r="DF50" s="616"/>
      <c r="DG50" s="616"/>
      <c r="DH50" s="616"/>
      <c r="DI50" s="616"/>
      <c r="DJ50" s="616"/>
      <c r="DK50" s="616"/>
      <c r="DL50" s="616"/>
      <c r="DM50" s="616"/>
      <c r="DN50" s="616"/>
      <c r="DO50" s="616"/>
      <c r="DP50" s="616"/>
      <c r="DQ50" s="616"/>
      <c r="DR50" s="616"/>
      <c r="DS50" s="616"/>
      <c r="DT50" s="616"/>
      <c r="DU50" s="616"/>
      <c r="DV50" s="616"/>
      <c r="DW50" s="616"/>
      <c r="DX50" s="616"/>
      <c r="DY50" s="616"/>
      <c r="DZ50" s="616"/>
      <c r="EA50" s="616"/>
      <c r="EB50" s="616"/>
      <c r="EC50" s="616"/>
      <c r="ED50" s="616"/>
      <c r="EE50" s="616"/>
      <c r="EF50" s="616"/>
      <c r="EG50" s="616"/>
      <c r="EH50" s="616"/>
      <c r="EI50" s="616"/>
      <c r="EJ50" s="616"/>
      <c r="EK50" s="616"/>
      <c r="EL50" s="616"/>
      <c r="EM50" s="616"/>
      <c r="EN50" s="616"/>
      <c r="EO50" s="616"/>
      <c r="EP50" s="616"/>
      <c r="EQ50" s="616"/>
      <c r="ER50" s="616"/>
      <c r="ES50" s="616"/>
      <c r="ET50" s="616"/>
      <c r="EU50" s="616"/>
      <c r="EV50" s="616"/>
      <c r="EW50" s="616"/>
      <c r="EX50" s="616"/>
      <c r="EY50" s="616"/>
      <c r="EZ50" s="616"/>
      <c r="FA50" s="616"/>
      <c r="FB50" s="616"/>
      <c r="FC50" s="616"/>
      <c r="FD50" s="616"/>
      <c r="FE50" s="616"/>
      <c r="FF50" s="616"/>
      <c r="FG50" s="616"/>
      <c r="FH50" s="616"/>
      <c r="FI50" s="616"/>
      <c r="FJ50" s="616"/>
      <c r="FK50" s="616"/>
      <c r="FL50" s="616"/>
      <c r="FM50" s="616"/>
      <c r="FN50" s="616"/>
      <c r="FO50" s="616"/>
      <c r="FP50" s="616"/>
      <c r="FQ50" s="616"/>
      <c r="FR50" s="616"/>
      <c r="FS50" s="616"/>
      <c r="FT50" s="616"/>
      <c r="FU50" s="616"/>
      <c r="FV50" s="616"/>
      <c r="FW50" s="616"/>
      <c r="FX50" s="616"/>
      <c r="FY50" s="616"/>
      <c r="FZ50" s="616"/>
      <c r="GA50" s="616"/>
      <c r="GB50" s="616"/>
      <c r="GC50" s="616"/>
      <c r="GD50" s="616"/>
      <c r="GE50" s="616"/>
      <c r="GF50" s="616"/>
      <c r="GG50" s="616"/>
      <c r="GH50" s="616"/>
      <c r="GI50" s="616"/>
      <c r="GJ50" s="616"/>
      <c r="GK50" s="616"/>
      <c r="GL50" s="616"/>
      <c r="GM50" s="616"/>
      <c r="GN50" s="616"/>
      <c r="GO50" s="616"/>
      <c r="GP50" s="616"/>
      <c r="GQ50" s="616"/>
      <c r="GR50" s="616"/>
      <c r="GS50" s="616"/>
      <c r="GT50" s="616"/>
      <c r="GU50" s="616"/>
      <c r="GV50" s="616"/>
      <c r="GW50" s="616"/>
      <c r="GX50" s="616"/>
      <c r="GY50" s="616"/>
      <c r="GZ50" s="616"/>
      <c r="HA50" s="616"/>
      <c r="HB50" s="616"/>
      <c r="HC50" s="616"/>
      <c r="HD50" s="616"/>
      <c r="HE50" s="616"/>
      <c r="HF50" s="616"/>
      <c r="HG50" s="616"/>
      <c r="HH50" s="616"/>
      <c r="HI50" s="616"/>
      <c r="HJ50" s="616"/>
      <c r="HK50" s="616"/>
      <c r="HL50" s="616"/>
      <c r="HM50" s="616"/>
      <c r="HN50" s="616"/>
      <c r="HO50" s="616"/>
      <c r="HP50" s="616"/>
      <c r="HQ50" s="616"/>
      <c r="HR50" s="616"/>
      <c r="HS50" s="616"/>
      <c r="HT50" s="616"/>
      <c r="HU50" s="616"/>
      <c r="HV50" s="616"/>
      <c r="HW50" s="616"/>
      <c r="HX50" s="616"/>
      <c r="HY50" s="616"/>
      <c r="HZ50" s="616"/>
      <c r="IA50" s="616"/>
      <c r="IB50" s="616"/>
      <c r="IC50" s="616"/>
      <c r="ID50" s="616"/>
      <c r="IE50" s="616"/>
      <c r="IF50" s="616"/>
      <c r="IG50" s="616"/>
      <c r="IH50" s="616"/>
      <c r="II50" s="616"/>
      <c r="IJ50" s="616"/>
      <c r="IK50" s="616"/>
      <c r="IL50" s="616"/>
    </row>
    <row r="51" spans="1:246" s="513" customFormat="1" ht="12.75">
      <c r="A51" s="604">
        <v>2</v>
      </c>
      <c r="B51" s="603">
        <v>6</v>
      </c>
      <c r="C51" s="233" t="s">
        <v>598</v>
      </c>
      <c r="D51" s="605">
        <f>SUMIF(Sheet22!$B$6:$B$100,Sheet3!$C51,Sheet22!K$6:K$100)</f>
        <v>0</v>
      </c>
      <c r="E51" s="605">
        <f>SUMIF(Sheet22!$B$6:$B$100,Sheet3!$C51,Sheet22!M$6:M$100)</f>
        <v>0</v>
      </c>
      <c r="F51" s="605">
        <f>ROUND(E51*F$56,2)</f>
        <v>0</v>
      </c>
      <c r="G51" s="605">
        <f>ROUND(E51*G$56,2)</f>
        <v>0</v>
      </c>
      <c r="H51" s="605">
        <f t="shared" si="13"/>
        <v>0</v>
      </c>
      <c r="I51" s="605">
        <f t="shared" si="12"/>
        <v>0</v>
      </c>
      <c r="J51" s="615"/>
      <c r="K51" s="616"/>
      <c r="L51" s="616"/>
      <c r="M51" s="616"/>
      <c r="N51" s="616"/>
      <c r="O51" s="616"/>
      <c r="P51" s="616"/>
      <c r="Q51" s="616"/>
      <c r="R51" s="616"/>
      <c r="S51" s="616"/>
      <c r="T51" s="616"/>
      <c r="U51" s="616"/>
      <c r="V51" s="616"/>
      <c r="W51" s="616"/>
      <c r="X51" s="616"/>
      <c r="Y51" s="616"/>
      <c r="Z51" s="616"/>
      <c r="AA51" s="616"/>
      <c r="AB51" s="616"/>
      <c r="AC51" s="616"/>
      <c r="AD51" s="616"/>
      <c r="AE51" s="616"/>
      <c r="AF51" s="616"/>
      <c r="AG51" s="616"/>
      <c r="AH51" s="616"/>
      <c r="AI51" s="616"/>
      <c r="AJ51" s="616"/>
      <c r="AK51" s="616"/>
      <c r="AL51" s="616"/>
      <c r="AM51" s="616"/>
      <c r="AN51" s="616"/>
      <c r="AO51" s="616"/>
      <c r="AP51" s="616"/>
      <c r="AQ51" s="616"/>
      <c r="AR51" s="616"/>
      <c r="AS51" s="616"/>
      <c r="AT51" s="616"/>
      <c r="AU51" s="616"/>
      <c r="AV51" s="616"/>
      <c r="AW51" s="616"/>
      <c r="AX51" s="616"/>
      <c r="AY51" s="616"/>
      <c r="AZ51" s="616"/>
      <c r="BA51" s="616"/>
      <c r="BB51" s="616"/>
      <c r="BC51" s="616"/>
      <c r="BD51" s="616"/>
      <c r="BE51" s="616"/>
      <c r="BF51" s="616"/>
      <c r="BG51" s="616"/>
      <c r="BH51" s="616"/>
      <c r="BI51" s="616"/>
      <c r="BJ51" s="616"/>
      <c r="BK51" s="616"/>
      <c r="BL51" s="616"/>
      <c r="BM51" s="616"/>
      <c r="BN51" s="616"/>
      <c r="BO51" s="616"/>
      <c r="BP51" s="616"/>
      <c r="BQ51" s="616"/>
      <c r="BR51" s="616"/>
      <c r="BS51" s="616"/>
      <c r="BT51" s="616"/>
      <c r="BU51" s="616"/>
      <c r="BV51" s="616"/>
      <c r="BW51" s="616"/>
      <c r="BX51" s="616"/>
      <c r="BY51" s="616"/>
      <c r="BZ51" s="616"/>
      <c r="CA51" s="616"/>
      <c r="CB51" s="616"/>
      <c r="CC51" s="616"/>
      <c r="CD51" s="616"/>
      <c r="CE51" s="616"/>
      <c r="CF51" s="616"/>
      <c r="CG51" s="616"/>
      <c r="CH51" s="616"/>
      <c r="CI51" s="616"/>
      <c r="CJ51" s="616"/>
      <c r="CK51" s="616"/>
      <c r="CL51" s="616"/>
      <c r="CM51" s="616"/>
      <c r="CN51" s="616"/>
      <c r="CO51" s="616"/>
      <c r="CP51" s="616"/>
      <c r="CQ51" s="616"/>
      <c r="CR51" s="616"/>
      <c r="CS51" s="616"/>
      <c r="CT51" s="616"/>
      <c r="CU51" s="616"/>
      <c r="CV51" s="616"/>
      <c r="CW51" s="616"/>
      <c r="CX51" s="616"/>
      <c r="CY51" s="616"/>
      <c r="CZ51" s="616"/>
      <c r="DA51" s="616"/>
      <c r="DB51" s="616"/>
      <c r="DC51" s="616"/>
      <c r="DD51" s="616"/>
      <c r="DE51" s="616"/>
      <c r="DF51" s="616"/>
      <c r="DG51" s="616"/>
      <c r="DH51" s="616"/>
      <c r="DI51" s="616"/>
      <c r="DJ51" s="616"/>
      <c r="DK51" s="616"/>
      <c r="DL51" s="616"/>
      <c r="DM51" s="616"/>
      <c r="DN51" s="616"/>
      <c r="DO51" s="616"/>
      <c r="DP51" s="616"/>
      <c r="DQ51" s="616"/>
      <c r="DR51" s="616"/>
      <c r="DS51" s="616"/>
      <c r="DT51" s="616"/>
      <c r="DU51" s="616"/>
      <c r="DV51" s="616"/>
      <c r="DW51" s="616"/>
      <c r="DX51" s="616"/>
      <c r="DY51" s="616"/>
      <c r="DZ51" s="616"/>
      <c r="EA51" s="616"/>
      <c r="EB51" s="616"/>
      <c r="EC51" s="616"/>
      <c r="ED51" s="616"/>
      <c r="EE51" s="616"/>
      <c r="EF51" s="616"/>
      <c r="EG51" s="616"/>
      <c r="EH51" s="616"/>
      <c r="EI51" s="616"/>
      <c r="EJ51" s="616"/>
      <c r="EK51" s="616"/>
      <c r="EL51" s="616"/>
      <c r="EM51" s="616"/>
      <c r="EN51" s="616"/>
      <c r="EO51" s="616"/>
      <c r="EP51" s="616"/>
      <c r="EQ51" s="616"/>
      <c r="ER51" s="616"/>
      <c r="ES51" s="616"/>
      <c r="ET51" s="616"/>
      <c r="EU51" s="616"/>
      <c r="EV51" s="616"/>
      <c r="EW51" s="616"/>
      <c r="EX51" s="616"/>
      <c r="EY51" s="616"/>
      <c r="EZ51" s="616"/>
      <c r="FA51" s="616"/>
      <c r="FB51" s="616"/>
      <c r="FC51" s="616"/>
      <c r="FD51" s="616"/>
      <c r="FE51" s="616"/>
      <c r="FF51" s="616"/>
      <c r="FG51" s="616"/>
      <c r="FH51" s="616"/>
      <c r="FI51" s="616"/>
      <c r="FJ51" s="616"/>
      <c r="FK51" s="616"/>
      <c r="FL51" s="616"/>
      <c r="FM51" s="616"/>
      <c r="FN51" s="616"/>
      <c r="FO51" s="616"/>
      <c r="FP51" s="616"/>
      <c r="FQ51" s="616"/>
      <c r="FR51" s="616"/>
      <c r="FS51" s="616"/>
      <c r="FT51" s="616"/>
      <c r="FU51" s="616"/>
      <c r="FV51" s="616"/>
      <c r="FW51" s="616"/>
      <c r="FX51" s="616"/>
      <c r="FY51" s="616"/>
      <c r="FZ51" s="616"/>
      <c r="GA51" s="616"/>
      <c r="GB51" s="616"/>
      <c r="GC51" s="616"/>
      <c r="GD51" s="616"/>
      <c r="GE51" s="616"/>
      <c r="GF51" s="616"/>
      <c r="GG51" s="616"/>
      <c r="GH51" s="616"/>
      <c r="GI51" s="616"/>
      <c r="GJ51" s="616"/>
      <c r="GK51" s="616"/>
      <c r="GL51" s="616"/>
      <c r="GM51" s="616"/>
      <c r="GN51" s="616"/>
      <c r="GO51" s="616"/>
      <c r="GP51" s="616"/>
      <c r="GQ51" s="616"/>
      <c r="GR51" s="616"/>
      <c r="GS51" s="616"/>
      <c r="GT51" s="616"/>
      <c r="GU51" s="616"/>
      <c r="GV51" s="616"/>
      <c r="GW51" s="616"/>
      <c r="GX51" s="616"/>
      <c r="GY51" s="616"/>
      <c r="GZ51" s="616"/>
      <c r="HA51" s="616"/>
      <c r="HB51" s="616"/>
      <c r="HC51" s="616"/>
      <c r="HD51" s="616"/>
      <c r="HE51" s="616"/>
      <c r="HF51" s="616"/>
      <c r="HG51" s="616"/>
      <c r="HH51" s="616"/>
      <c r="HI51" s="616"/>
      <c r="HJ51" s="616"/>
      <c r="HK51" s="616"/>
      <c r="HL51" s="616"/>
      <c r="HM51" s="616"/>
      <c r="HN51" s="616"/>
      <c r="HO51" s="616"/>
      <c r="HP51" s="616"/>
      <c r="HQ51" s="616"/>
      <c r="HR51" s="616"/>
      <c r="HS51" s="616"/>
      <c r="HT51" s="616"/>
      <c r="HU51" s="616"/>
      <c r="HV51" s="616"/>
      <c r="HW51" s="616"/>
      <c r="HX51" s="616"/>
      <c r="HY51" s="616"/>
      <c r="HZ51" s="616"/>
      <c r="IA51" s="616"/>
      <c r="IB51" s="616"/>
      <c r="IC51" s="616"/>
      <c r="ID51" s="616"/>
      <c r="IE51" s="616"/>
      <c r="IF51" s="616"/>
      <c r="IG51" s="616"/>
      <c r="IH51" s="616"/>
      <c r="II51" s="616"/>
      <c r="IJ51" s="616"/>
      <c r="IK51" s="616"/>
      <c r="IL51" s="616"/>
    </row>
    <row r="52" spans="1:246" s="513" customFormat="1" ht="12.75">
      <c r="A52" s="604">
        <v>2</v>
      </c>
      <c r="B52" s="603">
        <v>7</v>
      </c>
      <c r="C52" s="233" t="s">
        <v>598</v>
      </c>
      <c r="D52" s="605">
        <f>SUMIF(Sheet22!$B$6:$B$100,Sheet3!$C52,Sheet22!K$6:K$100)</f>
        <v>0</v>
      </c>
      <c r="E52" s="605">
        <f>SUMIF(Sheet22!$B$6:$B$100,Sheet3!$C52,Sheet22!M$6:M$100)</f>
        <v>0</v>
      </c>
      <c r="F52" s="605">
        <f>ROUND(E52*F$56,2)</f>
        <v>0</v>
      </c>
      <c r="G52" s="605">
        <f>ROUND(E52*G$56,2)</f>
        <v>0</v>
      </c>
      <c r="H52" s="605">
        <f t="shared" si="13"/>
        <v>0</v>
      </c>
      <c r="I52" s="605">
        <f t="shared" si="12"/>
        <v>0</v>
      </c>
      <c r="J52" s="615"/>
      <c r="K52" s="616"/>
      <c r="L52" s="616"/>
      <c r="M52" s="616"/>
      <c r="N52" s="616"/>
      <c r="O52" s="616"/>
      <c r="P52" s="616"/>
      <c r="Q52" s="616"/>
      <c r="R52" s="616"/>
      <c r="S52" s="616"/>
      <c r="T52" s="616"/>
      <c r="U52" s="616"/>
      <c r="V52" s="616"/>
      <c r="W52" s="616"/>
      <c r="X52" s="616"/>
      <c r="Y52" s="616"/>
      <c r="Z52" s="616"/>
      <c r="AA52" s="616"/>
      <c r="AB52" s="616"/>
      <c r="AC52" s="616"/>
      <c r="AD52" s="616"/>
      <c r="AE52" s="616"/>
      <c r="AF52" s="616"/>
      <c r="AG52" s="616"/>
      <c r="AH52" s="616"/>
      <c r="AI52" s="616"/>
      <c r="AJ52" s="616"/>
      <c r="AK52" s="616"/>
      <c r="AL52" s="616"/>
      <c r="AM52" s="616"/>
      <c r="AN52" s="616"/>
      <c r="AO52" s="616"/>
      <c r="AP52" s="616"/>
      <c r="AQ52" s="616"/>
      <c r="AR52" s="616"/>
      <c r="AS52" s="616"/>
      <c r="AT52" s="616"/>
      <c r="AU52" s="616"/>
      <c r="AV52" s="616"/>
      <c r="AW52" s="616"/>
      <c r="AX52" s="616"/>
      <c r="AY52" s="616"/>
      <c r="AZ52" s="616"/>
      <c r="BA52" s="616"/>
      <c r="BB52" s="616"/>
      <c r="BC52" s="616"/>
      <c r="BD52" s="616"/>
      <c r="BE52" s="616"/>
      <c r="BF52" s="616"/>
      <c r="BG52" s="616"/>
      <c r="BH52" s="616"/>
      <c r="BI52" s="616"/>
      <c r="BJ52" s="616"/>
      <c r="BK52" s="616"/>
      <c r="BL52" s="616"/>
      <c r="BM52" s="616"/>
      <c r="BN52" s="616"/>
      <c r="BO52" s="616"/>
      <c r="BP52" s="616"/>
      <c r="BQ52" s="616"/>
      <c r="BR52" s="616"/>
      <c r="BS52" s="616"/>
      <c r="BT52" s="616"/>
      <c r="BU52" s="616"/>
      <c r="BV52" s="616"/>
      <c r="BW52" s="616"/>
      <c r="BX52" s="616"/>
      <c r="BY52" s="616"/>
      <c r="BZ52" s="616"/>
      <c r="CA52" s="616"/>
      <c r="CB52" s="616"/>
      <c r="CC52" s="616"/>
      <c r="CD52" s="616"/>
      <c r="CE52" s="616"/>
      <c r="CF52" s="616"/>
      <c r="CG52" s="616"/>
      <c r="CH52" s="616"/>
      <c r="CI52" s="616"/>
      <c r="CJ52" s="616"/>
      <c r="CK52" s="616"/>
      <c r="CL52" s="616"/>
      <c r="CM52" s="616"/>
      <c r="CN52" s="616"/>
      <c r="CO52" s="616"/>
      <c r="CP52" s="616"/>
      <c r="CQ52" s="616"/>
      <c r="CR52" s="616"/>
      <c r="CS52" s="616"/>
      <c r="CT52" s="616"/>
      <c r="CU52" s="616"/>
      <c r="CV52" s="616"/>
      <c r="CW52" s="616"/>
      <c r="CX52" s="616"/>
      <c r="CY52" s="616"/>
      <c r="CZ52" s="616"/>
      <c r="DA52" s="616"/>
      <c r="DB52" s="616"/>
      <c r="DC52" s="616"/>
      <c r="DD52" s="616"/>
      <c r="DE52" s="616"/>
      <c r="DF52" s="616"/>
      <c r="DG52" s="616"/>
      <c r="DH52" s="616"/>
      <c r="DI52" s="616"/>
      <c r="DJ52" s="616"/>
      <c r="DK52" s="616"/>
      <c r="DL52" s="616"/>
      <c r="DM52" s="616"/>
      <c r="DN52" s="616"/>
      <c r="DO52" s="616"/>
      <c r="DP52" s="616"/>
      <c r="DQ52" s="616"/>
      <c r="DR52" s="616"/>
      <c r="DS52" s="616"/>
      <c r="DT52" s="616"/>
      <c r="DU52" s="616"/>
      <c r="DV52" s="616"/>
      <c r="DW52" s="616"/>
      <c r="DX52" s="616"/>
      <c r="DY52" s="616"/>
      <c r="DZ52" s="616"/>
      <c r="EA52" s="616"/>
      <c r="EB52" s="616"/>
      <c r="EC52" s="616"/>
      <c r="ED52" s="616"/>
      <c r="EE52" s="616"/>
      <c r="EF52" s="616"/>
      <c r="EG52" s="616"/>
      <c r="EH52" s="616"/>
      <c r="EI52" s="616"/>
      <c r="EJ52" s="616"/>
      <c r="EK52" s="616"/>
      <c r="EL52" s="616"/>
      <c r="EM52" s="616"/>
      <c r="EN52" s="616"/>
      <c r="EO52" s="616"/>
      <c r="EP52" s="616"/>
      <c r="EQ52" s="616"/>
      <c r="ER52" s="616"/>
      <c r="ES52" s="616"/>
      <c r="ET52" s="616"/>
      <c r="EU52" s="616"/>
      <c r="EV52" s="616"/>
      <c r="EW52" s="616"/>
      <c r="EX52" s="616"/>
      <c r="EY52" s="616"/>
      <c r="EZ52" s="616"/>
      <c r="FA52" s="616"/>
      <c r="FB52" s="616"/>
      <c r="FC52" s="616"/>
      <c r="FD52" s="616"/>
      <c r="FE52" s="616"/>
      <c r="FF52" s="616"/>
      <c r="FG52" s="616"/>
      <c r="FH52" s="616"/>
      <c r="FI52" s="616"/>
      <c r="FJ52" s="616"/>
      <c r="FK52" s="616"/>
      <c r="FL52" s="616"/>
      <c r="FM52" s="616"/>
      <c r="FN52" s="616"/>
      <c r="FO52" s="616"/>
      <c r="FP52" s="616"/>
      <c r="FQ52" s="616"/>
      <c r="FR52" s="616"/>
      <c r="FS52" s="616"/>
      <c r="FT52" s="616"/>
      <c r="FU52" s="616"/>
      <c r="FV52" s="616"/>
      <c r="FW52" s="616"/>
      <c r="FX52" s="616"/>
      <c r="FY52" s="616"/>
      <c r="FZ52" s="616"/>
      <c r="GA52" s="616"/>
      <c r="GB52" s="616"/>
      <c r="GC52" s="616"/>
      <c r="GD52" s="616"/>
      <c r="GE52" s="616"/>
      <c r="GF52" s="616"/>
      <c r="GG52" s="616"/>
      <c r="GH52" s="616"/>
      <c r="GI52" s="616"/>
      <c r="GJ52" s="616"/>
      <c r="GK52" s="616"/>
      <c r="GL52" s="616"/>
      <c r="GM52" s="616"/>
      <c r="GN52" s="616"/>
      <c r="GO52" s="616"/>
      <c r="GP52" s="616"/>
      <c r="GQ52" s="616"/>
      <c r="GR52" s="616"/>
      <c r="GS52" s="616"/>
      <c r="GT52" s="616"/>
      <c r="GU52" s="616"/>
      <c r="GV52" s="616"/>
      <c r="GW52" s="616"/>
      <c r="GX52" s="616"/>
      <c r="GY52" s="616"/>
      <c r="GZ52" s="616"/>
      <c r="HA52" s="616"/>
      <c r="HB52" s="616"/>
      <c r="HC52" s="616"/>
      <c r="HD52" s="616"/>
      <c r="HE52" s="616"/>
      <c r="HF52" s="616"/>
      <c r="HG52" s="616"/>
      <c r="HH52" s="616"/>
      <c r="HI52" s="616"/>
      <c r="HJ52" s="616"/>
      <c r="HK52" s="616"/>
      <c r="HL52" s="616"/>
      <c r="HM52" s="616"/>
      <c r="HN52" s="616"/>
      <c r="HO52" s="616"/>
      <c r="HP52" s="616"/>
      <c r="HQ52" s="616"/>
      <c r="HR52" s="616"/>
      <c r="HS52" s="616"/>
      <c r="HT52" s="616"/>
      <c r="HU52" s="616"/>
      <c r="HV52" s="616"/>
      <c r="HW52" s="616"/>
      <c r="HX52" s="616"/>
      <c r="HY52" s="616"/>
      <c r="HZ52" s="616"/>
      <c r="IA52" s="616"/>
      <c r="IB52" s="616"/>
      <c r="IC52" s="616"/>
      <c r="ID52" s="616"/>
      <c r="IE52" s="616"/>
      <c r="IF52" s="616"/>
      <c r="IG52" s="616"/>
      <c r="IH52" s="616"/>
      <c r="II52" s="616"/>
      <c r="IJ52" s="616"/>
      <c r="IK52" s="616"/>
      <c r="IL52" s="616"/>
    </row>
    <row r="53" spans="1:246" s="513" customFormat="1" ht="12.75">
      <c r="A53" s="608">
        <v>1</v>
      </c>
      <c r="B53" s="677" t="s">
        <v>599</v>
      </c>
      <c r="C53" s="677"/>
      <c r="D53" s="605">
        <f t="shared" ref="D53:I53" ca="1" si="14">D45+D39+D29+D23+D13+D11+D6</f>
        <v>6285248.6799999997</v>
      </c>
      <c r="E53" s="605">
        <f t="shared" ca="1" si="14"/>
        <v>6278248.6799999997</v>
      </c>
      <c r="F53" s="605">
        <f t="shared" ca="1" si="14"/>
        <v>6104705.5899999999</v>
      </c>
      <c r="G53" s="605">
        <f t="shared" ca="1" si="14"/>
        <v>173543.09</v>
      </c>
      <c r="H53" s="605">
        <f t="shared" ca="1" si="14"/>
        <v>6278248.6799999997</v>
      </c>
      <c r="I53" s="605">
        <f t="shared" ca="1" si="14"/>
        <v>0</v>
      </c>
      <c r="J53" s="617"/>
      <c r="K53" s="616"/>
      <c r="L53" s="616"/>
      <c r="M53" s="616"/>
      <c r="N53" s="616"/>
      <c r="O53" s="616"/>
      <c r="P53" s="616"/>
      <c r="Q53" s="616"/>
      <c r="R53" s="616"/>
      <c r="S53" s="616"/>
      <c r="T53" s="616"/>
      <c r="U53" s="616"/>
      <c r="V53" s="616"/>
      <c r="W53" s="616"/>
      <c r="X53" s="616"/>
      <c r="Y53" s="616"/>
      <c r="Z53" s="616"/>
      <c r="AA53" s="616"/>
      <c r="AB53" s="616"/>
      <c r="AC53" s="616"/>
      <c r="AD53" s="616"/>
      <c r="AE53" s="616"/>
      <c r="AF53" s="616"/>
      <c r="AG53" s="616"/>
      <c r="AH53" s="616"/>
      <c r="AI53" s="616"/>
      <c r="AJ53" s="616"/>
      <c r="AK53" s="616"/>
      <c r="AL53" s="616"/>
      <c r="AM53" s="616"/>
      <c r="AN53" s="616"/>
      <c r="AO53" s="616"/>
      <c r="AP53" s="616"/>
      <c r="AQ53" s="616"/>
      <c r="AR53" s="616"/>
      <c r="AS53" s="616"/>
      <c r="AT53" s="616"/>
      <c r="AU53" s="616"/>
      <c r="AV53" s="616"/>
      <c r="AW53" s="616"/>
      <c r="AX53" s="616"/>
      <c r="AY53" s="616"/>
      <c r="AZ53" s="616"/>
      <c r="BA53" s="616"/>
      <c r="BB53" s="616"/>
      <c r="BC53" s="616"/>
      <c r="BD53" s="616"/>
      <c r="BE53" s="616"/>
      <c r="BF53" s="616"/>
      <c r="BG53" s="616"/>
      <c r="BH53" s="616"/>
      <c r="BI53" s="616"/>
      <c r="BJ53" s="616"/>
      <c r="BK53" s="616"/>
      <c r="BL53" s="616"/>
      <c r="BM53" s="616"/>
      <c r="BN53" s="616"/>
      <c r="BO53" s="616"/>
      <c r="BP53" s="616"/>
      <c r="BQ53" s="616"/>
      <c r="BR53" s="616"/>
      <c r="BS53" s="616"/>
      <c r="BT53" s="616"/>
      <c r="BU53" s="616"/>
      <c r="BV53" s="616"/>
      <c r="BW53" s="616"/>
      <c r="BX53" s="616"/>
      <c r="BY53" s="616"/>
      <c r="BZ53" s="616"/>
      <c r="CA53" s="616"/>
      <c r="CB53" s="616"/>
      <c r="CC53" s="616"/>
      <c r="CD53" s="616"/>
      <c r="CE53" s="616"/>
      <c r="CF53" s="616"/>
      <c r="CG53" s="616"/>
      <c r="CH53" s="616"/>
      <c r="CI53" s="616"/>
      <c r="CJ53" s="616"/>
      <c r="CK53" s="616"/>
      <c r="CL53" s="616"/>
      <c r="CM53" s="616"/>
      <c r="CN53" s="616"/>
      <c r="CO53" s="616"/>
      <c r="CP53" s="616"/>
      <c r="CQ53" s="616"/>
      <c r="CR53" s="616"/>
      <c r="CS53" s="616"/>
      <c r="CT53" s="616"/>
      <c r="CU53" s="616"/>
      <c r="CV53" s="616"/>
      <c r="CW53" s="616"/>
      <c r="CX53" s="616"/>
      <c r="CY53" s="616"/>
      <c r="CZ53" s="616"/>
      <c r="DA53" s="616"/>
      <c r="DB53" s="616"/>
      <c r="DC53" s="616"/>
      <c r="DD53" s="616"/>
      <c r="DE53" s="616"/>
      <c r="DF53" s="616"/>
      <c r="DG53" s="616"/>
      <c r="DH53" s="616"/>
      <c r="DI53" s="616"/>
      <c r="DJ53" s="616"/>
      <c r="DK53" s="616"/>
      <c r="DL53" s="616"/>
      <c r="DM53" s="616"/>
      <c r="DN53" s="616"/>
      <c r="DO53" s="616"/>
      <c r="DP53" s="616"/>
      <c r="DQ53" s="616"/>
      <c r="DR53" s="616"/>
      <c r="DS53" s="616"/>
      <c r="DT53" s="616"/>
      <c r="DU53" s="616"/>
      <c r="DV53" s="616"/>
      <c r="DW53" s="616"/>
      <c r="DX53" s="616"/>
      <c r="DY53" s="616"/>
      <c r="DZ53" s="616"/>
      <c r="EA53" s="616"/>
      <c r="EB53" s="616"/>
      <c r="EC53" s="616"/>
      <c r="ED53" s="616"/>
      <c r="EE53" s="616"/>
      <c r="EF53" s="616"/>
      <c r="EG53" s="616"/>
      <c r="EH53" s="616"/>
      <c r="EI53" s="616"/>
      <c r="EJ53" s="616"/>
      <c r="EK53" s="616"/>
      <c r="EL53" s="616"/>
      <c r="EM53" s="616"/>
      <c r="EN53" s="616"/>
      <c r="EO53" s="616"/>
      <c r="EP53" s="616"/>
      <c r="EQ53" s="616"/>
      <c r="ER53" s="616"/>
      <c r="ES53" s="616"/>
      <c r="ET53" s="616"/>
      <c r="EU53" s="616"/>
      <c r="EV53" s="616"/>
      <c r="EW53" s="616"/>
      <c r="EX53" s="616"/>
      <c r="EY53" s="616"/>
      <c r="EZ53" s="616"/>
      <c r="FA53" s="616"/>
      <c r="FB53" s="616"/>
      <c r="FC53" s="616"/>
      <c r="FD53" s="616"/>
      <c r="FE53" s="616"/>
      <c r="FF53" s="616"/>
      <c r="FG53" s="616"/>
      <c r="FH53" s="616"/>
      <c r="FI53" s="616"/>
      <c r="FJ53" s="616"/>
      <c r="FK53" s="616"/>
      <c r="FL53" s="616"/>
      <c r="FM53" s="616"/>
      <c r="FN53" s="616"/>
      <c r="FO53" s="616"/>
      <c r="FP53" s="616"/>
      <c r="FQ53" s="616"/>
      <c r="FR53" s="616"/>
      <c r="FS53" s="616"/>
      <c r="FT53" s="616"/>
      <c r="FU53" s="616"/>
      <c r="FV53" s="616"/>
      <c r="FW53" s="616"/>
      <c r="FX53" s="616"/>
      <c r="FY53" s="616"/>
      <c r="FZ53" s="616"/>
      <c r="GA53" s="616"/>
      <c r="GB53" s="616"/>
      <c r="GC53" s="616"/>
      <c r="GD53" s="616"/>
      <c r="GE53" s="616"/>
      <c r="GF53" s="616"/>
      <c r="GG53" s="616"/>
      <c r="GH53" s="616"/>
      <c r="GI53" s="616"/>
      <c r="GJ53" s="616"/>
      <c r="GK53" s="616"/>
      <c r="GL53" s="616"/>
      <c r="GM53" s="616"/>
      <c r="GN53" s="616"/>
      <c r="GO53" s="616"/>
      <c r="GP53" s="616"/>
      <c r="GQ53" s="616"/>
      <c r="GR53" s="616"/>
      <c r="GS53" s="616"/>
      <c r="GT53" s="616"/>
      <c r="GU53" s="616"/>
      <c r="GV53" s="616"/>
      <c r="GW53" s="616"/>
      <c r="GX53" s="616"/>
      <c r="GY53" s="616"/>
      <c r="GZ53" s="616"/>
      <c r="HA53" s="616"/>
      <c r="HB53" s="616"/>
      <c r="HC53" s="616"/>
      <c r="HD53" s="616"/>
      <c r="HE53" s="616"/>
      <c r="HF53" s="616"/>
      <c r="HG53" s="616"/>
      <c r="HH53" s="616"/>
      <c r="HI53" s="616"/>
      <c r="HJ53" s="616"/>
      <c r="HK53" s="616"/>
      <c r="HL53" s="616"/>
      <c r="HM53" s="616"/>
      <c r="HN53" s="616"/>
      <c r="HO53" s="616"/>
      <c r="HP53" s="616"/>
      <c r="HQ53" s="616"/>
      <c r="HR53" s="616"/>
      <c r="HS53" s="616"/>
      <c r="HT53" s="616"/>
      <c r="HU53" s="616"/>
      <c r="HV53" s="616"/>
      <c r="HW53" s="616"/>
      <c r="HX53" s="616"/>
      <c r="HY53" s="616"/>
      <c r="HZ53" s="616"/>
      <c r="IA53" s="616"/>
      <c r="IB53" s="616"/>
      <c r="IC53" s="616"/>
      <c r="ID53" s="616"/>
      <c r="IE53" s="616"/>
      <c r="IF53" s="616"/>
      <c r="IG53" s="616"/>
      <c r="IH53" s="616"/>
      <c r="II53" s="616"/>
      <c r="IJ53" s="616"/>
      <c r="IK53" s="616"/>
      <c r="IL53" s="616"/>
    </row>
    <row r="54" spans="1:246" s="513" customFormat="1" ht="12.75" customHeight="1">
      <c r="A54" s="604">
        <v>2</v>
      </c>
      <c r="B54" s="677" t="s">
        <v>599</v>
      </c>
      <c r="C54" s="677"/>
      <c r="D54" s="609">
        <v>32644.1</v>
      </c>
      <c r="E54" s="609"/>
      <c r="F54" s="610"/>
      <c r="G54" s="610"/>
      <c r="H54" s="609"/>
      <c r="I54" s="610"/>
      <c r="J54" s="609"/>
      <c r="K54" s="616"/>
      <c r="L54" s="616"/>
      <c r="M54" s="616"/>
      <c r="N54" s="616"/>
      <c r="O54" s="616"/>
      <c r="P54" s="616"/>
      <c r="Q54" s="616"/>
      <c r="R54" s="616"/>
      <c r="S54" s="616"/>
      <c r="T54" s="616"/>
      <c r="U54" s="616"/>
      <c r="V54" s="616"/>
      <c r="W54" s="616"/>
      <c r="X54" s="616"/>
      <c r="Y54" s="616"/>
      <c r="Z54" s="616"/>
      <c r="AA54" s="616"/>
      <c r="AB54" s="616"/>
      <c r="AC54" s="616"/>
      <c r="AD54" s="616"/>
      <c r="AE54" s="616"/>
      <c r="AF54" s="616"/>
      <c r="AG54" s="616"/>
      <c r="AH54" s="616"/>
      <c r="AI54" s="616"/>
      <c r="AJ54" s="616"/>
      <c r="AK54" s="616"/>
      <c r="AL54" s="616"/>
      <c r="AM54" s="616"/>
      <c r="AN54" s="616"/>
      <c r="AO54" s="616"/>
      <c r="AP54" s="616"/>
      <c r="AQ54" s="616"/>
      <c r="AR54" s="616"/>
      <c r="AS54" s="616"/>
      <c r="AT54" s="616"/>
      <c r="AU54" s="616"/>
      <c r="AV54" s="616"/>
      <c r="AW54" s="616"/>
      <c r="AX54" s="616"/>
      <c r="AY54" s="616"/>
      <c r="AZ54" s="616"/>
      <c r="BA54" s="616"/>
      <c r="BB54" s="616"/>
      <c r="BC54" s="616"/>
      <c r="BD54" s="616"/>
      <c r="BE54" s="616"/>
      <c r="BF54" s="616"/>
      <c r="BG54" s="616"/>
      <c r="BH54" s="616"/>
      <c r="BI54" s="616"/>
      <c r="BJ54" s="616"/>
      <c r="BK54" s="616"/>
      <c r="BL54" s="616"/>
      <c r="BM54" s="616"/>
      <c r="BN54" s="616"/>
      <c r="BO54" s="616"/>
      <c r="BP54" s="616"/>
      <c r="BQ54" s="616"/>
      <c r="BR54" s="616"/>
      <c r="BS54" s="616"/>
      <c r="BT54" s="616"/>
      <c r="BU54" s="616"/>
      <c r="BV54" s="616"/>
      <c r="BW54" s="616"/>
      <c r="BX54" s="616"/>
      <c r="BY54" s="616"/>
      <c r="BZ54" s="616"/>
      <c r="CA54" s="616"/>
      <c r="CB54" s="616"/>
      <c r="CC54" s="616"/>
      <c r="CD54" s="616"/>
      <c r="CE54" s="616"/>
      <c r="CF54" s="616"/>
      <c r="CG54" s="616"/>
      <c r="CH54" s="616"/>
      <c r="CI54" s="616"/>
      <c r="CJ54" s="616"/>
      <c r="CK54" s="616"/>
      <c r="CL54" s="616"/>
      <c r="CM54" s="616"/>
      <c r="CN54" s="616"/>
      <c r="CO54" s="616"/>
      <c r="CP54" s="616"/>
      <c r="CQ54" s="616"/>
      <c r="CR54" s="616"/>
      <c r="CS54" s="616"/>
      <c r="CT54" s="616"/>
      <c r="CU54" s="616"/>
      <c r="CV54" s="616"/>
      <c r="CW54" s="616"/>
      <c r="CX54" s="616"/>
      <c r="CY54" s="616"/>
      <c r="CZ54" s="616"/>
      <c r="DA54" s="616"/>
      <c r="DB54" s="616"/>
      <c r="DC54" s="616"/>
      <c r="DD54" s="616"/>
      <c r="DE54" s="616"/>
      <c r="DF54" s="616"/>
      <c r="DG54" s="616"/>
      <c r="DH54" s="616"/>
      <c r="DI54" s="616"/>
      <c r="DJ54" s="616"/>
      <c r="DK54" s="616"/>
      <c r="DL54" s="616"/>
      <c r="DM54" s="616"/>
      <c r="DN54" s="616"/>
      <c r="DO54" s="616"/>
      <c r="DP54" s="616"/>
      <c r="DQ54" s="616"/>
      <c r="DR54" s="616"/>
      <c r="DS54" s="616"/>
      <c r="DT54" s="616"/>
      <c r="DU54" s="616"/>
      <c r="DV54" s="616"/>
      <c r="DW54" s="616"/>
      <c r="DX54" s="616"/>
      <c r="DY54" s="616"/>
      <c r="DZ54" s="616"/>
      <c r="EA54" s="616"/>
      <c r="EB54" s="616"/>
      <c r="EC54" s="616"/>
      <c r="ED54" s="616"/>
      <c r="EE54" s="616"/>
      <c r="EF54" s="616"/>
      <c r="EG54" s="616"/>
      <c r="EH54" s="616"/>
      <c r="EI54" s="616"/>
      <c r="EJ54" s="616"/>
      <c r="EK54" s="616"/>
      <c r="EL54" s="616"/>
      <c r="EM54" s="616"/>
      <c r="EN54" s="616"/>
      <c r="EO54" s="616"/>
      <c r="EP54" s="616"/>
      <c r="EQ54" s="616"/>
      <c r="ER54" s="616"/>
      <c r="ES54" s="616"/>
      <c r="ET54" s="616"/>
      <c r="EU54" s="616"/>
      <c r="EV54" s="616"/>
      <c r="EW54" s="616"/>
      <c r="EX54" s="616"/>
      <c r="EY54" s="616"/>
      <c r="EZ54" s="616"/>
      <c r="FA54" s="616"/>
      <c r="FB54" s="616"/>
      <c r="FC54" s="616"/>
      <c r="FD54" s="616"/>
      <c r="FE54" s="616"/>
      <c r="FF54" s="616"/>
      <c r="FG54" s="616"/>
      <c r="FH54" s="616"/>
      <c r="FI54" s="616"/>
      <c r="FJ54" s="616"/>
      <c r="FK54" s="616"/>
      <c r="FL54" s="616"/>
      <c r="FM54" s="616"/>
      <c r="FN54" s="616"/>
      <c r="FO54" s="616"/>
      <c r="FP54" s="616"/>
      <c r="FQ54" s="616"/>
      <c r="FR54" s="616"/>
      <c r="FS54" s="616"/>
      <c r="FT54" s="616"/>
      <c r="FU54" s="616"/>
      <c r="FV54" s="616"/>
      <c r="FW54" s="616"/>
      <c r="FX54" s="616"/>
      <c r="FY54" s="616"/>
      <c r="FZ54" s="616"/>
      <c r="GA54" s="616"/>
      <c r="GB54" s="616"/>
      <c r="GC54" s="616"/>
      <c r="GD54" s="616"/>
      <c r="GE54" s="616"/>
      <c r="GF54" s="616"/>
      <c r="GG54" s="616"/>
      <c r="GH54" s="616"/>
      <c r="GI54" s="616"/>
      <c r="GJ54" s="616"/>
      <c r="GK54" s="616"/>
      <c r="GL54" s="616"/>
      <c r="GM54" s="616"/>
      <c r="GN54" s="616"/>
      <c r="GO54" s="616"/>
      <c r="GP54" s="616"/>
      <c r="GQ54" s="616"/>
      <c r="GR54" s="616"/>
      <c r="GS54" s="616"/>
      <c r="GT54" s="616"/>
      <c r="GU54" s="616"/>
      <c r="GV54" s="616"/>
      <c r="GW54" s="616"/>
      <c r="GX54" s="616"/>
      <c r="GY54" s="616"/>
      <c r="GZ54" s="616"/>
      <c r="HA54" s="616"/>
      <c r="HB54" s="616"/>
      <c r="HC54" s="616"/>
      <c r="HD54" s="616"/>
      <c r="HE54" s="616"/>
      <c r="HF54" s="616"/>
      <c r="HG54" s="616"/>
      <c r="HH54" s="616"/>
      <c r="HI54" s="616"/>
      <c r="HJ54" s="616"/>
      <c r="HK54" s="616"/>
      <c r="HL54" s="616"/>
      <c r="HM54" s="616"/>
      <c r="HN54" s="616"/>
      <c r="HO54" s="616"/>
      <c r="HP54" s="616"/>
      <c r="HQ54" s="616"/>
      <c r="HR54" s="616"/>
      <c r="HS54" s="616"/>
      <c r="HT54" s="616"/>
      <c r="HU54" s="616"/>
      <c r="HV54" s="616"/>
      <c r="HW54" s="616"/>
      <c r="HX54" s="616"/>
      <c r="HY54" s="616"/>
      <c r="HZ54" s="616"/>
      <c r="IA54" s="616"/>
      <c r="IB54" s="616"/>
      <c r="IC54" s="616"/>
      <c r="ID54" s="616"/>
      <c r="IE54" s="616"/>
      <c r="IF54" s="616"/>
      <c r="IG54" s="616"/>
      <c r="IH54" s="616"/>
      <c r="II54" s="616"/>
      <c r="IJ54" s="616"/>
      <c r="IK54" s="616"/>
      <c r="IL54" s="616"/>
    </row>
    <row r="55" spans="1:246" s="513" customFormat="1" ht="12.75" customHeight="1">
      <c r="A55" s="604">
        <v>2</v>
      </c>
      <c r="B55" s="677" t="s">
        <v>599</v>
      </c>
      <c r="C55" s="677"/>
      <c r="D55" s="610"/>
      <c r="E55" s="610"/>
      <c r="F55" s="609"/>
      <c r="G55" s="609"/>
      <c r="H55" s="609">
        <f>F55+G55</f>
        <v>0</v>
      </c>
      <c r="I55" s="610"/>
      <c r="J55" s="609"/>
      <c r="K55" s="616"/>
      <c r="L55" s="616"/>
      <c r="M55" s="616"/>
      <c r="N55" s="616"/>
      <c r="O55" s="616"/>
      <c r="P55" s="616"/>
      <c r="Q55" s="616"/>
      <c r="R55" s="616"/>
      <c r="S55" s="616"/>
      <c r="T55" s="616"/>
      <c r="U55" s="616"/>
      <c r="V55" s="616"/>
      <c r="W55" s="616"/>
      <c r="X55" s="616"/>
      <c r="Y55" s="616"/>
      <c r="Z55" s="616"/>
      <c r="AA55" s="616"/>
      <c r="AB55" s="616"/>
      <c r="AC55" s="616"/>
      <c r="AD55" s="616"/>
      <c r="AE55" s="616"/>
      <c r="AF55" s="616"/>
      <c r="AG55" s="616"/>
      <c r="AH55" s="616"/>
      <c r="AI55" s="616"/>
      <c r="AJ55" s="616"/>
      <c r="AK55" s="616"/>
      <c r="AL55" s="616"/>
      <c r="AM55" s="616"/>
      <c r="AN55" s="616"/>
      <c r="AO55" s="616"/>
      <c r="AP55" s="616"/>
      <c r="AQ55" s="616"/>
      <c r="AR55" s="616"/>
      <c r="AS55" s="616"/>
      <c r="AT55" s="616"/>
      <c r="AU55" s="616"/>
      <c r="AV55" s="616"/>
      <c r="AW55" s="616"/>
      <c r="AX55" s="616"/>
      <c r="AY55" s="616"/>
      <c r="AZ55" s="616"/>
      <c r="BA55" s="616"/>
      <c r="BB55" s="616"/>
      <c r="BC55" s="616"/>
      <c r="BD55" s="616"/>
      <c r="BE55" s="616"/>
      <c r="BF55" s="616"/>
      <c r="BG55" s="616"/>
      <c r="BH55" s="616"/>
      <c r="BI55" s="616"/>
      <c r="BJ55" s="616"/>
      <c r="BK55" s="616"/>
      <c r="BL55" s="616"/>
      <c r="BM55" s="616"/>
      <c r="BN55" s="616"/>
      <c r="BO55" s="616"/>
      <c r="BP55" s="616"/>
      <c r="BQ55" s="616"/>
      <c r="BR55" s="616"/>
      <c r="BS55" s="616"/>
      <c r="BT55" s="616"/>
      <c r="BU55" s="616"/>
      <c r="BV55" s="616"/>
      <c r="BW55" s="616"/>
      <c r="BX55" s="616"/>
      <c r="BY55" s="616"/>
      <c r="BZ55" s="616"/>
      <c r="CA55" s="616"/>
      <c r="CB55" s="616"/>
      <c r="CC55" s="616"/>
      <c r="CD55" s="616"/>
      <c r="CE55" s="616"/>
      <c r="CF55" s="616"/>
      <c r="CG55" s="616"/>
      <c r="CH55" s="616"/>
      <c r="CI55" s="616"/>
      <c r="CJ55" s="616"/>
      <c r="CK55" s="616"/>
      <c r="CL55" s="616"/>
      <c r="CM55" s="616"/>
      <c r="CN55" s="616"/>
      <c r="CO55" s="616"/>
      <c r="CP55" s="616"/>
      <c r="CQ55" s="616"/>
      <c r="CR55" s="616"/>
      <c r="CS55" s="616"/>
      <c r="CT55" s="616"/>
      <c r="CU55" s="616"/>
      <c r="CV55" s="616"/>
      <c r="CW55" s="616"/>
      <c r="CX55" s="616"/>
      <c r="CY55" s="616"/>
      <c r="CZ55" s="616"/>
      <c r="DA55" s="616"/>
      <c r="DB55" s="616"/>
      <c r="DC55" s="616"/>
      <c r="DD55" s="616"/>
      <c r="DE55" s="616"/>
      <c r="DF55" s="616"/>
      <c r="DG55" s="616"/>
      <c r="DH55" s="616"/>
      <c r="DI55" s="616"/>
      <c r="DJ55" s="616"/>
      <c r="DK55" s="616"/>
      <c r="DL55" s="616"/>
      <c r="DM55" s="616"/>
      <c r="DN55" s="616"/>
      <c r="DO55" s="616"/>
      <c r="DP55" s="616"/>
      <c r="DQ55" s="616"/>
      <c r="DR55" s="616"/>
      <c r="DS55" s="616"/>
      <c r="DT55" s="616"/>
      <c r="DU55" s="616"/>
      <c r="DV55" s="616"/>
      <c r="DW55" s="616"/>
      <c r="DX55" s="616"/>
      <c r="DY55" s="616"/>
      <c r="DZ55" s="616"/>
      <c r="EA55" s="616"/>
      <c r="EB55" s="616"/>
      <c r="EC55" s="616"/>
      <c r="ED55" s="616"/>
      <c r="EE55" s="616"/>
      <c r="EF55" s="616"/>
      <c r="EG55" s="616"/>
      <c r="EH55" s="616"/>
      <c r="EI55" s="616"/>
      <c r="EJ55" s="616"/>
      <c r="EK55" s="616"/>
      <c r="EL55" s="616"/>
      <c r="EM55" s="616"/>
      <c r="EN55" s="616"/>
      <c r="EO55" s="616"/>
      <c r="EP55" s="616"/>
      <c r="EQ55" s="616"/>
      <c r="ER55" s="616"/>
      <c r="ES55" s="616"/>
      <c r="ET55" s="616"/>
      <c r="EU55" s="616"/>
      <c r="EV55" s="616"/>
      <c r="EW55" s="616"/>
      <c r="EX55" s="616"/>
      <c r="EY55" s="616"/>
      <c r="EZ55" s="616"/>
      <c r="FA55" s="616"/>
      <c r="FB55" s="616"/>
      <c r="FC55" s="616"/>
      <c r="FD55" s="616"/>
      <c r="FE55" s="616"/>
      <c r="FF55" s="616"/>
      <c r="FG55" s="616"/>
      <c r="FH55" s="616"/>
      <c r="FI55" s="616"/>
      <c r="FJ55" s="616"/>
      <c r="FK55" s="616"/>
      <c r="FL55" s="616"/>
      <c r="FM55" s="616"/>
      <c r="FN55" s="616"/>
      <c r="FO55" s="616"/>
      <c r="FP55" s="616"/>
      <c r="FQ55" s="616"/>
      <c r="FR55" s="616"/>
      <c r="FS55" s="616"/>
      <c r="FT55" s="616"/>
      <c r="FU55" s="616"/>
      <c r="FV55" s="616"/>
      <c r="FW55" s="616"/>
      <c r="FX55" s="616"/>
      <c r="FY55" s="616"/>
      <c r="FZ55" s="616"/>
      <c r="GA55" s="616"/>
      <c r="GB55" s="616"/>
      <c r="GC55" s="616"/>
      <c r="GD55" s="616"/>
      <c r="GE55" s="616"/>
      <c r="GF55" s="616"/>
      <c r="GG55" s="616"/>
      <c r="GH55" s="616"/>
      <c r="GI55" s="616"/>
      <c r="GJ55" s="616"/>
      <c r="GK55" s="616"/>
      <c r="GL55" s="616"/>
      <c r="GM55" s="616"/>
      <c r="GN55" s="616"/>
      <c r="GO55" s="616"/>
      <c r="GP55" s="616"/>
      <c r="GQ55" s="616"/>
      <c r="GR55" s="616"/>
      <c r="GS55" s="616"/>
      <c r="GT55" s="616"/>
      <c r="GU55" s="616"/>
      <c r="GV55" s="616"/>
      <c r="GW55" s="616"/>
      <c r="GX55" s="616"/>
      <c r="GY55" s="616"/>
      <c r="GZ55" s="616"/>
      <c r="HA55" s="616"/>
      <c r="HB55" s="616"/>
      <c r="HC55" s="616"/>
      <c r="HD55" s="616"/>
      <c r="HE55" s="616"/>
      <c r="HF55" s="616"/>
      <c r="HG55" s="616"/>
      <c r="HH55" s="616"/>
      <c r="HI55" s="616"/>
      <c r="HJ55" s="616"/>
      <c r="HK55" s="616"/>
      <c r="HL55" s="616"/>
      <c r="HM55" s="616"/>
      <c r="HN55" s="616"/>
      <c r="HO55" s="616"/>
      <c r="HP55" s="616"/>
      <c r="HQ55" s="616"/>
      <c r="HR55" s="616"/>
      <c r="HS55" s="616"/>
      <c r="HT55" s="616"/>
      <c r="HU55" s="616"/>
      <c r="HV55" s="616"/>
      <c r="HW55" s="616"/>
      <c r="HX55" s="616"/>
      <c r="HY55" s="616"/>
      <c r="HZ55" s="616"/>
      <c r="IA55" s="616"/>
      <c r="IB55" s="616"/>
      <c r="IC55" s="616"/>
      <c r="ID55" s="616"/>
      <c r="IE55" s="616"/>
      <c r="IF55" s="616"/>
      <c r="IG55" s="616"/>
      <c r="IH55" s="616"/>
      <c r="II55" s="616"/>
      <c r="IJ55" s="616"/>
      <c r="IK55" s="616"/>
      <c r="IL55" s="616"/>
    </row>
    <row r="56" spans="1:246" s="513" customFormat="1" ht="12.75" customHeight="1">
      <c r="A56" s="604">
        <v>2</v>
      </c>
      <c r="B56" s="677" t="s">
        <v>599</v>
      </c>
      <c r="C56" s="677"/>
      <c r="D56" s="611">
        <v>1</v>
      </c>
      <c r="E56" s="609"/>
      <c r="F56" s="611">
        <v>0.97860000000000003</v>
      </c>
      <c r="G56" s="612">
        <v>2.1399999999999999E-2</v>
      </c>
      <c r="H56" s="612">
        <f>F56+G56</f>
        <v>1</v>
      </c>
      <c r="I56" s="610"/>
      <c r="J56" s="609"/>
      <c r="K56" s="616"/>
      <c r="L56" s="616"/>
      <c r="M56" s="616"/>
      <c r="N56" s="616"/>
      <c r="O56" s="616"/>
      <c r="P56" s="616"/>
      <c r="Q56" s="616"/>
      <c r="R56" s="616"/>
      <c r="S56" s="616"/>
      <c r="T56" s="616"/>
      <c r="U56" s="616"/>
      <c r="V56" s="616"/>
      <c r="W56" s="616"/>
      <c r="X56" s="616"/>
      <c r="Y56" s="616"/>
      <c r="Z56" s="616"/>
      <c r="AA56" s="616"/>
      <c r="AB56" s="616"/>
      <c r="AC56" s="616"/>
      <c r="AD56" s="616"/>
      <c r="AE56" s="616"/>
      <c r="AF56" s="616"/>
      <c r="AG56" s="616"/>
      <c r="AH56" s="616"/>
      <c r="AI56" s="616"/>
      <c r="AJ56" s="616"/>
      <c r="AK56" s="616"/>
      <c r="AL56" s="616"/>
      <c r="AM56" s="616"/>
      <c r="AN56" s="616"/>
      <c r="AO56" s="616"/>
      <c r="AP56" s="616"/>
      <c r="AQ56" s="616"/>
      <c r="AR56" s="616"/>
      <c r="AS56" s="616"/>
      <c r="AT56" s="616"/>
      <c r="AU56" s="616"/>
      <c r="AV56" s="616"/>
      <c r="AW56" s="616"/>
      <c r="AX56" s="616"/>
      <c r="AY56" s="616"/>
      <c r="AZ56" s="616"/>
      <c r="BA56" s="616"/>
      <c r="BB56" s="616"/>
      <c r="BC56" s="616"/>
      <c r="BD56" s="616"/>
      <c r="BE56" s="616"/>
      <c r="BF56" s="616"/>
      <c r="BG56" s="616"/>
      <c r="BH56" s="616"/>
      <c r="BI56" s="616"/>
      <c r="BJ56" s="616"/>
      <c r="BK56" s="616"/>
      <c r="BL56" s="616"/>
      <c r="BM56" s="616"/>
      <c r="BN56" s="616"/>
      <c r="BO56" s="616"/>
      <c r="BP56" s="616"/>
      <c r="BQ56" s="616"/>
      <c r="BR56" s="616"/>
      <c r="BS56" s="616"/>
      <c r="BT56" s="616"/>
      <c r="BU56" s="616"/>
      <c r="BV56" s="616"/>
      <c r="BW56" s="616"/>
      <c r="BX56" s="616"/>
      <c r="BY56" s="616"/>
      <c r="BZ56" s="616"/>
      <c r="CA56" s="616"/>
      <c r="CB56" s="616"/>
      <c r="CC56" s="616"/>
      <c r="CD56" s="616"/>
      <c r="CE56" s="616"/>
      <c r="CF56" s="616"/>
      <c r="CG56" s="616"/>
      <c r="CH56" s="616"/>
      <c r="CI56" s="616"/>
      <c r="CJ56" s="616"/>
      <c r="CK56" s="616"/>
      <c r="CL56" s="616"/>
      <c r="CM56" s="616"/>
      <c r="CN56" s="616"/>
      <c r="CO56" s="616"/>
      <c r="CP56" s="616"/>
      <c r="CQ56" s="616"/>
      <c r="CR56" s="616"/>
      <c r="CS56" s="616"/>
      <c r="CT56" s="616"/>
      <c r="CU56" s="616"/>
      <c r="CV56" s="616"/>
      <c r="CW56" s="616"/>
      <c r="CX56" s="616"/>
      <c r="CY56" s="616"/>
      <c r="CZ56" s="616"/>
      <c r="DA56" s="616"/>
      <c r="DB56" s="616"/>
      <c r="DC56" s="616"/>
      <c r="DD56" s="616"/>
      <c r="DE56" s="616"/>
      <c r="DF56" s="616"/>
      <c r="DG56" s="616"/>
      <c r="DH56" s="616"/>
      <c r="DI56" s="616"/>
      <c r="DJ56" s="616"/>
      <c r="DK56" s="616"/>
      <c r="DL56" s="616"/>
      <c r="DM56" s="616"/>
      <c r="DN56" s="616"/>
      <c r="DO56" s="616"/>
      <c r="DP56" s="616"/>
      <c r="DQ56" s="616"/>
      <c r="DR56" s="616"/>
      <c r="DS56" s="616"/>
      <c r="DT56" s="616"/>
      <c r="DU56" s="616"/>
      <c r="DV56" s="616"/>
      <c r="DW56" s="616"/>
      <c r="DX56" s="616"/>
      <c r="DY56" s="616"/>
      <c r="DZ56" s="616"/>
      <c r="EA56" s="616"/>
      <c r="EB56" s="616"/>
      <c r="EC56" s="616"/>
      <c r="ED56" s="616"/>
      <c r="EE56" s="616"/>
      <c r="EF56" s="616"/>
      <c r="EG56" s="616"/>
      <c r="EH56" s="616"/>
      <c r="EI56" s="616"/>
      <c r="EJ56" s="616"/>
      <c r="EK56" s="616"/>
      <c r="EL56" s="616"/>
      <c r="EM56" s="616"/>
      <c r="EN56" s="616"/>
      <c r="EO56" s="616"/>
      <c r="EP56" s="616"/>
      <c r="EQ56" s="616"/>
      <c r="ER56" s="616"/>
      <c r="ES56" s="616"/>
      <c r="ET56" s="616"/>
      <c r="EU56" s="616"/>
      <c r="EV56" s="616"/>
      <c r="EW56" s="616"/>
      <c r="EX56" s="616"/>
      <c r="EY56" s="616"/>
      <c r="EZ56" s="616"/>
      <c r="FA56" s="616"/>
      <c r="FB56" s="616"/>
      <c r="FC56" s="616"/>
      <c r="FD56" s="616"/>
      <c r="FE56" s="616"/>
      <c r="FF56" s="616"/>
      <c r="FG56" s="616"/>
      <c r="FH56" s="616"/>
      <c r="FI56" s="616"/>
      <c r="FJ56" s="616"/>
      <c r="FK56" s="616"/>
      <c r="FL56" s="616"/>
      <c r="FM56" s="616"/>
      <c r="FN56" s="616"/>
      <c r="FO56" s="616"/>
      <c r="FP56" s="616"/>
      <c r="FQ56" s="616"/>
      <c r="FR56" s="616"/>
      <c r="FS56" s="616"/>
      <c r="FT56" s="616"/>
      <c r="FU56" s="616"/>
      <c r="FV56" s="616"/>
      <c r="FW56" s="616"/>
      <c r="FX56" s="616"/>
      <c r="FY56" s="616"/>
      <c r="FZ56" s="616"/>
      <c r="GA56" s="616"/>
      <c r="GB56" s="616"/>
      <c r="GC56" s="616"/>
      <c r="GD56" s="616"/>
      <c r="GE56" s="616"/>
      <c r="GF56" s="616"/>
      <c r="GG56" s="616"/>
      <c r="GH56" s="616"/>
      <c r="GI56" s="616"/>
      <c r="GJ56" s="616"/>
      <c r="GK56" s="616"/>
      <c r="GL56" s="616"/>
      <c r="GM56" s="616"/>
      <c r="GN56" s="616"/>
      <c r="GO56" s="616"/>
      <c r="GP56" s="616"/>
      <c r="GQ56" s="616"/>
      <c r="GR56" s="616"/>
      <c r="GS56" s="616"/>
      <c r="GT56" s="616"/>
      <c r="GU56" s="616"/>
      <c r="GV56" s="616"/>
      <c r="GW56" s="616"/>
      <c r="GX56" s="616"/>
      <c r="GY56" s="616"/>
      <c r="GZ56" s="616"/>
      <c r="HA56" s="616"/>
      <c r="HB56" s="616"/>
      <c r="HC56" s="616"/>
      <c r="HD56" s="616"/>
      <c r="HE56" s="616"/>
      <c r="HF56" s="616"/>
      <c r="HG56" s="616"/>
      <c r="HH56" s="616"/>
      <c r="HI56" s="616"/>
      <c r="HJ56" s="616"/>
      <c r="HK56" s="616"/>
      <c r="HL56" s="616"/>
      <c r="HM56" s="616"/>
      <c r="HN56" s="616"/>
      <c r="HO56" s="616"/>
      <c r="HP56" s="616"/>
      <c r="HQ56" s="616"/>
      <c r="HR56" s="616"/>
      <c r="HS56" s="616"/>
      <c r="HT56" s="616"/>
      <c r="HU56" s="616"/>
      <c r="HV56" s="616"/>
      <c r="HW56" s="616"/>
      <c r="HX56" s="616"/>
      <c r="HY56" s="616"/>
      <c r="HZ56" s="616"/>
      <c r="IA56" s="616"/>
      <c r="IB56" s="616"/>
      <c r="IC56" s="616"/>
      <c r="ID56" s="616"/>
      <c r="IE56" s="616"/>
      <c r="IF56" s="616"/>
      <c r="IG56" s="616"/>
      <c r="IH56" s="616"/>
      <c r="II56" s="616"/>
      <c r="IJ56" s="616"/>
      <c r="IK56" s="616"/>
      <c r="IL56" s="616"/>
    </row>
    <row r="57" spans="1:246" s="513" customFormat="1" ht="12.75" customHeight="1">
      <c r="A57" s="604">
        <v>2</v>
      </c>
      <c r="B57" s="677" t="s">
        <v>599</v>
      </c>
      <c r="C57" s="677"/>
      <c r="D57" s="609">
        <f ca="1">D53/D54</f>
        <v>192.53858063172211</v>
      </c>
      <c r="E57" s="609">
        <f ca="1">E53/D54</f>
        <v>192.32414678303277</v>
      </c>
      <c r="F57" s="609"/>
      <c r="G57" s="609"/>
      <c r="H57" s="609"/>
      <c r="I57" s="609"/>
      <c r="J57" s="609"/>
      <c r="K57" s="616"/>
      <c r="L57" s="616"/>
      <c r="M57" s="616"/>
      <c r="N57" s="616"/>
      <c r="O57" s="616"/>
      <c r="P57" s="616"/>
      <c r="Q57" s="616"/>
      <c r="R57" s="616"/>
      <c r="S57" s="616"/>
      <c r="T57" s="616"/>
      <c r="U57" s="616"/>
      <c r="V57" s="616"/>
      <c r="W57" s="616"/>
      <c r="X57" s="616"/>
      <c r="Y57" s="616"/>
      <c r="Z57" s="616"/>
      <c r="AA57" s="616"/>
      <c r="AB57" s="616"/>
      <c r="AC57" s="616"/>
      <c r="AD57" s="616"/>
      <c r="AE57" s="616"/>
      <c r="AF57" s="616"/>
      <c r="AG57" s="616"/>
      <c r="AH57" s="616"/>
      <c r="AI57" s="616"/>
      <c r="AJ57" s="616"/>
      <c r="AK57" s="616"/>
      <c r="AL57" s="616"/>
      <c r="AM57" s="616"/>
      <c r="AN57" s="616"/>
      <c r="AO57" s="616"/>
      <c r="AP57" s="616"/>
      <c r="AQ57" s="616"/>
      <c r="AR57" s="616"/>
      <c r="AS57" s="616"/>
      <c r="AT57" s="616"/>
      <c r="AU57" s="616"/>
      <c r="AV57" s="616"/>
      <c r="AW57" s="616"/>
      <c r="AX57" s="616"/>
      <c r="AY57" s="616"/>
      <c r="AZ57" s="616"/>
      <c r="BA57" s="616"/>
      <c r="BB57" s="616"/>
      <c r="BC57" s="616"/>
      <c r="BD57" s="616"/>
      <c r="BE57" s="616"/>
      <c r="BF57" s="616"/>
      <c r="BG57" s="616"/>
      <c r="BH57" s="616"/>
      <c r="BI57" s="616"/>
      <c r="BJ57" s="616"/>
      <c r="BK57" s="616"/>
      <c r="BL57" s="616"/>
      <c r="BM57" s="616"/>
      <c r="BN57" s="616"/>
      <c r="BO57" s="616"/>
      <c r="BP57" s="616"/>
      <c r="BQ57" s="616"/>
      <c r="BR57" s="616"/>
      <c r="BS57" s="616"/>
      <c r="BT57" s="616"/>
      <c r="BU57" s="616"/>
      <c r="BV57" s="616"/>
      <c r="BW57" s="616"/>
      <c r="BX57" s="616"/>
      <c r="BY57" s="616"/>
      <c r="BZ57" s="616"/>
      <c r="CA57" s="616"/>
      <c r="CB57" s="616"/>
      <c r="CC57" s="616"/>
      <c r="CD57" s="616"/>
      <c r="CE57" s="616"/>
      <c r="CF57" s="616"/>
      <c r="CG57" s="616"/>
      <c r="CH57" s="616"/>
      <c r="CI57" s="616"/>
      <c r="CJ57" s="616"/>
      <c r="CK57" s="616"/>
      <c r="CL57" s="616"/>
      <c r="CM57" s="616"/>
      <c r="CN57" s="616"/>
      <c r="CO57" s="616"/>
      <c r="CP57" s="616"/>
      <c r="CQ57" s="616"/>
      <c r="CR57" s="616"/>
      <c r="CS57" s="616"/>
      <c r="CT57" s="616"/>
      <c r="CU57" s="616"/>
      <c r="CV57" s="616"/>
      <c r="CW57" s="616"/>
      <c r="CX57" s="616"/>
      <c r="CY57" s="616"/>
      <c r="CZ57" s="616"/>
      <c r="DA57" s="616"/>
      <c r="DB57" s="616"/>
      <c r="DC57" s="616"/>
      <c r="DD57" s="616"/>
      <c r="DE57" s="616"/>
      <c r="DF57" s="616"/>
      <c r="DG57" s="616"/>
      <c r="DH57" s="616"/>
      <c r="DI57" s="616"/>
      <c r="DJ57" s="616"/>
      <c r="DK57" s="616"/>
      <c r="DL57" s="616"/>
      <c r="DM57" s="616"/>
      <c r="DN57" s="616"/>
      <c r="DO57" s="616"/>
      <c r="DP57" s="616"/>
      <c r="DQ57" s="616"/>
      <c r="DR57" s="616"/>
      <c r="DS57" s="616"/>
      <c r="DT57" s="616"/>
      <c r="DU57" s="616"/>
      <c r="DV57" s="616"/>
      <c r="DW57" s="616"/>
      <c r="DX57" s="616"/>
      <c r="DY57" s="616"/>
      <c r="DZ57" s="616"/>
      <c r="EA57" s="616"/>
      <c r="EB57" s="616"/>
      <c r="EC57" s="616"/>
      <c r="ED57" s="616"/>
      <c r="EE57" s="616"/>
      <c r="EF57" s="616"/>
      <c r="EG57" s="616"/>
      <c r="EH57" s="616"/>
      <c r="EI57" s="616"/>
      <c r="EJ57" s="616"/>
      <c r="EK57" s="616"/>
      <c r="EL57" s="616"/>
      <c r="EM57" s="616"/>
      <c r="EN57" s="616"/>
      <c r="EO57" s="616"/>
      <c r="EP57" s="616"/>
      <c r="EQ57" s="616"/>
      <c r="ER57" s="616"/>
      <c r="ES57" s="616"/>
      <c r="ET57" s="616"/>
      <c r="EU57" s="616"/>
      <c r="EV57" s="616"/>
      <c r="EW57" s="616"/>
      <c r="EX57" s="616"/>
      <c r="EY57" s="616"/>
      <c r="EZ57" s="616"/>
      <c r="FA57" s="616"/>
      <c r="FB57" s="616"/>
      <c r="FC57" s="616"/>
      <c r="FD57" s="616"/>
      <c r="FE57" s="616"/>
      <c r="FF57" s="616"/>
      <c r="FG57" s="616"/>
      <c r="FH57" s="616"/>
      <c r="FI57" s="616"/>
      <c r="FJ57" s="616"/>
      <c r="FK57" s="616"/>
      <c r="FL57" s="616"/>
      <c r="FM57" s="616"/>
      <c r="FN57" s="616"/>
      <c r="FO57" s="616"/>
      <c r="FP57" s="616"/>
      <c r="FQ57" s="616"/>
      <c r="FR57" s="616"/>
      <c r="FS57" s="616"/>
      <c r="FT57" s="616"/>
      <c r="FU57" s="616"/>
      <c r="FV57" s="616"/>
      <c r="FW57" s="616"/>
      <c r="FX57" s="616"/>
      <c r="FY57" s="616"/>
      <c r="FZ57" s="616"/>
      <c r="GA57" s="616"/>
      <c r="GB57" s="616"/>
      <c r="GC57" s="616"/>
      <c r="GD57" s="616"/>
      <c r="GE57" s="616"/>
      <c r="GF57" s="616"/>
      <c r="GG57" s="616"/>
      <c r="GH57" s="616"/>
      <c r="GI57" s="616"/>
      <c r="GJ57" s="616"/>
      <c r="GK57" s="616"/>
      <c r="GL57" s="616"/>
      <c r="GM57" s="616"/>
      <c r="GN57" s="616"/>
      <c r="GO57" s="616"/>
      <c r="GP57" s="616"/>
      <c r="GQ57" s="616"/>
      <c r="GR57" s="616"/>
      <c r="GS57" s="616"/>
      <c r="GT57" s="616"/>
      <c r="GU57" s="616"/>
      <c r="GV57" s="616"/>
      <c r="GW57" s="616"/>
      <c r="GX57" s="616"/>
      <c r="GY57" s="616"/>
      <c r="GZ57" s="616"/>
      <c r="HA57" s="616"/>
      <c r="HB57" s="616"/>
      <c r="HC57" s="616"/>
      <c r="HD57" s="616"/>
      <c r="HE57" s="616"/>
      <c r="HF57" s="616"/>
      <c r="HG57" s="616"/>
      <c r="HH57" s="616"/>
      <c r="HI57" s="616"/>
      <c r="HJ57" s="616"/>
      <c r="HK57" s="616"/>
      <c r="HL57" s="616"/>
      <c r="HM57" s="616"/>
      <c r="HN57" s="616"/>
      <c r="HO57" s="616"/>
      <c r="HP57" s="616"/>
      <c r="HQ57" s="616"/>
      <c r="HR57" s="616"/>
      <c r="HS57" s="616"/>
      <c r="HT57" s="616"/>
      <c r="HU57" s="616"/>
      <c r="HV57" s="616"/>
      <c r="HW57" s="616"/>
      <c r="HX57" s="616"/>
      <c r="HY57" s="616"/>
      <c r="HZ57" s="616"/>
      <c r="IA57" s="616"/>
      <c r="IB57" s="616"/>
      <c r="IC57" s="616"/>
      <c r="ID57" s="616"/>
      <c r="IE57" s="616"/>
      <c r="IF57" s="616"/>
      <c r="IG57" s="616"/>
      <c r="IH57" s="616"/>
      <c r="II57" s="616"/>
      <c r="IJ57" s="616"/>
      <c r="IK57" s="616"/>
      <c r="IL57" s="616"/>
    </row>
    <row r="63" spans="1:246" ht="15">
      <c r="D63" s="613">
        <f ca="1">D53-D6</f>
        <v>5160714.75</v>
      </c>
      <c r="E63" s="613">
        <f ca="1">E53-E6</f>
        <v>5153714.75</v>
      </c>
      <c r="F63" s="613">
        <f ca="1">F53-F6</f>
        <v>5004236.6899999995</v>
      </c>
      <c r="G63" s="613">
        <f ca="1">G53-G6</f>
        <v>149478.06</v>
      </c>
    </row>
    <row r="66" spans="5:5" ht="15">
      <c r="E66" s="613">
        <f ca="1">D63-E63</f>
        <v>7000</v>
      </c>
    </row>
  </sheetData>
  <mergeCells count="14">
    <mergeCell ref="A1:J1"/>
    <mergeCell ref="F3:H3"/>
    <mergeCell ref="B53:C53"/>
    <mergeCell ref="B54:C54"/>
    <mergeCell ref="B55:C55"/>
    <mergeCell ref="D3:D4"/>
    <mergeCell ref="E3:E4"/>
    <mergeCell ref="I3:I4"/>
    <mergeCell ref="J3:J4"/>
    <mergeCell ref="B56:C56"/>
    <mergeCell ref="B57:C57"/>
    <mergeCell ref="A3:A4"/>
    <mergeCell ref="B3:B4"/>
    <mergeCell ref="C3:C4"/>
  </mergeCells>
  <phoneticPr fontId="22" type="noConversion"/>
  <printOptions horizontalCentered="1"/>
  <pageMargins left="0.27916666666666701" right="0.30902777777777801" top="1.1090277777777799" bottom="0.23888888888888901" header="0.8" footer="0.50902777777777797"/>
  <pageSetup paperSize="9" scale="95" orientation="landscape"/>
  <headerFooter alignWithMargins="0">
    <oddHeader>&amp;R附表3</oddHeader>
    <oddFooter>&amp;C&amp;10&amp;P</oddFooter>
  </headerFooter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R5" sqref="R5"/>
    </sheetView>
  </sheetViews>
  <sheetFormatPr defaultColWidth="9" defaultRowHeight="15.75"/>
  <cols>
    <col min="1" max="1" width="2.875" style="189" customWidth="1"/>
    <col min="2" max="2" width="11.125" style="189" customWidth="1"/>
    <col min="3" max="3" width="10.125" style="189" customWidth="1"/>
    <col min="4" max="4" width="9.125" style="189" customWidth="1"/>
    <col min="5" max="5" width="6.25" style="189" customWidth="1"/>
    <col min="6" max="6" width="8.875" style="189" customWidth="1"/>
    <col min="7" max="7" width="8.25" style="189" customWidth="1"/>
    <col min="8" max="8" width="9.375" style="189" customWidth="1"/>
    <col min="9" max="9" width="8.25" style="189" customWidth="1"/>
    <col min="10" max="10" width="7.75" style="189" customWidth="1"/>
    <col min="11" max="13" width="7.25" style="189" customWidth="1"/>
    <col min="14" max="14" width="5.625" style="189" customWidth="1"/>
    <col min="15" max="16" width="6" style="189" customWidth="1"/>
    <col min="17" max="17" width="5.25" style="189" customWidth="1"/>
    <col min="18" max="18" width="5.5" style="189" customWidth="1"/>
    <col min="19" max="19" width="20.875" style="189" customWidth="1"/>
    <col min="20" max="16384" width="9" style="189"/>
  </cols>
  <sheetData>
    <row r="1" spans="1:19" ht="41.25" customHeight="1">
      <c r="A1" s="799" t="s">
        <v>637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  <c r="M1" s="681"/>
      <c r="N1" s="681"/>
      <c r="O1" s="681"/>
      <c r="P1" s="681"/>
      <c r="Q1" s="681"/>
      <c r="R1" s="681"/>
      <c r="S1" s="681"/>
    </row>
    <row r="2" spans="1:19" s="188" customFormat="1" ht="18" customHeight="1">
      <c r="A2" s="682" t="str">
        <f>Sheet2!A2</f>
        <v>看就会立刻就会老客户考虑减</v>
      </c>
      <c r="B2" s="682"/>
      <c r="C2" s="682"/>
      <c r="D2" s="682"/>
      <c r="E2" s="682"/>
      <c r="F2" s="682"/>
      <c r="G2" s="682"/>
      <c r="H2" s="682"/>
      <c r="I2" s="682"/>
      <c r="J2" s="682"/>
      <c r="K2" s="588"/>
      <c r="L2" s="588"/>
      <c r="M2" s="588"/>
      <c r="N2" s="588"/>
      <c r="O2" s="588"/>
      <c r="P2" s="588"/>
      <c r="Q2" s="683" t="s">
        <v>74</v>
      </c>
      <c r="R2" s="683"/>
      <c r="S2" s="683"/>
    </row>
    <row r="3" spans="1:19" s="188" customFormat="1" ht="24.95" customHeight="1">
      <c r="A3" s="690" t="s">
        <v>75</v>
      </c>
      <c r="B3" s="797" t="s">
        <v>639</v>
      </c>
      <c r="C3" s="797" t="s">
        <v>638</v>
      </c>
      <c r="D3" s="690" t="s">
        <v>76</v>
      </c>
      <c r="E3" s="797" t="s">
        <v>634</v>
      </c>
      <c r="F3" s="797" t="s">
        <v>635</v>
      </c>
      <c r="G3" s="798" t="s">
        <v>636</v>
      </c>
      <c r="H3" s="685"/>
      <c r="I3" s="686"/>
      <c r="J3" s="797" t="s">
        <v>640</v>
      </c>
      <c r="K3" s="684" t="s">
        <v>77</v>
      </c>
      <c r="L3" s="685"/>
      <c r="M3" s="686"/>
      <c r="N3" s="797" t="s">
        <v>642</v>
      </c>
      <c r="O3" s="687" t="s">
        <v>78</v>
      </c>
      <c r="P3" s="688"/>
      <c r="Q3" s="689"/>
      <c r="R3" s="801" t="s">
        <v>645</v>
      </c>
      <c r="S3" s="690" t="s">
        <v>19</v>
      </c>
    </row>
    <row r="4" spans="1:19" s="188" customFormat="1" ht="24.95" customHeight="1">
      <c r="A4" s="691"/>
      <c r="B4" s="691"/>
      <c r="C4" s="691"/>
      <c r="D4" s="691"/>
      <c r="E4" s="692"/>
      <c r="F4" s="691"/>
      <c r="G4" s="800" t="s">
        <v>641</v>
      </c>
      <c r="H4" s="800" t="s">
        <v>641</v>
      </c>
      <c r="I4" s="580" t="s">
        <v>79</v>
      </c>
      <c r="J4" s="691"/>
      <c r="K4" s="800" t="s">
        <v>641</v>
      </c>
      <c r="L4" s="580" t="s">
        <v>7</v>
      </c>
      <c r="M4" s="800" t="s">
        <v>643</v>
      </c>
      <c r="N4" s="691"/>
      <c r="O4" s="800" t="s">
        <v>640</v>
      </c>
      <c r="P4" s="800" t="s">
        <v>640</v>
      </c>
      <c r="Q4" s="800" t="s">
        <v>644</v>
      </c>
      <c r="R4" s="693"/>
      <c r="S4" s="691"/>
    </row>
    <row r="5" spans="1:19" s="579" customFormat="1" ht="40.15" customHeight="1">
      <c r="A5" s="581"/>
      <c r="B5" s="582" t="s">
        <v>35</v>
      </c>
      <c r="C5" s="581"/>
      <c r="D5" s="583">
        <f>SUM(D6:D10)</f>
        <v>32644.1</v>
      </c>
      <c r="E5" s="583">
        <f t="shared" ref="E5:R5" si="0">SUM(E6:E10)</f>
        <v>0</v>
      </c>
      <c r="F5" s="583">
        <f t="shared" si="0"/>
        <v>32644.1</v>
      </c>
      <c r="G5" s="583">
        <f t="shared" si="0"/>
        <v>31946.76</v>
      </c>
      <c r="H5" s="583">
        <f t="shared" si="0"/>
        <v>697.34</v>
      </c>
      <c r="I5" s="583">
        <f t="shared" si="0"/>
        <v>32644.1</v>
      </c>
      <c r="J5" s="583">
        <f t="shared" si="0"/>
        <v>0</v>
      </c>
      <c r="K5" s="589">
        <f t="shared" ref="K5:K10" si="1">IF(F5=0,0,G5/D5)</f>
        <v>0.97863809999356699</v>
      </c>
      <c r="L5" s="589">
        <f t="shared" ref="L5:L10" si="2">IF(F5=0,0,H5/F5)</f>
        <v>2.1361900006433017E-2</v>
      </c>
      <c r="M5" s="590">
        <f t="shared" ref="M5:M10" si="3">K5+L5</f>
        <v>1</v>
      </c>
      <c r="N5" s="591">
        <f t="shared" si="0"/>
        <v>398</v>
      </c>
      <c r="O5" s="591">
        <f t="shared" si="0"/>
        <v>388</v>
      </c>
      <c r="P5" s="591">
        <f t="shared" si="0"/>
        <v>10</v>
      </c>
      <c r="Q5" s="591">
        <f t="shared" si="0"/>
        <v>398</v>
      </c>
      <c r="R5" s="591">
        <f t="shared" si="0"/>
        <v>0</v>
      </c>
      <c r="S5" s="581"/>
    </row>
    <row r="6" spans="1:19" s="188" customFormat="1" ht="12.75">
      <c r="A6" s="580">
        <v>1</v>
      </c>
      <c r="B6" s="535" t="s">
        <v>80</v>
      </c>
      <c r="C6" s="584"/>
      <c r="D6" s="585">
        <v>8287.01</v>
      </c>
      <c r="E6" s="586"/>
      <c r="F6" s="585">
        <v>8287.01</v>
      </c>
      <c r="G6" s="586">
        <v>8287.01</v>
      </c>
      <c r="H6" s="585"/>
      <c r="I6" s="585">
        <f>G6+H6</f>
        <v>8287.01</v>
      </c>
      <c r="J6" s="585">
        <f>F6-I6</f>
        <v>0</v>
      </c>
      <c r="K6" s="589">
        <f t="shared" si="1"/>
        <v>1</v>
      </c>
      <c r="L6" s="589">
        <f t="shared" si="2"/>
        <v>0</v>
      </c>
      <c r="M6" s="589">
        <f t="shared" si="3"/>
        <v>1</v>
      </c>
      <c r="N6" s="592">
        <v>130</v>
      </c>
      <c r="O6" s="592">
        <v>130</v>
      </c>
      <c r="P6" s="592"/>
      <c r="Q6" s="593">
        <f>O6+P6</f>
        <v>130</v>
      </c>
      <c r="R6" s="594">
        <f>N6-Q6</f>
        <v>0</v>
      </c>
      <c r="S6" s="595" t="s">
        <v>492</v>
      </c>
    </row>
    <row r="7" spans="1:19" s="188" customFormat="1" ht="12.75">
      <c r="A7" s="580">
        <v>2</v>
      </c>
      <c r="B7" s="535" t="s">
        <v>81</v>
      </c>
      <c r="C7" s="584"/>
      <c r="D7" s="585">
        <v>5187</v>
      </c>
      <c r="E7" s="585"/>
      <c r="F7" s="585">
        <v>5187</v>
      </c>
      <c r="G7" s="586">
        <v>5187</v>
      </c>
      <c r="H7" s="585"/>
      <c r="I7" s="585">
        <f>G7+H7</f>
        <v>5187</v>
      </c>
      <c r="J7" s="585">
        <f>F7-I7</f>
        <v>0</v>
      </c>
      <c r="K7" s="589">
        <f t="shared" si="1"/>
        <v>1</v>
      </c>
      <c r="L7" s="589">
        <f t="shared" si="2"/>
        <v>0</v>
      </c>
      <c r="M7" s="589">
        <f t="shared" si="3"/>
        <v>1</v>
      </c>
      <c r="N7" s="592">
        <v>42</v>
      </c>
      <c r="O7" s="592">
        <v>42</v>
      </c>
      <c r="P7" s="592"/>
      <c r="Q7" s="593">
        <f>O7+P7</f>
        <v>42</v>
      </c>
      <c r="R7" s="594">
        <v>0</v>
      </c>
      <c r="S7" s="595" t="s">
        <v>493</v>
      </c>
    </row>
    <row r="8" spans="1:19" s="513" customFormat="1" ht="33" customHeight="1">
      <c r="A8" s="580">
        <v>3</v>
      </c>
      <c r="B8" s="535" t="s">
        <v>82</v>
      </c>
      <c r="C8" s="584"/>
      <c r="D8" s="585">
        <v>11296.63</v>
      </c>
      <c r="E8" s="585"/>
      <c r="F8" s="585">
        <v>11296.63</v>
      </c>
      <c r="G8" s="586">
        <v>11296.63</v>
      </c>
      <c r="H8" s="585"/>
      <c r="I8" s="585">
        <f>G8+H8</f>
        <v>11296.63</v>
      </c>
      <c r="J8" s="585">
        <f>F8-I8</f>
        <v>0</v>
      </c>
      <c r="K8" s="589">
        <f t="shared" si="1"/>
        <v>1</v>
      </c>
      <c r="L8" s="589">
        <f t="shared" si="2"/>
        <v>0</v>
      </c>
      <c r="M8" s="589">
        <f t="shared" si="3"/>
        <v>1</v>
      </c>
      <c r="N8" s="592">
        <v>132</v>
      </c>
      <c r="O8" s="592">
        <v>132</v>
      </c>
      <c r="P8" s="592"/>
      <c r="Q8" s="593">
        <f>O8+P8</f>
        <v>132</v>
      </c>
      <c r="R8" s="594">
        <v>0</v>
      </c>
      <c r="S8" s="595"/>
    </row>
    <row r="9" spans="1:19" s="513" customFormat="1" ht="28.9" customHeight="1">
      <c r="A9" s="580">
        <v>4</v>
      </c>
      <c r="B9" s="535" t="s">
        <v>83</v>
      </c>
      <c r="C9" s="584"/>
      <c r="D9" s="585">
        <v>7176.12</v>
      </c>
      <c r="E9" s="585"/>
      <c r="F9" s="585">
        <v>7176.12</v>
      </c>
      <c r="G9" s="586">
        <v>7176.12</v>
      </c>
      <c r="H9" s="585"/>
      <c r="I9" s="585">
        <f>G9+H9</f>
        <v>7176.12</v>
      </c>
      <c r="J9" s="585">
        <f>F9-I9</f>
        <v>0</v>
      </c>
      <c r="K9" s="589">
        <f t="shared" si="1"/>
        <v>1</v>
      </c>
      <c r="L9" s="589">
        <f t="shared" si="2"/>
        <v>0</v>
      </c>
      <c r="M9" s="589">
        <f t="shared" si="3"/>
        <v>1</v>
      </c>
      <c r="N9" s="592">
        <v>84</v>
      </c>
      <c r="O9" s="592">
        <v>84</v>
      </c>
      <c r="P9" s="592"/>
      <c r="Q9" s="593">
        <f>O9+P9</f>
        <v>84</v>
      </c>
      <c r="R9" s="594">
        <v>0</v>
      </c>
      <c r="S9" s="595"/>
    </row>
    <row r="10" spans="1:19" s="513" customFormat="1" ht="28.9" customHeight="1">
      <c r="A10" s="580">
        <v>5</v>
      </c>
      <c r="B10" s="535" t="s">
        <v>84</v>
      </c>
      <c r="C10" s="584"/>
      <c r="D10" s="585">
        <v>697.34</v>
      </c>
      <c r="E10" s="585"/>
      <c r="F10" s="585">
        <v>697.34</v>
      </c>
      <c r="G10" s="586"/>
      <c r="H10" s="585">
        <v>697.34</v>
      </c>
      <c r="I10" s="585">
        <f>G10+H10</f>
        <v>697.34</v>
      </c>
      <c r="J10" s="585">
        <f>F10-I10</f>
        <v>0</v>
      </c>
      <c r="K10" s="589">
        <f t="shared" si="1"/>
        <v>0</v>
      </c>
      <c r="L10" s="589">
        <f t="shared" si="2"/>
        <v>1</v>
      </c>
      <c r="M10" s="589">
        <f t="shared" si="3"/>
        <v>1</v>
      </c>
      <c r="N10" s="592">
        <v>10</v>
      </c>
      <c r="O10" s="586"/>
      <c r="P10" s="593">
        <v>10</v>
      </c>
      <c r="Q10" s="593">
        <f>O10+P10</f>
        <v>10</v>
      </c>
      <c r="R10" s="594">
        <f>N10-Q10</f>
        <v>0</v>
      </c>
      <c r="S10" s="595"/>
    </row>
    <row r="12" spans="1:19">
      <c r="H12" s="587"/>
    </row>
    <row r="14" spans="1:19">
      <c r="D14" s="587">
        <f>D10/D5</f>
        <v>2.1361900006433017E-2</v>
      </c>
    </row>
  </sheetData>
  <mergeCells count="16">
    <mergeCell ref="A1:S1"/>
    <mergeCell ref="A2:J2"/>
    <mergeCell ref="Q2:S2"/>
    <mergeCell ref="G3:I3"/>
    <mergeCell ref="K3:M3"/>
    <mergeCell ref="O3:Q3"/>
    <mergeCell ref="A3:A4"/>
    <mergeCell ref="B3:B4"/>
    <mergeCell ref="C3:C4"/>
    <mergeCell ref="D3:D4"/>
    <mergeCell ref="E3:E4"/>
    <mergeCell ref="F3:F4"/>
    <mergeCell ref="J3:J4"/>
    <mergeCell ref="N3:N4"/>
    <mergeCell ref="R3:R4"/>
    <mergeCell ref="S3:S4"/>
  </mergeCells>
  <phoneticPr fontId="22" type="noConversion"/>
  <printOptions horizontalCentered="1"/>
  <pageMargins left="0.42916666666666697" right="0.27916666666666701" top="0.78888888888888897" bottom="0.78888888888888897" header="0.50902777777777797" footer="0.50902777777777797"/>
  <pageSetup paperSize="9" orientation="landscape"/>
  <headerFooter alignWithMargins="0">
    <oddHeader>&amp;R附表4</oddHeader>
    <oddFooter>&amp;C&amp;10&amp;P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/>
    <pageSetUpPr fitToPage="1"/>
  </sheetPr>
  <dimension ref="A1:IV405"/>
  <sheetViews>
    <sheetView workbookViewId="0">
      <pane xSplit="2" ySplit="7" topLeftCell="C8" activePane="bottomRight" state="frozen"/>
      <selection pane="topRight"/>
      <selection pane="bottomLeft"/>
      <selection pane="bottomRight" activeCell="J25" sqref="J25"/>
    </sheetView>
  </sheetViews>
  <sheetFormatPr defaultColWidth="9" defaultRowHeight="15.75"/>
  <cols>
    <col min="1" max="1" width="6.25" style="529" customWidth="1"/>
    <col min="2" max="2" width="8" style="529" customWidth="1"/>
    <col min="3" max="3" width="6.375" style="529" customWidth="1"/>
    <col min="4" max="4" width="12.625" style="529" customWidth="1"/>
    <col min="5" max="5" width="12.625" style="530" customWidth="1"/>
    <col min="6" max="6" width="18.25" style="529" customWidth="1"/>
    <col min="7" max="7" width="10.125" style="530" customWidth="1"/>
    <col min="8" max="8" width="10.75" style="529" customWidth="1"/>
    <col min="9" max="9" width="11.75" style="530" customWidth="1"/>
    <col min="10" max="10" width="12.625" style="529" customWidth="1"/>
    <col min="11" max="11" width="12.875" style="529" customWidth="1"/>
    <col min="12" max="12" width="18.25" style="531" customWidth="1"/>
    <col min="13" max="13" width="12.625" style="529" customWidth="1"/>
    <col min="14" max="14" width="17.375" style="529" customWidth="1"/>
    <col min="15" max="15" width="7.875" style="529" customWidth="1"/>
    <col min="16" max="16" width="16.125" style="529" customWidth="1"/>
    <col min="17" max="17" width="10.125" style="532" customWidth="1"/>
    <col min="18" max="18" width="6.5" style="533" customWidth="1"/>
    <col min="19" max="249" width="5.625" style="529" customWidth="1"/>
    <col min="250" max="16384" width="9" style="534"/>
  </cols>
  <sheetData>
    <row r="1" spans="1:256" ht="24">
      <c r="A1" s="779" t="s">
        <v>498</v>
      </c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99"/>
    </row>
    <row r="2" spans="1:256" s="513" customFormat="1" ht="12.75">
      <c r="A2" s="700" t="str">
        <f>Sheet2!A2</f>
        <v>看就会立刻就会老客户考虑减</v>
      </c>
      <c r="B2" s="700"/>
      <c r="C2" s="700"/>
      <c r="D2" s="700"/>
      <c r="E2" s="700"/>
      <c r="F2" s="700"/>
      <c r="G2" s="253"/>
      <c r="H2" s="533"/>
      <c r="I2" s="253"/>
      <c r="J2" s="533"/>
      <c r="K2" s="533"/>
      <c r="L2" s="541"/>
      <c r="M2" s="533"/>
      <c r="N2" s="701" t="s">
        <v>32</v>
      </c>
      <c r="O2" s="701"/>
      <c r="P2" s="701"/>
      <c r="Q2" s="547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533"/>
      <c r="AP2" s="533"/>
      <c r="AQ2" s="533"/>
      <c r="AR2" s="533"/>
      <c r="AS2" s="533"/>
      <c r="AT2" s="533"/>
      <c r="AU2" s="533"/>
      <c r="AV2" s="533"/>
      <c r="AW2" s="533"/>
      <c r="AX2" s="533"/>
      <c r="AY2" s="533"/>
      <c r="AZ2" s="533"/>
      <c r="BA2" s="533"/>
      <c r="BB2" s="533"/>
      <c r="BC2" s="533"/>
      <c r="BD2" s="533"/>
      <c r="BE2" s="533"/>
      <c r="BF2" s="533"/>
      <c r="BG2" s="533"/>
      <c r="BH2" s="533"/>
      <c r="BI2" s="533"/>
      <c r="BJ2" s="533"/>
      <c r="BK2" s="533"/>
      <c r="BL2" s="533"/>
      <c r="BM2" s="533"/>
      <c r="BN2" s="533"/>
      <c r="BO2" s="533"/>
      <c r="BP2" s="533"/>
      <c r="BQ2" s="533"/>
      <c r="BR2" s="533"/>
      <c r="BS2" s="533"/>
      <c r="BT2" s="533"/>
      <c r="BU2" s="533"/>
      <c r="BV2" s="533"/>
      <c r="BW2" s="533"/>
      <c r="BX2" s="533"/>
      <c r="BY2" s="533"/>
      <c r="BZ2" s="533"/>
      <c r="CA2" s="533"/>
      <c r="CB2" s="533"/>
      <c r="CC2" s="533"/>
      <c r="CD2" s="533"/>
      <c r="CE2" s="533"/>
      <c r="CF2" s="533"/>
      <c r="CG2" s="533"/>
      <c r="CH2" s="533"/>
      <c r="CI2" s="533"/>
      <c r="CJ2" s="533"/>
      <c r="CK2" s="533"/>
      <c r="CL2" s="533"/>
      <c r="CM2" s="533"/>
      <c r="CN2" s="533"/>
      <c r="CO2" s="533"/>
      <c r="CP2" s="533"/>
      <c r="CQ2" s="533"/>
      <c r="CR2" s="533"/>
      <c r="CS2" s="533"/>
      <c r="CT2" s="533"/>
      <c r="CU2" s="533"/>
      <c r="CV2" s="533"/>
      <c r="CW2" s="533"/>
      <c r="CX2" s="533"/>
      <c r="CY2" s="533"/>
      <c r="CZ2" s="533"/>
      <c r="DA2" s="533"/>
      <c r="DB2" s="533"/>
      <c r="DC2" s="533"/>
      <c r="DD2" s="533"/>
      <c r="DE2" s="533"/>
      <c r="DF2" s="533"/>
      <c r="DG2" s="533"/>
      <c r="DH2" s="533"/>
      <c r="DI2" s="533"/>
      <c r="DJ2" s="533"/>
      <c r="DK2" s="533"/>
      <c r="DL2" s="533"/>
      <c r="DM2" s="533"/>
      <c r="DN2" s="533"/>
      <c r="DO2" s="533"/>
      <c r="DP2" s="533"/>
      <c r="DQ2" s="533"/>
      <c r="DR2" s="533"/>
      <c r="DS2" s="533"/>
      <c r="DT2" s="533"/>
      <c r="DU2" s="533"/>
      <c r="DV2" s="533"/>
      <c r="DW2" s="533"/>
      <c r="DX2" s="533"/>
      <c r="DY2" s="533"/>
      <c r="DZ2" s="533"/>
      <c r="EA2" s="533"/>
      <c r="EB2" s="533"/>
      <c r="EC2" s="533"/>
      <c r="ED2" s="533"/>
      <c r="EE2" s="533"/>
      <c r="EF2" s="533"/>
      <c r="EG2" s="533"/>
      <c r="EH2" s="533"/>
      <c r="EI2" s="533"/>
      <c r="EJ2" s="533"/>
      <c r="EK2" s="533"/>
      <c r="EL2" s="533"/>
      <c r="EM2" s="533"/>
      <c r="EN2" s="533"/>
      <c r="EO2" s="533"/>
      <c r="EP2" s="533"/>
      <c r="EQ2" s="533"/>
      <c r="ER2" s="533"/>
      <c r="ES2" s="533"/>
      <c r="ET2" s="533"/>
      <c r="EU2" s="533"/>
      <c r="EV2" s="533"/>
      <c r="EW2" s="533"/>
      <c r="EX2" s="533"/>
      <c r="EY2" s="533"/>
      <c r="EZ2" s="533"/>
      <c r="FA2" s="533"/>
      <c r="FB2" s="533"/>
      <c r="FC2" s="533"/>
      <c r="FD2" s="533"/>
      <c r="FE2" s="533"/>
      <c r="FF2" s="533"/>
      <c r="FG2" s="533"/>
      <c r="FH2" s="533"/>
      <c r="FI2" s="533"/>
      <c r="FJ2" s="533"/>
      <c r="FK2" s="533"/>
      <c r="FL2" s="533"/>
      <c r="FM2" s="533"/>
      <c r="FN2" s="533"/>
      <c r="FO2" s="533"/>
      <c r="FP2" s="533"/>
      <c r="FQ2" s="533"/>
      <c r="FR2" s="533"/>
      <c r="FS2" s="533"/>
      <c r="FT2" s="533"/>
      <c r="FU2" s="533"/>
      <c r="FV2" s="533"/>
      <c r="FW2" s="533"/>
      <c r="FX2" s="533"/>
      <c r="FY2" s="533"/>
      <c r="FZ2" s="533"/>
      <c r="GA2" s="533"/>
      <c r="GB2" s="533"/>
      <c r="GC2" s="533"/>
      <c r="GD2" s="533"/>
      <c r="GE2" s="533"/>
      <c r="GF2" s="533"/>
      <c r="GG2" s="533"/>
      <c r="GH2" s="533"/>
      <c r="GI2" s="533"/>
      <c r="GJ2" s="533"/>
      <c r="GK2" s="533"/>
      <c r="GL2" s="533"/>
      <c r="GM2" s="533"/>
      <c r="GN2" s="533"/>
      <c r="GO2" s="533"/>
      <c r="GP2" s="533"/>
      <c r="GQ2" s="533"/>
      <c r="GR2" s="533"/>
      <c r="GS2" s="533"/>
      <c r="GT2" s="533"/>
      <c r="GU2" s="533"/>
      <c r="GV2" s="533"/>
      <c r="GW2" s="533"/>
      <c r="GX2" s="533"/>
      <c r="GY2" s="533"/>
      <c r="GZ2" s="533"/>
      <c r="HA2" s="533"/>
      <c r="HB2" s="533"/>
      <c r="HC2" s="533"/>
      <c r="HD2" s="533"/>
      <c r="HE2" s="533"/>
      <c r="HF2" s="533"/>
      <c r="HG2" s="533"/>
      <c r="HH2" s="533"/>
      <c r="HI2" s="533"/>
      <c r="HJ2" s="533"/>
      <c r="HK2" s="533"/>
      <c r="HL2" s="533"/>
      <c r="HM2" s="533"/>
      <c r="HN2" s="533"/>
      <c r="HO2" s="533"/>
      <c r="HP2" s="533"/>
      <c r="HQ2" s="533"/>
      <c r="HR2" s="533"/>
      <c r="HS2" s="533"/>
      <c r="HT2" s="533"/>
      <c r="HU2" s="533"/>
      <c r="HV2" s="533"/>
      <c r="HW2" s="533"/>
      <c r="HX2" s="533"/>
      <c r="HY2" s="533"/>
      <c r="HZ2" s="533"/>
      <c r="IA2" s="533"/>
      <c r="IB2" s="533"/>
      <c r="IC2" s="533"/>
      <c r="ID2" s="533"/>
      <c r="IE2" s="533"/>
      <c r="IF2" s="533"/>
      <c r="IG2" s="533"/>
      <c r="IH2" s="533"/>
      <c r="II2" s="533"/>
      <c r="IJ2" s="533"/>
      <c r="IK2" s="533"/>
      <c r="IL2" s="533"/>
      <c r="IM2" s="533"/>
      <c r="IN2" s="533"/>
      <c r="IO2" s="533"/>
      <c r="IP2" s="347"/>
      <c r="IQ2" s="347"/>
      <c r="IR2" s="347"/>
      <c r="IS2" s="347"/>
      <c r="IT2" s="347"/>
      <c r="IU2" s="347"/>
      <c r="IV2" s="347"/>
    </row>
    <row r="3" spans="1:256" s="513" customFormat="1" ht="12.75">
      <c r="A3" s="695" t="s">
        <v>505</v>
      </c>
      <c r="B3" s="695" t="s">
        <v>500</v>
      </c>
      <c r="C3" s="702" t="s">
        <v>85</v>
      </c>
      <c r="D3" s="702"/>
      <c r="E3" s="702"/>
      <c r="F3" s="702"/>
      <c r="G3" s="702"/>
      <c r="H3" s="702"/>
      <c r="I3" s="702"/>
      <c r="J3" s="696" t="s">
        <v>497</v>
      </c>
      <c r="K3" s="696"/>
      <c r="L3" s="704" t="s">
        <v>499</v>
      </c>
      <c r="M3" s="703" t="s">
        <v>504</v>
      </c>
      <c r="N3" s="703"/>
      <c r="O3" s="703"/>
      <c r="P3" s="707" t="s">
        <v>502</v>
      </c>
      <c r="Q3" s="548"/>
      <c r="R3" s="549"/>
      <c r="S3" s="549"/>
      <c r="T3" s="549"/>
      <c r="U3" s="549"/>
      <c r="V3" s="549"/>
      <c r="W3" s="549"/>
      <c r="X3" s="549"/>
      <c r="Y3" s="549"/>
      <c r="Z3" s="549"/>
      <c r="AA3" s="549"/>
      <c r="AB3" s="549"/>
      <c r="AC3" s="549"/>
      <c r="AD3" s="549"/>
      <c r="AE3" s="549"/>
      <c r="AF3" s="549"/>
      <c r="AG3" s="549"/>
      <c r="AH3" s="549"/>
      <c r="AI3" s="549"/>
      <c r="AJ3" s="549"/>
      <c r="AK3" s="549"/>
      <c r="AL3" s="549"/>
      <c r="AM3" s="549"/>
      <c r="AN3" s="549"/>
      <c r="AO3" s="549"/>
      <c r="AP3" s="549"/>
      <c r="AQ3" s="549"/>
      <c r="AR3" s="549"/>
      <c r="AS3" s="549"/>
      <c r="AT3" s="549"/>
      <c r="AU3" s="549"/>
      <c r="AV3" s="549"/>
      <c r="AW3" s="549"/>
      <c r="AX3" s="549"/>
      <c r="AY3" s="549"/>
      <c r="AZ3" s="549"/>
      <c r="BA3" s="549"/>
      <c r="BB3" s="549"/>
      <c r="BC3" s="549"/>
      <c r="BD3" s="549"/>
      <c r="BE3" s="549"/>
      <c r="BF3" s="549"/>
      <c r="BG3" s="549"/>
      <c r="BH3" s="549"/>
      <c r="BI3" s="549"/>
      <c r="BJ3" s="549"/>
      <c r="BK3" s="549"/>
      <c r="BL3" s="549"/>
      <c r="BM3" s="549"/>
      <c r="BN3" s="549"/>
      <c r="BO3" s="549"/>
      <c r="BP3" s="549"/>
      <c r="BQ3" s="549"/>
      <c r="BR3" s="549"/>
      <c r="BS3" s="549"/>
      <c r="BT3" s="549"/>
      <c r="BU3" s="549"/>
      <c r="BV3" s="549"/>
      <c r="BW3" s="549"/>
      <c r="BX3" s="549"/>
      <c r="BY3" s="549"/>
      <c r="BZ3" s="549"/>
      <c r="CA3" s="549"/>
      <c r="CB3" s="549"/>
      <c r="CC3" s="549"/>
      <c r="CD3" s="549"/>
      <c r="CE3" s="549"/>
      <c r="CF3" s="549"/>
      <c r="CG3" s="549"/>
      <c r="CH3" s="549"/>
      <c r="CI3" s="549"/>
      <c r="CJ3" s="549"/>
      <c r="CK3" s="549"/>
      <c r="CL3" s="549"/>
      <c r="CM3" s="549"/>
      <c r="CN3" s="549"/>
      <c r="CO3" s="549"/>
      <c r="CP3" s="549"/>
      <c r="CQ3" s="549"/>
      <c r="CR3" s="549"/>
      <c r="CS3" s="549"/>
      <c r="CT3" s="549"/>
      <c r="CU3" s="549"/>
      <c r="CV3" s="549"/>
      <c r="CW3" s="549"/>
      <c r="CX3" s="549"/>
      <c r="CY3" s="549"/>
      <c r="CZ3" s="549"/>
      <c r="DA3" s="549"/>
      <c r="DB3" s="549"/>
      <c r="DC3" s="549"/>
      <c r="DD3" s="549"/>
      <c r="DE3" s="549"/>
      <c r="DF3" s="549"/>
      <c r="DG3" s="549"/>
      <c r="DH3" s="549"/>
      <c r="DI3" s="549"/>
      <c r="DJ3" s="549"/>
      <c r="DK3" s="549"/>
      <c r="DL3" s="549"/>
      <c r="DM3" s="549"/>
      <c r="DN3" s="549"/>
      <c r="DO3" s="549"/>
      <c r="DP3" s="549"/>
      <c r="DQ3" s="549"/>
      <c r="DR3" s="549"/>
      <c r="DS3" s="549"/>
      <c r="DT3" s="549"/>
      <c r="DU3" s="549"/>
      <c r="DV3" s="549"/>
      <c r="DW3" s="549"/>
      <c r="DX3" s="549"/>
      <c r="DY3" s="549"/>
      <c r="DZ3" s="549"/>
      <c r="EA3" s="549"/>
      <c r="EB3" s="549"/>
      <c r="EC3" s="549"/>
      <c r="ED3" s="549"/>
      <c r="EE3" s="549"/>
      <c r="EF3" s="549"/>
      <c r="EG3" s="549"/>
      <c r="EH3" s="549"/>
      <c r="EI3" s="549"/>
      <c r="EJ3" s="549"/>
      <c r="EK3" s="549"/>
      <c r="EL3" s="549"/>
      <c r="EM3" s="549"/>
      <c r="EN3" s="549"/>
      <c r="EO3" s="549"/>
      <c r="EP3" s="549"/>
      <c r="EQ3" s="549"/>
      <c r="ER3" s="549"/>
      <c r="ES3" s="549"/>
      <c r="ET3" s="549"/>
      <c r="EU3" s="549"/>
      <c r="EV3" s="549"/>
      <c r="EW3" s="549"/>
      <c r="EX3" s="549"/>
      <c r="EY3" s="549"/>
      <c r="EZ3" s="549"/>
      <c r="FA3" s="549"/>
      <c r="FB3" s="549"/>
      <c r="FC3" s="549"/>
      <c r="FD3" s="549"/>
      <c r="FE3" s="549"/>
      <c r="FF3" s="549"/>
      <c r="FG3" s="549"/>
      <c r="FH3" s="549"/>
      <c r="FI3" s="549"/>
      <c r="FJ3" s="549"/>
      <c r="FK3" s="549"/>
      <c r="FL3" s="549"/>
      <c r="FM3" s="549"/>
      <c r="FN3" s="549"/>
      <c r="FO3" s="549"/>
      <c r="FP3" s="549"/>
      <c r="FQ3" s="549"/>
      <c r="FR3" s="549"/>
      <c r="FS3" s="549"/>
      <c r="FT3" s="549"/>
      <c r="FU3" s="549"/>
      <c r="FV3" s="549"/>
      <c r="FW3" s="549"/>
      <c r="FX3" s="549"/>
      <c r="FY3" s="549"/>
      <c r="FZ3" s="549"/>
      <c r="GA3" s="549"/>
      <c r="GB3" s="549"/>
      <c r="GC3" s="549"/>
      <c r="GD3" s="549"/>
      <c r="GE3" s="549"/>
      <c r="GF3" s="549"/>
      <c r="GG3" s="549"/>
      <c r="GH3" s="549"/>
      <c r="GI3" s="549"/>
      <c r="GJ3" s="549"/>
      <c r="GK3" s="549"/>
      <c r="GL3" s="549"/>
      <c r="GM3" s="549"/>
      <c r="GN3" s="549"/>
      <c r="GO3" s="549"/>
      <c r="GP3" s="549"/>
      <c r="GQ3" s="549"/>
      <c r="GR3" s="549"/>
      <c r="GS3" s="549"/>
      <c r="GT3" s="549"/>
      <c r="GU3" s="549"/>
      <c r="GV3" s="549"/>
      <c r="GW3" s="549"/>
      <c r="GX3" s="549"/>
      <c r="GY3" s="549"/>
      <c r="GZ3" s="549"/>
      <c r="HA3" s="549"/>
      <c r="HB3" s="549"/>
      <c r="HC3" s="549"/>
      <c r="HD3" s="549"/>
      <c r="HE3" s="549"/>
      <c r="HF3" s="549"/>
      <c r="HG3" s="549"/>
      <c r="HH3" s="549"/>
      <c r="HI3" s="549"/>
      <c r="HJ3" s="549"/>
      <c r="HK3" s="549"/>
      <c r="HL3" s="549"/>
      <c r="HM3" s="549"/>
      <c r="HN3" s="549"/>
      <c r="HO3" s="549"/>
      <c r="HP3" s="549"/>
      <c r="HQ3" s="549"/>
      <c r="HR3" s="549"/>
      <c r="HS3" s="549"/>
      <c r="HT3" s="549"/>
      <c r="HU3" s="549"/>
      <c r="HV3" s="549"/>
      <c r="HW3" s="533"/>
      <c r="HX3" s="533"/>
      <c r="HY3" s="533"/>
      <c r="HZ3" s="533"/>
      <c r="IA3" s="533"/>
      <c r="IB3" s="533"/>
      <c r="IC3" s="533"/>
      <c r="ID3" s="533"/>
      <c r="IE3" s="533"/>
      <c r="IF3" s="533"/>
      <c r="IG3" s="533"/>
      <c r="IH3" s="533"/>
      <c r="II3" s="533"/>
      <c r="IJ3" s="533"/>
      <c r="IK3" s="533"/>
      <c r="IL3" s="533"/>
      <c r="IM3" s="533"/>
      <c r="IN3" s="533"/>
      <c r="IO3" s="533"/>
      <c r="IP3" s="347"/>
      <c r="IQ3" s="347"/>
      <c r="IR3" s="347"/>
      <c r="IS3" s="347"/>
      <c r="IT3" s="347"/>
      <c r="IU3" s="347"/>
      <c r="IV3" s="347"/>
    </row>
    <row r="4" spans="1:256" s="513" customFormat="1" ht="12.75">
      <c r="A4" s="695"/>
      <c r="B4" s="695"/>
      <c r="C4" s="697" t="s">
        <v>503</v>
      </c>
      <c r="D4" s="697"/>
      <c r="E4" s="695" t="s">
        <v>496</v>
      </c>
      <c r="F4" s="698" t="s">
        <v>495</v>
      </c>
      <c r="G4" s="694" t="s">
        <v>494</v>
      </c>
      <c r="H4" s="695" t="s">
        <v>507</v>
      </c>
      <c r="I4" s="695" t="s">
        <v>508</v>
      </c>
      <c r="J4" s="696" t="s">
        <v>494</v>
      </c>
      <c r="K4" s="696" t="s">
        <v>506</v>
      </c>
      <c r="L4" s="704"/>
      <c r="M4" s="696" t="s">
        <v>500</v>
      </c>
      <c r="N4" s="705" t="s">
        <v>501</v>
      </c>
      <c r="O4" s="706" t="s">
        <v>503</v>
      </c>
      <c r="P4" s="707"/>
      <c r="Q4" s="548"/>
      <c r="R4" s="549"/>
      <c r="S4" s="549"/>
      <c r="T4" s="549"/>
      <c r="U4" s="549"/>
      <c r="V4" s="549"/>
      <c r="W4" s="549"/>
      <c r="X4" s="549"/>
      <c r="Y4" s="549"/>
      <c r="Z4" s="549"/>
      <c r="AA4" s="549"/>
      <c r="AB4" s="549"/>
      <c r="AC4" s="549"/>
      <c r="AD4" s="549"/>
      <c r="AE4" s="549"/>
      <c r="AF4" s="549"/>
      <c r="AG4" s="549"/>
      <c r="AH4" s="549"/>
      <c r="AI4" s="549"/>
      <c r="AJ4" s="549"/>
      <c r="AK4" s="549"/>
      <c r="AL4" s="549"/>
      <c r="AM4" s="549"/>
      <c r="AN4" s="549"/>
      <c r="AO4" s="549"/>
      <c r="AP4" s="549"/>
      <c r="AQ4" s="549"/>
      <c r="AR4" s="549"/>
      <c r="AS4" s="549"/>
      <c r="AT4" s="549"/>
      <c r="AU4" s="549"/>
      <c r="AV4" s="549"/>
      <c r="AW4" s="549"/>
      <c r="AX4" s="549"/>
      <c r="AY4" s="549"/>
      <c r="AZ4" s="549"/>
      <c r="BA4" s="549"/>
      <c r="BB4" s="549"/>
      <c r="BC4" s="549"/>
      <c r="BD4" s="549"/>
      <c r="BE4" s="549"/>
      <c r="BF4" s="549"/>
      <c r="BG4" s="549"/>
      <c r="BH4" s="549"/>
      <c r="BI4" s="549"/>
      <c r="BJ4" s="549"/>
      <c r="BK4" s="549"/>
      <c r="BL4" s="549"/>
      <c r="BM4" s="549"/>
      <c r="BN4" s="549"/>
      <c r="BO4" s="549"/>
      <c r="BP4" s="549"/>
      <c r="BQ4" s="549"/>
      <c r="BR4" s="549"/>
      <c r="BS4" s="549"/>
      <c r="BT4" s="549"/>
      <c r="BU4" s="549"/>
      <c r="BV4" s="549"/>
      <c r="BW4" s="549"/>
      <c r="BX4" s="549"/>
      <c r="BY4" s="549"/>
      <c r="BZ4" s="549"/>
      <c r="CA4" s="549"/>
      <c r="CB4" s="549"/>
      <c r="CC4" s="549"/>
      <c r="CD4" s="549"/>
      <c r="CE4" s="549"/>
      <c r="CF4" s="549"/>
      <c r="CG4" s="549"/>
      <c r="CH4" s="549"/>
      <c r="CI4" s="549"/>
      <c r="CJ4" s="549"/>
      <c r="CK4" s="549"/>
      <c r="CL4" s="549"/>
      <c r="CM4" s="549"/>
      <c r="CN4" s="549"/>
      <c r="CO4" s="549"/>
      <c r="CP4" s="549"/>
      <c r="CQ4" s="549"/>
      <c r="CR4" s="549"/>
      <c r="CS4" s="549"/>
      <c r="CT4" s="549"/>
      <c r="CU4" s="549"/>
      <c r="CV4" s="549"/>
      <c r="CW4" s="549"/>
      <c r="CX4" s="549"/>
      <c r="CY4" s="549"/>
      <c r="CZ4" s="549"/>
      <c r="DA4" s="549"/>
      <c r="DB4" s="549"/>
      <c r="DC4" s="549"/>
      <c r="DD4" s="549"/>
      <c r="DE4" s="549"/>
      <c r="DF4" s="549"/>
      <c r="DG4" s="549"/>
      <c r="DH4" s="549"/>
      <c r="DI4" s="549"/>
      <c r="DJ4" s="549"/>
      <c r="DK4" s="549"/>
      <c r="DL4" s="549"/>
      <c r="DM4" s="549"/>
      <c r="DN4" s="549"/>
      <c r="DO4" s="549"/>
      <c r="DP4" s="549"/>
      <c r="DQ4" s="549"/>
      <c r="DR4" s="549"/>
      <c r="DS4" s="549"/>
      <c r="DT4" s="549"/>
      <c r="DU4" s="549"/>
      <c r="DV4" s="549"/>
      <c r="DW4" s="549"/>
      <c r="DX4" s="549"/>
      <c r="DY4" s="549"/>
      <c r="DZ4" s="549"/>
      <c r="EA4" s="549"/>
      <c r="EB4" s="549"/>
      <c r="EC4" s="549"/>
      <c r="ED4" s="549"/>
      <c r="EE4" s="549"/>
      <c r="EF4" s="549"/>
      <c r="EG4" s="549"/>
      <c r="EH4" s="549"/>
      <c r="EI4" s="549"/>
      <c r="EJ4" s="549"/>
      <c r="EK4" s="549"/>
      <c r="EL4" s="549"/>
      <c r="EM4" s="549"/>
      <c r="EN4" s="549"/>
      <c r="EO4" s="549"/>
      <c r="EP4" s="549"/>
      <c r="EQ4" s="549"/>
      <c r="ER4" s="549"/>
      <c r="ES4" s="549"/>
      <c r="ET4" s="549"/>
      <c r="EU4" s="549"/>
      <c r="EV4" s="549"/>
      <c r="EW4" s="549"/>
      <c r="EX4" s="549"/>
      <c r="EY4" s="549"/>
      <c r="EZ4" s="549"/>
      <c r="FA4" s="549"/>
      <c r="FB4" s="549"/>
      <c r="FC4" s="549"/>
      <c r="FD4" s="549"/>
      <c r="FE4" s="549"/>
      <c r="FF4" s="549"/>
      <c r="FG4" s="549"/>
      <c r="FH4" s="549"/>
      <c r="FI4" s="549"/>
      <c r="FJ4" s="549"/>
      <c r="FK4" s="549"/>
      <c r="FL4" s="549"/>
      <c r="FM4" s="549"/>
      <c r="FN4" s="549"/>
      <c r="FO4" s="549"/>
      <c r="FP4" s="549"/>
      <c r="FQ4" s="549"/>
      <c r="FR4" s="549"/>
      <c r="FS4" s="549"/>
      <c r="FT4" s="549"/>
      <c r="FU4" s="549"/>
      <c r="FV4" s="549"/>
      <c r="FW4" s="549"/>
      <c r="FX4" s="549"/>
      <c r="FY4" s="549"/>
      <c r="FZ4" s="549"/>
      <c r="GA4" s="549"/>
      <c r="GB4" s="549"/>
      <c r="GC4" s="549"/>
      <c r="GD4" s="549"/>
      <c r="GE4" s="549"/>
      <c r="GF4" s="549"/>
      <c r="GG4" s="549"/>
      <c r="GH4" s="549"/>
      <c r="GI4" s="549"/>
      <c r="GJ4" s="549"/>
      <c r="GK4" s="549"/>
      <c r="GL4" s="549"/>
      <c r="GM4" s="549"/>
      <c r="GN4" s="549"/>
      <c r="GO4" s="549"/>
      <c r="GP4" s="549"/>
      <c r="GQ4" s="549"/>
      <c r="GR4" s="549"/>
      <c r="GS4" s="549"/>
      <c r="GT4" s="549"/>
      <c r="GU4" s="549"/>
      <c r="GV4" s="549"/>
      <c r="GW4" s="549"/>
      <c r="GX4" s="549"/>
      <c r="GY4" s="549"/>
      <c r="GZ4" s="549"/>
      <c r="HA4" s="549"/>
      <c r="HB4" s="549"/>
      <c r="HC4" s="549"/>
      <c r="HD4" s="549"/>
      <c r="HE4" s="549"/>
      <c r="HF4" s="549"/>
      <c r="HG4" s="549"/>
      <c r="HH4" s="549"/>
      <c r="HI4" s="549"/>
      <c r="HJ4" s="549"/>
      <c r="HK4" s="549"/>
      <c r="HL4" s="549"/>
      <c r="HM4" s="549"/>
      <c r="HN4" s="549"/>
      <c r="HO4" s="549"/>
      <c r="HP4" s="549"/>
      <c r="HQ4" s="549"/>
      <c r="HR4" s="549"/>
      <c r="HS4" s="549"/>
      <c r="HT4" s="549"/>
      <c r="HU4" s="549"/>
      <c r="HV4" s="549"/>
      <c r="HW4" s="533"/>
      <c r="HX4" s="533"/>
      <c r="HY4" s="533"/>
      <c r="HZ4" s="533"/>
      <c r="IA4" s="533"/>
      <c r="IB4" s="533"/>
      <c r="IC4" s="533"/>
      <c r="ID4" s="533"/>
      <c r="IE4" s="533"/>
      <c r="IF4" s="533"/>
      <c r="IG4" s="533"/>
      <c r="IH4" s="533"/>
      <c r="II4" s="533"/>
      <c r="IJ4" s="533"/>
      <c r="IK4" s="533"/>
      <c r="IL4" s="533"/>
      <c r="IM4" s="533"/>
      <c r="IN4" s="533"/>
      <c r="IO4" s="533"/>
      <c r="IP4" s="347"/>
      <c r="IQ4" s="347"/>
      <c r="IR4" s="347"/>
      <c r="IS4" s="347"/>
      <c r="IT4" s="347"/>
      <c r="IU4" s="347"/>
      <c r="IV4" s="347"/>
    </row>
    <row r="5" spans="1:256" s="513" customFormat="1" ht="24">
      <c r="A5" s="695"/>
      <c r="B5" s="695"/>
      <c r="C5" s="536" t="s">
        <v>505</v>
      </c>
      <c r="D5" s="536" t="s">
        <v>502</v>
      </c>
      <c r="E5" s="695"/>
      <c r="F5" s="698"/>
      <c r="G5" s="694"/>
      <c r="H5" s="695"/>
      <c r="I5" s="695"/>
      <c r="J5" s="696"/>
      <c r="K5" s="696"/>
      <c r="L5" s="704"/>
      <c r="M5" s="696"/>
      <c r="N5" s="705"/>
      <c r="O5" s="706"/>
      <c r="P5" s="707"/>
      <c r="Q5" s="548"/>
      <c r="R5" s="549"/>
      <c r="S5" s="549"/>
      <c r="T5" s="549"/>
      <c r="U5" s="549"/>
      <c r="V5" s="549"/>
      <c r="W5" s="549"/>
      <c r="X5" s="549"/>
      <c r="Y5" s="549"/>
      <c r="Z5" s="549"/>
      <c r="AA5" s="549"/>
      <c r="AB5" s="549"/>
      <c r="AC5" s="549"/>
      <c r="AD5" s="549"/>
      <c r="AE5" s="549"/>
      <c r="AF5" s="549"/>
      <c r="AG5" s="549"/>
      <c r="AH5" s="549"/>
      <c r="AI5" s="549"/>
      <c r="AJ5" s="549"/>
      <c r="AK5" s="549"/>
      <c r="AL5" s="549"/>
      <c r="AM5" s="549"/>
      <c r="AN5" s="549"/>
      <c r="AO5" s="549"/>
      <c r="AP5" s="549"/>
      <c r="AQ5" s="549"/>
      <c r="AR5" s="549"/>
      <c r="AS5" s="549"/>
      <c r="AT5" s="549"/>
      <c r="AU5" s="549"/>
      <c r="AV5" s="549"/>
      <c r="AW5" s="549"/>
      <c r="AX5" s="549"/>
      <c r="AY5" s="549"/>
      <c r="AZ5" s="549"/>
      <c r="BA5" s="549"/>
      <c r="BB5" s="549"/>
      <c r="BC5" s="549"/>
      <c r="BD5" s="549"/>
      <c r="BE5" s="549"/>
      <c r="BF5" s="549"/>
      <c r="BG5" s="549"/>
      <c r="BH5" s="549"/>
      <c r="BI5" s="549"/>
      <c r="BJ5" s="549"/>
      <c r="BK5" s="549"/>
      <c r="BL5" s="549"/>
      <c r="BM5" s="549"/>
      <c r="BN5" s="549"/>
      <c r="BO5" s="549"/>
      <c r="BP5" s="549"/>
      <c r="BQ5" s="549"/>
      <c r="BR5" s="549"/>
      <c r="BS5" s="549"/>
      <c r="BT5" s="549"/>
      <c r="BU5" s="549"/>
      <c r="BV5" s="549"/>
      <c r="BW5" s="549"/>
      <c r="BX5" s="549"/>
      <c r="BY5" s="549"/>
      <c r="BZ5" s="549"/>
      <c r="CA5" s="549"/>
      <c r="CB5" s="549"/>
      <c r="CC5" s="549"/>
      <c r="CD5" s="549"/>
      <c r="CE5" s="549"/>
      <c r="CF5" s="549"/>
      <c r="CG5" s="549"/>
      <c r="CH5" s="549"/>
      <c r="CI5" s="549"/>
      <c r="CJ5" s="549"/>
      <c r="CK5" s="549"/>
      <c r="CL5" s="549"/>
      <c r="CM5" s="549"/>
      <c r="CN5" s="549"/>
      <c r="CO5" s="549"/>
      <c r="CP5" s="549"/>
      <c r="CQ5" s="549"/>
      <c r="CR5" s="549"/>
      <c r="CS5" s="549"/>
      <c r="CT5" s="549"/>
      <c r="CU5" s="549"/>
      <c r="CV5" s="549"/>
      <c r="CW5" s="549"/>
      <c r="CX5" s="549"/>
      <c r="CY5" s="549"/>
      <c r="CZ5" s="549"/>
      <c r="DA5" s="549"/>
      <c r="DB5" s="549"/>
      <c r="DC5" s="549"/>
      <c r="DD5" s="549"/>
      <c r="DE5" s="549"/>
      <c r="DF5" s="549"/>
      <c r="DG5" s="549"/>
      <c r="DH5" s="549"/>
      <c r="DI5" s="549"/>
      <c r="DJ5" s="549"/>
      <c r="DK5" s="549"/>
      <c r="DL5" s="549"/>
      <c r="DM5" s="549"/>
      <c r="DN5" s="549"/>
      <c r="DO5" s="549"/>
      <c r="DP5" s="549"/>
      <c r="DQ5" s="549"/>
      <c r="DR5" s="549"/>
      <c r="DS5" s="549"/>
      <c r="DT5" s="549"/>
      <c r="DU5" s="549"/>
      <c r="DV5" s="549"/>
      <c r="DW5" s="549"/>
      <c r="DX5" s="549"/>
      <c r="DY5" s="549"/>
      <c r="DZ5" s="549"/>
      <c r="EA5" s="549"/>
      <c r="EB5" s="549"/>
      <c r="EC5" s="549"/>
      <c r="ED5" s="549"/>
      <c r="EE5" s="549"/>
      <c r="EF5" s="549"/>
      <c r="EG5" s="549"/>
      <c r="EH5" s="549"/>
      <c r="EI5" s="549"/>
      <c r="EJ5" s="549"/>
      <c r="EK5" s="549"/>
      <c r="EL5" s="549"/>
      <c r="EM5" s="549"/>
      <c r="EN5" s="549"/>
      <c r="EO5" s="549"/>
      <c r="EP5" s="549"/>
      <c r="EQ5" s="549"/>
      <c r="ER5" s="549"/>
      <c r="ES5" s="549"/>
      <c r="ET5" s="549"/>
      <c r="EU5" s="549"/>
      <c r="EV5" s="549"/>
      <c r="EW5" s="549"/>
      <c r="EX5" s="549"/>
      <c r="EY5" s="549"/>
      <c r="EZ5" s="549"/>
      <c r="FA5" s="549"/>
      <c r="FB5" s="549"/>
      <c r="FC5" s="549"/>
      <c r="FD5" s="549"/>
      <c r="FE5" s="549"/>
      <c r="FF5" s="549"/>
      <c r="FG5" s="549"/>
      <c r="FH5" s="549"/>
      <c r="FI5" s="549"/>
      <c r="FJ5" s="549"/>
      <c r="FK5" s="549"/>
      <c r="FL5" s="549"/>
      <c r="FM5" s="549"/>
      <c r="FN5" s="549"/>
      <c r="FO5" s="549"/>
      <c r="FP5" s="549"/>
      <c r="FQ5" s="549"/>
      <c r="FR5" s="549"/>
      <c r="FS5" s="549"/>
      <c r="FT5" s="549"/>
      <c r="FU5" s="549"/>
      <c r="FV5" s="549"/>
      <c r="FW5" s="549"/>
      <c r="FX5" s="549"/>
      <c r="FY5" s="549"/>
      <c r="FZ5" s="549"/>
      <c r="GA5" s="549"/>
      <c r="GB5" s="549"/>
      <c r="GC5" s="549"/>
      <c r="GD5" s="549"/>
      <c r="GE5" s="549"/>
      <c r="GF5" s="549"/>
      <c r="GG5" s="549"/>
      <c r="GH5" s="549"/>
      <c r="GI5" s="549"/>
      <c r="GJ5" s="549"/>
      <c r="GK5" s="549"/>
      <c r="GL5" s="549"/>
      <c r="GM5" s="549"/>
      <c r="GN5" s="549"/>
      <c r="GO5" s="549"/>
      <c r="GP5" s="549"/>
      <c r="GQ5" s="549"/>
      <c r="GR5" s="549"/>
      <c r="GS5" s="549"/>
      <c r="GT5" s="549"/>
      <c r="GU5" s="549"/>
      <c r="GV5" s="549"/>
      <c r="GW5" s="549"/>
      <c r="GX5" s="549"/>
      <c r="GY5" s="549"/>
      <c r="GZ5" s="549"/>
      <c r="HA5" s="549"/>
      <c r="HB5" s="549"/>
      <c r="HC5" s="549"/>
      <c r="HD5" s="549"/>
      <c r="HE5" s="549"/>
      <c r="HF5" s="549"/>
      <c r="HG5" s="549"/>
      <c r="HH5" s="549"/>
      <c r="HI5" s="549"/>
      <c r="HJ5" s="549"/>
      <c r="HK5" s="549"/>
      <c r="HL5" s="549"/>
      <c r="HM5" s="549"/>
      <c r="HN5" s="549"/>
      <c r="HO5" s="549"/>
      <c r="HP5" s="549"/>
      <c r="HQ5" s="549"/>
      <c r="HR5" s="549"/>
      <c r="HS5" s="549"/>
      <c r="HT5" s="549"/>
      <c r="HU5" s="549"/>
      <c r="HV5" s="549"/>
      <c r="HW5" s="533"/>
      <c r="HX5" s="533"/>
      <c r="HY5" s="533"/>
      <c r="HZ5" s="533"/>
      <c r="IA5" s="533"/>
      <c r="IB5" s="533"/>
      <c r="IC5" s="533"/>
      <c r="ID5" s="533"/>
      <c r="IE5" s="533"/>
      <c r="IF5" s="533"/>
      <c r="IG5" s="533"/>
      <c r="IH5" s="533"/>
      <c r="II5" s="533"/>
      <c r="IJ5" s="533"/>
      <c r="IK5" s="533"/>
      <c r="IL5" s="533"/>
      <c r="IM5" s="533"/>
      <c r="IN5" s="533"/>
      <c r="IO5" s="533"/>
      <c r="IP5" s="347"/>
      <c r="IQ5" s="347"/>
      <c r="IR5" s="347"/>
      <c r="IS5" s="347"/>
      <c r="IT5" s="347"/>
      <c r="IU5" s="347"/>
      <c r="IV5" s="347"/>
    </row>
    <row r="6" spans="1:256" s="513" customFormat="1" ht="12.75">
      <c r="A6" s="535">
        <v>1</v>
      </c>
      <c r="B6" s="535">
        <v>2</v>
      </c>
      <c r="C6" s="535">
        <v>3</v>
      </c>
      <c r="D6" s="535">
        <v>4</v>
      </c>
      <c r="E6" s="535">
        <v>5</v>
      </c>
      <c r="F6" s="535">
        <v>6</v>
      </c>
      <c r="G6" s="537" t="s">
        <v>86</v>
      </c>
      <c r="H6" s="535" t="s">
        <v>87</v>
      </c>
      <c r="I6" s="535">
        <v>9</v>
      </c>
      <c r="J6" s="535">
        <v>10</v>
      </c>
      <c r="K6" s="535">
        <v>11</v>
      </c>
      <c r="L6" s="535">
        <v>12</v>
      </c>
      <c r="M6" s="535" t="s">
        <v>88</v>
      </c>
      <c r="N6" s="535">
        <v>16</v>
      </c>
      <c r="O6" s="535">
        <v>17</v>
      </c>
      <c r="P6" s="535" t="s">
        <v>89</v>
      </c>
      <c r="Q6" s="548"/>
      <c r="R6" s="549"/>
      <c r="S6" s="549"/>
      <c r="T6" s="549"/>
      <c r="U6" s="549"/>
      <c r="V6" s="549"/>
      <c r="W6" s="549"/>
      <c r="X6" s="549"/>
      <c r="Y6" s="549"/>
      <c r="Z6" s="549"/>
      <c r="AA6" s="549"/>
      <c r="AB6" s="549"/>
      <c r="AC6" s="549"/>
      <c r="AD6" s="549"/>
      <c r="AE6" s="549"/>
      <c r="AF6" s="549"/>
      <c r="AG6" s="549"/>
      <c r="AH6" s="549"/>
      <c r="AI6" s="549"/>
      <c r="AJ6" s="549"/>
      <c r="AK6" s="549"/>
      <c r="AL6" s="549"/>
      <c r="AM6" s="549"/>
      <c r="AN6" s="549"/>
      <c r="AO6" s="549"/>
      <c r="AP6" s="549"/>
      <c r="AQ6" s="549"/>
      <c r="AR6" s="549"/>
      <c r="AS6" s="549"/>
      <c r="AT6" s="549"/>
      <c r="AU6" s="549"/>
      <c r="AV6" s="549"/>
      <c r="AW6" s="549"/>
      <c r="AX6" s="549"/>
      <c r="AY6" s="549"/>
      <c r="AZ6" s="549"/>
      <c r="BA6" s="549"/>
      <c r="BB6" s="549"/>
      <c r="BC6" s="549"/>
      <c r="BD6" s="549"/>
      <c r="BE6" s="549"/>
      <c r="BF6" s="549"/>
      <c r="BG6" s="549"/>
      <c r="BH6" s="549"/>
      <c r="BI6" s="549"/>
      <c r="BJ6" s="549"/>
      <c r="BK6" s="549"/>
      <c r="BL6" s="549"/>
      <c r="BM6" s="549"/>
      <c r="BN6" s="549"/>
      <c r="BO6" s="549"/>
      <c r="BP6" s="549"/>
      <c r="BQ6" s="549"/>
      <c r="BR6" s="549"/>
      <c r="BS6" s="549"/>
      <c r="BT6" s="549"/>
      <c r="BU6" s="549"/>
      <c r="BV6" s="549"/>
      <c r="BW6" s="549"/>
      <c r="BX6" s="549"/>
      <c r="BY6" s="549"/>
      <c r="BZ6" s="549"/>
      <c r="CA6" s="549"/>
      <c r="CB6" s="549"/>
      <c r="CC6" s="549"/>
      <c r="CD6" s="549"/>
      <c r="CE6" s="549"/>
      <c r="CF6" s="549"/>
      <c r="CG6" s="549"/>
      <c r="CH6" s="549"/>
      <c r="CI6" s="549"/>
      <c r="CJ6" s="549"/>
      <c r="CK6" s="549"/>
      <c r="CL6" s="549"/>
      <c r="CM6" s="549"/>
      <c r="CN6" s="549"/>
      <c r="CO6" s="549"/>
      <c r="CP6" s="549"/>
      <c r="CQ6" s="549"/>
      <c r="CR6" s="549"/>
      <c r="CS6" s="549"/>
      <c r="CT6" s="549"/>
      <c r="CU6" s="549"/>
      <c r="CV6" s="549"/>
      <c r="CW6" s="549"/>
      <c r="CX6" s="549"/>
      <c r="CY6" s="549"/>
      <c r="CZ6" s="549"/>
      <c r="DA6" s="549"/>
      <c r="DB6" s="549"/>
      <c r="DC6" s="549"/>
      <c r="DD6" s="549"/>
      <c r="DE6" s="549"/>
      <c r="DF6" s="549"/>
      <c r="DG6" s="549"/>
      <c r="DH6" s="549"/>
      <c r="DI6" s="549"/>
      <c r="DJ6" s="549"/>
      <c r="DK6" s="549"/>
      <c r="DL6" s="549"/>
      <c r="DM6" s="549"/>
      <c r="DN6" s="549"/>
      <c r="DO6" s="549"/>
      <c r="DP6" s="549"/>
      <c r="DQ6" s="549"/>
      <c r="DR6" s="549"/>
      <c r="DS6" s="549"/>
      <c r="DT6" s="549"/>
      <c r="DU6" s="549"/>
      <c r="DV6" s="549"/>
      <c r="DW6" s="549"/>
      <c r="DX6" s="549"/>
      <c r="DY6" s="549"/>
      <c r="DZ6" s="549"/>
      <c r="EA6" s="549"/>
      <c r="EB6" s="549"/>
      <c r="EC6" s="549"/>
      <c r="ED6" s="549"/>
      <c r="EE6" s="549"/>
      <c r="EF6" s="549"/>
      <c r="EG6" s="549"/>
      <c r="EH6" s="549"/>
      <c r="EI6" s="549"/>
      <c r="EJ6" s="549"/>
      <c r="EK6" s="549"/>
      <c r="EL6" s="549"/>
      <c r="EM6" s="549"/>
      <c r="EN6" s="549"/>
      <c r="EO6" s="549"/>
      <c r="EP6" s="549"/>
      <c r="EQ6" s="549"/>
      <c r="ER6" s="549"/>
      <c r="ES6" s="549"/>
      <c r="ET6" s="549"/>
      <c r="EU6" s="549"/>
      <c r="EV6" s="549"/>
      <c r="EW6" s="549"/>
      <c r="EX6" s="549"/>
      <c r="EY6" s="549"/>
      <c r="EZ6" s="549"/>
      <c r="FA6" s="549"/>
      <c r="FB6" s="549"/>
      <c r="FC6" s="549"/>
      <c r="FD6" s="549"/>
      <c r="FE6" s="549"/>
      <c r="FF6" s="549"/>
      <c r="FG6" s="549"/>
      <c r="FH6" s="549"/>
      <c r="FI6" s="549"/>
      <c r="FJ6" s="549"/>
      <c r="FK6" s="549"/>
      <c r="FL6" s="549"/>
      <c r="FM6" s="549"/>
      <c r="FN6" s="549"/>
      <c r="FO6" s="549"/>
      <c r="FP6" s="549"/>
      <c r="FQ6" s="549"/>
      <c r="FR6" s="549"/>
      <c r="FS6" s="549"/>
      <c r="FT6" s="549"/>
      <c r="FU6" s="549"/>
      <c r="FV6" s="549"/>
      <c r="FW6" s="549"/>
      <c r="FX6" s="549"/>
      <c r="FY6" s="549"/>
      <c r="FZ6" s="549"/>
      <c r="GA6" s="549"/>
      <c r="GB6" s="549"/>
      <c r="GC6" s="549"/>
      <c r="GD6" s="549"/>
      <c r="GE6" s="549"/>
      <c r="GF6" s="549"/>
      <c r="GG6" s="549"/>
      <c r="GH6" s="549"/>
      <c r="GI6" s="549"/>
      <c r="GJ6" s="549"/>
      <c r="GK6" s="549"/>
      <c r="GL6" s="549"/>
      <c r="GM6" s="549"/>
      <c r="GN6" s="549"/>
      <c r="GO6" s="549"/>
      <c r="GP6" s="549"/>
      <c r="GQ6" s="549"/>
      <c r="GR6" s="549"/>
      <c r="GS6" s="549"/>
      <c r="GT6" s="549"/>
      <c r="GU6" s="549"/>
      <c r="GV6" s="549"/>
      <c r="GW6" s="549"/>
      <c r="GX6" s="549"/>
      <c r="GY6" s="549"/>
      <c r="GZ6" s="549"/>
      <c r="HA6" s="549"/>
      <c r="HB6" s="549"/>
      <c r="HC6" s="549"/>
      <c r="HD6" s="549"/>
      <c r="HE6" s="549"/>
      <c r="HF6" s="549"/>
      <c r="HG6" s="549"/>
      <c r="HH6" s="549"/>
      <c r="HI6" s="549"/>
      <c r="HJ6" s="549"/>
      <c r="HK6" s="549"/>
      <c r="HL6" s="549"/>
      <c r="HM6" s="549"/>
      <c r="HN6" s="549"/>
      <c r="HO6" s="549"/>
      <c r="HP6" s="549"/>
      <c r="HQ6" s="549"/>
      <c r="HR6" s="549"/>
      <c r="HS6" s="549"/>
      <c r="HT6" s="549"/>
      <c r="HU6" s="549"/>
      <c r="HV6" s="549"/>
      <c r="HW6" s="533"/>
      <c r="HX6" s="533"/>
      <c r="HY6" s="533"/>
      <c r="HZ6" s="533"/>
      <c r="IA6" s="533"/>
      <c r="IB6" s="533"/>
      <c r="IC6" s="533"/>
      <c r="ID6" s="533"/>
      <c r="IE6" s="533"/>
      <c r="IF6" s="533"/>
      <c r="IG6" s="533"/>
      <c r="IH6" s="533"/>
      <c r="II6" s="533"/>
      <c r="IJ6" s="533"/>
      <c r="IK6" s="533"/>
      <c r="IL6" s="533"/>
      <c r="IM6" s="533"/>
      <c r="IN6" s="533"/>
      <c r="IO6" s="533"/>
      <c r="IP6" s="347"/>
      <c r="IQ6" s="347"/>
      <c r="IR6" s="347"/>
      <c r="IS6" s="347"/>
      <c r="IT6" s="347"/>
      <c r="IU6" s="347"/>
      <c r="IV6" s="347"/>
    </row>
    <row r="7" spans="1:256" s="527" customFormat="1" ht="12.75">
      <c r="A7" s="538"/>
      <c r="B7" s="538" t="s">
        <v>35</v>
      </c>
      <c r="C7" s="539">
        <f>SUM(C8:C405)</f>
        <v>0</v>
      </c>
      <c r="D7" s="539">
        <f>SUM(D8:D405)</f>
        <v>32524.059999999932</v>
      </c>
      <c r="E7" s="539">
        <f>SUM(E8:E405)</f>
        <v>0</v>
      </c>
      <c r="F7" s="539">
        <f>SUM(F8:F405)</f>
        <v>164296709.92999995</v>
      </c>
      <c r="G7" s="539"/>
      <c r="H7" s="539">
        <f>AVERAGE(H8:H405)</f>
        <v>5062.2515850079917</v>
      </c>
      <c r="I7" s="539"/>
      <c r="J7" s="539">
        <f>SUM(J8:J405)</f>
        <v>27484.299999999785</v>
      </c>
      <c r="K7" s="539">
        <f t="shared" ref="K7:P7" si="0">SUM(K8:K405)</f>
        <v>32644.519999999862</v>
      </c>
      <c r="L7" s="539">
        <f t="shared" si="0"/>
        <v>161792141.59999996</v>
      </c>
      <c r="M7" s="539">
        <f t="shared" si="0"/>
        <v>32644.519999999862</v>
      </c>
      <c r="N7" s="539">
        <f t="shared" si="0"/>
        <v>164296709.92999995</v>
      </c>
      <c r="O7" s="539">
        <f t="shared" si="0"/>
        <v>0</v>
      </c>
      <c r="P7" s="539">
        <f t="shared" si="0"/>
        <v>0</v>
      </c>
      <c r="Q7" s="548"/>
      <c r="R7" s="550"/>
      <c r="S7" s="550"/>
      <c r="T7" s="550"/>
      <c r="U7" s="550"/>
      <c r="V7" s="550"/>
      <c r="W7" s="550"/>
      <c r="X7" s="550"/>
      <c r="Y7" s="550"/>
      <c r="Z7" s="550"/>
      <c r="AA7" s="550"/>
      <c r="AB7" s="550"/>
      <c r="AC7" s="550"/>
      <c r="AD7" s="550"/>
      <c r="AE7" s="550"/>
      <c r="AF7" s="550"/>
      <c r="AG7" s="550"/>
      <c r="AH7" s="550"/>
      <c r="AI7" s="550"/>
      <c r="AJ7" s="550"/>
      <c r="AK7" s="550"/>
      <c r="AL7" s="550"/>
      <c r="AM7" s="550"/>
      <c r="AN7" s="550"/>
      <c r="AO7" s="550"/>
      <c r="AP7" s="550"/>
      <c r="AQ7" s="550"/>
      <c r="AR7" s="550"/>
      <c r="AS7" s="550"/>
      <c r="AT7" s="550"/>
      <c r="AU7" s="550"/>
      <c r="AV7" s="550"/>
      <c r="AW7" s="550"/>
      <c r="AX7" s="550"/>
      <c r="AY7" s="550"/>
      <c r="AZ7" s="550"/>
      <c r="BA7" s="550"/>
      <c r="BB7" s="550"/>
      <c r="BC7" s="550"/>
      <c r="BD7" s="550"/>
      <c r="BE7" s="550"/>
      <c r="BF7" s="550"/>
      <c r="BG7" s="550"/>
      <c r="BH7" s="550"/>
      <c r="BI7" s="550"/>
      <c r="BJ7" s="550"/>
      <c r="BK7" s="550"/>
      <c r="BL7" s="550"/>
      <c r="BM7" s="550"/>
      <c r="BN7" s="550"/>
      <c r="BO7" s="550"/>
      <c r="BP7" s="550"/>
      <c r="BQ7" s="550"/>
      <c r="BR7" s="550"/>
      <c r="BS7" s="550"/>
      <c r="BT7" s="550"/>
      <c r="BU7" s="550"/>
      <c r="BV7" s="550"/>
      <c r="BW7" s="550"/>
      <c r="BX7" s="550"/>
      <c r="BY7" s="550"/>
      <c r="BZ7" s="550"/>
      <c r="CA7" s="550"/>
      <c r="CB7" s="550"/>
      <c r="CC7" s="550"/>
      <c r="CD7" s="550"/>
      <c r="CE7" s="550"/>
      <c r="CF7" s="550"/>
      <c r="CG7" s="550"/>
      <c r="CH7" s="550"/>
      <c r="CI7" s="550"/>
      <c r="CJ7" s="550"/>
      <c r="CK7" s="550"/>
      <c r="CL7" s="550"/>
      <c r="CM7" s="550"/>
      <c r="CN7" s="550"/>
      <c r="CO7" s="550"/>
      <c r="CP7" s="550"/>
      <c r="CQ7" s="550"/>
      <c r="CR7" s="550"/>
      <c r="CS7" s="550"/>
      <c r="CT7" s="550"/>
      <c r="CU7" s="550"/>
      <c r="CV7" s="550"/>
      <c r="CW7" s="550"/>
      <c r="CX7" s="550"/>
      <c r="CY7" s="550"/>
      <c r="CZ7" s="550"/>
      <c r="DA7" s="550"/>
      <c r="DB7" s="550"/>
      <c r="DC7" s="550"/>
      <c r="DD7" s="550"/>
      <c r="DE7" s="550"/>
      <c r="DF7" s="550"/>
      <c r="DG7" s="550"/>
      <c r="DH7" s="550"/>
      <c r="DI7" s="550"/>
      <c r="DJ7" s="550"/>
      <c r="DK7" s="550"/>
      <c r="DL7" s="550"/>
      <c r="DM7" s="550"/>
      <c r="DN7" s="550"/>
      <c r="DO7" s="550"/>
      <c r="DP7" s="550"/>
      <c r="DQ7" s="550"/>
      <c r="DR7" s="550"/>
      <c r="DS7" s="550"/>
      <c r="DT7" s="550"/>
      <c r="DU7" s="550"/>
      <c r="DV7" s="550"/>
      <c r="DW7" s="550"/>
      <c r="DX7" s="550"/>
      <c r="DY7" s="550"/>
      <c r="DZ7" s="550"/>
      <c r="EA7" s="550"/>
      <c r="EB7" s="550"/>
      <c r="EC7" s="550"/>
      <c r="ED7" s="550"/>
      <c r="EE7" s="550"/>
      <c r="EF7" s="550"/>
      <c r="EG7" s="550"/>
      <c r="EH7" s="550"/>
      <c r="EI7" s="550"/>
      <c r="EJ7" s="550"/>
      <c r="EK7" s="550"/>
      <c r="EL7" s="550"/>
      <c r="EM7" s="550"/>
      <c r="EN7" s="550"/>
      <c r="EO7" s="550"/>
      <c r="EP7" s="550"/>
      <c r="EQ7" s="550"/>
      <c r="ER7" s="550"/>
      <c r="ES7" s="550"/>
      <c r="ET7" s="550"/>
      <c r="EU7" s="550"/>
      <c r="EV7" s="550"/>
      <c r="EW7" s="550"/>
      <c r="EX7" s="550"/>
      <c r="EY7" s="550"/>
      <c r="EZ7" s="550"/>
      <c r="FA7" s="550"/>
      <c r="FB7" s="550"/>
      <c r="FC7" s="550"/>
      <c r="FD7" s="550"/>
      <c r="FE7" s="550"/>
      <c r="FF7" s="550"/>
      <c r="FG7" s="550"/>
      <c r="FH7" s="550"/>
      <c r="FI7" s="550"/>
      <c r="FJ7" s="550"/>
      <c r="FK7" s="550"/>
      <c r="FL7" s="550"/>
      <c r="FM7" s="550"/>
      <c r="FN7" s="550"/>
      <c r="FO7" s="550"/>
      <c r="FP7" s="550"/>
      <c r="FQ7" s="550"/>
      <c r="FR7" s="550"/>
      <c r="FS7" s="550"/>
      <c r="FT7" s="550"/>
      <c r="FU7" s="550"/>
      <c r="FV7" s="550"/>
      <c r="FW7" s="550"/>
      <c r="FX7" s="550"/>
      <c r="FY7" s="550"/>
      <c r="FZ7" s="550"/>
      <c r="GA7" s="550"/>
      <c r="GB7" s="550"/>
      <c r="GC7" s="550"/>
      <c r="GD7" s="550"/>
      <c r="GE7" s="550"/>
      <c r="GF7" s="550"/>
      <c r="GG7" s="550"/>
      <c r="GH7" s="550"/>
      <c r="GI7" s="550"/>
      <c r="GJ7" s="550"/>
      <c r="GK7" s="550"/>
      <c r="GL7" s="550"/>
      <c r="GM7" s="550"/>
      <c r="GN7" s="550"/>
      <c r="GO7" s="550"/>
      <c r="GP7" s="550"/>
      <c r="GQ7" s="550"/>
      <c r="GR7" s="550"/>
      <c r="GS7" s="550"/>
      <c r="GT7" s="550"/>
      <c r="GU7" s="550"/>
      <c r="GV7" s="550"/>
      <c r="GW7" s="550"/>
      <c r="GX7" s="550"/>
      <c r="GY7" s="550"/>
      <c r="GZ7" s="550"/>
      <c r="HA7" s="550"/>
      <c r="HB7" s="550"/>
      <c r="HC7" s="550"/>
      <c r="HD7" s="550"/>
      <c r="HE7" s="550"/>
      <c r="HF7" s="550"/>
      <c r="HG7" s="550"/>
      <c r="HH7" s="550"/>
      <c r="HI7" s="550"/>
      <c r="HJ7" s="550"/>
      <c r="HK7" s="550"/>
      <c r="HL7" s="550"/>
      <c r="HM7" s="550"/>
      <c r="HN7" s="550"/>
      <c r="HO7" s="550"/>
      <c r="HP7" s="550"/>
      <c r="HQ7" s="550"/>
      <c r="HR7" s="550"/>
      <c r="HS7" s="550"/>
      <c r="HT7" s="550"/>
      <c r="HU7" s="550"/>
      <c r="HV7" s="550"/>
      <c r="HW7" s="553"/>
      <c r="HX7" s="553"/>
      <c r="HY7" s="553"/>
      <c r="HZ7" s="553"/>
      <c r="IA7" s="553"/>
      <c r="IB7" s="553"/>
      <c r="IC7" s="553"/>
      <c r="ID7" s="553"/>
      <c r="IE7" s="553"/>
      <c r="IF7" s="553"/>
      <c r="IG7" s="553"/>
      <c r="IH7" s="553"/>
      <c r="II7" s="553"/>
      <c r="IJ7" s="553"/>
      <c r="IK7" s="553"/>
      <c r="IL7" s="553"/>
      <c r="IM7" s="553"/>
      <c r="IN7" s="553"/>
      <c r="IO7" s="553"/>
      <c r="IP7" s="554"/>
      <c r="IQ7" s="554"/>
      <c r="IR7" s="554"/>
      <c r="IS7" s="554"/>
      <c r="IT7" s="554"/>
      <c r="IU7" s="554"/>
      <c r="IV7" s="554"/>
    </row>
    <row r="8" spans="1:256" s="513" customFormat="1" ht="24">
      <c r="A8" s="260"/>
      <c r="B8" s="260"/>
      <c r="C8" s="540"/>
      <c r="D8" s="358">
        <v>70.48</v>
      </c>
      <c r="E8" s="238"/>
      <c r="F8" s="519">
        <v>298872</v>
      </c>
      <c r="G8" s="298">
        <v>40393</v>
      </c>
      <c r="H8" s="540">
        <f>F8/K8</f>
        <v>4279.9942718029497</v>
      </c>
      <c r="I8" s="260" t="s">
        <v>90</v>
      </c>
      <c r="J8" s="542">
        <v>57.61</v>
      </c>
      <c r="K8" s="526">
        <v>69.83</v>
      </c>
      <c r="L8" s="543">
        <v>298872</v>
      </c>
      <c r="M8" s="540">
        <f t="shared" ref="M8:M52" si="1">K8</f>
        <v>69.83</v>
      </c>
      <c r="N8" s="540">
        <f>L8</f>
        <v>298872</v>
      </c>
      <c r="O8" s="535"/>
      <c r="P8" s="540">
        <f t="shared" ref="P8:P44" si="2">N8-F8</f>
        <v>0</v>
      </c>
      <c r="Q8" s="551">
        <f>IF(H8-3544.48&lt;0,H8,0)</f>
        <v>0</v>
      </c>
      <c r="R8" s="548"/>
      <c r="S8" s="549"/>
      <c r="T8" s="549"/>
      <c r="U8" s="549"/>
      <c r="V8" s="549"/>
      <c r="W8" s="549"/>
      <c r="X8" s="549"/>
      <c r="Y8" s="549"/>
      <c r="Z8" s="549"/>
      <c r="AA8" s="549"/>
      <c r="AB8" s="549"/>
      <c r="AC8" s="549"/>
      <c r="AD8" s="549"/>
      <c r="AE8" s="549"/>
      <c r="AF8" s="549"/>
      <c r="AG8" s="549"/>
      <c r="AH8" s="549"/>
      <c r="AI8" s="549"/>
      <c r="AJ8" s="549"/>
      <c r="AK8" s="549"/>
      <c r="AL8" s="549"/>
      <c r="AM8" s="549"/>
      <c r="AN8" s="549"/>
      <c r="AO8" s="549"/>
      <c r="AP8" s="549"/>
      <c r="AQ8" s="549"/>
      <c r="AR8" s="549"/>
      <c r="AS8" s="549"/>
      <c r="AT8" s="549"/>
      <c r="AU8" s="549"/>
      <c r="AV8" s="549"/>
      <c r="AW8" s="549"/>
      <c r="AX8" s="549"/>
      <c r="AY8" s="549"/>
      <c r="AZ8" s="549"/>
      <c r="BA8" s="549"/>
      <c r="BB8" s="549"/>
      <c r="BC8" s="549"/>
      <c r="BD8" s="549"/>
      <c r="BE8" s="549"/>
      <c r="BF8" s="549"/>
      <c r="BG8" s="549"/>
      <c r="BH8" s="549"/>
      <c r="BI8" s="549"/>
      <c r="BJ8" s="549"/>
      <c r="BK8" s="549"/>
      <c r="BL8" s="549"/>
      <c r="BM8" s="549"/>
      <c r="BN8" s="549"/>
      <c r="BO8" s="549"/>
      <c r="BP8" s="549"/>
      <c r="BQ8" s="549"/>
      <c r="BR8" s="549"/>
      <c r="BS8" s="549"/>
      <c r="BT8" s="549"/>
      <c r="BU8" s="549"/>
      <c r="BV8" s="549"/>
      <c r="BW8" s="549"/>
      <c r="BX8" s="549"/>
      <c r="BY8" s="549"/>
      <c r="BZ8" s="549"/>
      <c r="CA8" s="549"/>
      <c r="CB8" s="549"/>
      <c r="CC8" s="549"/>
      <c r="CD8" s="549"/>
      <c r="CE8" s="549"/>
      <c r="CF8" s="549"/>
      <c r="CG8" s="549"/>
      <c r="CH8" s="549"/>
      <c r="CI8" s="549"/>
      <c r="CJ8" s="549"/>
      <c r="CK8" s="549"/>
      <c r="CL8" s="549"/>
      <c r="CM8" s="549"/>
      <c r="CN8" s="549"/>
      <c r="CO8" s="549"/>
      <c r="CP8" s="549"/>
      <c r="CQ8" s="549"/>
      <c r="CR8" s="549"/>
      <c r="CS8" s="549"/>
      <c r="CT8" s="549"/>
      <c r="CU8" s="549"/>
      <c r="CV8" s="549"/>
      <c r="CW8" s="549"/>
      <c r="CX8" s="549"/>
      <c r="CY8" s="549"/>
      <c r="CZ8" s="549"/>
      <c r="DA8" s="549"/>
      <c r="DB8" s="549"/>
      <c r="DC8" s="549"/>
      <c r="DD8" s="549"/>
      <c r="DE8" s="549"/>
      <c r="DF8" s="549"/>
      <c r="DG8" s="549"/>
      <c r="DH8" s="549"/>
      <c r="DI8" s="549"/>
      <c r="DJ8" s="549"/>
      <c r="DK8" s="549"/>
      <c r="DL8" s="549"/>
      <c r="DM8" s="549"/>
      <c r="DN8" s="549"/>
      <c r="DO8" s="549"/>
      <c r="DP8" s="549"/>
      <c r="DQ8" s="549"/>
      <c r="DR8" s="549"/>
      <c r="DS8" s="549"/>
      <c r="DT8" s="549"/>
      <c r="DU8" s="549"/>
      <c r="DV8" s="549"/>
      <c r="DW8" s="549"/>
      <c r="DX8" s="549"/>
      <c r="DY8" s="549"/>
      <c r="DZ8" s="549"/>
      <c r="EA8" s="549"/>
      <c r="EB8" s="549"/>
      <c r="EC8" s="549"/>
      <c r="ED8" s="549"/>
      <c r="EE8" s="549"/>
      <c r="EF8" s="549"/>
      <c r="EG8" s="549"/>
      <c r="EH8" s="549"/>
      <c r="EI8" s="549"/>
      <c r="EJ8" s="549"/>
      <c r="EK8" s="549"/>
      <c r="EL8" s="549"/>
      <c r="EM8" s="549"/>
      <c r="EN8" s="549"/>
      <c r="EO8" s="549"/>
      <c r="EP8" s="549"/>
      <c r="EQ8" s="549"/>
      <c r="ER8" s="549"/>
      <c r="ES8" s="549"/>
      <c r="ET8" s="549"/>
      <c r="EU8" s="549"/>
      <c r="EV8" s="549"/>
      <c r="EW8" s="549"/>
      <c r="EX8" s="549"/>
      <c r="EY8" s="549"/>
      <c r="EZ8" s="549"/>
      <c r="FA8" s="549"/>
      <c r="FB8" s="549"/>
      <c r="FC8" s="549"/>
      <c r="FD8" s="549"/>
      <c r="FE8" s="549"/>
      <c r="FF8" s="549"/>
      <c r="FG8" s="549"/>
      <c r="FH8" s="549"/>
      <c r="FI8" s="549"/>
      <c r="FJ8" s="549"/>
      <c r="FK8" s="549"/>
      <c r="FL8" s="549"/>
      <c r="FM8" s="549"/>
      <c r="FN8" s="549"/>
      <c r="FO8" s="549"/>
      <c r="FP8" s="549"/>
      <c r="FQ8" s="549"/>
      <c r="FR8" s="549"/>
      <c r="FS8" s="549"/>
      <c r="FT8" s="549"/>
      <c r="FU8" s="549"/>
      <c r="FV8" s="549"/>
      <c r="FW8" s="549"/>
      <c r="FX8" s="549"/>
      <c r="FY8" s="549"/>
      <c r="FZ8" s="549"/>
      <c r="GA8" s="549"/>
      <c r="GB8" s="549"/>
      <c r="GC8" s="549"/>
      <c r="GD8" s="549"/>
      <c r="GE8" s="549"/>
      <c r="GF8" s="549"/>
      <c r="GG8" s="549"/>
      <c r="GH8" s="549"/>
      <c r="GI8" s="549"/>
      <c r="GJ8" s="549"/>
      <c r="GK8" s="549"/>
      <c r="GL8" s="549"/>
      <c r="GM8" s="549"/>
      <c r="GN8" s="549"/>
      <c r="GO8" s="549"/>
      <c r="GP8" s="549"/>
      <c r="GQ8" s="549"/>
      <c r="GR8" s="549"/>
      <c r="GS8" s="549"/>
      <c r="GT8" s="549"/>
      <c r="GU8" s="549"/>
      <c r="GV8" s="549"/>
      <c r="GW8" s="549"/>
      <c r="GX8" s="549"/>
      <c r="GY8" s="549"/>
      <c r="GZ8" s="549"/>
      <c r="HA8" s="549"/>
      <c r="HB8" s="549"/>
      <c r="HC8" s="549"/>
      <c r="HD8" s="549"/>
      <c r="HE8" s="549"/>
      <c r="HF8" s="549"/>
      <c r="HG8" s="549"/>
      <c r="HH8" s="549"/>
      <c r="HI8" s="549"/>
      <c r="HJ8" s="549"/>
      <c r="HK8" s="549"/>
      <c r="HL8" s="549"/>
      <c r="HM8" s="549"/>
      <c r="HN8" s="549"/>
      <c r="HO8" s="549"/>
      <c r="HP8" s="549"/>
      <c r="HQ8" s="549"/>
      <c r="HR8" s="549"/>
      <c r="HS8" s="549"/>
      <c r="HT8" s="549"/>
      <c r="HU8" s="549"/>
      <c r="HV8" s="549"/>
      <c r="HW8" s="533"/>
      <c r="HX8" s="533"/>
      <c r="HY8" s="533"/>
      <c r="HZ8" s="533"/>
      <c r="IA8" s="533"/>
      <c r="IB8" s="533"/>
      <c r="IC8" s="533"/>
      <c r="ID8" s="533"/>
      <c r="IE8" s="533"/>
      <c r="IF8" s="533"/>
      <c r="IG8" s="533"/>
      <c r="IH8" s="533"/>
      <c r="II8" s="533"/>
      <c r="IJ8" s="533"/>
      <c r="IK8" s="533"/>
      <c r="IL8" s="533"/>
      <c r="IM8" s="533"/>
      <c r="IN8" s="533"/>
      <c r="IO8" s="533"/>
      <c r="IP8" s="347"/>
      <c r="IQ8" s="347"/>
      <c r="IR8" s="347"/>
      <c r="IS8" s="347"/>
      <c r="IT8" s="347"/>
      <c r="IU8" s="347"/>
      <c r="IV8" s="347"/>
    </row>
    <row r="9" spans="1:256" s="513" customFormat="1" ht="12.75">
      <c r="A9" s="520"/>
      <c r="B9" s="520"/>
      <c r="C9" s="238"/>
      <c r="D9" s="358">
        <v>70.48</v>
      </c>
      <c r="E9" s="238"/>
      <c r="F9" s="519">
        <v>389651</v>
      </c>
      <c r="G9" s="298">
        <v>40389</v>
      </c>
      <c r="H9" s="540">
        <f t="shared" ref="H9:H72" si="3">F9/K9</f>
        <v>5579.9942718029506</v>
      </c>
      <c r="I9" s="260" t="s">
        <v>91</v>
      </c>
      <c r="J9" s="542">
        <v>57.61</v>
      </c>
      <c r="K9" s="526">
        <v>69.83</v>
      </c>
      <c r="L9" s="540">
        <v>389651</v>
      </c>
      <c r="M9" s="540">
        <f t="shared" si="1"/>
        <v>69.83</v>
      </c>
      <c r="N9" s="540">
        <f t="shared" ref="N9:N72" si="4">L9</f>
        <v>389651</v>
      </c>
      <c r="O9" s="535"/>
      <c r="P9" s="540">
        <f t="shared" si="2"/>
        <v>0</v>
      </c>
      <c r="Q9" s="551">
        <f t="shared" ref="Q9:Q72" si="5">IF(H9-3544.48&lt;0,H9,0)</f>
        <v>0</v>
      </c>
      <c r="R9" s="552"/>
      <c r="S9" s="549"/>
      <c r="T9" s="549"/>
      <c r="U9" s="549"/>
      <c r="V9" s="549"/>
      <c r="W9" s="549"/>
      <c r="X9" s="549"/>
      <c r="Y9" s="549"/>
      <c r="Z9" s="549"/>
      <c r="AA9" s="549"/>
      <c r="AB9" s="549"/>
      <c r="AC9" s="549"/>
      <c r="AD9" s="549"/>
      <c r="AE9" s="549"/>
      <c r="AF9" s="549"/>
      <c r="AG9" s="549"/>
      <c r="AH9" s="549"/>
      <c r="AI9" s="549"/>
      <c r="AJ9" s="549"/>
      <c r="AK9" s="549"/>
      <c r="AL9" s="549"/>
      <c r="AM9" s="549"/>
      <c r="AN9" s="549"/>
      <c r="AO9" s="549"/>
      <c r="AP9" s="549"/>
      <c r="AQ9" s="549"/>
      <c r="AR9" s="549"/>
      <c r="AS9" s="549"/>
      <c r="AT9" s="549"/>
      <c r="AU9" s="549"/>
      <c r="AV9" s="549"/>
      <c r="AW9" s="549"/>
      <c r="AX9" s="549"/>
      <c r="AY9" s="549"/>
      <c r="AZ9" s="549"/>
      <c r="BA9" s="549"/>
      <c r="BB9" s="549"/>
      <c r="BC9" s="549"/>
      <c r="BD9" s="549"/>
      <c r="BE9" s="549"/>
      <c r="BF9" s="549"/>
      <c r="BG9" s="549"/>
      <c r="BH9" s="549"/>
      <c r="BI9" s="549"/>
      <c r="BJ9" s="549"/>
      <c r="BK9" s="549"/>
      <c r="BL9" s="549"/>
      <c r="BM9" s="549"/>
      <c r="BN9" s="549"/>
      <c r="BO9" s="549"/>
      <c r="BP9" s="549"/>
      <c r="BQ9" s="549"/>
      <c r="BR9" s="549"/>
      <c r="BS9" s="549"/>
      <c r="BT9" s="549"/>
      <c r="BU9" s="549"/>
      <c r="BV9" s="549"/>
      <c r="BW9" s="549"/>
      <c r="BX9" s="549"/>
      <c r="BY9" s="549"/>
      <c r="BZ9" s="549"/>
      <c r="CA9" s="549"/>
      <c r="CB9" s="549"/>
      <c r="CC9" s="549"/>
      <c r="CD9" s="549"/>
      <c r="CE9" s="549"/>
      <c r="CF9" s="549"/>
      <c r="CG9" s="549"/>
      <c r="CH9" s="549"/>
      <c r="CI9" s="549"/>
      <c r="CJ9" s="549"/>
      <c r="CK9" s="549"/>
      <c r="CL9" s="549"/>
      <c r="CM9" s="549"/>
      <c r="CN9" s="549"/>
      <c r="CO9" s="549"/>
      <c r="CP9" s="549"/>
      <c r="CQ9" s="549"/>
      <c r="CR9" s="549"/>
      <c r="CS9" s="549"/>
      <c r="CT9" s="549"/>
      <c r="CU9" s="549"/>
      <c r="CV9" s="549"/>
      <c r="CW9" s="549"/>
      <c r="CX9" s="549"/>
      <c r="CY9" s="549"/>
      <c r="CZ9" s="549"/>
      <c r="DA9" s="549"/>
      <c r="DB9" s="549"/>
      <c r="DC9" s="549"/>
      <c r="DD9" s="549"/>
      <c r="DE9" s="549"/>
      <c r="DF9" s="549"/>
      <c r="DG9" s="549"/>
      <c r="DH9" s="549"/>
      <c r="DI9" s="549"/>
      <c r="DJ9" s="549"/>
      <c r="DK9" s="549"/>
      <c r="DL9" s="549"/>
      <c r="DM9" s="549"/>
      <c r="DN9" s="549"/>
      <c r="DO9" s="549"/>
      <c r="DP9" s="549"/>
      <c r="DQ9" s="549"/>
      <c r="DR9" s="549"/>
      <c r="DS9" s="549"/>
      <c r="DT9" s="549"/>
      <c r="DU9" s="549"/>
      <c r="DV9" s="549"/>
      <c r="DW9" s="549"/>
      <c r="DX9" s="549"/>
      <c r="DY9" s="549"/>
      <c r="DZ9" s="549"/>
      <c r="EA9" s="549"/>
      <c r="EB9" s="549"/>
      <c r="EC9" s="549"/>
      <c r="ED9" s="549"/>
      <c r="EE9" s="549"/>
      <c r="EF9" s="549"/>
      <c r="EG9" s="549"/>
      <c r="EH9" s="549"/>
      <c r="EI9" s="549"/>
      <c r="EJ9" s="549"/>
      <c r="EK9" s="549"/>
      <c r="EL9" s="549"/>
      <c r="EM9" s="549"/>
      <c r="EN9" s="549"/>
      <c r="EO9" s="549"/>
      <c r="EP9" s="549"/>
      <c r="EQ9" s="549"/>
      <c r="ER9" s="549"/>
      <c r="ES9" s="549"/>
      <c r="ET9" s="549"/>
      <c r="EU9" s="549"/>
      <c r="EV9" s="549"/>
      <c r="EW9" s="549"/>
      <c r="EX9" s="549"/>
      <c r="EY9" s="549"/>
      <c r="EZ9" s="549"/>
      <c r="FA9" s="549"/>
      <c r="FB9" s="549"/>
      <c r="FC9" s="549"/>
      <c r="FD9" s="549"/>
      <c r="FE9" s="549"/>
      <c r="FF9" s="549"/>
      <c r="FG9" s="549"/>
      <c r="FH9" s="549"/>
      <c r="FI9" s="549"/>
      <c r="FJ9" s="549"/>
      <c r="FK9" s="549"/>
      <c r="FL9" s="549"/>
      <c r="FM9" s="549"/>
      <c r="FN9" s="549"/>
      <c r="FO9" s="549"/>
      <c r="FP9" s="549"/>
      <c r="FQ9" s="549"/>
      <c r="FR9" s="549"/>
      <c r="FS9" s="549"/>
      <c r="FT9" s="549"/>
      <c r="FU9" s="549"/>
      <c r="FV9" s="549"/>
      <c r="FW9" s="549"/>
      <c r="FX9" s="549"/>
      <c r="FY9" s="549"/>
      <c r="FZ9" s="549"/>
      <c r="GA9" s="549"/>
      <c r="GB9" s="549"/>
      <c r="GC9" s="549"/>
      <c r="GD9" s="549"/>
      <c r="GE9" s="549"/>
      <c r="GF9" s="549"/>
      <c r="GG9" s="549"/>
      <c r="GH9" s="549"/>
      <c r="GI9" s="549"/>
      <c r="GJ9" s="549"/>
      <c r="GK9" s="549"/>
      <c r="GL9" s="549"/>
      <c r="GM9" s="549"/>
      <c r="GN9" s="549"/>
      <c r="GO9" s="549"/>
      <c r="GP9" s="549"/>
      <c r="GQ9" s="549"/>
      <c r="GR9" s="549"/>
      <c r="GS9" s="549"/>
      <c r="GT9" s="549"/>
      <c r="GU9" s="549"/>
      <c r="GV9" s="549"/>
      <c r="GW9" s="549"/>
      <c r="GX9" s="549"/>
      <c r="GY9" s="549"/>
      <c r="GZ9" s="549"/>
      <c r="HA9" s="549"/>
      <c r="HB9" s="549"/>
      <c r="HC9" s="549"/>
      <c r="HD9" s="549"/>
      <c r="HE9" s="549"/>
      <c r="HF9" s="549"/>
      <c r="HG9" s="549"/>
      <c r="HH9" s="549"/>
      <c r="HI9" s="549"/>
      <c r="HJ9" s="549"/>
      <c r="HK9" s="549"/>
      <c r="HL9" s="549"/>
      <c r="HM9" s="549"/>
      <c r="HN9" s="549"/>
      <c r="HO9" s="549"/>
      <c r="HP9" s="549"/>
      <c r="HQ9" s="549"/>
      <c r="HR9" s="549"/>
      <c r="HS9" s="549"/>
      <c r="HT9" s="549"/>
      <c r="HU9" s="549"/>
      <c r="HV9" s="549"/>
      <c r="HW9" s="533"/>
      <c r="HX9" s="533"/>
      <c r="HY9" s="533"/>
      <c r="HZ9" s="533"/>
      <c r="IA9" s="533"/>
      <c r="IB9" s="533"/>
      <c r="IC9" s="533"/>
      <c r="ID9" s="533"/>
      <c r="IE9" s="533"/>
      <c r="IF9" s="533"/>
      <c r="IG9" s="533"/>
      <c r="IH9" s="533"/>
      <c r="II9" s="533"/>
      <c r="IJ9" s="533"/>
      <c r="IK9" s="533"/>
      <c r="IL9" s="533"/>
      <c r="IM9" s="533"/>
      <c r="IN9" s="533"/>
      <c r="IO9" s="533"/>
      <c r="IP9" s="347"/>
      <c r="IQ9" s="347"/>
      <c r="IR9" s="347"/>
      <c r="IS9" s="347"/>
      <c r="IT9" s="347"/>
      <c r="IU9" s="347"/>
      <c r="IV9" s="347"/>
    </row>
    <row r="10" spans="1:256" s="513" customFormat="1" ht="12.75">
      <c r="A10" s="520"/>
      <c r="B10" s="520"/>
      <c r="C10" s="238"/>
      <c r="D10" s="358">
        <v>70.48</v>
      </c>
      <c r="E10" s="238"/>
      <c r="F10" s="519">
        <v>268147</v>
      </c>
      <c r="G10" s="298">
        <v>40375</v>
      </c>
      <c r="H10" s="540">
        <f t="shared" si="3"/>
        <v>3839.9971359014753</v>
      </c>
      <c r="I10" s="260" t="s">
        <v>92</v>
      </c>
      <c r="J10" s="542">
        <v>57.61</v>
      </c>
      <c r="K10" s="526">
        <v>69.83</v>
      </c>
      <c r="L10" s="543">
        <v>268147</v>
      </c>
      <c r="M10" s="540">
        <f t="shared" si="1"/>
        <v>69.83</v>
      </c>
      <c r="N10" s="540">
        <f t="shared" si="4"/>
        <v>268147</v>
      </c>
      <c r="O10" s="535"/>
      <c r="P10" s="540">
        <f t="shared" si="2"/>
        <v>0</v>
      </c>
      <c r="Q10" s="551">
        <f t="shared" si="5"/>
        <v>0</v>
      </c>
      <c r="R10" s="552"/>
      <c r="S10" s="549"/>
      <c r="T10" s="549"/>
      <c r="U10" s="549"/>
      <c r="V10" s="549"/>
      <c r="W10" s="549"/>
      <c r="X10" s="549"/>
      <c r="Y10" s="549"/>
      <c r="Z10" s="549"/>
      <c r="AA10" s="549"/>
      <c r="AB10" s="549"/>
      <c r="AC10" s="549"/>
      <c r="AD10" s="549"/>
      <c r="AE10" s="549"/>
      <c r="AF10" s="549"/>
      <c r="AG10" s="549"/>
      <c r="AH10" s="549"/>
      <c r="AI10" s="549"/>
      <c r="AJ10" s="549"/>
      <c r="AK10" s="549"/>
      <c r="AL10" s="549"/>
      <c r="AM10" s="549"/>
      <c r="AN10" s="549"/>
      <c r="AO10" s="549"/>
      <c r="AP10" s="549"/>
      <c r="AQ10" s="549"/>
      <c r="AR10" s="549"/>
      <c r="AS10" s="549"/>
      <c r="AT10" s="549"/>
      <c r="AU10" s="549"/>
      <c r="AV10" s="549"/>
      <c r="AW10" s="549"/>
      <c r="AX10" s="549"/>
      <c r="AY10" s="549"/>
      <c r="AZ10" s="549"/>
      <c r="BA10" s="549"/>
      <c r="BB10" s="549"/>
      <c r="BC10" s="549"/>
      <c r="BD10" s="549"/>
      <c r="BE10" s="549"/>
      <c r="BF10" s="549"/>
      <c r="BG10" s="549"/>
      <c r="BH10" s="549"/>
      <c r="BI10" s="549"/>
      <c r="BJ10" s="549"/>
      <c r="BK10" s="549"/>
      <c r="BL10" s="549"/>
      <c r="BM10" s="549"/>
      <c r="BN10" s="549"/>
      <c r="BO10" s="549"/>
      <c r="BP10" s="549"/>
      <c r="BQ10" s="549"/>
      <c r="BR10" s="549"/>
      <c r="BS10" s="549"/>
      <c r="BT10" s="549"/>
      <c r="BU10" s="549"/>
      <c r="BV10" s="549"/>
      <c r="BW10" s="549"/>
      <c r="BX10" s="549"/>
      <c r="BY10" s="549"/>
      <c r="BZ10" s="549"/>
      <c r="CA10" s="549"/>
      <c r="CB10" s="549"/>
      <c r="CC10" s="549"/>
      <c r="CD10" s="549"/>
      <c r="CE10" s="549"/>
      <c r="CF10" s="549"/>
      <c r="CG10" s="549"/>
      <c r="CH10" s="549"/>
      <c r="CI10" s="549"/>
      <c r="CJ10" s="549"/>
      <c r="CK10" s="549"/>
      <c r="CL10" s="549"/>
      <c r="CM10" s="549"/>
      <c r="CN10" s="549"/>
      <c r="CO10" s="549"/>
      <c r="CP10" s="549"/>
      <c r="CQ10" s="549"/>
      <c r="CR10" s="549"/>
      <c r="CS10" s="549"/>
      <c r="CT10" s="549"/>
      <c r="CU10" s="549"/>
      <c r="CV10" s="549"/>
      <c r="CW10" s="549"/>
      <c r="CX10" s="549"/>
      <c r="CY10" s="549"/>
      <c r="CZ10" s="549"/>
      <c r="DA10" s="549"/>
      <c r="DB10" s="549"/>
      <c r="DC10" s="549"/>
      <c r="DD10" s="549"/>
      <c r="DE10" s="549"/>
      <c r="DF10" s="549"/>
      <c r="DG10" s="549"/>
      <c r="DH10" s="549"/>
      <c r="DI10" s="549"/>
      <c r="DJ10" s="549"/>
      <c r="DK10" s="549"/>
      <c r="DL10" s="549"/>
      <c r="DM10" s="549"/>
      <c r="DN10" s="549"/>
      <c r="DO10" s="549"/>
      <c r="DP10" s="549"/>
      <c r="DQ10" s="549"/>
      <c r="DR10" s="549"/>
      <c r="DS10" s="549"/>
      <c r="DT10" s="549"/>
      <c r="DU10" s="549"/>
      <c r="DV10" s="549"/>
      <c r="DW10" s="549"/>
      <c r="DX10" s="549"/>
      <c r="DY10" s="549"/>
      <c r="DZ10" s="549"/>
      <c r="EA10" s="549"/>
      <c r="EB10" s="549"/>
      <c r="EC10" s="549"/>
      <c r="ED10" s="549"/>
      <c r="EE10" s="549"/>
      <c r="EF10" s="549"/>
      <c r="EG10" s="549"/>
      <c r="EH10" s="549"/>
      <c r="EI10" s="549"/>
      <c r="EJ10" s="549"/>
      <c r="EK10" s="549"/>
      <c r="EL10" s="549"/>
      <c r="EM10" s="549"/>
      <c r="EN10" s="549"/>
      <c r="EO10" s="549"/>
      <c r="EP10" s="549"/>
      <c r="EQ10" s="549"/>
      <c r="ER10" s="549"/>
      <c r="ES10" s="549"/>
      <c r="ET10" s="549"/>
      <c r="EU10" s="549"/>
      <c r="EV10" s="549"/>
      <c r="EW10" s="549"/>
      <c r="EX10" s="549"/>
      <c r="EY10" s="549"/>
      <c r="EZ10" s="549"/>
      <c r="FA10" s="549"/>
      <c r="FB10" s="549"/>
      <c r="FC10" s="549"/>
      <c r="FD10" s="549"/>
      <c r="FE10" s="549"/>
      <c r="FF10" s="549"/>
      <c r="FG10" s="549"/>
      <c r="FH10" s="549"/>
      <c r="FI10" s="549"/>
      <c r="FJ10" s="549"/>
      <c r="FK10" s="549"/>
      <c r="FL10" s="549"/>
      <c r="FM10" s="549"/>
      <c r="FN10" s="549"/>
      <c r="FO10" s="549"/>
      <c r="FP10" s="549"/>
      <c r="FQ10" s="549"/>
      <c r="FR10" s="549"/>
      <c r="FS10" s="549"/>
      <c r="FT10" s="549"/>
      <c r="FU10" s="549"/>
      <c r="FV10" s="549"/>
      <c r="FW10" s="549"/>
      <c r="FX10" s="549"/>
      <c r="FY10" s="549"/>
      <c r="FZ10" s="549"/>
      <c r="GA10" s="549"/>
      <c r="GB10" s="549"/>
      <c r="GC10" s="549"/>
      <c r="GD10" s="549"/>
      <c r="GE10" s="549"/>
      <c r="GF10" s="549"/>
      <c r="GG10" s="549"/>
      <c r="GH10" s="549"/>
      <c r="GI10" s="549"/>
      <c r="GJ10" s="549"/>
      <c r="GK10" s="549"/>
      <c r="GL10" s="549"/>
      <c r="GM10" s="549"/>
      <c r="GN10" s="549"/>
      <c r="GO10" s="549"/>
      <c r="GP10" s="549"/>
      <c r="GQ10" s="549"/>
      <c r="GR10" s="549"/>
      <c r="GS10" s="549"/>
      <c r="GT10" s="549"/>
      <c r="GU10" s="549"/>
      <c r="GV10" s="549"/>
      <c r="GW10" s="549"/>
      <c r="GX10" s="549"/>
      <c r="GY10" s="549"/>
      <c r="GZ10" s="549"/>
      <c r="HA10" s="549"/>
      <c r="HB10" s="549"/>
      <c r="HC10" s="549"/>
      <c r="HD10" s="549"/>
      <c r="HE10" s="549"/>
      <c r="HF10" s="549"/>
      <c r="HG10" s="549"/>
      <c r="HH10" s="549"/>
      <c r="HI10" s="549"/>
      <c r="HJ10" s="549"/>
      <c r="HK10" s="549"/>
      <c r="HL10" s="549"/>
      <c r="HM10" s="549"/>
      <c r="HN10" s="549"/>
      <c r="HO10" s="549"/>
      <c r="HP10" s="549"/>
      <c r="HQ10" s="549"/>
      <c r="HR10" s="549"/>
      <c r="HS10" s="549"/>
      <c r="HT10" s="549"/>
      <c r="HU10" s="549"/>
      <c r="HV10" s="549"/>
      <c r="HW10" s="533"/>
      <c r="HX10" s="533"/>
      <c r="HY10" s="533"/>
      <c r="HZ10" s="533"/>
      <c r="IA10" s="533"/>
      <c r="IB10" s="533"/>
      <c r="IC10" s="533"/>
      <c r="ID10" s="533"/>
      <c r="IE10" s="533"/>
      <c r="IF10" s="533"/>
      <c r="IG10" s="533"/>
      <c r="IH10" s="533"/>
      <c r="II10" s="533"/>
      <c r="IJ10" s="533"/>
      <c r="IK10" s="533"/>
      <c r="IL10" s="533"/>
      <c r="IM10" s="533"/>
      <c r="IN10" s="533"/>
      <c r="IO10" s="533"/>
      <c r="IP10" s="347"/>
      <c r="IQ10" s="347"/>
      <c r="IR10" s="347"/>
      <c r="IS10" s="347"/>
      <c r="IT10" s="347"/>
      <c r="IU10" s="347"/>
      <c r="IV10" s="347"/>
    </row>
    <row r="11" spans="1:256" s="513" customFormat="1" ht="12.75">
      <c r="A11" s="520"/>
      <c r="B11" s="520"/>
      <c r="C11" s="238"/>
      <c r="D11" s="358">
        <v>69.83</v>
      </c>
      <c r="E11" s="238"/>
      <c r="F11" s="519">
        <v>366608</v>
      </c>
      <c r="G11" s="298">
        <v>41061</v>
      </c>
      <c r="H11" s="540">
        <f t="shared" si="3"/>
        <v>5250.0071602463122</v>
      </c>
      <c r="I11" s="260" t="s">
        <v>92</v>
      </c>
      <c r="J11" s="542">
        <v>57.61</v>
      </c>
      <c r="K11" s="526">
        <v>69.83</v>
      </c>
      <c r="L11" s="544">
        <v>366608</v>
      </c>
      <c r="M11" s="540">
        <f t="shared" si="1"/>
        <v>69.83</v>
      </c>
      <c r="N11" s="540">
        <f t="shared" si="4"/>
        <v>366608</v>
      </c>
      <c r="O11" s="535"/>
      <c r="P11" s="540">
        <f t="shared" si="2"/>
        <v>0</v>
      </c>
      <c r="Q11" s="551">
        <f t="shared" si="5"/>
        <v>0</v>
      </c>
      <c r="R11" s="552"/>
      <c r="S11" s="549"/>
      <c r="T11" s="549"/>
      <c r="U11" s="549"/>
      <c r="V11" s="549"/>
      <c r="W11" s="549"/>
      <c r="X11" s="549"/>
      <c r="Y11" s="549"/>
      <c r="Z11" s="549"/>
      <c r="AA11" s="549"/>
      <c r="AB11" s="549"/>
      <c r="AC11" s="549"/>
      <c r="AD11" s="549"/>
      <c r="AE11" s="549"/>
      <c r="AF11" s="549"/>
      <c r="AG11" s="549"/>
      <c r="AH11" s="549"/>
      <c r="AI11" s="549"/>
      <c r="AJ11" s="549"/>
      <c r="AK11" s="549"/>
      <c r="AL11" s="549"/>
      <c r="AM11" s="549"/>
      <c r="AN11" s="549"/>
      <c r="AO11" s="549"/>
      <c r="AP11" s="549"/>
      <c r="AQ11" s="549"/>
      <c r="AR11" s="549"/>
      <c r="AS11" s="549"/>
      <c r="AT11" s="549"/>
      <c r="AU11" s="549"/>
      <c r="AV11" s="549"/>
      <c r="AW11" s="549"/>
      <c r="AX11" s="549"/>
      <c r="AY11" s="549"/>
      <c r="AZ11" s="549"/>
      <c r="BA11" s="549"/>
      <c r="BB11" s="549"/>
      <c r="BC11" s="549"/>
      <c r="BD11" s="549"/>
      <c r="BE11" s="549"/>
      <c r="BF11" s="549"/>
      <c r="BG11" s="549"/>
      <c r="BH11" s="549"/>
      <c r="BI11" s="549"/>
      <c r="BJ11" s="549"/>
      <c r="BK11" s="549"/>
      <c r="BL11" s="549"/>
      <c r="BM11" s="549"/>
      <c r="BN11" s="549"/>
      <c r="BO11" s="549"/>
      <c r="BP11" s="549"/>
      <c r="BQ11" s="549"/>
      <c r="BR11" s="549"/>
      <c r="BS11" s="549"/>
      <c r="BT11" s="549"/>
      <c r="BU11" s="549"/>
      <c r="BV11" s="549"/>
      <c r="BW11" s="549"/>
      <c r="BX11" s="549"/>
      <c r="BY11" s="549"/>
      <c r="BZ11" s="549"/>
      <c r="CA11" s="549"/>
      <c r="CB11" s="549"/>
      <c r="CC11" s="549"/>
      <c r="CD11" s="549"/>
      <c r="CE11" s="549"/>
      <c r="CF11" s="549"/>
      <c r="CG11" s="549"/>
      <c r="CH11" s="549"/>
      <c r="CI11" s="549"/>
      <c r="CJ11" s="549"/>
      <c r="CK11" s="549"/>
      <c r="CL11" s="549"/>
      <c r="CM11" s="549"/>
      <c r="CN11" s="549"/>
      <c r="CO11" s="549"/>
      <c r="CP11" s="549"/>
      <c r="CQ11" s="549"/>
      <c r="CR11" s="549"/>
      <c r="CS11" s="549"/>
      <c r="CT11" s="549"/>
      <c r="CU11" s="549"/>
      <c r="CV11" s="549"/>
      <c r="CW11" s="549"/>
      <c r="CX11" s="549"/>
      <c r="CY11" s="549"/>
      <c r="CZ11" s="549"/>
      <c r="DA11" s="549"/>
      <c r="DB11" s="549"/>
      <c r="DC11" s="549"/>
      <c r="DD11" s="549"/>
      <c r="DE11" s="549"/>
      <c r="DF11" s="549"/>
      <c r="DG11" s="549"/>
      <c r="DH11" s="549"/>
      <c r="DI11" s="549"/>
      <c r="DJ11" s="549"/>
      <c r="DK11" s="549"/>
      <c r="DL11" s="549"/>
      <c r="DM11" s="549"/>
      <c r="DN11" s="549"/>
      <c r="DO11" s="549"/>
      <c r="DP11" s="549"/>
      <c r="DQ11" s="549"/>
      <c r="DR11" s="549"/>
      <c r="DS11" s="549"/>
      <c r="DT11" s="549"/>
      <c r="DU11" s="549"/>
      <c r="DV11" s="549"/>
      <c r="DW11" s="549"/>
      <c r="DX11" s="549"/>
      <c r="DY11" s="549"/>
      <c r="DZ11" s="549"/>
      <c r="EA11" s="549"/>
      <c r="EB11" s="549"/>
      <c r="EC11" s="549"/>
      <c r="ED11" s="549"/>
      <c r="EE11" s="549"/>
      <c r="EF11" s="549"/>
      <c r="EG11" s="549"/>
      <c r="EH11" s="549"/>
      <c r="EI11" s="549"/>
      <c r="EJ11" s="549"/>
      <c r="EK11" s="549"/>
      <c r="EL11" s="549"/>
      <c r="EM11" s="549"/>
      <c r="EN11" s="549"/>
      <c r="EO11" s="549"/>
      <c r="EP11" s="549"/>
      <c r="EQ11" s="549"/>
      <c r="ER11" s="549"/>
      <c r="ES11" s="549"/>
      <c r="ET11" s="549"/>
      <c r="EU11" s="549"/>
      <c r="EV11" s="549"/>
      <c r="EW11" s="549"/>
      <c r="EX11" s="549"/>
      <c r="EY11" s="549"/>
      <c r="EZ11" s="549"/>
      <c r="FA11" s="549"/>
      <c r="FB11" s="549"/>
      <c r="FC11" s="549"/>
      <c r="FD11" s="549"/>
      <c r="FE11" s="549"/>
      <c r="FF11" s="549"/>
      <c r="FG11" s="549"/>
      <c r="FH11" s="549"/>
      <c r="FI11" s="549"/>
      <c r="FJ11" s="549"/>
      <c r="FK11" s="549"/>
      <c r="FL11" s="549"/>
      <c r="FM11" s="549"/>
      <c r="FN11" s="549"/>
      <c r="FO11" s="549"/>
      <c r="FP11" s="549"/>
      <c r="FQ11" s="549"/>
      <c r="FR11" s="549"/>
      <c r="FS11" s="549"/>
      <c r="FT11" s="549"/>
      <c r="FU11" s="549"/>
      <c r="FV11" s="549"/>
      <c r="FW11" s="549"/>
      <c r="FX11" s="549"/>
      <c r="FY11" s="549"/>
      <c r="FZ11" s="549"/>
      <c r="GA11" s="549"/>
      <c r="GB11" s="549"/>
      <c r="GC11" s="549"/>
      <c r="GD11" s="549"/>
      <c r="GE11" s="549"/>
      <c r="GF11" s="549"/>
      <c r="GG11" s="549"/>
      <c r="GH11" s="549"/>
      <c r="GI11" s="549"/>
      <c r="GJ11" s="549"/>
      <c r="GK11" s="549"/>
      <c r="GL11" s="549"/>
      <c r="GM11" s="549"/>
      <c r="GN11" s="549"/>
      <c r="GO11" s="549"/>
      <c r="GP11" s="549"/>
      <c r="GQ11" s="549"/>
      <c r="GR11" s="549"/>
      <c r="GS11" s="549"/>
      <c r="GT11" s="549"/>
      <c r="GU11" s="549"/>
      <c r="GV11" s="549"/>
      <c r="GW11" s="549"/>
      <c r="GX11" s="549"/>
      <c r="GY11" s="549"/>
      <c r="GZ11" s="549"/>
      <c r="HA11" s="549"/>
      <c r="HB11" s="549"/>
      <c r="HC11" s="549"/>
      <c r="HD11" s="549"/>
      <c r="HE11" s="549"/>
      <c r="HF11" s="549"/>
      <c r="HG11" s="549"/>
      <c r="HH11" s="549"/>
      <c r="HI11" s="549"/>
      <c r="HJ11" s="549"/>
      <c r="HK11" s="549"/>
      <c r="HL11" s="549"/>
      <c r="HM11" s="549"/>
      <c r="HN11" s="549"/>
      <c r="HO11" s="549"/>
      <c r="HP11" s="549"/>
      <c r="HQ11" s="549"/>
      <c r="HR11" s="549"/>
      <c r="HS11" s="549"/>
      <c r="HT11" s="549"/>
      <c r="HU11" s="549"/>
      <c r="HV11" s="549"/>
      <c r="HW11" s="533"/>
      <c r="HX11" s="533"/>
      <c r="HY11" s="533"/>
      <c r="HZ11" s="533"/>
      <c r="IA11" s="533"/>
      <c r="IB11" s="533"/>
      <c r="IC11" s="533"/>
      <c r="ID11" s="533"/>
      <c r="IE11" s="533"/>
      <c r="IF11" s="533"/>
      <c r="IG11" s="533"/>
      <c r="IH11" s="533"/>
      <c r="II11" s="533"/>
      <c r="IJ11" s="533"/>
      <c r="IK11" s="533"/>
      <c r="IL11" s="533"/>
      <c r="IM11" s="533"/>
      <c r="IN11" s="533"/>
      <c r="IO11" s="533"/>
      <c r="IP11" s="347"/>
      <c r="IQ11" s="347"/>
      <c r="IR11" s="347"/>
      <c r="IS11" s="347"/>
      <c r="IT11" s="347"/>
      <c r="IU11" s="347"/>
      <c r="IV11" s="347"/>
    </row>
    <row r="12" spans="1:256" s="513" customFormat="1" ht="12.75">
      <c r="A12" s="520"/>
      <c r="B12" s="520"/>
      <c r="C12" s="238"/>
      <c r="D12" s="358">
        <v>70.48</v>
      </c>
      <c r="E12" s="238"/>
      <c r="F12" s="519">
        <v>272337</v>
      </c>
      <c r="G12" s="298">
        <v>40392</v>
      </c>
      <c r="H12" s="540">
        <f t="shared" si="3"/>
        <v>3900</v>
      </c>
      <c r="I12" s="260" t="s">
        <v>92</v>
      </c>
      <c r="J12" s="542">
        <v>57.61</v>
      </c>
      <c r="K12" s="526">
        <v>69.83</v>
      </c>
      <c r="L12" s="543">
        <v>272337</v>
      </c>
      <c r="M12" s="540">
        <f t="shared" si="1"/>
        <v>69.83</v>
      </c>
      <c r="N12" s="540">
        <f t="shared" si="4"/>
        <v>272337</v>
      </c>
      <c r="O12" s="535"/>
      <c r="P12" s="540">
        <f t="shared" si="2"/>
        <v>0</v>
      </c>
      <c r="Q12" s="551">
        <f t="shared" si="5"/>
        <v>0</v>
      </c>
      <c r="R12" s="552"/>
      <c r="S12" s="549"/>
      <c r="T12" s="549"/>
      <c r="U12" s="549"/>
      <c r="V12" s="549"/>
      <c r="W12" s="549"/>
      <c r="X12" s="549"/>
      <c r="Y12" s="549"/>
      <c r="Z12" s="549"/>
      <c r="AA12" s="549"/>
      <c r="AB12" s="549"/>
      <c r="AC12" s="549"/>
      <c r="AD12" s="549"/>
      <c r="AE12" s="549"/>
      <c r="AF12" s="549"/>
      <c r="AG12" s="549"/>
      <c r="AH12" s="549"/>
      <c r="AI12" s="549"/>
      <c r="AJ12" s="549"/>
      <c r="AK12" s="549"/>
      <c r="AL12" s="549"/>
      <c r="AM12" s="549"/>
      <c r="AN12" s="549"/>
      <c r="AO12" s="549"/>
      <c r="AP12" s="549"/>
      <c r="AQ12" s="549"/>
      <c r="AR12" s="549"/>
      <c r="AS12" s="549"/>
      <c r="AT12" s="549"/>
      <c r="AU12" s="549"/>
      <c r="AV12" s="549"/>
      <c r="AW12" s="549"/>
      <c r="AX12" s="549"/>
      <c r="AY12" s="549"/>
      <c r="AZ12" s="549"/>
      <c r="BA12" s="549"/>
      <c r="BB12" s="549"/>
      <c r="BC12" s="549"/>
      <c r="BD12" s="549"/>
      <c r="BE12" s="549"/>
      <c r="BF12" s="549"/>
      <c r="BG12" s="549"/>
      <c r="BH12" s="549"/>
      <c r="BI12" s="549"/>
      <c r="BJ12" s="549"/>
      <c r="BK12" s="549"/>
      <c r="BL12" s="549"/>
      <c r="BM12" s="549"/>
      <c r="BN12" s="549"/>
      <c r="BO12" s="549"/>
      <c r="BP12" s="549"/>
      <c r="BQ12" s="549"/>
      <c r="BR12" s="549"/>
      <c r="BS12" s="549"/>
      <c r="BT12" s="549"/>
      <c r="BU12" s="549"/>
      <c r="BV12" s="549"/>
      <c r="BW12" s="549"/>
      <c r="BX12" s="549"/>
      <c r="BY12" s="549"/>
      <c r="BZ12" s="549"/>
      <c r="CA12" s="549"/>
      <c r="CB12" s="549"/>
      <c r="CC12" s="549"/>
      <c r="CD12" s="549"/>
      <c r="CE12" s="549"/>
      <c r="CF12" s="549"/>
      <c r="CG12" s="549"/>
      <c r="CH12" s="549"/>
      <c r="CI12" s="549"/>
      <c r="CJ12" s="549"/>
      <c r="CK12" s="549"/>
      <c r="CL12" s="549"/>
      <c r="CM12" s="549"/>
      <c r="CN12" s="549"/>
      <c r="CO12" s="549"/>
      <c r="CP12" s="549"/>
      <c r="CQ12" s="549"/>
      <c r="CR12" s="549"/>
      <c r="CS12" s="549"/>
      <c r="CT12" s="549"/>
      <c r="CU12" s="549"/>
      <c r="CV12" s="549"/>
      <c r="CW12" s="549"/>
      <c r="CX12" s="549"/>
      <c r="CY12" s="549"/>
      <c r="CZ12" s="549"/>
      <c r="DA12" s="549"/>
      <c r="DB12" s="549"/>
      <c r="DC12" s="549"/>
      <c r="DD12" s="549"/>
      <c r="DE12" s="549"/>
      <c r="DF12" s="549"/>
      <c r="DG12" s="549"/>
      <c r="DH12" s="549"/>
      <c r="DI12" s="549"/>
      <c r="DJ12" s="549"/>
      <c r="DK12" s="549"/>
      <c r="DL12" s="549"/>
      <c r="DM12" s="549"/>
      <c r="DN12" s="549"/>
      <c r="DO12" s="549"/>
      <c r="DP12" s="549"/>
      <c r="DQ12" s="549"/>
      <c r="DR12" s="549"/>
      <c r="DS12" s="549"/>
      <c r="DT12" s="549"/>
      <c r="DU12" s="549"/>
      <c r="DV12" s="549"/>
      <c r="DW12" s="549"/>
      <c r="DX12" s="549"/>
      <c r="DY12" s="549"/>
      <c r="DZ12" s="549"/>
      <c r="EA12" s="549"/>
      <c r="EB12" s="549"/>
      <c r="EC12" s="549"/>
      <c r="ED12" s="549"/>
      <c r="EE12" s="549"/>
      <c r="EF12" s="549"/>
      <c r="EG12" s="549"/>
      <c r="EH12" s="549"/>
      <c r="EI12" s="549"/>
      <c r="EJ12" s="549"/>
      <c r="EK12" s="549"/>
      <c r="EL12" s="549"/>
      <c r="EM12" s="549"/>
      <c r="EN12" s="549"/>
      <c r="EO12" s="549"/>
      <c r="EP12" s="549"/>
      <c r="EQ12" s="549"/>
      <c r="ER12" s="549"/>
      <c r="ES12" s="549"/>
      <c r="ET12" s="549"/>
      <c r="EU12" s="549"/>
      <c r="EV12" s="549"/>
      <c r="EW12" s="549"/>
      <c r="EX12" s="549"/>
      <c r="EY12" s="549"/>
      <c r="EZ12" s="549"/>
      <c r="FA12" s="549"/>
      <c r="FB12" s="549"/>
      <c r="FC12" s="549"/>
      <c r="FD12" s="549"/>
      <c r="FE12" s="549"/>
      <c r="FF12" s="549"/>
      <c r="FG12" s="549"/>
      <c r="FH12" s="549"/>
      <c r="FI12" s="549"/>
      <c r="FJ12" s="549"/>
      <c r="FK12" s="549"/>
      <c r="FL12" s="549"/>
      <c r="FM12" s="549"/>
      <c r="FN12" s="549"/>
      <c r="FO12" s="549"/>
      <c r="FP12" s="549"/>
      <c r="FQ12" s="549"/>
      <c r="FR12" s="549"/>
      <c r="FS12" s="549"/>
      <c r="FT12" s="549"/>
      <c r="FU12" s="549"/>
      <c r="FV12" s="549"/>
      <c r="FW12" s="549"/>
      <c r="FX12" s="549"/>
      <c r="FY12" s="549"/>
      <c r="FZ12" s="549"/>
      <c r="GA12" s="549"/>
      <c r="GB12" s="549"/>
      <c r="GC12" s="549"/>
      <c r="GD12" s="549"/>
      <c r="GE12" s="549"/>
      <c r="GF12" s="549"/>
      <c r="GG12" s="549"/>
      <c r="GH12" s="549"/>
      <c r="GI12" s="549"/>
      <c r="GJ12" s="549"/>
      <c r="GK12" s="549"/>
      <c r="GL12" s="549"/>
      <c r="GM12" s="549"/>
      <c r="GN12" s="549"/>
      <c r="GO12" s="549"/>
      <c r="GP12" s="549"/>
      <c r="GQ12" s="549"/>
      <c r="GR12" s="549"/>
      <c r="GS12" s="549"/>
      <c r="GT12" s="549"/>
      <c r="GU12" s="549"/>
      <c r="GV12" s="549"/>
      <c r="GW12" s="549"/>
      <c r="GX12" s="549"/>
      <c r="GY12" s="549"/>
      <c r="GZ12" s="549"/>
      <c r="HA12" s="549"/>
      <c r="HB12" s="549"/>
      <c r="HC12" s="549"/>
      <c r="HD12" s="549"/>
      <c r="HE12" s="549"/>
      <c r="HF12" s="549"/>
      <c r="HG12" s="549"/>
      <c r="HH12" s="549"/>
      <c r="HI12" s="549"/>
      <c r="HJ12" s="549"/>
      <c r="HK12" s="549"/>
      <c r="HL12" s="549"/>
      <c r="HM12" s="549"/>
      <c r="HN12" s="549"/>
      <c r="HO12" s="549"/>
      <c r="HP12" s="549"/>
      <c r="HQ12" s="549"/>
      <c r="HR12" s="549"/>
      <c r="HS12" s="549"/>
      <c r="HT12" s="549"/>
      <c r="HU12" s="549"/>
      <c r="HV12" s="549"/>
      <c r="HW12" s="533"/>
      <c r="HX12" s="533"/>
      <c r="HY12" s="533"/>
      <c r="HZ12" s="533"/>
      <c r="IA12" s="533"/>
      <c r="IB12" s="533"/>
      <c r="IC12" s="533"/>
      <c r="ID12" s="533"/>
      <c r="IE12" s="533"/>
      <c r="IF12" s="533"/>
      <c r="IG12" s="533"/>
      <c r="IH12" s="533"/>
      <c r="II12" s="533"/>
      <c r="IJ12" s="533"/>
      <c r="IK12" s="533"/>
      <c r="IL12" s="533"/>
      <c r="IM12" s="533"/>
      <c r="IN12" s="533"/>
      <c r="IO12" s="533"/>
      <c r="IP12" s="347"/>
      <c r="IQ12" s="347"/>
      <c r="IR12" s="347"/>
      <c r="IS12" s="347"/>
      <c r="IT12" s="347"/>
      <c r="IU12" s="347"/>
      <c r="IV12" s="347"/>
    </row>
    <row r="13" spans="1:256" s="513" customFormat="1" ht="24">
      <c r="A13" s="520"/>
      <c r="B13" s="520"/>
      <c r="C13" s="238"/>
      <c r="D13" s="358">
        <v>70.48</v>
      </c>
      <c r="E13" s="238"/>
      <c r="F13" s="519">
        <v>333787</v>
      </c>
      <c r="G13" s="298">
        <v>40479</v>
      </c>
      <c r="H13" s="540">
        <f t="shared" si="3"/>
        <v>4779.9942718029497</v>
      </c>
      <c r="I13" s="260" t="s">
        <v>90</v>
      </c>
      <c r="J13" s="542">
        <v>57.61</v>
      </c>
      <c r="K13" s="526">
        <v>69.83</v>
      </c>
      <c r="L13" s="540">
        <v>333787</v>
      </c>
      <c r="M13" s="540">
        <f t="shared" si="1"/>
        <v>69.83</v>
      </c>
      <c r="N13" s="540">
        <f t="shared" si="4"/>
        <v>333787</v>
      </c>
      <c r="O13" s="535"/>
      <c r="P13" s="540">
        <f t="shared" si="2"/>
        <v>0</v>
      </c>
      <c r="Q13" s="551">
        <f t="shared" si="5"/>
        <v>0</v>
      </c>
      <c r="R13" s="552"/>
      <c r="S13" s="549"/>
      <c r="T13" s="549"/>
      <c r="U13" s="549"/>
      <c r="V13" s="549"/>
      <c r="W13" s="549"/>
      <c r="X13" s="549"/>
      <c r="Y13" s="549"/>
      <c r="Z13" s="549"/>
      <c r="AA13" s="549"/>
      <c r="AB13" s="549"/>
      <c r="AC13" s="549"/>
      <c r="AD13" s="549"/>
      <c r="AE13" s="549"/>
      <c r="AF13" s="549"/>
      <c r="AG13" s="549"/>
      <c r="AH13" s="549"/>
      <c r="AI13" s="549"/>
      <c r="AJ13" s="549"/>
      <c r="AK13" s="549"/>
      <c r="AL13" s="549"/>
      <c r="AM13" s="549"/>
      <c r="AN13" s="549"/>
      <c r="AO13" s="549"/>
      <c r="AP13" s="549"/>
      <c r="AQ13" s="549"/>
      <c r="AR13" s="549"/>
      <c r="AS13" s="549"/>
      <c r="AT13" s="549"/>
      <c r="AU13" s="549"/>
      <c r="AV13" s="549"/>
      <c r="AW13" s="549"/>
      <c r="AX13" s="549"/>
      <c r="AY13" s="549"/>
      <c r="AZ13" s="549"/>
      <c r="BA13" s="549"/>
      <c r="BB13" s="549"/>
      <c r="BC13" s="549"/>
      <c r="BD13" s="549"/>
      <c r="BE13" s="549"/>
      <c r="BF13" s="549"/>
      <c r="BG13" s="549"/>
      <c r="BH13" s="549"/>
      <c r="BI13" s="549"/>
      <c r="BJ13" s="549"/>
      <c r="BK13" s="549"/>
      <c r="BL13" s="549"/>
      <c r="BM13" s="549"/>
      <c r="BN13" s="549"/>
      <c r="BO13" s="549"/>
      <c r="BP13" s="549"/>
      <c r="BQ13" s="549"/>
      <c r="BR13" s="549"/>
      <c r="BS13" s="549"/>
      <c r="BT13" s="549"/>
      <c r="BU13" s="549"/>
      <c r="BV13" s="549"/>
      <c r="BW13" s="549"/>
      <c r="BX13" s="549"/>
      <c r="BY13" s="549"/>
      <c r="BZ13" s="549"/>
      <c r="CA13" s="549"/>
      <c r="CB13" s="549"/>
      <c r="CC13" s="549"/>
      <c r="CD13" s="549"/>
      <c r="CE13" s="549"/>
      <c r="CF13" s="549"/>
      <c r="CG13" s="549"/>
      <c r="CH13" s="549"/>
      <c r="CI13" s="549"/>
      <c r="CJ13" s="549"/>
      <c r="CK13" s="549"/>
      <c r="CL13" s="549"/>
      <c r="CM13" s="549"/>
      <c r="CN13" s="549"/>
      <c r="CO13" s="549"/>
      <c r="CP13" s="549"/>
      <c r="CQ13" s="549"/>
      <c r="CR13" s="549"/>
      <c r="CS13" s="549"/>
      <c r="CT13" s="549"/>
      <c r="CU13" s="549"/>
      <c r="CV13" s="549"/>
      <c r="CW13" s="549"/>
      <c r="CX13" s="549"/>
      <c r="CY13" s="549"/>
      <c r="CZ13" s="549"/>
      <c r="DA13" s="549"/>
      <c r="DB13" s="549"/>
      <c r="DC13" s="549"/>
      <c r="DD13" s="549"/>
      <c r="DE13" s="549"/>
      <c r="DF13" s="549"/>
      <c r="DG13" s="549"/>
      <c r="DH13" s="549"/>
      <c r="DI13" s="549"/>
      <c r="DJ13" s="549"/>
      <c r="DK13" s="549"/>
      <c r="DL13" s="549"/>
      <c r="DM13" s="549"/>
      <c r="DN13" s="549"/>
      <c r="DO13" s="549"/>
      <c r="DP13" s="549"/>
      <c r="DQ13" s="549"/>
      <c r="DR13" s="549"/>
      <c r="DS13" s="549"/>
      <c r="DT13" s="549"/>
      <c r="DU13" s="549"/>
      <c r="DV13" s="549"/>
      <c r="DW13" s="549"/>
      <c r="DX13" s="549"/>
      <c r="DY13" s="549"/>
      <c r="DZ13" s="549"/>
      <c r="EA13" s="549"/>
      <c r="EB13" s="549"/>
      <c r="EC13" s="549"/>
      <c r="ED13" s="549"/>
      <c r="EE13" s="549"/>
      <c r="EF13" s="549"/>
      <c r="EG13" s="549"/>
      <c r="EH13" s="549"/>
      <c r="EI13" s="549"/>
      <c r="EJ13" s="549"/>
      <c r="EK13" s="549"/>
      <c r="EL13" s="549"/>
      <c r="EM13" s="549"/>
      <c r="EN13" s="549"/>
      <c r="EO13" s="549"/>
      <c r="EP13" s="549"/>
      <c r="EQ13" s="549"/>
      <c r="ER13" s="549"/>
      <c r="ES13" s="549"/>
      <c r="ET13" s="549"/>
      <c r="EU13" s="549"/>
      <c r="EV13" s="549"/>
      <c r="EW13" s="549"/>
      <c r="EX13" s="549"/>
      <c r="EY13" s="549"/>
      <c r="EZ13" s="549"/>
      <c r="FA13" s="549"/>
      <c r="FB13" s="549"/>
      <c r="FC13" s="549"/>
      <c r="FD13" s="549"/>
      <c r="FE13" s="549"/>
      <c r="FF13" s="549"/>
      <c r="FG13" s="549"/>
      <c r="FH13" s="549"/>
      <c r="FI13" s="549"/>
      <c r="FJ13" s="549"/>
      <c r="FK13" s="549"/>
      <c r="FL13" s="549"/>
      <c r="FM13" s="549"/>
      <c r="FN13" s="549"/>
      <c r="FO13" s="549"/>
      <c r="FP13" s="549"/>
      <c r="FQ13" s="549"/>
      <c r="FR13" s="549"/>
      <c r="FS13" s="549"/>
      <c r="FT13" s="549"/>
      <c r="FU13" s="549"/>
      <c r="FV13" s="549"/>
      <c r="FW13" s="549"/>
      <c r="FX13" s="549"/>
      <c r="FY13" s="549"/>
      <c r="FZ13" s="549"/>
      <c r="GA13" s="549"/>
      <c r="GB13" s="549"/>
      <c r="GC13" s="549"/>
      <c r="GD13" s="549"/>
      <c r="GE13" s="549"/>
      <c r="GF13" s="549"/>
      <c r="GG13" s="549"/>
      <c r="GH13" s="549"/>
      <c r="GI13" s="549"/>
      <c r="GJ13" s="549"/>
      <c r="GK13" s="549"/>
      <c r="GL13" s="549"/>
      <c r="GM13" s="549"/>
      <c r="GN13" s="549"/>
      <c r="GO13" s="549"/>
      <c r="GP13" s="549"/>
      <c r="GQ13" s="549"/>
      <c r="GR13" s="549"/>
      <c r="GS13" s="549"/>
      <c r="GT13" s="549"/>
      <c r="GU13" s="549"/>
      <c r="GV13" s="549"/>
      <c r="GW13" s="549"/>
      <c r="GX13" s="549"/>
      <c r="GY13" s="549"/>
      <c r="GZ13" s="549"/>
      <c r="HA13" s="549"/>
      <c r="HB13" s="549"/>
      <c r="HC13" s="549"/>
      <c r="HD13" s="549"/>
      <c r="HE13" s="549"/>
      <c r="HF13" s="549"/>
      <c r="HG13" s="549"/>
      <c r="HH13" s="549"/>
      <c r="HI13" s="549"/>
      <c r="HJ13" s="549"/>
      <c r="HK13" s="549"/>
      <c r="HL13" s="549"/>
      <c r="HM13" s="549"/>
      <c r="HN13" s="549"/>
      <c r="HO13" s="549"/>
      <c r="HP13" s="549"/>
      <c r="HQ13" s="549"/>
      <c r="HR13" s="549"/>
      <c r="HS13" s="549"/>
      <c r="HT13" s="549"/>
      <c r="HU13" s="549"/>
      <c r="HV13" s="549"/>
      <c r="HW13" s="533"/>
      <c r="HX13" s="533"/>
      <c r="HY13" s="533"/>
      <c r="HZ13" s="533"/>
      <c r="IA13" s="533"/>
      <c r="IB13" s="533"/>
      <c r="IC13" s="533"/>
      <c r="ID13" s="533"/>
      <c r="IE13" s="533"/>
      <c r="IF13" s="533"/>
      <c r="IG13" s="533"/>
      <c r="IH13" s="533"/>
      <c r="II13" s="533"/>
      <c r="IJ13" s="533"/>
      <c r="IK13" s="533"/>
      <c r="IL13" s="533"/>
      <c r="IM13" s="533"/>
      <c r="IN13" s="533"/>
      <c r="IO13" s="533"/>
      <c r="IP13" s="347"/>
      <c r="IQ13" s="347"/>
      <c r="IR13" s="347"/>
      <c r="IS13" s="347"/>
      <c r="IT13" s="347"/>
      <c r="IU13" s="347"/>
      <c r="IV13" s="347"/>
    </row>
    <row r="14" spans="1:256" s="513" customFormat="1" ht="12.75">
      <c r="A14" s="520"/>
      <c r="B14" s="520"/>
      <c r="C14" s="238"/>
      <c r="D14" s="358">
        <v>70.48</v>
      </c>
      <c r="E14" s="238"/>
      <c r="F14" s="519">
        <v>276038</v>
      </c>
      <c r="G14" s="298">
        <v>40389</v>
      </c>
      <c r="H14" s="540">
        <f t="shared" si="3"/>
        <v>3953.0001432049262</v>
      </c>
      <c r="I14" s="260" t="s">
        <v>92</v>
      </c>
      <c r="J14" s="542">
        <v>57.61</v>
      </c>
      <c r="K14" s="526">
        <v>69.83</v>
      </c>
      <c r="L14" s="540">
        <v>276038</v>
      </c>
      <c r="M14" s="540">
        <f t="shared" si="1"/>
        <v>69.83</v>
      </c>
      <c r="N14" s="540">
        <f t="shared" si="4"/>
        <v>276038</v>
      </c>
      <c r="O14" s="535"/>
      <c r="P14" s="540">
        <f t="shared" si="2"/>
        <v>0</v>
      </c>
      <c r="Q14" s="551">
        <f t="shared" si="5"/>
        <v>0</v>
      </c>
      <c r="R14" s="552"/>
      <c r="S14" s="549"/>
      <c r="T14" s="549"/>
      <c r="U14" s="549"/>
      <c r="V14" s="549"/>
      <c r="W14" s="549"/>
      <c r="X14" s="549"/>
      <c r="Y14" s="549"/>
      <c r="Z14" s="549"/>
      <c r="AA14" s="549"/>
      <c r="AB14" s="549"/>
      <c r="AC14" s="549"/>
      <c r="AD14" s="549"/>
      <c r="AE14" s="549"/>
      <c r="AF14" s="549"/>
      <c r="AG14" s="549"/>
      <c r="AH14" s="549"/>
      <c r="AI14" s="549"/>
      <c r="AJ14" s="549"/>
      <c r="AK14" s="549"/>
      <c r="AL14" s="549"/>
      <c r="AM14" s="549"/>
      <c r="AN14" s="549"/>
      <c r="AO14" s="549"/>
      <c r="AP14" s="549"/>
      <c r="AQ14" s="549"/>
      <c r="AR14" s="549"/>
      <c r="AS14" s="549"/>
      <c r="AT14" s="549"/>
      <c r="AU14" s="549"/>
      <c r="AV14" s="549"/>
      <c r="AW14" s="549"/>
      <c r="AX14" s="549"/>
      <c r="AY14" s="549"/>
      <c r="AZ14" s="549"/>
      <c r="BA14" s="549"/>
      <c r="BB14" s="549"/>
      <c r="BC14" s="549"/>
      <c r="BD14" s="549"/>
      <c r="BE14" s="549"/>
      <c r="BF14" s="549"/>
      <c r="BG14" s="549"/>
      <c r="BH14" s="549"/>
      <c r="BI14" s="549"/>
      <c r="BJ14" s="549"/>
      <c r="BK14" s="549"/>
      <c r="BL14" s="549"/>
      <c r="BM14" s="549"/>
      <c r="BN14" s="549"/>
      <c r="BO14" s="549"/>
      <c r="BP14" s="549"/>
      <c r="BQ14" s="549"/>
      <c r="BR14" s="549"/>
      <c r="BS14" s="549"/>
      <c r="BT14" s="549"/>
      <c r="BU14" s="549"/>
      <c r="BV14" s="549"/>
      <c r="BW14" s="549"/>
      <c r="BX14" s="549"/>
      <c r="BY14" s="549"/>
      <c r="BZ14" s="549"/>
      <c r="CA14" s="549"/>
      <c r="CB14" s="549"/>
      <c r="CC14" s="549"/>
      <c r="CD14" s="549"/>
      <c r="CE14" s="549"/>
      <c r="CF14" s="549"/>
      <c r="CG14" s="549"/>
      <c r="CH14" s="549"/>
      <c r="CI14" s="549"/>
      <c r="CJ14" s="549"/>
      <c r="CK14" s="549"/>
      <c r="CL14" s="549"/>
      <c r="CM14" s="549"/>
      <c r="CN14" s="549"/>
      <c r="CO14" s="549"/>
      <c r="CP14" s="549"/>
      <c r="CQ14" s="549"/>
      <c r="CR14" s="549"/>
      <c r="CS14" s="549"/>
      <c r="CT14" s="549"/>
      <c r="CU14" s="549"/>
      <c r="CV14" s="549"/>
      <c r="CW14" s="549"/>
      <c r="CX14" s="549"/>
      <c r="CY14" s="549"/>
      <c r="CZ14" s="549"/>
      <c r="DA14" s="549"/>
      <c r="DB14" s="549"/>
      <c r="DC14" s="549"/>
      <c r="DD14" s="549"/>
      <c r="DE14" s="549"/>
      <c r="DF14" s="549"/>
      <c r="DG14" s="549"/>
      <c r="DH14" s="549"/>
      <c r="DI14" s="549"/>
      <c r="DJ14" s="549"/>
      <c r="DK14" s="549"/>
      <c r="DL14" s="549"/>
      <c r="DM14" s="549"/>
      <c r="DN14" s="549"/>
      <c r="DO14" s="549"/>
      <c r="DP14" s="549"/>
      <c r="DQ14" s="549"/>
      <c r="DR14" s="549"/>
      <c r="DS14" s="549"/>
      <c r="DT14" s="549"/>
      <c r="DU14" s="549"/>
      <c r="DV14" s="549"/>
      <c r="DW14" s="549"/>
      <c r="DX14" s="549"/>
      <c r="DY14" s="549"/>
      <c r="DZ14" s="549"/>
      <c r="EA14" s="549"/>
      <c r="EB14" s="549"/>
      <c r="EC14" s="549"/>
      <c r="ED14" s="549"/>
      <c r="EE14" s="549"/>
      <c r="EF14" s="549"/>
      <c r="EG14" s="549"/>
      <c r="EH14" s="549"/>
      <c r="EI14" s="549"/>
      <c r="EJ14" s="549"/>
      <c r="EK14" s="549"/>
      <c r="EL14" s="549"/>
      <c r="EM14" s="549"/>
      <c r="EN14" s="549"/>
      <c r="EO14" s="549"/>
      <c r="EP14" s="549"/>
      <c r="EQ14" s="549"/>
      <c r="ER14" s="549"/>
      <c r="ES14" s="549"/>
      <c r="ET14" s="549"/>
      <c r="EU14" s="549"/>
      <c r="EV14" s="549"/>
      <c r="EW14" s="549"/>
      <c r="EX14" s="549"/>
      <c r="EY14" s="549"/>
      <c r="EZ14" s="549"/>
      <c r="FA14" s="549"/>
      <c r="FB14" s="549"/>
      <c r="FC14" s="549"/>
      <c r="FD14" s="549"/>
      <c r="FE14" s="549"/>
      <c r="FF14" s="549"/>
      <c r="FG14" s="549"/>
      <c r="FH14" s="549"/>
      <c r="FI14" s="549"/>
      <c r="FJ14" s="549"/>
      <c r="FK14" s="549"/>
      <c r="FL14" s="549"/>
      <c r="FM14" s="549"/>
      <c r="FN14" s="549"/>
      <c r="FO14" s="549"/>
      <c r="FP14" s="549"/>
      <c r="FQ14" s="549"/>
      <c r="FR14" s="549"/>
      <c r="FS14" s="549"/>
      <c r="FT14" s="549"/>
      <c r="FU14" s="549"/>
      <c r="FV14" s="549"/>
      <c r="FW14" s="549"/>
      <c r="FX14" s="549"/>
      <c r="FY14" s="549"/>
      <c r="FZ14" s="549"/>
      <c r="GA14" s="549"/>
      <c r="GB14" s="549"/>
      <c r="GC14" s="549"/>
      <c r="GD14" s="549"/>
      <c r="GE14" s="549"/>
      <c r="GF14" s="549"/>
      <c r="GG14" s="549"/>
      <c r="GH14" s="549"/>
      <c r="GI14" s="549"/>
      <c r="GJ14" s="549"/>
      <c r="GK14" s="549"/>
      <c r="GL14" s="549"/>
      <c r="GM14" s="549"/>
      <c r="GN14" s="549"/>
      <c r="GO14" s="549"/>
      <c r="GP14" s="549"/>
      <c r="GQ14" s="549"/>
      <c r="GR14" s="549"/>
      <c r="GS14" s="549"/>
      <c r="GT14" s="549"/>
      <c r="GU14" s="549"/>
      <c r="GV14" s="549"/>
      <c r="GW14" s="549"/>
      <c r="GX14" s="549"/>
      <c r="GY14" s="549"/>
      <c r="GZ14" s="549"/>
      <c r="HA14" s="549"/>
      <c r="HB14" s="549"/>
      <c r="HC14" s="549"/>
      <c r="HD14" s="549"/>
      <c r="HE14" s="549"/>
      <c r="HF14" s="549"/>
      <c r="HG14" s="549"/>
      <c r="HH14" s="549"/>
      <c r="HI14" s="549"/>
      <c r="HJ14" s="549"/>
      <c r="HK14" s="549"/>
      <c r="HL14" s="549"/>
      <c r="HM14" s="549"/>
      <c r="HN14" s="549"/>
      <c r="HO14" s="549"/>
      <c r="HP14" s="549"/>
      <c r="HQ14" s="549"/>
      <c r="HR14" s="549"/>
      <c r="HS14" s="549"/>
      <c r="HT14" s="549"/>
      <c r="HU14" s="549"/>
      <c r="HV14" s="549"/>
      <c r="HW14" s="533"/>
      <c r="HX14" s="533"/>
      <c r="HY14" s="533"/>
      <c r="HZ14" s="533"/>
      <c r="IA14" s="533"/>
      <c r="IB14" s="533"/>
      <c r="IC14" s="533"/>
      <c r="ID14" s="533"/>
      <c r="IE14" s="533"/>
      <c r="IF14" s="533"/>
      <c r="IG14" s="533"/>
      <c r="IH14" s="533"/>
      <c r="II14" s="533"/>
      <c r="IJ14" s="533"/>
      <c r="IK14" s="533"/>
      <c r="IL14" s="533"/>
      <c r="IM14" s="533"/>
      <c r="IN14" s="533"/>
      <c r="IO14" s="533"/>
      <c r="IP14" s="347"/>
      <c r="IQ14" s="347"/>
      <c r="IR14" s="347"/>
      <c r="IS14" s="347"/>
      <c r="IT14" s="347"/>
      <c r="IU14" s="347"/>
      <c r="IV14" s="347"/>
    </row>
    <row r="15" spans="1:256" s="513" customFormat="1" ht="12.75">
      <c r="A15" s="520"/>
      <c r="B15" s="520"/>
      <c r="C15" s="238"/>
      <c r="D15" s="358">
        <v>70.48</v>
      </c>
      <c r="E15" s="238"/>
      <c r="F15" s="519">
        <v>347753</v>
      </c>
      <c r="G15" s="298">
        <v>40382</v>
      </c>
      <c r="H15" s="540">
        <f t="shared" si="3"/>
        <v>4979.9942718029497</v>
      </c>
      <c r="I15" s="260" t="s">
        <v>92</v>
      </c>
      <c r="J15" s="542">
        <v>57.61</v>
      </c>
      <c r="K15" s="526">
        <v>69.83</v>
      </c>
      <c r="L15" s="540">
        <v>347753</v>
      </c>
      <c r="M15" s="540">
        <f t="shared" si="1"/>
        <v>69.83</v>
      </c>
      <c r="N15" s="540">
        <f t="shared" si="4"/>
        <v>347753</v>
      </c>
      <c r="O15" s="535"/>
      <c r="P15" s="540">
        <f t="shared" si="2"/>
        <v>0</v>
      </c>
      <c r="Q15" s="551">
        <f t="shared" si="5"/>
        <v>0</v>
      </c>
      <c r="R15" s="552"/>
      <c r="S15" s="549"/>
      <c r="T15" s="549"/>
      <c r="U15" s="549"/>
      <c r="V15" s="549"/>
      <c r="W15" s="549"/>
      <c r="X15" s="549"/>
      <c r="Y15" s="549"/>
      <c r="Z15" s="549"/>
      <c r="AA15" s="549"/>
      <c r="AB15" s="549"/>
      <c r="AC15" s="549"/>
      <c r="AD15" s="549"/>
      <c r="AE15" s="549"/>
      <c r="AF15" s="549"/>
      <c r="AG15" s="549"/>
      <c r="AH15" s="549"/>
      <c r="AI15" s="549"/>
      <c r="AJ15" s="549"/>
      <c r="AK15" s="549"/>
      <c r="AL15" s="549"/>
      <c r="AM15" s="549"/>
      <c r="AN15" s="549"/>
      <c r="AO15" s="549"/>
      <c r="AP15" s="549"/>
      <c r="AQ15" s="549"/>
      <c r="AR15" s="549"/>
      <c r="AS15" s="549"/>
      <c r="AT15" s="549"/>
      <c r="AU15" s="549"/>
      <c r="AV15" s="549"/>
      <c r="AW15" s="549"/>
      <c r="AX15" s="549"/>
      <c r="AY15" s="549"/>
      <c r="AZ15" s="549"/>
      <c r="BA15" s="549"/>
      <c r="BB15" s="549"/>
      <c r="BC15" s="549"/>
      <c r="BD15" s="549"/>
      <c r="BE15" s="549"/>
      <c r="BF15" s="549"/>
      <c r="BG15" s="549"/>
      <c r="BH15" s="549"/>
      <c r="BI15" s="549"/>
      <c r="BJ15" s="549"/>
      <c r="BK15" s="549"/>
      <c r="BL15" s="549"/>
      <c r="BM15" s="549"/>
      <c r="BN15" s="549"/>
      <c r="BO15" s="549"/>
      <c r="BP15" s="549"/>
      <c r="BQ15" s="549"/>
      <c r="BR15" s="549"/>
      <c r="BS15" s="549"/>
      <c r="BT15" s="549"/>
      <c r="BU15" s="549"/>
      <c r="BV15" s="549"/>
      <c r="BW15" s="549"/>
      <c r="BX15" s="549"/>
      <c r="BY15" s="549"/>
      <c r="BZ15" s="549"/>
      <c r="CA15" s="549"/>
      <c r="CB15" s="549"/>
      <c r="CC15" s="549"/>
      <c r="CD15" s="549"/>
      <c r="CE15" s="549"/>
      <c r="CF15" s="549"/>
      <c r="CG15" s="549"/>
      <c r="CH15" s="549"/>
      <c r="CI15" s="549"/>
      <c r="CJ15" s="549"/>
      <c r="CK15" s="549"/>
      <c r="CL15" s="549"/>
      <c r="CM15" s="549"/>
      <c r="CN15" s="549"/>
      <c r="CO15" s="549"/>
      <c r="CP15" s="549"/>
      <c r="CQ15" s="549"/>
      <c r="CR15" s="549"/>
      <c r="CS15" s="549"/>
      <c r="CT15" s="549"/>
      <c r="CU15" s="549"/>
      <c r="CV15" s="549"/>
      <c r="CW15" s="549"/>
      <c r="CX15" s="549"/>
      <c r="CY15" s="549"/>
      <c r="CZ15" s="549"/>
      <c r="DA15" s="549"/>
      <c r="DB15" s="549"/>
      <c r="DC15" s="549"/>
      <c r="DD15" s="549"/>
      <c r="DE15" s="549"/>
      <c r="DF15" s="549"/>
      <c r="DG15" s="549"/>
      <c r="DH15" s="549"/>
      <c r="DI15" s="549"/>
      <c r="DJ15" s="549"/>
      <c r="DK15" s="549"/>
      <c r="DL15" s="549"/>
      <c r="DM15" s="549"/>
      <c r="DN15" s="549"/>
      <c r="DO15" s="549"/>
      <c r="DP15" s="549"/>
      <c r="DQ15" s="549"/>
      <c r="DR15" s="549"/>
      <c r="DS15" s="549"/>
      <c r="DT15" s="549"/>
      <c r="DU15" s="549"/>
      <c r="DV15" s="549"/>
      <c r="DW15" s="549"/>
      <c r="DX15" s="549"/>
      <c r="DY15" s="549"/>
      <c r="DZ15" s="549"/>
      <c r="EA15" s="549"/>
      <c r="EB15" s="549"/>
      <c r="EC15" s="549"/>
      <c r="ED15" s="549"/>
      <c r="EE15" s="549"/>
      <c r="EF15" s="549"/>
      <c r="EG15" s="549"/>
      <c r="EH15" s="549"/>
      <c r="EI15" s="549"/>
      <c r="EJ15" s="549"/>
      <c r="EK15" s="549"/>
      <c r="EL15" s="549"/>
      <c r="EM15" s="549"/>
      <c r="EN15" s="549"/>
      <c r="EO15" s="549"/>
      <c r="EP15" s="549"/>
      <c r="EQ15" s="549"/>
      <c r="ER15" s="549"/>
      <c r="ES15" s="549"/>
      <c r="ET15" s="549"/>
      <c r="EU15" s="549"/>
      <c r="EV15" s="549"/>
      <c r="EW15" s="549"/>
      <c r="EX15" s="549"/>
      <c r="EY15" s="549"/>
      <c r="EZ15" s="549"/>
      <c r="FA15" s="549"/>
      <c r="FB15" s="549"/>
      <c r="FC15" s="549"/>
      <c r="FD15" s="549"/>
      <c r="FE15" s="549"/>
      <c r="FF15" s="549"/>
      <c r="FG15" s="549"/>
      <c r="FH15" s="549"/>
      <c r="FI15" s="549"/>
      <c r="FJ15" s="549"/>
      <c r="FK15" s="549"/>
      <c r="FL15" s="549"/>
      <c r="FM15" s="549"/>
      <c r="FN15" s="549"/>
      <c r="FO15" s="549"/>
      <c r="FP15" s="549"/>
      <c r="FQ15" s="549"/>
      <c r="FR15" s="549"/>
      <c r="FS15" s="549"/>
      <c r="FT15" s="549"/>
      <c r="FU15" s="549"/>
      <c r="FV15" s="549"/>
      <c r="FW15" s="549"/>
      <c r="FX15" s="549"/>
      <c r="FY15" s="549"/>
      <c r="FZ15" s="549"/>
      <c r="GA15" s="549"/>
      <c r="GB15" s="549"/>
      <c r="GC15" s="549"/>
      <c r="GD15" s="549"/>
      <c r="GE15" s="549"/>
      <c r="GF15" s="549"/>
      <c r="GG15" s="549"/>
      <c r="GH15" s="549"/>
      <c r="GI15" s="549"/>
      <c r="GJ15" s="549"/>
      <c r="GK15" s="549"/>
      <c r="GL15" s="549"/>
      <c r="GM15" s="549"/>
      <c r="GN15" s="549"/>
      <c r="GO15" s="549"/>
      <c r="GP15" s="549"/>
      <c r="GQ15" s="549"/>
      <c r="GR15" s="549"/>
      <c r="GS15" s="549"/>
      <c r="GT15" s="549"/>
      <c r="GU15" s="549"/>
      <c r="GV15" s="549"/>
      <c r="GW15" s="549"/>
      <c r="GX15" s="549"/>
      <c r="GY15" s="549"/>
      <c r="GZ15" s="549"/>
      <c r="HA15" s="549"/>
      <c r="HB15" s="549"/>
      <c r="HC15" s="549"/>
      <c r="HD15" s="549"/>
      <c r="HE15" s="549"/>
      <c r="HF15" s="549"/>
      <c r="HG15" s="549"/>
      <c r="HH15" s="549"/>
      <c r="HI15" s="549"/>
      <c r="HJ15" s="549"/>
      <c r="HK15" s="549"/>
      <c r="HL15" s="549"/>
      <c r="HM15" s="549"/>
      <c r="HN15" s="549"/>
      <c r="HO15" s="549"/>
      <c r="HP15" s="549"/>
      <c r="HQ15" s="549"/>
      <c r="HR15" s="549"/>
      <c r="HS15" s="549"/>
      <c r="HT15" s="549"/>
      <c r="HU15" s="549"/>
      <c r="HV15" s="549"/>
      <c r="HW15" s="533"/>
      <c r="HX15" s="533"/>
      <c r="HY15" s="533"/>
      <c r="HZ15" s="533"/>
      <c r="IA15" s="533"/>
      <c r="IB15" s="533"/>
      <c r="IC15" s="533"/>
      <c r="ID15" s="533"/>
      <c r="IE15" s="533"/>
      <c r="IF15" s="533"/>
      <c r="IG15" s="533"/>
      <c r="IH15" s="533"/>
      <c r="II15" s="533"/>
      <c r="IJ15" s="533"/>
      <c r="IK15" s="533"/>
      <c r="IL15" s="533"/>
      <c r="IM15" s="533"/>
      <c r="IN15" s="533"/>
      <c r="IO15" s="533"/>
      <c r="IP15" s="347"/>
      <c r="IQ15" s="347"/>
      <c r="IR15" s="347"/>
      <c r="IS15" s="347"/>
      <c r="IT15" s="347"/>
      <c r="IU15" s="347"/>
      <c r="IV15" s="347"/>
    </row>
    <row r="16" spans="1:256" s="513" customFormat="1" ht="12.75">
      <c r="A16" s="520"/>
      <c r="B16" s="520"/>
      <c r="C16" s="238"/>
      <c r="D16" s="358">
        <v>70.48</v>
      </c>
      <c r="E16" s="238"/>
      <c r="F16" s="519">
        <v>445515</v>
      </c>
      <c r="G16" s="298">
        <v>40548</v>
      </c>
      <c r="H16" s="540">
        <f t="shared" si="3"/>
        <v>6379.9942718029506</v>
      </c>
      <c r="I16" s="260" t="s">
        <v>92</v>
      </c>
      <c r="J16" s="542">
        <v>57.61</v>
      </c>
      <c r="K16" s="526">
        <v>69.83</v>
      </c>
      <c r="L16" s="540">
        <v>445515</v>
      </c>
      <c r="M16" s="540">
        <f t="shared" si="1"/>
        <v>69.83</v>
      </c>
      <c r="N16" s="540">
        <f t="shared" si="4"/>
        <v>445515</v>
      </c>
      <c r="O16" s="535"/>
      <c r="P16" s="540">
        <f t="shared" si="2"/>
        <v>0</v>
      </c>
      <c r="Q16" s="551">
        <f t="shared" si="5"/>
        <v>0</v>
      </c>
      <c r="R16" s="552"/>
      <c r="S16" s="549"/>
      <c r="T16" s="549"/>
      <c r="U16" s="549"/>
      <c r="V16" s="549"/>
      <c r="W16" s="549"/>
      <c r="X16" s="549"/>
      <c r="Y16" s="549"/>
      <c r="Z16" s="549"/>
      <c r="AA16" s="549"/>
      <c r="AB16" s="549"/>
      <c r="AC16" s="549"/>
      <c r="AD16" s="549"/>
      <c r="AE16" s="549"/>
      <c r="AF16" s="549"/>
      <c r="AG16" s="549"/>
      <c r="AH16" s="549"/>
      <c r="AI16" s="549"/>
      <c r="AJ16" s="549"/>
      <c r="AK16" s="549"/>
      <c r="AL16" s="549"/>
      <c r="AM16" s="549"/>
      <c r="AN16" s="549"/>
      <c r="AO16" s="549"/>
      <c r="AP16" s="549"/>
      <c r="AQ16" s="549"/>
      <c r="AR16" s="549"/>
      <c r="AS16" s="549"/>
      <c r="AT16" s="549"/>
      <c r="AU16" s="549"/>
      <c r="AV16" s="549"/>
      <c r="AW16" s="549"/>
      <c r="AX16" s="549"/>
      <c r="AY16" s="549"/>
      <c r="AZ16" s="549"/>
      <c r="BA16" s="549"/>
      <c r="BB16" s="549"/>
      <c r="BC16" s="549"/>
      <c r="BD16" s="549"/>
      <c r="BE16" s="549"/>
      <c r="BF16" s="549"/>
      <c r="BG16" s="549"/>
      <c r="BH16" s="549"/>
      <c r="BI16" s="549"/>
      <c r="BJ16" s="549"/>
      <c r="BK16" s="549"/>
      <c r="BL16" s="549"/>
      <c r="BM16" s="549"/>
      <c r="BN16" s="549"/>
      <c r="BO16" s="549"/>
      <c r="BP16" s="549"/>
      <c r="BQ16" s="549"/>
      <c r="BR16" s="549"/>
      <c r="BS16" s="549"/>
      <c r="BT16" s="549"/>
      <c r="BU16" s="549"/>
      <c r="BV16" s="549"/>
      <c r="BW16" s="549"/>
      <c r="BX16" s="549"/>
      <c r="BY16" s="549"/>
      <c r="BZ16" s="549"/>
      <c r="CA16" s="549"/>
      <c r="CB16" s="549"/>
      <c r="CC16" s="549"/>
      <c r="CD16" s="549"/>
      <c r="CE16" s="549"/>
      <c r="CF16" s="549"/>
      <c r="CG16" s="549"/>
      <c r="CH16" s="549"/>
      <c r="CI16" s="549"/>
      <c r="CJ16" s="549"/>
      <c r="CK16" s="549"/>
      <c r="CL16" s="549"/>
      <c r="CM16" s="549"/>
      <c r="CN16" s="549"/>
      <c r="CO16" s="549"/>
      <c r="CP16" s="549"/>
      <c r="CQ16" s="549"/>
      <c r="CR16" s="549"/>
      <c r="CS16" s="549"/>
      <c r="CT16" s="549"/>
      <c r="CU16" s="549"/>
      <c r="CV16" s="549"/>
      <c r="CW16" s="549"/>
      <c r="CX16" s="549"/>
      <c r="CY16" s="549"/>
      <c r="CZ16" s="549"/>
      <c r="DA16" s="549"/>
      <c r="DB16" s="549"/>
      <c r="DC16" s="549"/>
      <c r="DD16" s="549"/>
      <c r="DE16" s="549"/>
      <c r="DF16" s="549"/>
      <c r="DG16" s="549"/>
      <c r="DH16" s="549"/>
      <c r="DI16" s="549"/>
      <c r="DJ16" s="549"/>
      <c r="DK16" s="549"/>
      <c r="DL16" s="549"/>
      <c r="DM16" s="549"/>
      <c r="DN16" s="549"/>
      <c r="DO16" s="549"/>
      <c r="DP16" s="549"/>
      <c r="DQ16" s="549"/>
      <c r="DR16" s="549"/>
      <c r="DS16" s="549"/>
      <c r="DT16" s="549"/>
      <c r="DU16" s="549"/>
      <c r="DV16" s="549"/>
      <c r="DW16" s="549"/>
      <c r="DX16" s="549"/>
      <c r="DY16" s="549"/>
      <c r="DZ16" s="549"/>
      <c r="EA16" s="549"/>
      <c r="EB16" s="549"/>
      <c r="EC16" s="549"/>
      <c r="ED16" s="549"/>
      <c r="EE16" s="549"/>
      <c r="EF16" s="549"/>
      <c r="EG16" s="549"/>
      <c r="EH16" s="549"/>
      <c r="EI16" s="549"/>
      <c r="EJ16" s="549"/>
      <c r="EK16" s="549"/>
      <c r="EL16" s="549"/>
      <c r="EM16" s="549"/>
      <c r="EN16" s="549"/>
      <c r="EO16" s="549"/>
      <c r="EP16" s="549"/>
      <c r="EQ16" s="549"/>
      <c r="ER16" s="549"/>
      <c r="ES16" s="549"/>
      <c r="ET16" s="549"/>
      <c r="EU16" s="549"/>
      <c r="EV16" s="549"/>
      <c r="EW16" s="549"/>
      <c r="EX16" s="549"/>
      <c r="EY16" s="549"/>
      <c r="EZ16" s="549"/>
      <c r="FA16" s="549"/>
      <c r="FB16" s="549"/>
      <c r="FC16" s="549"/>
      <c r="FD16" s="549"/>
      <c r="FE16" s="549"/>
      <c r="FF16" s="549"/>
      <c r="FG16" s="549"/>
      <c r="FH16" s="549"/>
      <c r="FI16" s="549"/>
      <c r="FJ16" s="549"/>
      <c r="FK16" s="549"/>
      <c r="FL16" s="549"/>
      <c r="FM16" s="549"/>
      <c r="FN16" s="549"/>
      <c r="FO16" s="549"/>
      <c r="FP16" s="549"/>
      <c r="FQ16" s="549"/>
      <c r="FR16" s="549"/>
      <c r="FS16" s="549"/>
      <c r="FT16" s="549"/>
      <c r="FU16" s="549"/>
      <c r="FV16" s="549"/>
      <c r="FW16" s="549"/>
      <c r="FX16" s="549"/>
      <c r="FY16" s="549"/>
      <c r="FZ16" s="549"/>
      <c r="GA16" s="549"/>
      <c r="GB16" s="549"/>
      <c r="GC16" s="549"/>
      <c r="GD16" s="549"/>
      <c r="GE16" s="549"/>
      <c r="GF16" s="549"/>
      <c r="GG16" s="549"/>
      <c r="GH16" s="549"/>
      <c r="GI16" s="549"/>
      <c r="GJ16" s="549"/>
      <c r="GK16" s="549"/>
      <c r="GL16" s="549"/>
      <c r="GM16" s="549"/>
      <c r="GN16" s="549"/>
      <c r="GO16" s="549"/>
      <c r="GP16" s="549"/>
      <c r="GQ16" s="549"/>
      <c r="GR16" s="549"/>
      <c r="GS16" s="549"/>
      <c r="GT16" s="549"/>
      <c r="GU16" s="549"/>
      <c r="GV16" s="549"/>
      <c r="GW16" s="549"/>
      <c r="GX16" s="549"/>
      <c r="GY16" s="549"/>
      <c r="GZ16" s="549"/>
      <c r="HA16" s="549"/>
      <c r="HB16" s="549"/>
      <c r="HC16" s="549"/>
      <c r="HD16" s="549"/>
      <c r="HE16" s="549"/>
      <c r="HF16" s="549"/>
      <c r="HG16" s="549"/>
      <c r="HH16" s="549"/>
      <c r="HI16" s="549"/>
      <c r="HJ16" s="549"/>
      <c r="HK16" s="549"/>
      <c r="HL16" s="549"/>
      <c r="HM16" s="549"/>
      <c r="HN16" s="549"/>
      <c r="HO16" s="549"/>
      <c r="HP16" s="549"/>
      <c r="HQ16" s="549"/>
      <c r="HR16" s="549"/>
      <c r="HS16" s="549"/>
      <c r="HT16" s="549"/>
      <c r="HU16" s="549"/>
      <c r="HV16" s="549"/>
      <c r="HW16" s="533"/>
      <c r="HX16" s="533"/>
      <c r="HY16" s="533"/>
      <c r="HZ16" s="533"/>
      <c r="IA16" s="533"/>
      <c r="IB16" s="533"/>
      <c r="IC16" s="533"/>
      <c r="ID16" s="533"/>
      <c r="IE16" s="533"/>
      <c r="IF16" s="533"/>
      <c r="IG16" s="533"/>
      <c r="IH16" s="533"/>
      <c r="II16" s="533"/>
      <c r="IJ16" s="533"/>
      <c r="IK16" s="533"/>
      <c r="IL16" s="533"/>
      <c r="IM16" s="533"/>
      <c r="IN16" s="533"/>
      <c r="IO16" s="533"/>
      <c r="IP16" s="347"/>
      <c r="IQ16" s="347"/>
      <c r="IR16" s="347"/>
      <c r="IS16" s="347"/>
      <c r="IT16" s="347"/>
      <c r="IU16" s="347"/>
      <c r="IV16" s="347"/>
    </row>
    <row r="17" spans="1:256" s="513" customFormat="1" ht="12.75">
      <c r="A17" s="520"/>
      <c r="B17" s="520"/>
      <c r="C17" s="238"/>
      <c r="D17" s="358">
        <v>70.48</v>
      </c>
      <c r="E17" s="238"/>
      <c r="F17" s="519">
        <v>449006</v>
      </c>
      <c r="G17" s="298">
        <v>40548</v>
      </c>
      <c r="H17" s="540">
        <f t="shared" si="3"/>
        <v>6429.9871115566375</v>
      </c>
      <c r="I17" s="260" t="s">
        <v>92</v>
      </c>
      <c r="J17" s="542">
        <v>57.61</v>
      </c>
      <c r="K17" s="526">
        <v>69.83</v>
      </c>
      <c r="L17" s="540">
        <v>449006</v>
      </c>
      <c r="M17" s="540">
        <f t="shared" si="1"/>
        <v>69.83</v>
      </c>
      <c r="N17" s="540">
        <f t="shared" si="4"/>
        <v>449006</v>
      </c>
      <c r="O17" s="535"/>
      <c r="P17" s="540">
        <f t="shared" si="2"/>
        <v>0</v>
      </c>
      <c r="Q17" s="551">
        <f t="shared" si="5"/>
        <v>0</v>
      </c>
      <c r="R17" s="552"/>
      <c r="S17" s="549"/>
      <c r="T17" s="549"/>
      <c r="U17" s="549"/>
      <c r="V17" s="549"/>
      <c r="W17" s="549"/>
      <c r="X17" s="549"/>
      <c r="Y17" s="549"/>
      <c r="Z17" s="549"/>
      <c r="AA17" s="549"/>
      <c r="AB17" s="549"/>
      <c r="AC17" s="549"/>
      <c r="AD17" s="549"/>
      <c r="AE17" s="549"/>
      <c r="AF17" s="549"/>
      <c r="AG17" s="549"/>
      <c r="AH17" s="549"/>
      <c r="AI17" s="549"/>
      <c r="AJ17" s="549"/>
      <c r="AK17" s="549"/>
      <c r="AL17" s="549"/>
      <c r="AM17" s="549"/>
      <c r="AN17" s="549"/>
      <c r="AO17" s="549"/>
      <c r="AP17" s="549"/>
      <c r="AQ17" s="549"/>
      <c r="AR17" s="549"/>
      <c r="AS17" s="549"/>
      <c r="AT17" s="549"/>
      <c r="AU17" s="549"/>
      <c r="AV17" s="549"/>
      <c r="AW17" s="549"/>
      <c r="AX17" s="549"/>
      <c r="AY17" s="549"/>
      <c r="AZ17" s="549"/>
      <c r="BA17" s="549"/>
      <c r="BB17" s="549"/>
      <c r="BC17" s="549"/>
      <c r="BD17" s="549"/>
      <c r="BE17" s="549"/>
      <c r="BF17" s="549"/>
      <c r="BG17" s="549"/>
      <c r="BH17" s="549"/>
      <c r="BI17" s="549"/>
      <c r="BJ17" s="549"/>
      <c r="BK17" s="549"/>
      <c r="BL17" s="549"/>
      <c r="BM17" s="549"/>
      <c r="BN17" s="549"/>
      <c r="BO17" s="549"/>
      <c r="BP17" s="549"/>
      <c r="BQ17" s="549"/>
      <c r="BR17" s="549"/>
      <c r="BS17" s="549"/>
      <c r="BT17" s="549"/>
      <c r="BU17" s="549"/>
      <c r="BV17" s="549"/>
      <c r="BW17" s="549"/>
      <c r="BX17" s="549"/>
      <c r="BY17" s="549"/>
      <c r="BZ17" s="549"/>
      <c r="CA17" s="549"/>
      <c r="CB17" s="549"/>
      <c r="CC17" s="549"/>
      <c r="CD17" s="549"/>
      <c r="CE17" s="549"/>
      <c r="CF17" s="549"/>
      <c r="CG17" s="549"/>
      <c r="CH17" s="549"/>
      <c r="CI17" s="549"/>
      <c r="CJ17" s="549"/>
      <c r="CK17" s="549"/>
      <c r="CL17" s="549"/>
      <c r="CM17" s="549"/>
      <c r="CN17" s="549"/>
      <c r="CO17" s="549"/>
      <c r="CP17" s="549"/>
      <c r="CQ17" s="549"/>
      <c r="CR17" s="549"/>
      <c r="CS17" s="549"/>
      <c r="CT17" s="549"/>
      <c r="CU17" s="549"/>
      <c r="CV17" s="549"/>
      <c r="CW17" s="549"/>
      <c r="CX17" s="549"/>
      <c r="CY17" s="549"/>
      <c r="CZ17" s="549"/>
      <c r="DA17" s="549"/>
      <c r="DB17" s="549"/>
      <c r="DC17" s="549"/>
      <c r="DD17" s="549"/>
      <c r="DE17" s="549"/>
      <c r="DF17" s="549"/>
      <c r="DG17" s="549"/>
      <c r="DH17" s="549"/>
      <c r="DI17" s="549"/>
      <c r="DJ17" s="549"/>
      <c r="DK17" s="549"/>
      <c r="DL17" s="549"/>
      <c r="DM17" s="549"/>
      <c r="DN17" s="549"/>
      <c r="DO17" s="549"/>
      <c r="DP17" s="549"/>
      <c r="DQ17" s="549"/>
      <c r="DR17" s="549"/>
      <c r="DS17" s="549"/>
      <c r="DT17" s="549"/>
      <c r="DU17" s="549"/>
      <c r="DV17" s="549"/>
      <c r="DW17" s="549"/>
      <c r="DX17" s="549"/>
      <c r="DY17" s="549"/>
      <c r="DZ17" s="549"/>
      <c r="EA17" s="549"/>
      <c r="EB17" s="549"/>
      <c r="EC17" s="549"/>
      <c r="ED17" s="549"/>
      <c r="EE17" s="549"/>
      <c r="EF17" s="549"/>
      <c r="EG17" s="549"/>
      <c r="EH17" s="549"/>
      <c r="EI17" s="549"/>
      <c r="EJ17" s="549"/>
      <c r="EK17" s="549"/>
      <c r="EL17" s="549"/>
      <c r="EM17" s="549"/>
      <c r="EN17" s="549"/>
      <c r="EO17" s="549"/>
      <c r="EP17" s="549"/>
      <c r="EQ17" s="549"/>
      <c r="ER17" s="549"/>
      <c r="ES17" s="549"/>
      <c r="ET17" s="549"/>
      <c r="EU17" s="549"/>
      <c r="EV17" s="549"/>
      <c r="EW17" s="549"/>
      <c r="EX17" s="549"/>
      <c r="EY17" s="549"/>
      <c r="EZ17" s="549"/>
      <c r="FA17" s="549"/>
      <c r="FB17" s="549"/>
      <c r="FC17" s="549"/>
      <c r="FD17" s="549"/>
      <c r="FE17" s="549"/>
      <c r="FF17" s="549"/>
      <c r="FG17" s="549"/>
      <c r="FH17" s="549"/>
      <c r="FI17" s="549"/>
      <c r="FJ17" s="549"/>
      <c r="FK17" s="549"/>
      <c r="FL17" s="549"/>
      <c r="FM17" s="549"/>
      <c r="FN17" s="549"/>
      <c r="FO17" s="549"/>
      <c r="FP17" s="549"/>
      <c r="FQ17" s="549"/>
      <c r="FR17" s="549"/>
      <c r="FS17" s="549"/>
      <c r="FT17" s="549"/>
      <c r="FU17" s="549"/>
      <c r="FV17" s="549"/>
      <c r="FW17" s="549"/>
      <c r="FX17" s="549"/>
      <c r="FY17" s="549"/>
      <c r="FZ17" s="549"/>
      <c r="GA17" s="549"/>
      <c r="GB17" s="549"/>
      <c r="GC17" s="549"/>
      <c r="GD17" s="549"/>
      <c r="GE17" s="549"/>
      <c r="GF17" s="549"/>
      <c r="GG17" s="549"/>
      <c r="GH17" s="549"/>
      <c r="GI17" s="549"/>
      <c r="GJ17" s="549"/>
      <c r="GK17" s="549"/>
      <c r="GL17" s="549"/>
      <c r="GM17" s="549"/>
      <c r="GN17" s="549"/>
      <c r="GO17" s="549"/>
      <c r="GP17" s="549"/>
      <c r="GQ17" s="549"/>
      <c r="GR17" s="549"/>
      <c r="GS17" s="549"/>
      <c r="GT17" s="549"/>
      <c r="GU17" s="549"/>
      <c r="GV17" s="549"/>
      <c r="GW17" s="549"/>
      <c r="GX17" s="549"/>
      <c r="GY17" s="549"/>
      <c r="GZ17" s="549"/>
      <c r="HA17" s="549"/>
      <c r="HB17" s="549"/>
      <c r="HC17" s="549"/>
      <c r="HD17" s="549"/>
      <c r="HE17" s="549"/>
      <c r="HF17" s="549"/>
      <c r="HG17" s="549"/>
      <c r="HH17" s="549"/>
      <c r="HI17" s="549"/>
      <c r="HJ17" s="549"/>
      <c r="HK17" s="549"/>
      <c r="HL17" s="549"/>
      <c r="HM17" s="549"/>
      <c r="HN17" s="549"/>
      <c r="HO17" s="549"/>
      <c r="HP17" s="549"/>
      <c r="HQ17" s="549"/>
      <c r="HR17" s="549"/>
      <c r="HS17" s="549"/>
      <c r="HT17" s="549"/>
      <c r="HU17" s="549"/>
      <c r="HV17" s="549"/>
      <c r="HW17" s="533"/>
      <c r="HX17" s="533"/>
      <c r="HY17" s="533"/>
      <c r="HZ17" s="533"/>
      <c r="IA17" s="533"/>
      <c r="IB17" s="533"/>
      <c r="IC17" s="533"/>
      <c r="ID17" s="533"/>
      <c r="IE17" s="533"/>
      <c r="IF17" s="533"/>
      <c r="IG17" s="533"/>
      <c r="IH17" s="533"/>
      <c r="II17" s="533"/>
      <c r="IJ17" s="533"/>
      <c r="IK17" s="533"/>
      <c r="IL17" s="533"/>
      <c r="IM17" s="533"/>
      <c r="IN17" s="533"/>
      <c r="IO17" s="533"/>
      <c r="IP17" s="347"/>
      <c r="IQ17" s="347"/>
      <c r="IR17" s="347"/>
      <c r="IS17" s="347"/>
      <c r="IT17" s="347"/>
      <c r="IU17" s="347"/>
      <c r="IV17" s="347"/>
    </row>
    <row r="18" spans="1:256" s="513" customFormat="1" ht="12.75">
      <c r="A18" s="520"/>
      <c r="B18" s="520"/>
      <c r="C18" s="238"/>
      <c r="D18" s="358">
        <v>69.83</v>
      </c>
      <c r="E18" s="238"/>
      <c r="F18" s="519">
        <v>425055</v>
      </c>
      <c r="G18" s="298">
        <v>40801</v>
      </c>
      <c r="H18" s="540">
        <f t="shared" si="3"/>
        <v>6086.9969926965487</v>
      </c>
      <c r="I18" s="260" t="s">
        <v>92</v>
      </c>
      <c r="J18" s="542">
        <v>57.61</v>
      </c>
      <c r="K18" s="526">
        <v>69.83</v>
      </c>
      <c r="L18" s="544">
        <v>425055</v>
      </c>
      <c r="M18" s="540">
        <f t="shared" si="1"/>
        <v>69.83</v>
      </c>
      <c r="N18" s="540">
        <f t="shared" si="4"/>
        <v>425055</v>
      </c>
      <c r="O18" s="535"/>
      <c r="P18" s="540">
        <f t="shared" si="2"/>
        <v>0</v>
      </c>
      <c r="Q18" s="551">
        <f t="shared" si="5"/>
        <v>0</v>
      </c>
      <c r="R18" s="552"/>
      <c r="S18" s="549"/>
      <c r="T18" s="549"/>
      <c r="U18" s="549"/>
      <c r="V18" s="549"/>
      <c r="W18" s="549"/>
      <c r="X18" s="549"/>
      <c r="Y18" s="549"/>
      <c r="Z18" s="549"/>
      <c r="AA18" s="549"/>
      <c r="AB18" s="549"/>
      <c r="AC18" s="549"/>
      <c r="AD18" s="549"/>
      <c r="AE18" s="549"/>
      <c r="AF18" s="549"/>
      <c r="AG18" s="549"/>
      <c r="AH18" s="549"/>
      <c r="AI18" s="549"/>
      <c r="AJ18" s="549"/>
      <c r="AK18" s="549"/>
      <c r="AL18" s="549"/>
      <c r="AM18" s="549"/>
      <c r="AN18" s="549"/>
      <c r="AO18" s="549"/>
      <c r="AP18" s="549"/>
      <c r="AQ18" s="549"/>
      <c r="AR18" s="549"/>
      <c r="AS18" s="549"/>
      <c r="AT18" s="549"/>
      <c r="AU18" s="549"/>
      <c r="AV18" s="549"/>
      <c r="AW18" s="549"/>
      <c r="AX18" s="549"/>
      <c r="AY18" s="549"/>
      <c r="AZ18" s="549"/>
      <c r="BA18" s="549"/>
      <c r="BB18" s="549"/>
      <c r="BC18" s="549"/>
      <c r="BD18" s="549"/>
      <c r="BE18" s="549"/>
      <c r="BF18" s="549"/>
      <c r="BG18" s="549"/>
      <c r="BH18" s="549"/>
      <c r="BI18" s="549"/>
      <c r="BJ18" s="549"/>
      <c r="BK18" s="549"/>
      <c r="BL18" s="549"/>
      <c r="BM18" s="549"/>
      <c r="BN18" s="549"/>
      <c r="BO18" s="549"/>
      <c r="BP18" s="549"/>
      <c r="BQ18" s="549"/>
      <c r="BR18" s="549"/>
      <c r="BS18" s="549"/>
      <c r="BT18" s="549"/>
      <c r="BU18" s="549"/>
      <c r="BV18" s="549"/>
      <c r="BW18" s="549"/>
      <c r="BX18" s="549"/>
      <c r="BY18" s="549"/>
      <c r="BZ18" s="549"/>
      <c r="CA18" s="549"/>
      <c r="CB18" s="549"/>
      <c r="CC18" s="549"/>
      <c r="CD18" s="549"/>
      <c r="CE18" s="549"/>
      <c r="CF18" s="549"/>
      <c r="CG18" s="549"/>
      <c r="CH18" s="549"/>
      <c r="CI18" s="549"/>
      <c r="CJ18" s="549"/>
      <c r="CK18" s="549"/>
      <c r="CL18" s="549"/>
      <c r="CM18" s="549"/>
      <c r="CN18" s="549"/>
      <c r="CO18" s="549"/>
      <c r="CP18" s="549"/>
      <c r="CQ18" s="549"/>
      <c r="CR18" s="549"/>
      <c r="CS18" s="549"/>
      <c r="CT18" s="549"/>
      <c r="CU18" s="549"/>
      <c r="CV18" s="549"/>
      <c r="CW18" s="549"/>
      <c r="CX18" s="549"/>
      <c r="CY18" s="549"/>
      <c r="CZ18" s="549"/>
      <c r="DA18" s="549"/>
      <c r="DB18" s="549"/>
      <c r="DC18" s="549"/>
      <c r="DD18" s="549"/>
      <c r="DE18" s="549"/>
      <c r="DF18" s="549"/>
      <c r="DG18" s="549"/>
      <c r="DH18" s="549"/>
      <c r="DI18" s="549"/>
      <c r="DJ18" s="549"/>
      <c r="DK18" s="549"/>
      <c r="DL18" s="549"/>
      <c r="DM18" s="549"/>
      <c r="DN18" s="549"/>
      <c r="DO18" s="549"/>
      <c r="DP18" s="549"/>
      <c r="DQ18" s="549"/>
      <c r="DR18" s="549"/>
      <c r="DS18" s="549"/>
      <c r="DT18" s="549"/>
      <c r="DU18" s="549"/>
      <c r="DV18" s="549"/>
      <c r="DW18" s="549"/>
      <c r="DX18" s="549"/>
      <c r="DY18" s="549"/>
      <c r="DZ18" s="549"/>
      <c r="EA18" s="549"/>
      <c r="EB18" s="549"/>
      <c r="EC18" s="549"/>
      <c r="ED18" s="549"/>
      <c r="EE18" s="549"/>
      <c r="EF18" s="549"/>
      <c r="EG18" s="549"/>
      <c r="EH18" s="549"/>
      <c r="EI18" s="549"/>
      <c r="EJ18" s="549"/>
      <c r="EK18" s="549"/>
      <c r="EL18" s="549"/>
      <c r="EM18" s="549"/>
      <c r="EN18" s="549"/>
      <c r="EO18" s="549"/>
      <c r="EP18" s="549"/>
      <c r="EQ18" s="549"/>
      <c r="ER18" s="549"/>
      <c r="ES18" s="549"/>
      <c r="ET18" s="549"/>
      <c r="EU18" s="549"/>
      <c r="EV18" s="549"/>
      <c r="EW18" s="549"/>
      <c r="EX18" s="549"/>
      <c r="EY18" s="549"/>
      <c r="EZ18" s="549"/>
      <c r="FA18" s="549"/>
      <c r="FB18" s="549"/>
      <c r="FC18" s="549"/>
      <c r="FD18" s="549"/>
      <c r="FE18" s="549"/>
      <c r="FF18" s="549"/>
      <c r="FG18" s="549"/>
      <c r="FH18" s="549"/>
      <c r="FI18" s="549"/>
      <c r="FJ18" s="549"/>
      <c r="FK18" s="549"/>
      <c r="FL18" s="549"/>
      <c r="FM18" s="549"/>
      <c r="FN18" s="549"/>
      <c r="FO18" s="549"/>
      <c r="FP18" s="549"/>
      <c r="FQ18" s="549"/>
      <c r="FR18" s="549"/>
      <c r="FS18" s="549"/>
      <c r="FT18" s="549"/>
      <c r="FU18" s="549"/>
      <c r="FV18" s="549"/>
      <c r="FW18" s="549"/>
      <c r="FX18" s="549"/>
      <c r="FY18" s="549"/>
      <c r="FZ18" s="549"/>
      <c r="GA18" s="549"/>
      <c r="GB18" s="549"/>
      <c r="GC18" s="549"/>
      <c r="GD18" s="549"/>
      <c r="GE18" s="549"/>
      <c r="GF18" s="549"/>
      <c r="GG18" s="549"/>
      <c r="GH18" s="549"/>
      <c r="GI18" s="549"/>
      <c r="GJ18" s="549"/>
      <c r="GK18" s="549"/>
      <c r="GL18" s="549"/>
      <c r="GM18" s="549"/>
      <c r="GN18" s="549"/>
      <c r="GO18" s="549"/>
      <c r="GP18" s="549"/>
      <c r="GQ18" s="549"/>
      <c r="GR18" s="549"/>
      <c r="GS18" s="549"/>
      <c r="GT18" s="549"/>
      <c r="GU18" s="549"/>
      <c r="GV18" s="549"/>
      <c r="GW18" s="549"/>
      <c r="GX18" s="549"/>
      <c r="GY18" s="549"/>
      <c r="GZ18" s="549"/>
      <c r="HA18" s="549"/>
      <c r="HB18" s="549"/>
      <c r="HC18" s="549"/>
      <c r="HD18" s="549"/>
      <c r="HE18" s="549"/>
      <c r="HF18" s="549"/>
      <c r="HG18" s="549"/>
      <c r="HH18" s="549"/>
      <c r="HI18" s="549"/>
      <c r="HJ18" s="549"/>
      <c r="HK18" s="549"/>
      <c r="HL18" s="549"/>
      <c r="HM18" s="549"/>
      <c r="HN18" s="549"/>
      <c r="HO18" s="549"/>
      <c r="HP18" s="549"/>
      <c r="HQ18" s="549"/>
      <c r="HR18" s="549"/>
      <c r="HS18" s="549"/>
      <c r="HT18" s="549"/>
      <c r="HU18" s="549"/>
      <c r="HV18" s="549"/>
      <c r="HW18" s="533"/>
      <c r="HX18" s="533"/>
      <c r="HY18" s="533"/>
      <c r="HZ18" s="533"/>
      <c r="IA18" s="533"/>
      <c r="IB18" s="533"/>
      <c r="IC18" s="533"/>
      <c r="ID18" s="533"/>
      <c r="IE18" s="533"/>
      <c r="IF18" s="533"/>
      <c r="IG18" s="533"/>
      <c r="IH18" s="533"/>
      <c r="II18" s="533"/>
      <c r="IJ18" s="533"/>
      <c r="IK18" s="533"/>
      <c r="IL18" s="533"/>
      <c r="IM18" s="533"/>
      <c r="IN18" s="533"/>
      <c r="IO18" s="533"/>
      <c r="IP18" s="347"/>
      <c r="IQ18" s="347"/>
      <c r="IR18" s="347"/>
      <c r="IS18" s="347"/>
      <c r="IT18" s="347"/>
      <c r="IU18" s="347"/>
      <c r="IV18" s="347"/>
    </row>
    <row r="19" spans="1:256" s="513" customFormat="1" ht="12.75">
      <c r="A19" s="520"/>
      <c r="B19" s="520"/>
      <c r="C19" s="238"/>
      <c r="D19" s="358">
        <v>70.48</v>
      </c>
      <c r="E19" s="238"/>
      <c r="F19" s="519">
        <v>424566</v>
      </c>
      <c r="G19" s="298">
        <v>40382</v>
      </c>
      <c r="H19" s="540">
        <f t="shared" si="3"/>
        <v>6079.9942718029506</v>
      </c>
      <c r="I19" s="260" t="s">
        <v>91</v>
      </c>
      <c r="J19" s="542">
        <v>57.61</v>
      </c>
      <c r="K19" s="526">
        <v>69.83</v>
      </c>
      <c r="L19" s="544">
        <v>424566</v>
      </c>
      <c r="M19" s="540">
        <f t="shared" si="1"/>
        <v>69.83</v>
      </c>
      <c r="N19" s="540">
        <f t="shared" si="4"/>
        <v>424566</v>
      </c>
      <c r="O19" s="535"/>
      <c r="P19" s="540">
        <f t="shared" si="2"/>
        <v>0</v>
      </c>
      <c r="Q19" s="551">
        <f t="shared" si="5"/>
        <v>0</v>
      </c>
      <c r="R19" s="552"/>
      <c r="S19" s="549"/>
      <c r="T19" s="549"/>
      <c r="U19" s="549"/>
      <c r="V19" s="549"/>
      <c r="W19" s="549"/>
      <c r="X19" s="549"/>
      <c r="Y19" s="549"/>
      <c r="Z19" s="549"/>
      <c r="AA19" s="549"/>
      <c r="AB19" s="549"/>
      <c r="AC19" s="549"/>
      <c r="AD19" s="549"/>
      <c r="AE19" s="549"/>
      <c r="AF19" s="549"/>
      <c r="AG19" s="549"/>
      <c r="AH19" s="549"/>
      <c r="AI19" s="549"/>
      <c r="AJ19" s="549"/>
      <c r="AK19" s="549"/>
      <c r="AL19" s="549"/>
      <c r="AM19" s="549"/>
      <c r="AN19" s="549"/>
      <c r="AO19" s="549"/>
      <c r="AP19" s="549"/>
      <c r="AQ19" s="549"/>
      <c r="AR19" s="549"/>
      <c r="AS19" s="549"/>
      <c r="AT19" s="549"/>
      <c r="AU19" s="549"/>
      <c r="AV19" s="549"/>
      <c r="AW19" s="549"/>
      <c r="AX19" s="549"/>
      <c r="AY19" s="549"/>
      <c r="AZ19" s="549"/>
      <c r="BA19" s="549"/>
      <c r="BB19" s="549"/>
      <c r="BC19" s="549"/>
      <c r="BD19" s="549"/>
      <c r="BE19" s="549"/>
      <c r="BF19" s="549"/>
      <c r="BG19" s="549"/>
      <c r="BH19" s="549"/>
      <c r="BI19" s="549"/>
      <c r="BJ19" s="549"/>
      <c r="BK19" s="549"/>
      <c r="BL19" s="549"/>
      <c r="BM19" s="549"/>
      <c r="BN19" s="549"/>
      <c r="BO19" s="549"/>
      <c r="BP19" s="549"/>
      <c r="BQ19" s="549"/>
      <c r="BR19" s="549"/>
      <c r="BS19" s="549"/>
      <c r="BT19" s="549"/>
      <c r="BU19" s="549"/>
      <c r="BV19" s="549"/>
      <c r="BW19" s="549"/>
      <c r="BX19" s="549"/>
      <c r="BY19" s="549"/>
      <c r="BZ19" s="549"/>
      <c r="CA19" s="549"/>
      <c r="CB19" s="549"/>
      <c r="CC19" s="549"/>
      <c r="CD19" s="549"/>
      <c r="CE19" s="549"/>
      <c r="CF19" s="549"/>
      <c r="CG19" s="549"/>
      <c r="CH19" s="549"/>
      <c r="CI19" s="549"/>
      <c r="CJ19" s="549"/>
      <c r="CK19" s="549"/>
      <c r="CL19" s="549"/>
      <c r="CM19" s="549"/>
      <c r="CN19" s="549"/>
      <c r="CO19" s="549"/>
      <c r="CP19" s="549"/>
      <c r="CQ19" s="549"/>
      <c r="CR19" s="549"/>
      <c r="CS19" s="549"/>
      <c r="CT19" s="549"/>
      <c r="CU19" s="549"/>
      <c r="CV19" s="549"/>
      <c r="CW19" s="549"/>
      <c r="CX19" s="549"/>
      <c r="CY19" s="549"/>
      <c r="CZ19" s="549"/>
      <c r="DA19" s="549"/>
      <c r="DB19" s="549"/>
      <c r="DC19" s="549"/>
      <c r="DD19" s="549"/>
      <c r="DE19" s="549"/>
      <c r="DF19" s="549"/>
      <c r="DG19" s="549"/>
      <c r="DH19" s="549"/>
      <c r="DI19" s="549"/>
      <c r="DJ19" s="549"/>
      <c r="DK19" s="549"/>
      <c r="DL19" s="549"/>
      <c r="DM19" s="549"/>
      <c r="DN19" s="549"/>
      <c r="DO19" s="549"/>
      <c r="DP19" s="549"/>
      <c r="DQ19" s="549"/>
      <c r="DR19" s="549"/>
      <c r="DS19" s="549"/>
      <c r="DT19" s="549"/>
      <c r="DU19" s="549"/>
      <c r="DV19" s="549"/>
      <c r="DW19" s="549"/>
      <c r="DX19" s="549"/>
      <c r="DY19" s="549"/>
      <c r="DZ19" s="549"/>
      <c r="EA19" s="549"/>
      <c r="EB19" s="549"/>
      <c r="EC19" s="549"/>
      <c r="ED19" s="549"/>
      <c r="EE19" s="549"/>
      <c r="EF19" s="549"/>
      <c r="EG19" s="549"/>
      <c r="EH19" s="549"/>
      <c r="EI19" s="549"/>
      <c r="EJ19" s="549"/>
      <c r="EK19" s="549"/>
      <c r="EL19" s="549"/>
      <c r="EM19" s="549"/>
      <c r="EN19" s="549"/>
      <c r="EO19" s="549"/>
      <c r="EP19" s="549"/>
      <c r="EQ19" s="549"/>
      <c r="ER19" s="549"/>
      <c r="ES19" s="549"/>
      <c r="ET19" s="549"/>
      <c r="EU19" s="549"/>
      <c r="EV19" s="549"/>
      <c r="EW19" s="549"/>
      <c r="EX19" s="549"/>
      <c r="EY19" s="549"/>
      <c r="EZ19" s="549"/>
      <c r="FA19" s="549"/>
      <c r="FB19" s="549"/>
      <c r="FC19" s="549"/>
      <c r="FD19" s="549"/>
      <c r="FE19" s="549"/>
      <c r="FF19" s="549"/>
      <c r="FG19" s="549"/>
      <c r="FH19" s="549"/>
      <c r="FI19" s="549"/>
      <c r="FJ19" s="549"/>
      <c r="FK19" s="549"/>
      <c r="FL19" s="549"/>
      <c r="FM19" s="549"/>
      <c r="FN19" s="549"/>
      <c r="FO19" s="549"/>
      <c r="FP19" s="549"/>
      <c r="FQ19" s="549"/>
      <c r="FR19" s="549"/>
      <c r="FS19" s="549"/>
      <c r="FT19" s="549"/>
      <c r="FU19" s="549"/>
      <c r="FV19" s="549"/>
      <c r="FW19" s="549"/>
      <c r="FX19" s="549"/>
      <c r="FY19" s="549"/>
      <c r="FZ19" s="549"/>
      <c r="GA19" s="549"/>
      <c r="GB19" s="549"/>
      <c r="GC19" s="549"/>
      <c r="GD19" s="549"/>
      <c r="GE19" s="549"/>
      <c r="GF19" s="549"/>
      <c r="GG19" s="549"/>
      <c r="GH19" s="549"/>
      <c r="GI19" s="549"/>
      <c r="GJ19" s="549"/>
      <c r="GK19" s="549"/>
      <c r="GL19" s="549"/>
      <c r="GM19" s="549"/>
      <c r="GN19" s="549"/>
      <c r="GO19" s="549"/>
      <c r="GP19" s="549"/>
      <c r="GQ19" s="549"/>
      <c r="GR19" s="549"/>
      <c r="GS19" s="549"/>
      <c r="GT19" s="549"/>
      <c r="GU19" s="549"/>
      <c r="GV19" s="549"/>
      <c r="GW19" s="549"/>
      <c r="GX19" s="549"/>
      <c r="GY19" s="549"/>
      <c r="GZ19" s="549"/>
      <c r="HA19" s="549"/>
      <c r="HB19" s="549"/>
      <c r="HC19" s="549"/>
      <c r="HD19" s="549"/>
      <c r="HE19" s="549"/>
      <c r="HF19" s="549"/>
      <c r="HG19" s="549"/>
      <c r="HH19" s="549"/>
      <c r="HI19" s="549"/>
      <c r="HJ19" s="549"/>
      <c r="HK19" s="549"/>
      <c r="HL19" s="549"/>
      <c r="HM19" s="549"/>
      <c r="HN19" s="549"/>
      <c r="HO19" s="549"/>
      <c r="HP19" s="549"/>
      <c r="HQ19" s="549"/>
      <c r="HR19" s="549"/>
      <c r="HS19" s="549"/>
      <c r="HT19" s="549"/>
      <c r="HU19" s="549"/>
      <c r="HV19" s="549"/>
      <c r="HW19" s="533"/>
      <c r="HX19" s="533"/>
      <c r="HY19" s="533"/>
      <c r="HZ19" s="533"/>
      <c r="IA19" s="533"/>
      <c r="IB19" s="533"/>
      <c r="IC19" s="533"/>
      <c r="ID19" s="533"/>
      <c r="IE19" s="533"/>
      <c r="IF19" s="533"/>
      <c r="IG19" s="533"/>
      <c r="IH19" s="533"/>
      <c r="II19" s="533"/>
      <c r="IJ19" s="533"/>
      <c r="IK19" s="533"/>
      <c r="IL19" s="533"/>
      <c r="IM19" s="533"/>
      <c r="IN19" s="533"/>
      <c r="IO19" s="533"/>
      <c r="IP19" s="347"/>
      <c r="IQ19" s="347"/>
      <c r="IR19" s="347"/>
      <c r="IS19" s="347"/>
      <c r="IT19" s="347"/>
      <c r="IU19" s="347"/>
      <c r="IV19" s="347"/>
    </row>
    <row r="20" spans="1:256" s="513" customFormat="1" ht="12.75">
      <c r="A20" s="520"/>
      <c r="B20" s="520"/>
      <c r="C20" s="238"/>
      <c r="D20" s="358">
        <v>70.48</v>
      </c>
      <c r="E20" s="238"/>
      <c r="F20" s="519">
        <v>305157</v>
      </c>
      <c r="G20" s="298">
        <v>40409</v>
      </c>
      <c r="H20" s="540">
        <f t="shared" si="3"/>
        <v>4369.9985679507372</v>
      </c>
      <c r="I20" s="260" t="s">
        <v>91</v>
      </c>
      <c r="J20" s="542">
        <v>57.61</v>
      </c>
      <c r="K20" s="526">
        <v>69.83</v>
      </c>
      <c r="L20" s="543">
        <v>305157</v>
      </c>
      <c r="M20" s="540">
        <f t="shared" si="1"/>
        <v>69.83</v>
      </c>
      <c r="N20" s="540">
        <f t="shared" si="4"/>
        <v>305157</v>
      </c>
      <c r="O20" s="535"/>
      <c r="P20" s="540">
        <f t="shared" si="2"/>
        <v>0</v>
      </c>
      <c r="Q20" s="551">
        <f t="shared" si="5"/>
        <v>0</v>
      </c>
      <c r="R20" s="552"/>
      <c r="S20" s="549"/>
      <c r="T20" s="549"/>
      <c r="U20" s="549"/>
      <c r="V20" s="549"/>
      <c r="W20" s="549"/>
      <c r="X20" s="549"/>
      <c r="Y20" s="549"/>
      <c r="Z20" s="549"/>
      <c r="AA20" s="549"/>
      <c r="AB20" s="549"/>
      <c r="AC20" s="549"/>
      <c r="AD20" s="549"/>
      <c r="AE20" s="549"/>
      <c r="AF20" s="549"/>
      <c r="AG20" s="549"/>
      <c r="AH20" s="549"/>
      <c r="AI20" s="549"/>
      <c r="AJ20" s="549"/>
      <c r="AK20" s="549"/>
      <c r="AL20" s="549"/>
      <c r="AM20" s="549"/>
      <c r="AN20" s="549"/>
      <c r="AO20" s="549"/>
      <c r="AP20" s="549"/>
      <c r="AQ20" s="549"/>
      <c r="AR20" s="549"/>
      <c r="AS20" s="549"/>
      <c r="AT20" s="549"/>
      <c r="AU20" s="549"/>
      <c r="AV20" s="549"/>
      <c r="AW20" s="549"/>
      <c r="AX20" s="549"/>
      <c r="AY20" s="549"/>
      <c r="AZ20" s="549"/>
      <c r="BA20" s="549"/>
      <c r="BB20" s="549"/>
      <c r="BC20" s="549"/>
      <c r="BD20" s="549"/>
      <c r="BE20" s="549"/>
      <c r="BF20" s="549"/>
      <c r="BG20" s="549"/>
      <c r="BH20" s="549"/>
      <c r="BI20" s="549"/>
      <c r="BJ20" s="549"/>
      <c r="BK20" s="549"/>
      <c r="BL20" s="549"/>
      <c r="BM20" s="549"/>
      <c r="BN20" s="549"/>
      <c r="BO20" s="549"/>
      <c r="BP20" s="549"/>
      <c r="BQ20" s="549"/>
      <c r="BR20" s="549"/>
      <c r="BS20" s="549"/>
      <c r="BT20" s="549"/>
      <c r="BU20" s="549"/>
      <c r="BV20" s="549"/>
      <c r="BW20" s="549"/>
      <c r="BX20" s="549"/>
      <c r="BY20" s="549"/>
      <c r="BZ20" s="549"/>
      <c r="CA20" s="549"/>
      <c r="CB20" s="549"/>
      <c r="CC20" s="549"/>
      <c r="CD20" s="549"/>
      <c r="CE20" s="549"/>
      <c r="CF20" s="549"/>
      <c r="CG20" s="549"/>
      <c r="CH20" s="549"/>
      <c r="CI20" s="549"/>
      <c r="CJ20" s="549"/>
      <c r="CK20" s="549"/>
      <c r="CL20" s="549"/>
      <c r="CM20" s="549"/>
      <c r="CN20" s="549"/>
      <c r="CO20" s="549"/>
      <c r="CP20" s="549"/>
      <c r="CQ20" s="549"/>
      <c r="CR20" s="549"/>
      <c r="CS20" s="549"/>
      <c r="CT20" s="549"/>
      <c r="CU20" s="549"/>
      <c r="CV20" s="549"/>
      <c r="CW20" s="549"/>
      <c r="CX20" s="549"/>
      <c r="CY20" s="549"/>
      <c r="CZ20" s="549"/>
      <c r="DA20" s="549"/>
      <c r="DB20" s="549"/>
      <c r="DC20" s="549"/>
      <c r="DD20" s="549"/>
      <c r="DE20" s="549"/>
      <c r="DF20" s="549"/>
      <c r="DG20" s="549"/>
      <c r="DH20" s="549"/>
      <c r="DI20" s="549"/>
      <c r="DJ20" s="549"/>
      <c r="DK20" s="549"/>
      <c r="DL20" s="549"/>
      <c r="DM20" s="549"/>
      <c r="DN20" s="549"/>
      <c r="DO20" s="549"/>
      <c r="DP20" s="549"/>
      <c r="DQ20" s="549"/>
      <c r="DR20" s="549"/>
      <c r="DS20" s="549"/>
      <c r="DT20" s="549"/>
      <c r="DU20" s="549"/>
      <c r="DV20" s="549"/>
      <c r="DW20" s="549"/>
      <c r="DX20" s="549"/>
      <c r="DY20" s="549"/>
      <c r="DZ20" s="549"/>
      <c r="EA20" s="549"/>
      <c r="EB20" s="549"/>
      <c r="EC20" s="549"/>
      <c r="ED20" s="549"/>
      <c r="EE20" s="549"/>
      <c r="EF20" s="549"/>
      <c r="EG20" s="549"/>
      <c r="EH20" s="549"/>
      <c r="EI20" s="549"/>
      <c r="EJ20" s="549"/>
      <c r="EK20" s="549"/>
      <c r="EL20" s="549"/>
      <c r="EM20" s="549"/>
      <c r="EN20" s="549"/>
      <c r="EO20" s="549"/>
      <c r="EP20" s="549"/>
      <c r="EQ20" s="549"/>
      <c r="ER20" s="549"/>
      <c r="ES20" s="549"/>
      <c r="ET20" s="549"/>
      <c r="EU20" s="549"/>
      <c r="EV20" s="549"/>
      <c r="EW20" s="549"/>
      <c r="EX20" s="549"/>
      <c r="EY20" s="549"/>
      <c r="EZ20" s="549"/>
      <c r="FA20" s="549"/>
      <c r="FB20" s="549"/>
      <c r="FC20" s="549"/>
      <c r="FD20" s="549"/>
      <c r="FE20" s="549"/>
      <c r="FF20" s="549"/>
      <c r="FG20" s="549"/>
      <c r="FH20" s="549"/>
      <c r="FI20" s="549"/>
      <c r="FJ20" s="549"/>
      <c r="FK20" s="549"/>
      <c r="FL20" s="549"/>
      <c r="FM20" s="549"/>
      <c r="FN20" s="549"/>
      <c r="FO20" s="549"/>
      <c r="FP20" s="549"/>
      <c r="FQ20" s="549"/>
      <c r="FR20" s="549"/>
      <c r="FS20" s="549"/>
      <c r="FT20" s="549"/>
      <c r="FU20" s="549"/>
      <c r="FV20" s="549"/>
      <c r="FW20" s="549"/>
      <c r="FX20" s="549"/>
      <c r="FY20" s="549"/>
      <c r="FZ20" s="549"/>
      <c r="GA20" s="549"/>
      <c r="GB20" s="549"/>
      <c r="GC20" s="549"/>
      <c r="GD20" s="549"/>
      <c r="GE20" s="549"/>
      <c r="GF20" s="549"/>
      <c r="GG20" s="549"/>
      <c r="GH20" s="549"/>
      <c r="GI20" s="549"/>
      <c r="GJ20" s="549"/>
      <c r="GK20" s="549"/>
      <c r="GL20" s="549"/>
      <c r="GM20" s="549"/>
      <c r="GN20" s="549"/>
      <c r="GO20" s="549"/>
      <c r="GP20" s="549"/>
      <c r="GQ20" s="549"/>
      <c r="GR20" s="549"/>
      <c r="GS20" s="549"/>
      <c r="GT20" s="549"/>
      <c r="GU20" s="549"/>
      <c r="GV20" s="549"/>
      <c r="GW20" s="549"/>
      <c r="GX20" s="549"/>
      <c r="GY20" s="549"/>
      <c r="GZ20" s="549"/>
      <c r="HA20" s="549"/>
      <c r="HB20" s="549"/>
      <c r="HC20" s="549"/>
      <c r="HD20" s="549"/>
      <c r="HE20" s="549"/>
      <c r="HF20" s="549"/>
      <c r="HG20" s="549"/>
      <c r="HH20" s="549"/>
      <c r="HI20" s="549"/>
      <c r="HJ20" s="549"/>
      <c r="HK20" s="549"/>
      <c r="HL20" s="549"/>
      <c r="HM20" s="549"/>
      <c r="HN20" s="549"/>
      <c r="HO20" s="549"/>
      <c r="HP20" s="549"/>
      <c r="HQ20" s="549"/>
      <c r="HR20" s="549"/>
      <c r="HS20" s="549"/>
      <c r="HT20" s="549"/>
      <c r="HU20" s="549"/>
      <c r="HV20" s="549"/>
      <c r="HW20" s="533"/>
      <c r="HX20" s="533"/>
      <c r="HY20" s="533"/>
      <c r="HZ20" s="533"/>
      <c r="IA20" s="533"/>
      <c r="IB20" s="533"/>
      <c r="IC20" s="533"/>
      <c r="ID20" s="533"/>
      <c r="IE20" s="533"/>
      <c r="IF20" s="533"/>
      <c r="IG20" s="533"/>
      <c r="IH20" s="533"/>
      <c r="II20" s="533"/>
      <c r="IJ20" s="533"/>
      <c r="IK20" s="533"/>
      <c r="IL20" s="533"/>
      <c r="IM20" s="533"/>
      <c r="IN20" s="533"/>
      <c r="IO20" s="533"/>
      <c r="IP20" s="347"/>
      <c r="IQ20" s="347"/>
      <c r="IR20" s="347"/>
      <c r="IS20" s="347"/>
      <c r="IT20" s="347"/>
      <c r="IU20" s="347"/>
      <c r="IV20" s="347"/>
    </row>
    <row r="21" spans="1:256" s="513" customFormat="1" ht="12.75">
      <c r="A21" s="520"/>
      <c r="B21" s="520"/>
      <c r="C21" s="238"/>
      <c r="D21" s="358">
        <v>70.48</v>
      </c>
      <c r="E21" s="238"/>
      <c r="F21" s="519">
        <v>311442</v>
      </c>
      <c r="G21" s="298">
        <v>40390</v>
      </c>
      <c r="H21" s="540">
        <f t="shared" si="3"/>
        <v>4460.0028640985247</v>
      </c>
      <c r="I21" s="260" t="s">
        <v>92</v>
      </c>
      <c r="J21" s="542">
        <v>57.61</v>
      </c>
      <c r="K21" s="526">
        <v>69.83</v>
      </c>
      <c r="L21" s="540">
        <v>311442</v>
      </c>
      <c r="M21" s="540">
        <f t="shared" si="1"/>
        <v>69.83</v>
      </c>
      <c r="N21" s="540">
        <f t="shared" si="4"/>
        <v>311442</v>
      </c>
      <c r="O21" s="535"/>
      <c r="P21" s="540">
        <f t="shared" si="2"/>
        <v>0</v>
      </c>
      <c r="Q21" s="551">
        <f t="shared" si="5"/>
        <v>0</v>
      </c>
      <c r="R21" s="552"/>
      <c r="S21" s="549"/>
      <c r="T21" s="549"/>
      <c r="U21" s="549"/>
      <c r="V21" s="549"/>
      <c r="W21" s="549"/>
      <c r="X21" s="549"/>
      <c r="Y21" s="549"/>
      <c r="Z21" s="549"/>
      <c r="AA21" s="549"/>
      <c r="AB21" s="549"/>
      <c r="AC21" s="549"/>
      <c r="AD21" s="549"/>
      <c r="AE21" s="549"/>
      <c r="AF21" s="549"/>
      <c r="AG21" s="549"/>
      <c r="AH21" s="549"/>
      <c r="AI21" s="549"/>
      <c r="AJ21" s="549"/>
      <c r="AK21" s="549"/>
      <c r="AL21" s="549"/>
      <c r="AM21" s="549"/>
      <c r="AN21" s="549"/>
      <c r="AO21" s="549"/>
      <c r="AP21" s="549"/>
      <c r="AQ21" s="549"/>
      <c r="AR21" s="549"/>
      <c r="AS21" s="549"/>
      <c r="AT21" s="549"/>
      <c r="AU21" s="549"/>
      <c r="AV21" s="549"/>
      <c r="AW21" s="549"/>
      <c r="AX21" s="549"/>
      <c r="AY21" s="549"/>
      <c r="AZ21" s="549"/>
      <c r="BA21" s="549"/>
      <c r="BB21" s="549"/>
      <c r="BC21" s="549"/>
      <c r="BD21" s="549"/>
      <c r="BE21" s="549"/>
      <c r="BF21" s="549"/>
      <c r="BG21" s="549"/>
      <c r="BH21" s="549"/>
      <c r="BI21" s="549"/>
      <c r="BJ21" s="549"/>
      <c r="BK21" s="549"/>
      <c r="BL21" s="549"/>
      <c r="BM21" s="549"/>
      <c r="BN21" s="549"/>
      <c r="BO21" s="549"/>
      <c r="BP21" s="549"/>
      <c r="BQ21" s="549"/>
      <c r="BR21" s="549"/>
      <c r="BS21" s="549"/>
      <c r="BT21" s="549"/>
      <c r="BU21" s="549"/>
      <c r="BV21" s="549"/>
      <c r="BW21" s="549"/>
      <c r="BX21" s="549"/>
      <c r="BY21" s="549"/>
      <c r="BZ21" s="549"/>
      <c r="CA21" s="549"/>
      <c r="CB21" s="549"/>
      <c r="CC21" s="549"/>
      <c r="CD21" s="549"/>
      <c r="CE21" s="549"/>
      <c r="CF21" s="549"/>
      <c r="CG21" s="549"/>
      <c r="CH21" s="549"/>
      <c r="CI21" s="549"/>
      <c r="CJ21" s="549"/>
      <c r="CK21" s="549"/>
      <c r="CL21" s="549"/>
      <c r="CM21" s="549"/>
      <c r="CN21" s="549"/>
      <c r="CO21" s="549"/>
      <c r="CP21" s="549"/>
      <c r="CQ21" s="549"/>
      <c r="CR21" s="549"/>
      <c r="CS21" s="549"/>
      <c r="CT21" s="549"/>
      <c r="CU21" s="549"/>
      <c r="CV21" s="549"/>
      <c r="CW21" s="549"/>
      <c r="CX21" s="549"/>
      <c r="CY21" s="549"/>
      <c r="CZ21" s="549"/>
      <c r="DA21" s="549"/>
      <c r="DB21" s="549"/>
      <c r="DC21" s="549"/>
      <c r="DD21" s="549"/>
      <c r="DE21" s="549"/>
      <c r="DF21" s="549"/>
      <c r="DG21" s="549"/>
      <c r="DH21" s="549"/>
      <c r="DI21" s="549"/>
      <c r="DJ21" s="549"/>
      <c r="DK21" s="549"/>
      <c r="DL21" s="549"/>
      <c r="DM21" s="549"/>
      <c r="DN21" s="549"/>
      <c r="DO21" s="549"/>
      <c r="DP21" s="549"/>
      <c r="DQ21" s="549"/>
      <c r="DR21" s="549"/>
      <c r="DS21" s="549"/>
      <c r="DT21" s="549"/>
      <c r="DU21" s="549"/>
      <c r="DV21" s="549"/>
      <c r="DW21" s="549"/>
      <c r="DX21" s="549"/>
      <c r="DY21" s="549"/>
      <c r="DZ21" s="549"/>
      <c r="EA21" s="549"/>
      <c r="EB21" s="549"/>
      <c r="EC21" s="549"/>
      <c r="ED21" s="549"/>
      <c r="EE21" s="549"/>
      <c r="EF21" s="549"/>
      <c r="EG21" s="549"/>
      <c r="EH21" s="549"/>
      <c r="EI21" s="549"/>
      <c r="EJ21" s="549"/>
      <c r="EK21" s="549"/>
      <c r="EL21" s="549"/>
      <c r="EM21" s="549"/>
      <c r="EN21" s="549"/>
      <c r="EO21" s="549"/>
      <c r="EP21" s="549"/>
      <c r="EQ21" s="549"/>
      <c r="ER21" s="549"/>
      <c r="ES21" s="549"/>
      <c r="ET21" s="549"/>
      <c r="EU21" s="549"/>
      <c r="EV21" s="549"/>
      <c r="EW21" s="549"/>
      <c r="EX21" s="549"/>
      <c r="EY21" s="549"/>
      <c r="EZ21" s="549"/>
      <c r="FA21" s="549"/>
      <c r="FB21" s="549"/>
      <c r="FC21" s="549"/>
      <c r="FD21" s="549"/>
      <c r="FE21" s="549"/>
      <c r="FF21" s="549"/>
      <c r="FG21" s="549"/>
      <c r="FH21" s="549"/>
      <c r="FI21" s="549"/>
      <c r="FJ21" s="549"/>
      <c r="FK21" s="549"/>
      <c r="FL21" s="549"/>
      <c r="FM21" s="549"/>
      <c r="FN21" s="549"/>
      <c r="FO21" s="549"/>
      <c r="FP21" s="549"/>
      <c r="FQ21" s="549"/>
      <c r="FR21" s="549"/>
      <c r="FS21" s="549"/>
      <c r="FT21" s="549"/>
      <c r="FU21" s="549"/>
      <c r="FV21" s="549"/>
      <c r="FW21" s="549"/>
      <c r="FX21" s="549"/>
      <c r="FY21" s="549"/>
      <c r="FZ21" s="549"/>
      <c r="GA21" s="549"/>
      <c r="GB21" s="549"/>
      <c r="GC21" s="549"/>
      <c r="GD21" s="549"/>
      <c r="GE21" s="549"/>
      <c r="GF21" s="549"/>
      <c r="GG21" s="549"/>
      <c r="GH21" s="549"/>
      <c r="GI21" s="549"/>
      <c r="GJ21" s="549"/>
      <c r="GK21" s="549"/>
      <c r="GL21" s="549"/>
      <c r="GM21" s="549"/>
      <c r="GN21" s="549"/>
      <c r="GO21" s="549"/>
      <c r="GP21" s="549"/>
      <c r="GQ21" s="549"/>
      <c r="GR21" s="549"/>
      <c r="GS21" s="549"/>
      <c r="GT21" s="549"/>
      <c r="GU21" s="549"/>
      <c r="GV21" s="549"/>
      <c r="GW21" s="549"/>
      <c r="GX21" s="549"/>
      <c r="GY21" s="549"/>
      <c r="GZ21" s="549"/>
      <c r="HA21" s="549"/>
      <c r="HB21" s="549"/>
      <c r="HC21" s="549"/>
      <c r="HD21" s="549"/>
      <c r="HE21" s="549"/>
      <c r="HF21" s="549"/>
      <c r="HG21" s="549"/>
      <c r="HH21" s="549"/>
      <c r="HI21" s="549"/>
      <c r="HJ21" s="549"/>
      <c r="HK21" s="549"/>
      <c r="HL21" s="549"/>
      <c r="HM21" s="549"/>
      <c r="HN21" s="549"/>
      <c r="HO21" s="549"/>
      <c r="HP21" s="549"/>
      <c r="HQ21" s="549"/>
      <c r="HR21" s="549"/>
      <c r="HS21" s="549"/>
      <c r="HT21" s="549"/>
      <c r="HU21" s="549"/>
      <c r="HV21" s="549"/>
      <c r="HW21" s="533"/>
      <c r="HX21" s="533"/>
      <c r="HY21" s="533"/>
      <c r="HZ21" s="533"/>
      <c r="IA21" s="533"/>
      <c r="IB21" s="533"/>
      <c r="IC21" s="533"/>
      <c r="ID21" s="533"/>
      <c r="IE21" s="533"/>
      <c r="IF21" s="533"/>
      <c r="IG21" s="533"/>
      <c r="IH21" s="533"/>
      <c r="II21" s="533"/>
      <c r="IJ21" s="533"/>
      <c r="IK21" s="533"/>
      <c r="IL21" s="533"/>
      <c r="IM21" s="533"/>
      <c r="IN21" s="533"/>
      <c r="IO21" s="533"/>
      <c r="IP21" s="347"/>
      <c r="IQ21" s="347"/>
      <c r="IR21" s="347"/>
      <c r="IS21" s="347"/>
      <c r="IT21" s="347"/>
      <c r="IU21" s="347"/>
      <c r="IV21" s="347"/>
    </row>
    <row r="22" spans="1:256" s="513" customFormat="1" ht="12.75">
      <c r="A22" s="520"/>
      <c r="B22" s="520"/>
      <c r="C22" s="238"/>
      <c r="D22" s="358">
        <v>70.48</v>
      </c>
      <c r="E22" s="238"/>
      <c r="F22" s="519">
        <v>285605</v>
      </c>
      <c r="G22" s="298">
        <v>40389</v>
      </c>
      <c r="H22" s="540">
        <f t="shared" si="3"/>
        <v>4090.0042961477875</v>
      </c>
      <c r="I22" s="260" t="s">
        <v>91</v>
      </c>
      <c r="J22" s="542">
        <v>57.61</v>
      </c>
      <c r="K22" s="526">
        <v>69.83</v>
      </c>
      <c r="L22" s="540">
        <v>285605</v>
      </c>
      <c r="M22" s="540">
        <f t="shared" si="1"/>
        <v>69.83</v>
      </c>
      <c r="N22" s="540">
        <f t="shared" si="4"/>
        <v>285605</v>
      </c>
      <c r="O22" s="535"/>
      <c r="P22" s="540">
        <f t="shared" si="2"/>
        <v>0</v>
      </c>
      <c r="Q22" s="551">
        <f t="shared" si="5"/>
        <v>0</v>
      </c>
      <c r="R22" s="552"/>
      <c r="S22" s="549"/>
      <c r="T22" s="549"/>
      <c r="U22" s="549"/>
      <c r="V22" s="549"/>
      <c r="W22" s="549"/>
      <c r="X22" s="549"/>
      <c r="Y22" s="549"/>
      <c r="Z22" s="549"/>
      <c r="AA22" s="549"/>
      <c r="AB22" s="549"/>
      <c r="AC22" s="549"/>
      <c r="AD22" s="549"/>
      <c r="AE22" s="549"/>
      <c r="AF22" s="549"/>
      <c r="AG22" s="549"/>
      <c r="AH22" s="549"/>
      <c r="AI22" s="549"/>
      <c r="AJ22" s="549"/>
      <c r="AK22" s="549"/>
      <c r="AL22" s="549"/>
      <c r="AM22" s="549"/>
      <c r="AN22" s="549"/>
      <c r="AO22" s="549"/>
      <c r="AP22" s="549"/>
      <c r="AQ22" s="549"/>
      <c r="AR22" s="549"/>
      <c r="AS22" s="549"/>
      <c r="AT22" s="549"/>
      <c r="AU22" s="549"/>
      <c r="AV22" s="549"/>
      <c r="AW22" s="549"/>
      <c r="AX22" s="549"/>
      <c r="AY22" s="549"/>
      <c r="AZ22" s="549"/>
      <c r="BA22" s="549"/>
      <c r="BB22" s="549"/>
      <c r="BC22" s="549"/>
      <c r="BD22" s="549"/>
      <c r="BE22" s="549"/>
      <c r="BF22" s="549"/>
      <c r="BG22" s="549"/>
      <c r="BH22" s="549"/>
      <c r="BI22" s="549"/>
      <c r="BJ22" s="549"/>
      <c r="BK22" s="549"/>
      <c r="BL22" s="549"/>
      <c r="BM22" s="549"/>
      <c r="BN22" s="549"/>
      <c r="BO22" s="549"/>
      <c r="BP22" s="549"/>
      <c r="BQ22" s="549"/>
      <c r="BR22" s="549"/>
      <c r="BS22" s="549"/>
      <c r="BT22" s="549"/>
      <c r="BU22" s="549"/>
      <c r="BV22" s="549"/>
      <c r="BW22" s="549"/>
      <c r="BX22" s="549"/>
      <c r="BY22" s="549"/>
      <c r="BZ22" s="549"/>
      <c r="CA22" s="549"/>
      <c r="CB22" s="549"/>
      <c r="CC22" s="549"/>
      <c r="CD22" s="549"/>
      <c r="CE22" s="549"/>
      <c r="CF22" s="549"/>
      <c r="CG22" s="549"/>
      <c r="CH22" s="549"/>
      <c r="CI22" s="549"/>
      <c r="CJ22" s="549"/>
      <c r="CK22" s="549"/>
      <c r="CL22" s="549"/>
      <c r="CM22" s="549"/>
      <c r="CN22" s="549"/>
      <c r="CO22" s="549"/>
      <c r="CP22" s="549"/>
      <c r="CQ22" s="549"/>
      <c r="CR22" s="549"/>
      <c r="CS22" s="549"/>
      <c r="CT22" s="549"/>
      <c r="CU22" s="549"/>
      <c r="CV22" s="549"/>
      <c r="CW22" s="549"/>
      <c r="CX22" s="549"/>
      <c r="CY22" s="549"/>
      <c r="CZ22" s="549"/>
      <c r="DA22" s="549"/>
      <c r="DB22" s="549"/>
      <c r="DC22" s="549"/>
      <c r="DD22" s="549"/>
      <c r="DE22" s="549"/>
      <c r="DF22" s="549"/>
      <c r="DG22" s="549"/>
      <c r="DH22" s="549"/>
      <c r="DI22" s="549"/>
      <c r="DJ22" s="549"/>
      <c r="DK22" s="549"/>
      <c r="DL22" s="549"/>
      <c r="DM22" s="549"/>
      <c r="DN22" s="549"/>
      <c r="DO22" s="549"/>
      <c r="DP22" s="549"/>
      <c r="DQ22" s="549"/>
      <c r="DR22" s="549"/>
      <c r="DS22" s="549"/>
      <c r="DT22" s="549"/>
      <c r="DU22" s="549"/>
      <c r="DV22" s="549"/>
      <c r="DW22" s="549"/>
      <c r="DX22" s="549"/>
      <c r="DY22" s="549"/>
      <c r="DZ22" s="549"/>
      <c r="EA22" s="549"/>
      <c r="EB22" s="549"/>
      <c r="EC22" s="549"/>
      <c r="ED22" s="549"/>
      <c r="EE22" s="549"/>
      <c r="EF22" s="549"/>
      <c r="EG22" s="549"/>
      <c r="EH22" s="549"/>
      <c r="EI22" s="549"/>
      <c r="EJ22" s="549"/>
      <c r="EK22" s="549"/>
      <c r="EL22" s="549"/>
      <c r="EM22" s="549"/>
      <c r="EN22" s="549"/>
      <c r="EO22" s="549"/>
      <c r="EP22" s="549"/>
      <c r="EQ22" s="549"/>
      <c r="ER22" s="549"/>
      <c r="ES22" s="549"/>
      <c r="ET22" s="549"/>
      <c r="EU22" s="549"/>
      <c r="EV22" s="549"/>
      <c r="EW22" s="549"/>
      <c r="EX22" s="549"/>
      <c r="EY22" s="549"/>
      <c r="EZ22" s="549"/>
      <c r="FA22" s="549"/>
      <c r="FB22" s="549"/>
      <c r="FC22" s="549"/>
      <c r="FD22" s="549"/>
      <c r="FE22" s="549"/>
      <c r="FF22" s="549"/>
      <c r="FG22" s="549"/>
      <c r="FH22" s="549"/>
      <c r="FI22" s="549"/>
      <c r="FJ22" s="549"/>
      <c r="FK22" s="549"/>
      <c r="FL22" s="549"/>
      <c r="FM22" s="549"/>
      <c r="FN22" s="549"/>
      <c r="FO22" s="549"/>
      <c r="FP22" s="549"/>
      <c r="FQ22" s="549"/>
      <c r="FR22" s="549"/>
      <c r="FS22" s="549"/>
      <c r="FT22" s="549"/>
      <c r="FU22" s="549"/>
      <c r="FV22" s="549"/>
      <c r="FW22" s="549"/>
      <c r="FX22" s="549"/>
      <c r="FY22" s="549"/>
      <c r="FZ22" s="549"/>
      <c r="GA22" s="549"/>
      <c r="GB22" s="549"/>
      <c r="GC22" s="549"/>
      <c r="GD22" s="549"/>
      <c r="GE22" s="549"/>
      <c r="GF22" s="549"/>
      <c r="GG22" s="549"/>
      <c r="GH22" s="549"/>
      <c r="GI22" s="549"/>
      <c r="GJ22" s="549"/>
      <c r="GK22" s="549"/>
      <c r="GL22" s="549"/>
      <c r="GM22" s="549"/>
      <c r="GN22" s="549"/>
      <c r="GO22" s="549"/>
      <c r="GP22" s="549"/>
      <c r="GQ22" s="549"/>
      <c r="GR22" s="549"/>
      <c r="GS22" s="549"/>
      <c r="GT22" s="549"/>
      <c r="GU22" s="549"/>
      <c r="GV22" s="549"/>
      <c r="GW22" s="549"/>
      <c r="GX22" s="549"/>
      <c r="GY22" s="549"/>
      <c r="GZ22" s="549"/>
      <c r="HA22" s="549"/>
      <c r="HB22" s="549"/>
      <c r="HC22" s="549"/>
      <c r="HD22" s="549"/>
      <c r="HE22" s="549"/>
      <c r="HF22" s="549"/>
      <c r="HG22" s="549"/>
      <c r="HH22" s="549"/>
      <c r="HI22" s="549"/>
      <c r="HJ22" s="549"/>
      <c r="HK22" s="549"/>
      <c r="HL22" s="549"/>
      <c r="HM22" s="549"/>
      <c r="HN22" s="549"/>
      <c r="HO22" s="549"/>
      <c r="HP22" s="549"/>
      <c r="HQ22" s="549"/>
      <c r="HR22" s="549"/>
      <c r="HS22" s="549"/>
      <c r="HT22" s="549"/>
      <c r="HU22" s="549"/>
      <c r="HV22" s="549"/>
      <c r="HW22" s="533"/>
      <c r="HX22" s="533"/>
      <c r="HY22" s="533"/>
      <c r="HZ22" s="533"/>
      <c r="IA22" s="533"/>
      <c r="IB22" s="533"/>
      <c r="IC22" s="533"/>
      <c r="ID22" s="533"/>
      <c r="IE22" s="533"/>
      <c r="IF22" s="533"/>
      <c r="IG22" s="533"/>
      <c r="IH22" s="533"/>
      <c r="II22" s="533"/>
      <c r="IJ22" s="533"/>
      <c r="IK22" s="533"/>
      <c r="IL22" s="533"/>
      <c r="IM22" s="533"/>
      <c r="IN22" s="533"/>
      <c r="IO22" s="533"/>
      <c r="IP22" s="347"/>
      <c r="IQ22" s="347"/>
      <c r="IR22" s="347"/>
      <c r="IS22" s="347"/>
      <c r="IT22" s="347"/>
      <c r="IU22" s="347"/>
      <c r="IV22" s="347"/>
    </row>
    <row r="23" spans="1:256" s="513" customFormat="1" ht="12.75">
      <c r="A23" s="520"/>
      <c r="B23" s="520"/>
      <c r="C23" s="238"/>
      <c r="D23" s="358">
        <v>70.48</v>
      </c>
      <c r="E23" s="238"/>
      <c r="F23" s="519">
        <v>324011</v>
      </c>
      <c r="G23" s="298">
        <v>40392</v>
      </c>
      <c r="H23" s="540">
        <f t="shared" si="3"/>
        <v>4639.9971359014753</v>
      </c>
      <c r="I23" s="260" t="s">
        <v>92</v>
      </c>
      <c r="J23" s="542">
        <v>57.61</v>
      </c>
      <c r="K23" s="526">
        <v>69.83</v>
      </c>
      <c r="L23" s="540">
        <v>324011</v>
      </c>
      <c r="M23" s="540">
        <f t="shared" si="1"/>
        <v>69.83</v>
      </c>
      <c r="N23" s="540">
        <f t="shared" si="4"/>
        <v>324011</v>
      </c>
      <c r="O23" s="535"/>
      <c r="P23" s="540">
        <f t="shared" si="2"/>
        <v>0</v>
      </c>
      <c r="Q23" s="551">
        <f t="shared" si="5"/>
        <v>0</v>
      </c>
      <c r="R23" s="552"/>
      <c r="S23" s="549"/>
      <c r="T23" s="549"/>
      <c r="U23" s="549"/>
      <c r="V23" s="549"/>
      <c r="W23" s="549"/>
      <c r="X23" s="549"/>
      <c r="Y23" s="549"/>
      <c r="Z23" s="549"/>
      <c r="AA23" s="549"/>
      <c r="AB23" s="549"/>
      <c r="AC23" s="549"/>
      <c r="AD23" s="549"/>
      <c r="AE23" s="549"/>
      <c r="AF23" s="549"/>
      <c r="AG23" s="549"/>
      <c r="AH23" s="549"/>
      <c r="AI23" s="549"/>
      <c r="AJ23" s="549"/>
      <c r="AK23" s="549"/>
      <c r="AL23" s="549"/>
      <c r="AM23" s="549"/>
      <c r="AN23" s="549"/>
      <c r="AO23" s="549"/>
      <c r="AP23" s="549"/>
      <c r="AQ23" s="549"/>
      <c r="AR23" s="549"/>
      <c r="AS23" s="549"/>
      <c r="AT23" s="549"/>
      <c r="AU23" s="549"/>
      <c r="AV23" s="549"/>
      <c r="AW23" s="549"/>
      <c r="AX23" s="549"/>
      <c r="AY23" s="549"/>
      <c r="AZ23" s="549"/>
      <c r="BA23" s="549"/>
      <c r="BB23" s="549"/>
      <c r="BC23" s="549"/>
      <c r="BD23" s="549"/>
      <c r="BE23" s="549"/>
      <c r="BF23" s="549"/>
      <c r="BG23" s="549"/>
      <c r="BH23" s="549"/>
      <c r="BI23" s="549"/>
      <c r="BJ23" s="549"/>
      <c r="BK23" s="549"/>
      <c r="BL23" s="549"/>
      <c r="BM23" s="549"/>
      <c r="BN23" s="549"/>
      <c r="BO23" s="549"/>
      <c r="BP23" s="549"/>
      <c r="BQ23" s="549"/>
      <c r="BR23" s="549"/>
      <c r="BS23" s="549"/>
      <c r="BT23" s="549"/>
      <c r="BU23" s="549"/>
      <c r="BV23" s="549"/>
      <c r="BW23" s="549"/>
      <c r="BX23" s="549"/>
      <c r="BY23" s="549"/>
      <c r="BZ23" s="549"/>
      <c r="CA23" s="549"/>
      <c r="CB23" s="549"/>
      <c r="CC23" s="549"/>
      <c r="CD23" s="549"/>
      <c r="CE23" s="549"/>
      <c r="CF23" s="549"/>
      <c r="CG23" s="549"/>
      <c r="CH23" s="549"/>
      <c r="CI23" s="549"/>
      <c r="CJ23" s="549"/>
      <c r="CK23" s="549"/>
      <c r="CL23" s="549"/>
      <c r="CM23" s="549"/>
      <c r="CN23" s="549"/>
      <c r="CO23" s="549"/>
      <c r="CP23" s="549"/>
      <c r="CQ23" s="549"/>
      <c r="CR23" s="549"/>
      <c r="CS23" s="549"/>
      <c r="CT23" s="549"/>
      <c r="CU23" s="549"/>
      <c r="CV23" s="549"/>
      <c r="CW23" s="549"/>
      <c r="CX23" s="549"/>
      <c r="CY23" s="549"/>
      <c r="CZ23" s="549"/>
      <c r="DA23" s="549"/>
      <c r="DB23" s="549"/>
      <c r="DC23" s="549"/>
      <c r="DD23" s="549"/>
      <c r="DE23" s="549"/>
      <c r="DF23" s="549"/>
      <c r="DG23" s="549"/>
      <c r="DH23" s="549"/>
      <c r="DI23" s="549"/>
      <c r="DJ23" s="549"/>
      <c r="DK23" s="549"/>
      <c r="DL23" s="549"/>
      <c r="DM23" s="549"/>
      <c r="DN23" s="549"/>
      <c r="DO23" s="549"/>
      <c r="DP23" s="549"/>
      <c r="DQ23" s="549"/>
      <c r="DR23" s="549"/>
      <c r="DS23" s="549"/>
      <c r="DT23" s="549"/>
      <c r="DU23" s="549"/>
      <c r="DV23" s="549"/>
      <c r="DW23" s="549"/>
      <c r="DX23" s="549"/>
      <c r="DY23" s="549"/>
      <c r="DZ23" s="549"/>
      <c r="EA23" s="549"/>
      <c r="EB23" s="549"/>
      <c r="EC23" s="549"/>
      <c r="ED23" s="549"/>
      <c r="EE23" s="549"/>
      <c r="EF23" s="549"/>
      <c r="EG23" s="549"/>
      <c r="EH23" s="549"/>
      <c r="EI23" s="549"/>
      <c r="EJ23" s="549"/>
      <c r="EK23" s="549"/>
      <c r="EL23" s="549"/>
      <c r="EM23" s="549"/>
      <c r="EN23" s="549"/>
      <c r="EO23" s="549"/>
      <c r="EP23" s="549"/>
      <c r="EQ23" s="549"/>
      <c r="ER23" s="549"/>
      <c r="ES23" s="549"/>
      <c r="ET23" s="549"/>
      <c r="EU23" s="549"/>
      <c r="EV23" s="549"/>
      <c r="EW23" s="549"/>
      <c r="EX23" s="549"/>
      <c r="EY23" s="549"/>
      <c r="EZ23" s="549"/>
      <c r="FA23" s="549"/>
      <c r="FB23" s="549"/>
      <c r="FC23" s="549"/>
      <c r="FD23" s="549"/>
      <c r="FE23" s="549"/>
      <c r="FF23" s="549"/>
      <c r="FG23" s="549"/>
      <c r="FH23" s="549"/>
      <c r="FI23" s="549"/>
      <c r="FJ23" s="549"/>
      <c r="FK23" s="549"/>
      <c r="FL23" s="549"/>
      <c r="FM23" s="549"/>
      <c r="FN23" s="549"/>
      <c r="FO23" s="549"/>
      <c r="FP23" s="549"/>
      <c r="FQ23" s="549"/>
      <c r="FR23" s="549"/>
      <c r="FS23" s="549"/>
      <c r="FT23" s="549"/>
      <c r="FU23" s="549"/>
      <c r="FV23" s="549"/>
      <c r="FW23" s="549"/>
      <c r="FX23" s="549"/>
      <c r="FY23" s="549"/>
      <c r="FZ23" s="549"/>
      <c r="GA23" s="549"/>
      <c r="GB23" s="549"/>
      <c r="GC23" s="549"/>
      <c r="GD23" s="549"/>
      <c r="GE23" s="549"/>
      <c r="GF23" s="549"/>
      <c r="GG23" s="549"/>
      <c r="GH23" s="549"/>
      <c r="GI23" s="549"/>
      <c r="GJ23" s="549"/>
      <c r="GK23" s="549"/>
      <c r="GL23" s="549"/>
      <c r="GM23" s="549"/>
      <c r="GN23" s="549"/>
      <c r="GO23" s="549"/>
      <c r="GP23" s="549"/>
      <c r="GQ23" s="549"/>
      <c r="GR23" s="549"/>
      <c r="GS23" s="549"/>
      <c r="GT23" s="549"/>
      <c r="GU23" s="549"/>
      <c r="GV23" s="549"/>
      <c r="GW23" s="549"/>
      <c r="GX23" s="549"/>
      <c r="GY23" s="549"/>
      <c r="GZ23" s="549"/>
      <c r="HA23" s="549"/>
      <c r="HB23" s="549"/>
      <c r="HC23" s="549"/>
      <c r="HD23" s="549"/>
      <c r="HE23" s="549"/>
      <c r="HF23" s="549"/>
      <c r="HG23" s="549"/>
      <c r="HH23" s="549"/>
      <c r="HI23" s="549"/>
      <c r="HJ23" s="549"/>
      <c r="HK23" s="549"/>
      <c r="HL23" s="549"/>
      <c r="HM23" s="549"/>
      <c r="HN23" s="549"/>
      <c r="HO23" s="549"/>
      <c r="HP23" s="549"/>
      <c r="HQ23" s="549"/>
      <c r="HR23" s="549"/>
      <c r="HS23" s="549"/>
      <c r="HT23" s="549"/>
      <c r="HU23" s="549"/>
      <c r="HV23" s="549"/>
      <c r="HW23" s="533"/>
      <c r="HX23" s="533"/>
      <c r="HY23" s="533"/>
      <c r="HZ23" s="533"/>
      <c r="IA23" s="533"/>
      <c r="IB23" s="533"/>
      <c r="IC23" s="533"/>
      <c r="ID23" s="533"/>
      <c r="IE23" s="533"/>
      <c r="IF23" s="533"/>
      <c r="IG23" s="533"/>
      <c r="IH23" s="533"/>
      <c r="II23" s="533"/>
      <c r="IJ23" s="533"/>
      <c r="IK23" s="533"/>
      <c r="IL23" s="533"/>
      <c r="IM23" s="533"/>
      <c r="IN23" s="533"/>
      <c r="IO23" s="533"/>
      <c r="IP23" s="347"/>
      <c r="IQ23" s="347"/>
      <c r="IR23" s="347"/>
      <c r="IS23" s="347"/>
      <c r="IT23" s="347"/>
      <c r="IU23" s="347"/>
      <c r="IV23" s="347"/>
    </row>
    <row r="24" spans="1:256" s="513" customFormat="1" ht="12.75">
      <c r="A24" s="520"/>
      <c r="B24" s="520"/>
      <c r="C24" s="238"/>
      <c r="D24" s="358">
        <v>70.48</v>
      </c>
      <c r="E24" s="238"/>
      <c r="F24" s="519">
        <v>464439</v>
      </c>
      <c r="G24" s="298">
        <v>40540</v>
      </c>
      <c r="H24" s="540">
        <f t="shared" si="3"/>
        <v>6650.9952742374335</v>
      </c>
      <c r="I24" s="260" t="s">
        <v>92</v>
      </c>
      <c r="J24" s="542">
        <v>57.61</v>
      </c>
      <c r="K24" s="526">
        <v>69.83</v>
      </c>
      <c r="L24" s="540">
        <v>464439</v>
      </c>
      <c r="M24" s="540">
        <f t="shared" si="1"/>
        <v>69.83</v>
      </c>
      <c r="N24" s="540">
        <f t="shared" si="4"/>
        <v>464439</v>
      </c>
      <c r="O24" s="535"/>
      <c r="P24" s="540">
        <f t="shared" si="2"/>
        <v>0</v>
      </c>
      <c r="Q24" s="551">
        <f t="shared" si="5"/>
        <v>0</v>
      </c>
      <c r="R24" s="552"/>
      <c r="S24" s="549"/>
      <c r="T24" s="549"/>
      <c r="U24" s="549"/>
      <c r="V24" s="549"/>
      <c r="W24" s="549"/>
      <c r="X24" s="549"/>
      <c r="Y24" s="549"/>
      <c r="Z24" s="549"/>
      <c r="AA24" s="549"/>
      <c r="AB24" s="549"/>
      <c r="AC24" s="549"/>
      <c r="AD24" s="549"/>
      <c r="AE24" s="549"/>
      <c r="AF24" s="549"/>
      <c r="AG24" s="549"/>
      <c r="AH24" s="549"/>
      <c r="AI24" s="549"/>
      <c r="AJ24" s="549"/>
      <c r="AK24" s="549"/>
      <c r="AL24" s="549"/>
      <c r="AM24" s="549"/>
      <c r="AN24" s="549"/>
      <c r="AO24" s="549"/>
      <c r="AP24" s="549"/>
      <c r="AQ24" s="549"/>
      <c r="AR24" s="549"/>
      <c r="AS24" s="549"/>
      <c r="AT24" s="549"/>
      <c r="AU24" s="549"/>
      <c r="AV24" s="549"/>
      <c r="AW24" s="549"/>
      <c r="AX24" s="549"/>
      <c r="AY24" s="549"/>
      <c r="AZ24" s="549"/>
      <c r="BA24" s="549"/>
      <c r="BB24" s="549"/>
      <c r="BC24" s="549"/>
      <c r="BD24" s="549"/>
      <c r="BE24" s="549"/>
      <c r="BF24" s="549"/>
      <c r="BG24" s="549"/>
      <c r="BH24" s="549"/>
      <c r="BI24" s="549"/>
      <c r="BJ24" s="549"/>
      <c r="BK24" s="549"/>
      <c r="BL24" s="549"/>
      <c r="BM24" s="549"/>
      <c r="BN24" s="549"/>
      <c r="BO24" s="549"/>
      <c r="BP24" s="549"/>
      <c r="BQ24" s="549"/>
      <c r="BR24" s="549"/>
      <c r="BS24" s="549"/>
      <c r="BT24" s="549"/>
      <c r="BU24" s="549"/>
      <c r="BV24" s="549"/>
      <c r="BW24" s="549"/>
      <c r="BX24" s="549"/>
      <c r="BY24" s="549"/>
      <c r="BZ24" s="549"/>
      <c r="CA24" s="549"/>
      <c r="CB24" s="549"/>
      <c r="CC24" s="549"/>
      <c r="CD24" s="549"/>
      <c r="CE24" s="549"/>
      <c r="CF24" s="549"/>
      <c r="CG24" s="549"/>
      <c r="CH24" s="549"/>
      <c r="CI24" s="549"/>
      <c r="CJ24" s="549"/>
      <c r="CK24" s="549"/>
      <c r="CL24" s="549"/>
      <c r="CM24" s="549"/>
      <c r="CN24" s="549"/>
      <c r="CO24" s="549"/>
      <c r="CP24" s="549"/>
      <c r="CQ24" s="549"/>
      <c r="CR24" s="549"/>
      <c r="CS24" s="549"/>
      <c r="CT24" s="549"/>
      <c r="CU24" s="549"/>
      <c r="CV24" s="549"/>
      <c r="CW24" s="549"/>
      <c r="CX24" s="549"/>
      <c r="CY24" s="549"/>
      <c r="CZ24" s="549"/>
      <c r="DA24" s="549"/>
      <c r="DB24" s="549"/>
      <c r="DC24" s="549"/>
      <c r="DD24" s="549"/>
      <c r="DE24" s="549"/>
      <c r="DF24" s="549"/>
      <c r="DG24" s="549"/>
      <c r="DH24" s="549"/>
      <c r="DI24" s="549"/>
      <c r="DJ24" s="549"/>
      <c r="DK24" s="549"/>
      <c r="DL24" s="549"/>
      <c r="DM24" s="549"/>
      <c r="DN24" s="549"/>
      <c r="DO24" s="549"/>
      <c r="DP24" s="549"/>
      <c r="DQ24" s="549"/>
      <c r="DR24" s="549"/>
      <c r="DS24" s="549"/>
      <c r="DT24" s="549"/>
      <c r="DU24" s="549"/>
      <c r="DV24" s="549"/>
      <c r="DW24" s="549"/>
      <c r="DX24" s="549"/>
      <c r="DY24" s="549"/>
      <c r="DZ24" s="549"/>
      <c r="EA24" s="549"/>
      <c r="EB24" s="549"/>
      <c r="EC24" s="549"/>
      <c r="ED24" s="549"/>
      <c r="EE24" s="549"/>
      <c r="EF24" s="549"/>
      <c r="EG24" s="549"/>
      <c r="EH24" s="549"/>
      <c r="EI24" s="549"/>
      <c r="EJ24" s="549"/>
      <c r="EK24" s="549"/>
      <c r="EL24" s="549"/>
      <c r="EM24" s="549"/>
      <c r="EN24" s="549"/>
      <c r="EO24" s="549"/>
      <c r="EP24" s="549"/>
      <c r="EQ24" s="549"/>
      <c r="ER24" s="549"/>
      <c r="ES24" s="549"/>
      <c r="ET24" s="549"/>
      <c r="EU24" s="549"/>
      <c r="EV24" s="549"/>
      <c r="EW24" s="549"/>
      <c r="EX24" s="549"/>
      <c r="EY24" s="549"/>
      <c r="EZ24" s="549"/>
      <c r="FA24" s="549"/>
      <c r="FB24" s="549"/>
      <c r="FC24" s="549"/>
      <c r="FD24" s="549"/>
      <c r="FE24" s="549"/>
      <c r="FF24" s="549"/>
      <c r="FG24" s="549"/>
      <c r="FH24" s="549"/>
      <c r="FI24" s="549"/>
      <c r="FJ24" s="549"/>
      <c r="FK24" s="549"/>
      <c r="FL24" s="549"/>
      <c r="FM24" s="549"/>
      <c r="FN24" s="549"/>
      <c r="FO24" s="549"/>
      <c r="FP24" s="549"/>
      <c r="FQ24" s="549"/>
      <c r="FR24" s="549"/>
      <c r="FS24" s="549"/>
      <c r="FT24" s="549"/>
      <c r="FU24" s="549"/>
      <c r="FV24" s="549"/>
      <c r="FW24" s="549"/>
      <c r="FX24" s="549"/>
      <c r="FY24" s="549"/>
      <c r="FZ24" s="549"/>
      <c r="GA24" s="549"/>
      <c r="GB24" s="549"/>
      <c r="GC24" s="549"/>
      <c r="GD24" s="549"/>
      <c r="GE24" s="549"/>
      <c r="GF24" s="549"/>
      <c r="GG24" s="549"/>
      <c r="GH24" s="549"/>
      <c r="GI24" s="549"/>
      <c r="GJ24" s="549"/>
      <c r="GK24" s="549"/>
      <c r="GL24" s="549"/>
      <c r="GM24" s="549"/>
      <c r="GN24" s="549"/>
      <c r="GO24" s="549"/>
      <c r="GP24" s="549"/>
      <c r="GQ24" s="549"/>
      <c r="GR24" s="549"/>
      <c r="GS24" s="549"/>
      <c r="GT24" s="549"/>
      <c r="GU24" s="549"/>
      <c r="GV24" s="549"/>
      <c r="GW24" s="549"/>
      <c r="GX24" s="549"/>
      <c r="GY24" s="549"/>
      <c r="GZ24" s="549"/>
      <c r="HA24" s="549"/>
      <c r="HB24" s="549"/>
      <c r="HC24" s="549"/>
      <c r="HD24" s="549"/>
      <c r="HE24" s="549"/>
      <c r="HF24" s="549"/>
      <c r="HG24" s="549"/>
      <c r="HH24" s="549"/>
      <c r="HI24" s="549"/>
      <c r="HJ24" s="549"/>
      <c r="HK24" s="549"/>
      <c r="HL24" s="549"/>
      <c r="HM24" s="549"/>
      <c r="HN24" s="549"/>
      <c r="HO24" s="549"/>
      <c r="HP24" s="549"/>
      <c r="HQ24" s="549"/>
      <c r="HR24" s="549"/>
      <c r="HS24" s="549"/>
      <c r="HT24" s="549"/>
      <c r="HU24" s="549"/>
      <c r="HV24" s="549"/>
      <c r="HW24" s="533"/>
      <c r="HX24" s="533"/>
      <c r="HY24" s="533"/>
      <c r="HZ24" s="533"/>
      <c r="IA24" s="533"/>
      <c r="IB24" s="533"/>
      <c r="IC24" s="533"/>
      <c r="ID24" s="533"/>
      <c r="IE24" s="533"/>
      <c r="IF24" s="533"/>
      <c r="IG24" s="533"/>
      <c r="IH24" s="533"/>
      <c r="II24" s="533"/>
      <c r="IJ24" s="533"/>
      <c r="IK24" s="533"/>
      <c r="IL24" s="533"/>
      <c r="IM24" s="533"/>
      <c r="IN24" s="533"/>
      <c r="IO24" s="533"/>
      <c r="IP24" s="347"/>
      <c r="IQ24" s="347"/>
      <c r="IR24" s="347"/>
      <c r="IS24" s="347"/>
      <c r="IT24" s="347"/>
      <c r="IU24" s="347"/>
      <c r="IV24" s="347"/>
    </row>
    <row r="25" spans="1:256" s="513" customFormat="1" ht="12.75">
      <c r="A25" s="520"/>
      <c r="B25" s="520"/>
      <c r="C25" s="238"/>
      <c r="D25" s="358">
        <v>69.83</v>
      </c>
      <c r="E25" s="238"/>
      <c r="F25" s="519">
        <v>411927</v>
      </c>
      <c r="G25" s="298">
        <v>40686</v>
      </c>
      <c r="H25" s="540">
        <f t="shared" si="3"/>
        <v>5898.9975655162543</v>
      </c>
      <c r="I25" s="260" t="s">
        <v>92</v>
      </c>
      <c r="J25" s="542">
        <v>57.61</v>
      </c>
      <c r="K25" s="526">
        <v>69.83</v>
      </c>
      <c r="L25" s="540">
        <v>411927</v>
      </c>
      <c r="M25" s="540">
        <f t="shared" si="1"/>
        <v>69.83</v>
      </c>
      <c r="N25" s="540">
        <f t="shared" si="4"/>
        <v>411927</v>
      </c>
      <c r="O25" s="535"/>
      <c r="P25" s="540">
        <f t="shared" si="2"/>
        <v>0</v>
      </c>
      <c r="Q25" s="551">
        <f t="shared" si="5"/>
        <v>0</v>
      </c>
      <c r="R25" s="552"/>
      <c r="S25" s="549"/>
      <c r="T25" s="549"/>
      <c r="U25" s="549"/>
      <c r="V25" s="549"/>
      <c r="W25" s="549"/>
      <c r="X25" s="549"/>
      <c r="Y25" s="549"/>
      <c r="Z25" s="549"/>
      <c r="AA25" s="549"/>
      <c r="AB25" s="549"/>
      <c r="AC25" s="549"/>
      <c r="AD25" s="549"/>
      <c r="AE25" s="549"/>
      <c r="AF25" s="549"/>
      <c r="AG25" s="549"/>
      <c r="AH25" s="549"/>
      <c r="AI25" s="549"/>
      <c r="AJ25" s="549"/>
      <c r="AK25" s="549"/>
      <c r="AL25" s="549"/>
      <c r="AM25" s="549"/>
      <c r="AN25" s="549"/>
      <c r="AO25" s="549"/>
      <c r="AP25" s="549"/>
      <c r="AQ25" s="549"/>
      <c r="AR25" s="549"/>
      <c r="AS25" s="549"/>
      <c r="AT25" s="549"/>
      <c r="AU25" s="549"/>
      <c r="AV25" s="549"/>
      <c r="AW25" s="549"/>
      <c r="AX25" s="549"/>
      <c r="AY25" s="549"/>
      <c r="AZ25" s="549"/>
      <c r="BA25" s="549"/>
      <c r="BB25" s="549"/>
      <c r="BC25" s="549"/>
      <c r="BD25" s="549"/>
      <c r="BE25" s="549"/>
      <c r="BF25" s="549"/>
      <c r="BG25" s="549"/>
      <c r="BH25" s="549"/>
      <c r="BI25" s="549"/>
      <c r="BJ25" s="549"/>
      <c r="BK25" s="549"/>
      <c r="BL25" s="549"/>
      <c r="BM25" s="549"/>
      <c r="BN25" s="549"/>
      <c r="BO25" s="549"/>
      <c r="BP25" s="549"/>
      <c r="BQ25" s="549"/>
      <c r="BR25" s="549"/>
      <c r="BS25" s="549"/>
      <c r="BT25" s="549"/>
      <c r="BU25" s="549"/>
      <c r="BV25" s="549"/>
      <c r="BW25" s="549"/>
      <c r="BX25" s="549"/>
      <c r="BY25" s="549"/>
      <c r="BZ25" s="549"/>
      <c r="CA25" s="549"/>
      <c r="CB25" s="549"/>
      <c r="CC25" s="549"/>
      <c r="CD25" s="549"/>
      <c r="CE25" s="549"/>
      <c r="CF25" s="549"/>
      <c r="CG25" s="549"/>
      <c r="CH25" s="549"/>
      <c r="CI25" s="549"/>
      <c r="CJ25" s="549"/>
      <c r="CK25" s="549"/>
      <c r="CL25" s="549"/>
      <c r="CM25" s="549"/>
      <c r="CN25" s="549"/>
      <c r="CO25" s="549"/>
      <c r="CP25" s="549"/>
      <c r="CQ25" s="549"/>
      <c r="CR25" s="549"/>
      <c r="CS25" s="549"/>
      <c r="CT25" s="549"/>
      <c r="CU25" s="549"/>
      <c r="CV25" s="549"/>
      <c r="CW25" s="549"/>
      <c r="CX25" s="549"/>
      <c r="CY25" s="549"/>
      <c r="CZ25" s="549"/>
      <c r="DA25" s="549"/>
      <c r="DB25" s="549"/>
      <c r="DC25" s="549"/>
      <c r="DD25" s="549"/>
      <c r="DE25" s="549"/>
      <c r="DF25" s="549"/>
      <c r="DG25" s="549"/>
      <c r="DH25" s="549"/>
      <c r="DI25" s="549"/>
      <c r="DJ25" s="549"/>
      <c r="DK25" s="549"/>
      <c r="DL25" s="549"/>
      <c r="DM25" s="549"/>
      <c r="DN25" s="549"/>
      <c r="DO25" s="549"/>
      <c r="DP25" s="549"/>
      <c r="DQ25" s="549"/>
      <c r="DR25" s="549"/>
      <c r="DS25" s="549"/>
      <c r="DT25" s="549"/>
      <c r="DU25" s="549"/>
      <c r="DV25" s="549"/>
      <c r="DW25" s="549"/>
      <c r="DX25" s="549"/>
      <c r="DY25" s="549"/>
      <c r="DZ25" s="549"/>
      <c r="EA25" s="549"/>
      <c r="EB25" s="549"/>
      <c r="EC25" s="549"/>
      <c r="ED25" s="549"/>
      <c r="EE25" s="549"/>
      <c r="EF25" s="549"/>
      <c r="EG25" s="549"/>
      <c r="EH25" s="549"/>
      <c r="EI25" s="549"/>
      <c r="EJ25" s="549"/>
      <c r="EK25" s="549"/>
      <c r="EL25" s="549"/>
      <c r="EM25" s="549"/>
      <c r="EN25" s="549"/>
      <c r="EO25" s="549"/>
      <c r="EP25" s="549"/>
      <c r="EQ25" s="549"/>
      <c r="ER25" s="549"/>
      <c r="ES25" s="549"/>
      <c r="ET25" s="549"/>
      <c r="EU25" s="549"/>
      <c r="EV25" s="549"/>
      <c r="EW25" s="549"/>
      <c r="EX25" s="549"/>
      <c r="EY25" s="549"/>
      <c r="EZ25" s="549"/>
      <c r="FA25" s="549"/>
      <c r="FB25" s="549"/>
      <c r="FC25" s="549"/>
      <c r="FD25" s="549"/>
      <c r="FE25" s="549"/>
      <c r="FF25" s="549"/>
      <c r="FG25" s="549"/>
      <c r="FH25" s="549"/>
      <c r="FI25" s="549"/>
      <c r="FJ25" s="549"/>
      <c r="FK25" s="549"/>
      <c r="FL25" s="549"/>
      <c r="FM25" s="549"/>
      <c r="FN25" s="549"/>
      <c r="FO25" s="549"/>
      <c r="FP25" s="549"/>
      <c r="FQ25" s="549"/>
      <c r="FR25" s="549"/>
      <c r="FS25" s="549"/>
      <c r="FT25" s="549"/>
      <c r="FU25" s="549"/>
      <c r="FV25" s="549"/>
      <c r="FW25" s="549"/>
      <c r="FX25" s="549"/>
      <c r="FY25" s="549"/>
      <c r="FZ25" s="549"/>
      <c r="GA25" s="549"/>
      <c r="GB25" s="549"/>
      <c r="GC25" s="549"/>
      <c r="GD25" s="549"/>
      <c r="GE25" s="549"/>
      <c r="GF25" s="549"/>
      <c r="GG25" s="549"/>
      <c r="GH25" s="549"/>
      <c r="GI25" s="549"/>
      <c r="GJ25" s="549"/>
      <c r="GK25" s="549"/>
      <c r="GL25" s="549"/>
      <c r="GM25" s="549"/>
      <c r="GN25" s="549"/>
      <c r="GO25" s="549"/>
      <c r="GP25" s="549"/>
      <c r="GQ25" s="549"/>
      <c r="GR25" s="549"/>
      <c r="GS25" s="549"/>
      <c r="GT25" s="549"/>
      <c r="GU25" s="549"/>
      <c r="GV25" s="549"/>
      <c r="GW25" s="549"/>
      <c r="GX25" s="549"/>
      <c r="GY25" s="549"/>
      <c r="GZ25" s="549"/>
      <c r="HA25" s="549"/>
      <c r="HB25" s="549"/>
      <c r="HC25" s="549"/>
      <c r="HD25" s="549"/>
      <c r="HE25" s="549"/>
      <c r="HF25" s="549"/>
      <c r="HG25" s="549"/>
      <c r="HH25" s="549"/>
      <c r="HI25" s="549"/>
      <c r="HJ25" s="549"/>
      <c r="HK25" s="549"/>
      <c r="HL25" s="549"/>
      <c r="HM25" s="549"/>
      <c r="HN25" s="549"/>
      <c r="HO25" s="549"/>
      <c r="HP25" s="549"/>
      <c r="HQ25" s="549"/>
      <c r="HR25" s="549"/>
      <c r="HS25" s="549"/>
      <c r="HT25" s="549"/>
      <c r="HU25" s="549"/>
      <c r="HV25" s="549"/>
      <c r="HW25" s="533"/>
      <c r="HX25" s="533"/>
      <c r="HY25" s="533"/>
      <c r="HZ25" s="533"/>
      <c r="IA25" s="533"/>
      <c r="IB25" s="533"/>
      <c r="IC25" s="533"/>
      <c r="ID25" s="533"/>
      <c r="IE25" s="533"/>
      <c r="IF25" s="533"/>
      <c r="IG25" s="533"/>
      <c r="IH25" s="533"/>
      <c r="II25" s="533"/>
      <c r="IJ25" s="533"/>
      <c r="IK25" s="533"/>
      <c r="IL25" s="533"/>
      <c r="IM25" s="533"/>
      <c r="IN25" s="533"/>
      <c r="IO25" s="533"/>
      <c r="IP25" s="347"/>
      <c r="IQ25" s="347"/>
      <c r="IR25" s="347"/>
      <c r="IS25" s="347"/>
      <c r="IT25" s="347"/>
      <c r="IU25" s="347"/>
      <c r="IV25" s="347"/>
    </row>
    <row r="26" spans="1:256" s="513" customFormat="1" ht="12.75">
      <c r="A26" s="520"/>
      <c r="B26" s="520"/>
      <c r="C26" s="238"/>
      <c r="D26" s="358">
        <v>69.83</v>
      </c>
      <c r="E26" s="238"/>
      <c r="F26" s="519">
        <v>415489</v>
      </c>
      <c r="G26" s="298">
        <v>40686</v>
      </c>
      <c r="H26" s="540">
        <f t="shared" si="3"/>
        <v>5950.0071602463122</v>
      </c>
      <c r="I26" s="260" t="s">
        <v>92</v>
      </c>
      <c r="J26" s="542">
        <v>57.61</v>
      </c>
      <c r="K26" s="526">
        <v>69.83</v>
      </c>
      <c r="L26" s="540">
        <v>415489</v>
      </c>
      <c r="M26" s="540">
        <f t="shared" si="1"/>
        <v>69.83</v>
      </c>
      <c r="N26" s="540">
        <f t="shared" si="4"/>
        <v>415489</v>
      </c>
      <c r="O26" s="535"/>
      <c r="P26" s="540">
        <f t="shared" si="2"/>
        <v>0</v>
      </c>
      <c r="Q26" s="551">
        <f t="shared" si="5"/>
        <v>0</v>
      </c>
      <c r="R26" s="552"/>
      <c r="S26" s="549"/>
      <c r="T26" s="549"/>
      <c r="U26" s="549"/>
      <c r="V26" s="549"/>
      <c r="W26" s="549"/>
      <c r="X26" s="549"/>
      <c r="Y26" s="549"/>
      <c r="Z26" s="549"/>
      <c r="AA26" s="549"/>
      <c r="AB26" s="549"/>
      <c r="AC26" s="549"/>
      <c r="AD26" s="549"/>
      <c r="AE26" s="549"/>
      <c r="AF26" s="549"/>
      <c r="AG26" s="549"/>
      <c r="AH26" s="549"/>
      <c r="AI26" s="549"/>
      <c r="AJ26" s="549"/>
      <c r="AK26" s="549"/>
      <c r="AL26" s="549"/>
      <c r="AM26" s="549"/>
      <c r="AN26" s="549"/>
      <c r="AO26" s="549"/>
      <c r="AP26" s="549"/>
      <c r="AQ26" s="549"/>
      <c r="AR26" s="549"/>
      <c r="AS26" s="549"/>
      <c r="AT26" s="549"/>
      <c r="AU26" s="549"/>
      <c r="AV26" s="549"/>
      <c r="AW26" s="549"/>
      <c r="AX26" s="549"/>
      <c r="AY26" s="549"/>
      <c r="AZ26" s="549"/>
      <c r="BA26" s="549"/>
      <c r="BB26" s="549"/>
      <c r="BC26" s="549"/>
      <c r="BD26" s="549"/>
      <c r="BE26" s="549"/>
      <c r="BF26" s="549"/>
      <c r="BG26" s="549"/>
      <c r="BH26" s="549"/>
      <c r="BI26" s="549"/>
      <c r="BJ26" s="549"/>
      <c r="BK26" s="549"/>
      <c r="BL26" s="549"/>
      <c r="BM26" s="549"/>
      <c r="BN26" s="549"/>
      <c r="BO26" s="549"/>
      <c r="BP26" s="549"/>
      <c r="BQ26" s="549"/>
      <c r="BR26" s="549"/>
      <c r="BS26" s="549"/>
      <c r="BT26" s="549"/>
      <c r="BU26" s="549"/>
      <c r="BV26" s="549"/>
      <c r="BW26" s="549"/>
      <c r="BX26" s="549"/>
      <c r="BY26" s="549"/>
      <c r="BZ26" s="549"/>
      <c r="CA26" s="549"/>
      <c r="CB26" s="549"/>
      <c r="CC26" s="549"/>
      <c r="CD26" s="549"/>
      <c r="CE26" s="549"/>
      <c r="CF26" s="549"/>
      <c r="CG26" s="549"/>
      <c r="CH26" s="549"/>
      <c r="CI26" s="549"/>
      <c r="CJ26" s="549"/>
      <c r="CK26" s="549"/>
      <c r="CL26" s="549"/>
      <c r="CM26" s="549"/>
      <c r="CN26" s="549"/>
      <c r="CO26" s="549"/>
      <c r="CP26" s="549"/>
      <c r="CQ26" s="549"/>
      <c r="CR26" s="549"/>
      <c r="CS26" s="549"/>
      <c r="CT26" s="549"/>
      <c r="CU26" s="549"/>
      <c r="CV26" s="549"/>
      <c r="CW26" s="549"/>
      <c r="CX26" s="549"/>
      <c r="CY26" s="549"/>
      <c r="CZ26" s="549"/>
      <c r="DA26" s="549"/>
      <c r="DB26" s="549"/>
      <c r="DC26" s="549"/>
      <c r="DD26" s="549"/>
      <c r="DE26" s="549"/>
      <c r="DF26" s="549"/>
      <c r="DG26" s="549"/>
      <c r="DH26" s="549"/>
      <c r="DI26" s="549"/>
      <c r="DJ26" s="549"/>
      <c r="DK26" s="549"/>
      <c r="DL26" s="549"/>
      <c r="DM26" s="549"/>
      <c r="DN26" s="549"/>
      <c r="DO26" s="549"/>
      <c r="DP26" s="549"/>
      <c r="DQ26" s="549"/>
      <c r="DR26" s="549"/>
      <c r="DS26" s="549"/>
      <c r="DT26" s="549"/>
      <c r="DU26" s="549"/>
      <c r="DV26" s="549"/>
      <c r="DW26" s="549"/>
      <c r="DX26" s="549"/>
      <c r="DY26" s="549"/>
      <c r="DZ26" s="549"/>
      <c r="EA26" s="549"/>
      <c r="EB26" s="549"/>
      <c r="EC26" s="549"/>
      <c r="ED26" s="549"/>
      <c r="EE26" s="549"/>
      <c r="EF26" s="549"/>
      <c r="EG26" s="549"/>
      <c r="EH26" s="549"/>
      <c r="EI26" s="549"/>
      <c r="EJ26" s="549"/>
      <c r="EK26" s="549"/>
      <c r="EL26" s="549"/>
      <c r="EM26" s="549"/>
      <c r="EN26" s="549"/>
      <c r="EO26" s="549"/>
      <c r="EP26" s="549"/>
      <c r="EQ26" s="549"/>
      <c r="ER26" s="549"/>
      <c r="ES26" s="549"/>
      <c r="ET26" s="549"/>
      <c r="EU26" s="549"/>
      <c r="EV26" s="549"/>
      <c r="EW26" s="549"/>
      <c r="EX26" s="549"/>
      <c r="EY26" s="549"/>
      <c r="EZ26" s="549"/>
      <c r="FA26" s="549"/>
      <c r="FB26" s="549"/>
      <c r="FC26" s="549"/>
      <c r="FD26" s="549"/>
      <c r="FE26" s="549"/>
      <c r="FF26" s="549"/>
      <c r="FG26" s="549"/>
      <c r="FH26" s="549"/>
      <c r="FI26" s="549"/>
      <c r="FJ26" s="549"/>
      <c r="FK26" s="549"/>
      <c r="FL26" s="549"/>
      <c r="FM26" s="549"/>
      <c r="FN26" s="549"/>
      <c r="FO26" s="549"/>
      <c r="FP26" s="549"/>
      <c r="FQ26" s="549"/>
      <c r="FR26" s="549"/>
      <c r="FS26" s="549"/>
      <c r="FT26" s="549"/>
      <c r="FU26" s="549"/>
      <c r="FV26" s="549"/>
      <c r="FW26" s="549"/>
      <c r="FX26" s="549"/>
      <c r="FY26" s="549"/>
      <c r="FZ26" s="549"/>
      <c r="GA26" s="549"/>
      <c r="GB26" s="549"/>
      <c r="GC26" s="549"/>
      <c r="GD26" s="549"/>
      <c r="GE26" s="549"/>
      <c r="GF26" s="549"/>
      <c r="GG26" s="549"/>
      <c r="GH26" s="549"/>
      <c r="GI26" s="549"/>
      <c r="GJ26" s="549"/>
      <c r="GK26" s="549"/>
      <c r="GL26" s="549"/>
      <c r="GM26" s="549"/>
      <c r="GN26" s="549"/>
      <c r="GO26" s="549"/>
      <c r="GP26" s="549"/>
      <c r="GQ26" s="549"/>
      <c r="GR26" s="549"/>
      <c r="GS26" s="549"/>
      <c r="GT26" s="549"/>
      <c r="GU26" s="549"/>
      <c r="GV26" s="549"/>
      <c r="GW26" s="549"/>
      <c r="GX26" s="549"/>
      <c r="GY26" s="549"/>
      <c r="GZ26" s="549"/>
      <c r="HA26" s="549"/>
      <c r="HB26" s="549"/>
      <c r="HC26" s="549"/>
      <c r="HD26" s="549"/>
      <c r="HE26" s="549"/>
      <c r="HF26" s="549"/>
      <c r="HG26" s="549"/>
      <c r="HH26" s="549"/>
      <c r="HI26" s="549"/>
      <c r="HJ26" s="549"/>
      <c r="HK26" s="549"/>
      <c r="HL26" s="549"/>
      <c r="HM26" s="549"/>
      <c r="HN26" s="549"/>
      <c r="HO26" s="549"/>
      <c r="HP26" s="549"/>
      <c r="HQ26" s="549"/>
      <c r="HR26" s="549"/>
      <c r="HS26" s="549"/>
      <c r="HT26" s="549"/>
      <c r="HU26" s="549"/>
      <c r="HV26" s="549"/>
      <c r="HW26" s="533"/>
      <c r="HX26" s="533"/>
      <c r="HY26" s="533"/>
      <c r="HZ26" s="533"/>
      <c r="IA26" s="533"/>
      <c r="IB26" s="533"/>
      <c r="IC26" s="533"/>
      <c r="ID26" s="533"/>
      <c r="IE26" s="533"/>
      <c r="IF26" s="533"/>
      <c r="IG26" s="533"/>
      <c r="IH26" s="533"/>
      <c r="II26" s="533"/>
      <c r="IJ26" s="533"/>
      <c r="IK26" s="533"/>
      <c r="IL26" s="533"/>
      <c r="IM26" s="533"/>
      <c r="IN26" s="533"/>
      <c r="IO26" s="533"/>
      <c r="IP26" s="347"/>
      <c r="IQ26" s="347"/>
      <c r="IR26" s="347"/>
      <c r="IS26" s="347"/>
      <c r="IT26" s="347"/>
      <c r="IU26" s="347"/>
      <c r="IV26" s="347"/>
    </row>
    <row r="27" spans="1:256" s="513" customFormat="1" ht="12.75">
      <c r="A27" s="520"/>
      <c r="B27" s="520"/>
      <c r="C27" s="238"/>
      <c r="D27" s="358">
        <v>69.83</v>
      </c>
      <c r="E27" s="238"/>
      <c r="F27" s="519">
        <v>419050</v>
      </c>
      <c r="G27" s="298">
        <v>40686</v>
      </c>
      <c r="H27" s="540">
        <f t="shared" si="3"/>
        <v>6001.0024344837466</v>
      </c>
      <c r="I27" s="260" t="s">
        <v>92</v>
      </c>
      <c r="J27" s="542">
        <v>57.61</v>
      </c>
      <c r="K27" s="526">
        <v>69.83</v>
      </c>
      <c r="L27" s="540">
        <v>419050</v>
      </c>
      <c r="M27" s="540">
        <f t="shared" si="1"/>
        <v>69.83</v>
      </c>
      <c r="N27" s="540">
        <f t="shared" si="4"/>
        <v>419050</v>
      </c>
      <c r="O27" s="535"/>
      <c r="P27" s="540">
        <f t="shared" si="2"/>
        <v>0</v>
      </c>
      <c r="Q27" s="551">
        <f t="shared" si="5"/>
        <v>0</v>
      </c>
      <c r="R27" s="552"/>
      <c r="S27" s="549"/>
      <c r="T27" s="549"/>
      <c r="U27" s="549"/>
      <c r="V27" s="549"/>
      <c r="W27" s="549"/>
      <c r="X27" s="549"/>
      <c r="Y27" s="549"/>
      <c r="Z27" s="549"/>
      <c r="AA27" s="549"/>
      <c r="AB27" s="549"/>
      <c r="AC27" s="549"/>
      <c r="AD27" s="549"/>
      <c r="AE27" s="549"/>
      <c r="AF27" s="549"/>
      <c r="AG27" s="549"/>
      <c r="AH27" s="549"/>
      <c r="AI27" s="549"/>
      <c r="AJ27" s="549"/>
      <c r="AK27" s="549"/>
      <c r="AL27" s="549"/>
      <c r="AM27" s="549"/>
      <c r="AN27" s="549"/>
      <c r="AO27" s="549"/>
      <c r="AP27" s="549"/>
      <c r="AQ27" s="549"/>
      <c r="AR27" s="549"/>
      <c r="AS27" s="549"/>
      <c r="AT27" s="549"/>
      <c r="AU27" s="549"/>
      <c r="AV27" s="549"/>
      <c r="AW27" s="549"/>
      <c r="AX27" s="549"/>
      <c r="AY27" s="549"/>
      <c r="AZ27" s="549"/>
      <c r="BA27" s="549"/>
      <c r="BB27" s="549"/>
      <c r="BC27" s="549"/>
      <c r="BD27" s="549"/>
      <c r="BE27" s="549"/>
      <c r="BF27" s="549"/>
      <c r="BG27" s="549"/>
      <c r="BH27" s="549"/>
      <c r="BI27" s="549"/>
      <c r="BJ27" s="549"/>
      <c r="BK27" s="549"/>
      <c r="BL27" s="549"/>
      <c r="BM27" s="549"/>
      <c r="BN27" s="549"/>
      <c r="BO27" s="549"/>
      <c r="BP27" s="549"/>
      <c r="BQ27" s="549"/>
      <c r="BR27" s="549"/>
      <c r="BS27" s="549"/>
      <c r="BT27" s="549"/>
      <c r="BU27" s="549"/>
      <c r="BV27" s="549"/>
      <c r="BW27" s="549"/>
      <c r="BX27" s="549"/>
      <c r="BY27" s="549"/>
      <c r="BZ27" s="549"/>
      <c r="CA27" s="549"/>
      <c r="CB27" s="549"/>
      <c r="CC27" s="549"/>
      <c r="CD27" s="549"/>
      <c r="CE27" s="549"/>
      <c r="CF27" s="549"/>
      <c r="CG27" s="549"/>
      <c r="CH27" s="549"/>
      <c r="CI27" s="549"/>
      <c r="CJ27" s="549"/>
      <c r="CK27" s="549"/>
      <c r="CL27" s="549"/>
      <c r="CM27" s="549"/>
      <c r="CN27" s="549"/>
      <c r="CO27" s="549"/>
      <c r="CP27" s="549"/>
      <c r="CQ27" s="549"/>
      <c r="CR27" s="549"/>
      <c r="CS27" s="549"/>
      <c r="CT27" s="549"/>
      <c r="CU27" s="549"/>
      <c r="CV27" s="549"/>
      <c r="CW27" s="549"/>
      <c r="CX27" s="549"/>
      <c r="CY27" s="549"/>
      <c r="CZ27" s="549"/>
      <c r="DA27" s="549"/>
      <c r="DB27" s="549"/>
      <c r="DC27" s="549"/>
      <c r="DD27" s="549"/>
      <c r="DE27" s="549"/>
      <c r="DF27" s="549"/>
      <c r="DG27" s="549"/>
      <c r="DH27" s="549"/>
      <c r="DI27" s="549"/>
      <c r="DJ27" s="549"/>
      <c r="DK27" s="549"/>
      <c r="DL27" s="549"/>
      <c r="DM27" s="549"/>
      <c r="DN27" s="549"/>
      <c r="DO27" s="549"/>
      <c r="DP27" s="549"/>
      <c r="DQ27" s="549"/>
      <c r="DR27" s="549"/>
      <c r="DS27" s="549"/>
      <c r="DT27" s="549"/>
      <c r="DU27" s="549"/>
      <c r="DV27" s="549"/>
      <c r="DW27" s="549"/>
      <c r="DX27" s="549"/>
      <c r="DY27" s="549"/>
      <c r="DZ27" s="549"/>
      <c r="EA27" s="549"/>
      <c r="EB27" s="549"/>
      <c r="EC27" s="549"/>
      <c r="ED27" s="549"/>
      <c r="EE27" s="549"/>
      <c r="EF27" s="549"/>
      <c r="EG27" s="549"/>
      <c r="EH27" s="549"/>
      <c r="EI27" s="549"/>
      <c r="EJ27" s="549"/>
      <c r="EK27" s="549"/>
      <c r="EL27" s="549"/>
      <c r="EM27" s="549"/>
      <c r="EN27" s="549"/>
      <c r="EO27" s="549"/>
      <c r="EP27" s="549"/>
      <c r="EQ27" s="549"/>
      <c r="ER27" s="549"/>
      <c r="ES27" s="549"/>
      <c r="ET27" s="549"/>
      <c r="EU27" s="549"/>
      <c r="EV27" s="549"/>
      <c r="EW27" s="549"/>
      <c r="EX27" s="549"/>
      <c r="EY27" s="549"/>
      <c r="EZ27" s="549"/>
      <c r="FA27" s="549"/>
      <c r="FB27" s="549"/>
      <c r="FC27" s="549"/>
      <c r="FD27" s="549"/>
      <c r="FE27" s="549"/>
      <c r="FF27" s="549"/>
      <c r="FG27" s="549"/>
      <c r="FH27" s="549"/>
      <c r="FI27" s="549"/>
      <c r="FJ27" s="549"/>
      <c r="FK27" s="549"/>
      <c r="FL27" s="549"/>
      <c r="FM27" s="549"/>
      <c r="FN27" s="549"/>
      <c r="FO27" s="549"/>
      <c r="FP27" s="549"/>
      <c r="FQ27" s="549"/>
      <c r="FR27" s="549"/>
      <c r="FS27" s="549"/>
      <c r="FT27" s="549"/>
      <c r="FU27" s="549"/>
      <c r="FV27" s="549"/>
      <c r="FW27" s="549"/>
      <c r="FX27" s="549"/>
      <c r="FY27" s="549"/>
      <c r="FZ27" s="549"/>
      <c r="GA27" s="549"/>
      <c r="GB27" s="549"/>
      <c r="GC27" s="549"/>
      <c r="GD27" s="549"/>
      <c r="GE27" s="549"/>
      <c r="GF27" s="549"/>
      <c r="GG27" s="549"/>
      <c r="GH27" s="549"/>
      <c r="GI27" s="549"/>
      <c r="GJ27" s="549"/>
      <c r="GK27" s="549"/>
      <c r="GL27" s="549"/>
      <c r="GM27" s="549"/>
      <c r="GN27" s="549"/>
      <c r="GO27" s="549"/>
      <c r="GP27" s="549"/>
      <c r="GQ27" s="549"/>
      <c r="GR27" s="549"/>
      <c r="GS27" s="549"/>
      <c r="GT27" s="549"/>
      <c r="GU27" s="549"/>
      <c r="GV27" s="549"/>
      <c r="GW27" s="549"/>
      <c r="GX27" s="549"/>
      <c r="GY27" s="549"/>
      <c r="GZ27" s="549"/>
      <c r="HA27" s="549"/>
      <c r="HB27" s="549"/>
      <c r="HC27" s="549"/>
      <c r="HD27" s="549"/>
      <c r="HE27" s="549"/>
      <c r="HF27" s="549"/>
      <c r="HG27" s="549"/>
      <c r="HH27" s="549"/>
      <c r="HI27" s="549"/>
      <c r="HJ27" s="549"/>
      <c r="HK27" s="549"/>
      <c r="HL27" s="549"/>
      <c r="HM27" s="549"/>
      <c r="HN27" s="549"/>
      <c r="HO27" s="549"/>
      <c r="HP27" s="549"/>
      <c r="HQ27" s="549"/>
      <c r="HR27" s="549"/>
      <c r="HS27" s="549"/>
      <c r="HT27" s="549"/>
      <c r="HU27" s="549"/>
      <c r="HV27" s="549"/>
      <c r="HW27" s="533"/>
      <c r="HX27" s="533"/>
      <c r="HY27" s="533"/>
      <c r="HZ27" s="533"/>
      <c r="IA27" s="533"/>
      <c r="IB27" s="533"/>
      <c r="IC27" s="533"/>
      <c r="ID27" s="533"/>
      <c r="IE27" s="533"/>
      <c r="IF27" s="533"/>
      <c r="IG27" s="533"/>
      <c r="IH27" s="533"/>
      <c r="II27" s="533"/>
      <c r="IJ27" s="533"/>
      <c r="IK27" s="533"/>
      <c r="IL27" s="533"/>
      <c r="IM27" s="533"/>
      <c r="IN27" s="533"/>
      <c r="IO27" s="533"/>
      <c r="IP27" s="347"/>
      <c r="IQ27" s="347"/>
      <c r="IR27" s="347"/>
      <c r="IS27" s="347"/>
      <c r="IT27" s="347"/>
      <c r="IU27" s="347"/>
      <c r="IV27" s="347"/>
    </row>
    <row r="28" spans="1:256" s="513" customFormat="1" ht="12.75">
      <c r="A28" s="520"/>
      <c r="B28" s="520"/>
      <c r="C28" s="238"/>
      <c r="D28" s="358">
        <v>69.83</v>
      </c>
      <c r="E28" s="238"/>
      <c r="F28" s="519">
        <v>422612</v>
      </c>
      <c r="G28" s="298">
        <v>40686</v>
      </c>
      <c r="H28" s="540">
        <f t="shared" si="3"/>
        <v>6052.0120292138054</v>
      </c>
      <c r="I28" s="260" t="s">
        <v>92</v>
      </c>
      <c r="J28" s="542">
        <v>57.61</v>
      </c>
      <c r="K28" s="526">
        <v>69.83</v>
      </c>
      <c r="L28" s="540">
        <v>422612</v>
      </c>
      <c r="M28" s="540">
        <f t="shared" si="1"/>
        <v>69.83</v>
      </c>
      <c r="N28" s="540">
        <f t="shared" si="4"/>
        <v>422612</v>
      </c>
      <c r="O28" s="535"/>
      <c r="P28" s="540">
        <f t="shared" si="2"/>
        <v>0</v>
      </c>
      <c r="Q28" s="551">
        <f t="shared" si="5"/>
        <v>0</v>
      </c>
      <c r="R28" s="552"/>
      <c r="S28" s="549"/>
      <c r="T28" s="549"/>
      <c r="U28" s="549"/>
      <c r="V28" s="549"/>
      <c r="W28" s="549"/>
      <c r="X28" s="549"/>
      <c r="Y28" s="549"/>
      <c r="Z28" s="549"/>
      <c r="AA28" s="549"/>
      <c r="AB28" s="549"/>
      <c r="AC28" s="549"/>
      <c r="AD28" s="549"/>
      <c r="AE28" s="549"/>
      <c r="AF28" s="549"/>
      <c r="AG28" s="549"/>
      <c r="AH28" s="549"/>
      <c r="AI28" s="549"/>
      <c r="AJ28" s="549"/>
      <c r="AK28" s="549"/>
      <c r="AL28" s="549"/>
      <c r="AM28" s="549"/>
      <c r="AN28" s="549"/>
      <c r="AO28" s="549"/>
      <c r="AP28" s="549"/>
      <c r="AQ28" s="549"/>
      <c r="AR28" s="549"/>
      <c r="AS28" s="549"/>
      <c r="AT28" s="549"/>
      <c r="AU28" s="549"/>
      <c r="AV28" s="549"/>
      <c r="AW28" s="549"/>
      <c r="AX28" s="549"/>
      <c r="AY28" s="549"/>
      <c r="AZ28" s="549"/>
      <c r="BA28" s="549"/>
      <c r="BB28" s="549"/>
      <c r="BC28" s="549"/>
      <c r="BD28" s="549"/>
      <c r="BE28" s="549"/>
      <c r="BF28" s="549"/>
      <c r="BG28" s="549"/>
      <c r="BH28" s="549"/>
      <c r="BI28" s="549"/>
      <c r="BJ28" s="549"/>
      <c r="BK28" s="549"/>
      <c r="BL28" s="549"/>
      <c r="BM28" s="549"/>
      <c r="BN28" s="549"/>
      <c r="BO28" s="549"/>
      <c r="BP28" s="549"/>
      <c r="BQ28" s="549"/>
      <c r="BR28" s="549"/>
      <c r="BS28" s="549"/>
      <c r="BT28" s="549"/>
      <c r="BU28" s="549"/>
      <c r="BV28" s="549"/>
      <c r="BW28" s="549"/>
      <c r="BX28" s="549"/>
      <c r="BY28" s="549"/>
      <c r="BZ28" s="549"/>
      <c r="CA28" s="549"/>
      <c r="CB28" s="549"/>
      <c r="CC28" s="549"/>
      <c r="CD28" s="549"/>
      <c r="CE28" s="549"/>
      <c r="CF28" s="549"/>
      <c r="CG28" s="549"/>
      <c r="CH28" s="549"/>
      <c r="CI28" s="549"/>
      <c r="CJ28" s="549"/>
      <c r="CK28" s="549"/>
      <c r="CL28" s="549"/>
      <c r="CM28" s="549"/>
      <c r="CN28" s="549"/>
      <c r="CO28" s="549"/>
      <c r="CP28" s="549"/>
      <c r="CQ28" s="549"/>
      <c r="CR28" s="549"/>
      <c r="CS28" s="549"/>
      <c r="CT28" s="549"/>
      <c r="CU28" s="549"/>
      <c r="CV28" s="549"/>
      <c r="CW28" s="549"/>
      <c r="CX28" s="549"/>
      <c r="CY28" s="549"/>
      <c r="CZ28" s="549"/>
      <c r="DA28" s="549"/>
      <c r="DB28" s="549"/>
      <c r="DC28" s="549"/>
      <c r="DD28" s="549"/>
      <c r="DE28" s="549"/>
      <c r="DF28" s="549"/>
      <c r="DG28" s="549"/>
      <c r="DH28" s="549"/>
      <c r="DI28" s="549"/>
      <c r="DJ28" s="549"/>
      <c r="DK28" s="549"/>
      <c r="DL28" s="549"/>
      <c r="DM28" s="549"/>
      <c r="DN28" s="549"/>
      <c r="DO28" s="549"/>
      <c r="DP28" s="549"/>
      <c r="DQ28" s="549"/>
      <c r="DR28" s="549"/>
      <c r="DS28" s="549"/>
      <c r="DT28" s="549"/>
      <c r="DU28" s="549"/>
      <c r="DV28" s="549"/>
      <c r="DW28" s="549"/>
      <c r="DX28" s="549"/>
      <c r="DY28" s="549"/>
      <c r="DZ28" s="549"/>
      <c r="EA28" s="549"/>
      <c r="EB28" s="549"/>
      <c r="EC28" s="549"/>
      <c r="ED28" s="549"/>
      <c r="EE28" s="549"/>
      <c r="EF28" s="549"/>
      <c r="EG28" s="549"/>
      <c r="EH28" s="549"/>
      <c r="EI28" s="549"/>
      <c r="EJ28" s="549"/>
      <c r="EK28" s="549"/>
      <c r="EL28" s="549"/>
      <c r="EM28" s="549"/>
      <c r="EN28" s="549"/>
      <c r="EO28" s="549"/>
      <c r="EP28" s="549"/>
      <c r="EQ28" s="549"/>
      <c r="ER28" s="549"/>
      <c r="ES28" s="549"/>
      <c r="ET28" s="549"/>
      <c r="EU28" s="549"/>
      <c r="EV28" s="549"/>
      <c r="EW28" s="549"/>
      <c r="EX28" s="549"/>
      <c r="EY28" s="549"/>
      <c r="EZ28" s="549"/>
      <c r="FA28" s="549"/>
      <c r="FB28" s="549"/>
      <c r="FC28" s="549"/>
      <c r="FD28" s="549"/>
      <c r="FE28" s="549"/>
      <c r="FF28" s="549"/>
      <c r="FG28" s="549"/>
      <c r="FH28" s="549"/>
      <c r="FI28" s="549"/>
      <c r="FJ28" s="549"/>
      <c r="FK28" s="549"/>
      <c r="FL28" s="549"/>
      <c r="FM28" s="549"/>
      <c r="FN28" s="549"/>
      <c r="FO28" s="549"/>
      <c r="FP28" s="549"/>
      <c r="FQ28" s="549"/>
      <c r="FR28" s="549"/>
      <c r="FS28" s="549"/>
      <c r="FT28" s="549"/>
      <c r="FU28" s="549"/>
      <c r="FV28" s="549"/>
      <c r="FW28" s="549"/>
      <c r="FX28" s="549"/>
      <c r="FY28" s="549"/>
      <c r="FZ28" s="549"/>
      <c r="GA28" s="549"/>
      <c r="GB28" s="549"/>
      <c r="GC28" s="549"/>
      <c r="GD28" s="549"/>
      <c r="GE28" s="549"/>
      <c r="GF28" s="549"/>
      <c r="GG28" s="549"/>
      <c r="GH28" s="549"/>
      <c r="GI28" s="549"/>
      <c r="GJ28" s="549"/>
      <c r="GK28" s="549"/>
      <c r="GL28" s="549"/>
      <c r="GM28" s="549"/>
      <c r="GN28" s="549"/>
      <c r="GO28" s="549"/>
      <c r="GP28" s="549"/>
      <c r="GQ28" s="549"/>
      <c r="GR28" s="549"/>
      <c r="GS28" s="549"/>
      <c r="GT28" s="549"/>
      <c r="GU28" s="549"/>
      <c r="GV28" s="549"/>
      <c r="GW28" s="549"/>
      <c r="GX28" s="549"/>
      <c r="GY28" s="549"/>
      <c r="GZ28" s="549"/>
      <c r="HA28" s="549"/>
      <c r="HB28" s="549"/>
      <c r="HC28" s="549"/>
      <c r="HD28" s="549"/>
      <c r="HE28" s="549"/>
      <c r="HF28" s="549"/>
      <c r="HG28" s="549"/>
      <c r="HH28" s="549"/>
      <c r="HI28" s="549"/>
      <c r="HJ28" s="549"/>
      <c r="HK28" s="549"/>
      <c r="HL28" s="549"/>
      <c r="HM28" s="549"/>
      <c r="HN28" s="549"/>
      <c r="HO28" s="549"/>
      <c r="HP28" s="549"/>
      <c r="HQ28" s="549"/>
      <c r="HR28" s="549"/>
      <c r="HS28" s="549"/>
      <c r="HT28" s="549"/>
      <c r="HU28" s="549"/>
      <c r="HV28" s="549"/>
      <c r="HW28" s="533"/>
      <c r="HX28" s="533"/>
      <c r="HY28" s="533"/>
      <c r="HZ28" s="533"/>
      <c r="IA28" s="533"/>
      <c r="IB28" s="533"/>
      <c r="IC28" s="533"/>
      <c r="ID28" s="533"/>
      <c r="IE28" s="533"/>
      <c r="IF28" s="533"/>
      <c r="IG28" s="533"/>
      <c r="IH28" s="533"/>
      <c r="II28" s="533"/>
      <c r="IJ28" s="533"/>
      <c r="IK28" s="533"/>
      <c r="IL28" s="533"/>
      <c r="IM28" s="533"/>
      <c r="IN28" s="533"/>
      <c r="IO28" s="533"/>
      <c r="IP28" s="347"/>
      <c r="IQ28" s="347"/>
      <c r="IR28" s="347"/>
      <c r="IS28" s="347"/>
      <c r="IT28" s="347"/>
      <c r="IU28" s="347"/>
      <c r="IV28" s="347"/>
    </row>
    <row r="29" spans="1:256" s="513" customFormat="1" ht="12.75">
      <c r="A29" s="520"/>
      <c r="B29" s="520"/>
      <c r="C29" s="238"/>
      <c r="D29" s="358">
        <v>70.48</v>
      </c>
      <c r="E29" s="238"/>
      <c r="F29" s="519">
        <v>292867</v>
      </c>
      <c r="G29" s="298">
        <v>40409</v>
      </c>
      <c r="H29" s="540">
        <f t="shared" si="3"/>
        <v>4193.9997135901476</v>
      </c>
      <c r="I29" s="260" t="s">
        <v>92</v>
      </c>
      <c r="J29" s="542">
        <v>57.61</v>
      </c>
      <c r="K29" s="526">
        <v>69.83</v>
      </c>
      <c r="L29" s="540">
        <v>292867</v>
      </c>
      <c r="M29" s="540">
        <f t="shared" si="1"/>
        <v>69.83</v>
      </c>
      <c r="N29" s="540">
        <f t="shared" si="4"/>
        <v>292867</v>
      </c>
      <c r="O29" s="535"/>
      <c r="P29" s="540">
        <f t="shared" si="2"/>
        <v>0</v>
      </c>
      <c r="Q29" s="551">
        <f t="shared" si="5"/>
        <v>0</v>
      </c>
      <c r="R29" s="552"/>
      <c r="S29" s="549"/>
      <c r="T29" s="549"/>
      <c r="U29" s="549"/>
      <c r="V29" s="549"/>
      <c r="W29" s="549"/>
      <c r="X29" s="549"/>
      <c r="Y29" s="549"/>
      <c r="Z29" s="549"/>
      <c r="AA29" s="549"/>
      <c r="AB29" s="549"/>
      <c r="AC29" s="549"/>
      <c r="AD29" s="549"/>
      <c r="AE29" s="549"/>
      <c r="AF29" s="549"/>
      <c r="AG29" s="549"/>
      <c r="AH29" s="549"/>
      <c r="AI29" s="549"/>
      <c r="AJ29" s="549"/>
      <c r="AK29" s="549"/>
      <c r="AL29" s="549"/>
      <c r="AM29" s="549"/>
      <c r="AN29" s="549"/>
      <c r="AO29" s="549"/>
      <c r="AP29" s="549"/>
      <c r="AQ29" s="549"/>
      <c r="AR29" s="549"/>
      <c r="AS29" s="549"/>
      <c r="AT29" s="549"/>
      <c r="AU29" s="549"/>
      <c r="AV29" s="549"/>
      <c r="AW29" s="549"/>
      <c r="AX29" s="549"/>
      <c r="AY29" s="549"/>
      <c r="AZ29" s="549"/>
      <c r="BA29" s="549"/>
      <c r="BB29" s="549"/>
      <c r="BC29" s="549"/>
      <c r="BD29" s="549"/>
      <c r="BE29" s="549"/>
      <c r="BF29" s="549"/>
      <c r="BG29" s="549"/>
      <c r="BH29" s="549"/>
      <c r="BI29" s="549"/>
      <c r="BJ29" s="549"/>
      <c r="BK29" s="549"/>
      <c r="BL29" s="549"/>
      <c r="BM29" s="549"/>
      <c r="BN29" s="549"/>
      <c r="BO29" s="549"/>
      <c r="BP29" s="549"/>
      <c r="BQ29" s="549"/>
      <c r="BR29" s="549"/>
      <c r="BS29" s="549"/>
      <c r="BT29" s="549"/>
      <c r="BU29" s="549"/>
      <c r="BV29" s="549"/>
      <c r="BW29" s="549"/>
      <c r="BX29" s="549"/>
      <c r="BY29" s="549"/>
      <c r="BZ29" s="549"/>
      <c r="CA29" s="549"/>
      <c r="CB29" s="549"/>
      <c r="CC29" s="549"/>
      <c r="CD29" s="549"/>
      <c r="CE29" s="549"/>
      <c r="CF29" s="549"/>
      <c r="CG29" s="549"/>
      <c r="CH29" s="549"/>
      <c r="CI29" s="549"/>
      <c r="CJ29" s="549"/>
      <c r="CK29" s="549"/>
      <c r="CL29" s="549"/>
      <c r="CM29" s="549"/>
      <c r="CN29" s="549"/>
      <c r="CO29" s="549"/>
      <c r="CP29" s="549"/>
      <c r="CQ29" s="549"/>
      <c r="CR29" s="549"/>
      <c r="CS29" s="549"/>
      <c r="CT29" s="549"/>
      <c r="CU29" s="549"/>
      <c r="CV29" s="549"/>
      <c r="CW29" s="549"/>
      <c r="CX29" s="549"/>
      <c r="CY29" s="549"/>
      <c r="CZ29" s="549"/>
      <c r="DA29" s="549"/>
      <c r="DB29" s="549"/>
      <c r="DC29" s="549"/>
      <c r="DD29" s="549"/>
      <c r="DE29" s="549"/>
      <c r="DF29" s="549"/>
      <c r="DG29" s="549"/>
      <c r="DH29" s="549"/>
      <c r="DI29" s="549"/>
      <c r="DJ29" s="549"/>
      <c r="DK29" s="549"/>
      <c r="DL29" s="549"/>
      <c r="DM29" s="549"/>
      <c r="DN29" s="549"/>
      <c r="DO29" s="549"/>
      <c r="DP29" s="549"/>
      <c r="DQ29" s="549"/>
      <c r="DR29" s="549"/>
      <c r="DS29" s="549"/>
      <c r="DT29" s="549"/>
      <c r="DU29" s="549"/>
      <c r="DV29" s="549"/>
      <c r="DW29" s="549"/>
      <c r="DX29" s="549"/>
      <c r="DY29" s="549"/>
      <c r="DZ29" s="549"/>
      <c r="EA29" s="549"/>
      <c r="EB29" s="549"/>
      <c r="EC29" s="549"/>
      <c r="ED29" s="549"/>
      <c r="EE29" s="549"/>
      <c r="EF29" s="549"/>
      <c r="EG29" s="549"/>
      <c r="EH29" s="549"/>
      <c r="EI29" s="549"/>
      <c r="EJ29" s="549"/>
      <c r="EK29" s="549"/>
      <c r="EL29" s="549"/>
      <c r="EM29" s="549"/>
      <c r="EN29" s="549"/>
      <c r="EO29" s="549"/>
      <c r="EP29" s="549"/>
      <c r="EQ29" s="549"/>
      <c r="ER29" s="549"/>
      <c r="ES29" s="549"/>
      <c r="ET29" s="549"/>
      <c r="EU29" s="549"/>
      <c r="EV29" s="549"/>
      <c r="EW29" s="549"/>
      <c r="EX29" s="549"/>
      <c r="EY29" s="549"/>
      <c r="EZ29" s="549"/>
      <c r="FA29" s="549"/>
      <c r="FB29" s="549"/>
      <c r="FC29" s="549"/>
      <c r="FD29" s="549"/>
      <c r="FE29" s="549"/>
      <c r="FF29" s="549"/>
      <c r="FG29" s="549"/>
      <c r="FH29" s="549"/>
      <c r="FI29" s="549"/>
      <c r="FJ29" s="549"/>
      <c r="FK29" s="549"/>
      <c r="FL29" s="549"/>
      <c r="FM29" s="549"/>
      <c r="FN29" s="549"/>
      <c r="FO29" s="549"/>
      <c r="FP29" s="549"/>
      <c r="FQ29" s="549"/>
      <c r="FR29" s="549"/>
      <c r="FS29" s="549"/>
      <c r="FT29" s="549"/>
      <c r="FU29" s="549"/>
      <c r="FV29" s="549"/>
      <c r="FW29" s="549"/>
      <c r="FX29" s="549"/>
      <c r="FY29" s="549"/>
      <c r="FZ29" s="549"/>
      <c r="GA29" s="549"/>
      <c r="GB29" s="549"/>
      <c r="GC29" s="549"/>
      <c r="GD29" s="549"/>
      <c r="GE29" s="549"/>
      <c r="GF29" s="549"/>
      <c r="GG29" s="549"/>
      <c r="GH29" s="549"/>
      <c r="GI29" s="549"/>
      <c r="GJ29" s="549"/>
      <c r="GK29" s="549"/>
      <c r="GL29" s="549"/>
      <c r="GM29" s="549"/>
      <c r="GN29" s="549"/>
      <c r="GO29" s="549"/>
      <c r="GP29" s="549"/>
      <c r="GQ29" s="549"/>
      <c r="GR29" s="549"/>
      <c r="GS29" s="549"/>
      <c r="GT29" s="549"/>
      <c r="GU29" s="549"/>
      <c r="GV29" s="549"/>
      <c r="GW29" s="549"/>
      <c r="GX29" s="549"/>
      <c r="GY29" s="549"/>
      <c r="GZ29" s="549"/>
      <c r="HA29" s="549"/>
      <c r="HB29" s="549"/>
      <c r="HC29" s="549"/>
      <c r="HD29" s="549"/>
      <c r="HE29" s="549"/>
      <c r="HF29" s="549"/>
      <c r="HG29" s="549"/>
      <c r="HH29" s="549"/>
      <c r="HI29" s="549"/>
      <c r="HJ29" s="549"/>
      <c r="HK29" s="549"/>
      <c r="HL29" s="549"/>
      <c r="HM29" s="549"/>
      <c r="HN29" s="549"/>
      <c r="HO29" s="549"/>
      <c r="HP29" s="549"/>
      <c r="HQ29" s="549"/>
      <c r="HR29" s="549"/>
      <c r="HS29" s="549"/>
      <c r="HT29" s="549"/>
      <c r="HU29" s="549"/>
      <c r="HV29" s="549"/>
      <c r="HW29" s="533"/>
      <c r="HX29" s="533"/>
      <c r="HY29" s="533"/>
      <c r="HZ29" s="533"/>
      <c r="IA29" s="533"/>
      <c r="IB29" s="533"/>
      <c r="IC29" s="533"/>
      <c r="ID29" s="533"/>
      <c r="IE29" s="533"/>
      <c r="IF29" s="533"/>
      <c r="IG29" s="533"/>
      <c r="IH29" s="533"/>
      <c r="II29" s="533"/>
      <c r="IJ29" s="533"/>
      <c r="IK29" s="533"/>
      <c r="IL29" s="533"/>
      <c r="IM29" s="533"/>
      <c r="IN29" s="533"/>
      <c r="IO29" s="533"/>
      <c r="IP29" s="347"/>
      <c r="IQ29" s="347"/>
      <c r="IR29" s="347"/>
      <c r="IS29" s="347"/>
      <c r="IT29" s="347"/>
      <c r="IU29" s="347"/>
      <c r="IV29" s="347"/>
    </row>
    <row r="30" spans="1:256" s="513" customFormat="1" ht="24">
      <c r="A30" s="520"/>
      <c r="B30" s="520"/>
      <c r="C30" s="238"/>
      <c r="D30" s="358">
        <v>57.48</v>
      </c>
      <c r="E30" s="238"/>
      <c r="F30" s="519">
        <v>303494</v>
      </c>
      <c r="G30" s="298">
        <v>41191</v>
      </c>
      <c r="H30" s="540">
        <f t="shared" si="3"/>
        <v>5279.9930410577599</v>
      </c>
      <c r="I30" s="260" t="s">
        <v>90</v>
      </c>
      <c r="J30" s="542">
        <v>47.42</v>
      </c>
      <c r="K30" s="526">
        <v>57.48</v>
      </c>
      <c r="L30" s="540">
        <v>303494</v>
      </c>
      <c r="M30" s="540">
        <f t="shared" si="1"/>
        <v>57.48</v>
      </c>
      <c r="N30" s="540">
        <f t="shared" si="4"/>
        <v>303494</v>
      </c>
      <c r="O30" s="535"/>
      <c r="P30" s="540">
        <f t="shared" si="2"/>
        <v>0</v>
      </c>
      <c r="Q30" s="551">
        <f t="shared" si="5"/>
        <v>0</v>
      </c>
      <c r="R30" s="552"/>
      <c r="S30" s="549"/>
      <c r="T30" s="549"/>
      <c r="U30" s="549"/>
      <c r="V30" s="549"/>
      <c r="W30" s="549"/>
      <c r="X30" s="549"/>
      <c r="Y30" s="549"/>
      <c r="Z30" s="549"/>
      <c r="AA30" s="549"/>
      <c r="AB30" s="549"/>
      <c r="AC30" s="549"/>
      <c r="AD30" s="549"/>
      <c r="AE30" s="549"/>
      <c r="AF30" s="549"/>
      <c r="AG30" s="549"/>
      <c r="AH30" s="549"/>
      <c r="AI30" s="549"/>
      <c r="AJ30" s="549"/>
      <c r="AK30" s="549"/>
      <c r="AL30" s="549"/>
      <c r="AM30" s="549"/>
      <c r="AN30" s="549"/>
      <c r="AO30" s="549"/>
      <c r="AP30" s="549"/>
      <c r="AQ30" s="549"/>
      <c r="AR30" s="549"/>
      <c r="AS30" s="549"/>
      <c r="AT30" s="549"/>
      <c r="AU30" s="549"/>
      <c r="AV30" s="549"/>
      <c r="AW30" s="549"/>
      <c r="AX30" s="549"/>
      <c r="AY30" s="549"/>
      <c r="AZ30" s="549"/>
      <c r="BA30" s="549"/>
      <c r="BB30" s="549"/>
      <c r="BC30" s="549"/>
      <c r="BD30" s="549"/>
      <c r="BE30" s="549"/>
      <c r="BF30" s="549"/>
      <c r="BG30" s="549"/>
      <c r="BH30" s="549"/>
      <c r="BI30" s="549"/>
      <c r="BJ30" s="549"/>
      <c r="BK30" s="549"/>
      <c r="BL30" s="549"/>
      <c r="BM30" s="549"/>
      <c r="BN30" s="549"/>
      <c r="BO30" s="549"/>
      <c r="BP30" s="549"/>
      <c r="BQ30" s="549"/>
      <c r="BR30" s="549"/>
      <c r="BS30" s="549"/>
      <c r="BT30" s="549"/>
      <c r="BU30" s="549"/>
      <c r="BV30" s="549"/>
      <c r="BW30" s="549"/>
      <c r="BX30" s="549"/>
      <c r="BY30" s="549"/>
      <c r="BZ30" s="549"/>
      <c r="CA30" s="549"/>
      <c r="CB30" s="549"/>
      <c r="CC30" s="549"/>
      <c r="CD30" s="549"/>
      <c r="CE30" s="549"/>
      <c r="CF30" s="549"/>
      <c r="CG30" s="549"/>
      <c r="CH30" s="549"/>
      <c r="CI30" s="549"/>
      <c r="CJ30" s="549"/>
      <c r="CK30" s="549"/>
      <c r="CL30" s="549"/>
      <c r="CM30" s="549"/>
      <c r="CN30" s="549"/>
      <c r="CO30" s="549"/>
      <c r="CP30" s="549"/>
      <c r="CQ30" s="549"/>
      <c r="CR30" s="549"/>
      <c r="CS30" s="549"/>
      <c r="CT30" s="549"/>
      <c r="CU30" s="549"/>
      <c r="CV30" s="549"/>
      <c r="CW30" s="549"/>
      <c r="CX30" s="549"/>
      <c r="CY30" s="549"/>
      <c r="CZ30" s="549"/>
      <c r="DA30" s="549"/>
      <c r="DB30" s="549"/>
      <c r="DC30" s="549"/>
      <c r="DD30" s="549"/>
      <c r="DE30" s="549"/>
      <c r="DF30" s="549"/>
      <c r="DG30" s="549"/>
      <c r="DH30" s="549"/>
      <c r="DI30" s="549"/>
      <c r="DJ30" s="549"/>
      <c r="DK30" s="549"/>
      <c r="DL30" s="549"/>
      <c r="DM30" s="549"/>
      <c r="DN30" s="549"/>
      <c r="DO30" s="549"/>
      <c r="DP30" s="549"/>
      <c r="DQ30" s="549"/>
      <c r="DR30" s="549"/>
      <c r="DS30" s="549"/>
      <c r="DT30" s="549"/>
      <c r="DU30" s="549"/>
      <c r="DV30" s="549"/>
      <c r="DW30" s="549"/>
      <c r="DX30" s="549"/>
      <c r="DY30" s="549"/>
      <c r="DZ30" s="549"/>
      <c r="EA30" s="549"/>
      <c r="EB30" s="549"/>
      <c r="EC30" s="549"/>
      <c r="ED30" s="549"/>
      <c r="EE30" s="549"/>
      <c r="EF30" s="549"/>
      <c r="EG30" s="549"/>
      <c r="EH30" s="549"/>
      <c r="EI30" s="549"/>
      <c r="EJ30" s="549"/>
      <c r="EK30" s="549"/>
      <c r="EL30" s="549"/>
      <c r="EM30" s="549"/>
      <c r="EN30" s="549"/>
      <c r="EO30" s="549"/>
      <c r="EP30" s="549"/>
      <c r="EQ30" s="549"/>
      <c r="ER30" s="549"/>
      <c r="ES30" s="549"/>
      <c r="ET30" s="549"/>
      <c r="EU30" s="549"/>
      <c r="EV30" s="549"/>
      <c r="EW30" s="549"/>
      <c r="EX30" s="549"/>
      <c r="EY30" s="549"/>
      <c r="EZ30" s="549"/>
      <c r="FA30" s="549"/>
      <c r="FB30" s="549"/>
      <c r="FC30" s="549"/>
      <c r="FD30" s="549"/>
      <c r="FE30" s="549"/>
      <c r="FF30" s="549"/>
      <c r="FG30" s="549"/>
      <c r="FH30" s="549"/>
      <c r="FI30" s="549"/>
      <c r="FJ30" s="549"/>
      <c r="FK30" s="549"/>
      <c r="FL30" s="549"/>
      <c r="FM30" s="549"/>
      <c r="FN30" s="549"/>
      <c r="FO30" s="549"/>
      <c r="FP30" s="549"/>
      <c r="FQ30" s="549"/>
      <c r="FR30" s="549"/>
      <c r="FS30" s="549"/>
      <c r="FT30" s="549"/>
      <c r="FU30" s="549"/>
      <c r="FV30" s="549"/>
      <c r="FW30" s="549"/>
      <c r="FX30" s="549"/>
      <c r="FY30" s="549"/>
      <c r="FZ30" s="549"/>
      <c r="GA30" s="549"/>
      <c r="GB30" s="549"/>
      <c r="GC30" s="549"/>
      <c r="GD30" s="549"/>
      <c r="GE30" s="549"/>
      <c r="GF30" s="549"/>
      <c r="GG30" s="549"/>
      <c r="GH30" s="549"/>
      <c r="GI30" s="549"/>
      <c r="GJ30" s="549"/>
      <c r="GK30" s="549"/>
      <c r="GL30" s="549"/>
      <c r="GM30" s="549"/>
      <c r="GN30" s="549"/>
      <c r="GO30" s="549"/>
      <c r="GP30" s="549"/>
      <c r="GQ30" s="549"/>
      <c r="GR30" s="549"/>
      <c r="GS30" s="549"/>
      <c r="GT30" s="549"/>
      <c r="GU30" s="549"/>
      <c r="GV30" s="549"/>
      <c r="GW30" s="549"/>
      <c r="GX30" s="549"/>
      <c r="GY30" s="549"/>
      <c r="GZ30" s="549"/>
      <c r="HA30" s="549"/>
      <c r="HB30" s="549"/>
      <c r="HC30" s="549"/>
      <c r="HD30" s="549"/>
      <c r="HE30" s="549"/>
      <c r="HF30" s="549"/>
      <c r="HG30" s="549"/>
      <c r="HH30" s="549"/>
      <c r="HI30" s="549"/>
      <c r="HJ30" s="549"/>
      <c r="HK30" s="549"/>
      <c r="HL30" s="549"/>
      <c r="HM30" s="549"/>
      <c r="HN30" s="549"/>
      <c r="HO30" s="549"/>
      <c r="HP30" s="549"/>
      <c r="HQ30" s="549"/>
      <c r="HR30" s="549"/>
      <c r="HS30" s="549"/>
      <c r="HT30" s="549"/>
      <c r="HU30" s="549"/>
      <c r="HV30" s="549"/>
      <c r="HW30" s="533"/>
      <c r="HX30" s="533"/>
      <c r="HY30" s="533"/>
      <c r="HZ30" s="533"/>
      <c r="IA30" s="533"/>
      <c r="IB30" s="533"/>
      <c r="IC30" s="533"/>
      <c r="ID30" s="533"/>
      <c r="IE30" s="533"/>
      <c r="IF30" s="533"/>
      <c r="IG30" s="533"/>
      <c r="IH30" s="533"/>
      <c r="II30" s="533"/>
      <c r="IJ30" s="533"/>
      <c r="IK30" s="533"/>
      <c r="IL30" s="533"/>
      <c r="IM30" s="533"/>
      <c r="IN30" s="533"/>
      <c r="IO30" s="533"/>
      <c r="IP30" s="347"/>
      <c r="IQ30" s="347"/>
      <c r="IR30" s="347"/>
      <c r="IS30" s="347"/>
      <c r="IT30" s="347"/>
      <c r="IU30" s="347"/>
      <c r="IV30" s="347"/>
    </row>
    <row r="31" spans="1:256" s="513" customFormat="1" ht="12.75">
      <c r="A31" s="520"/>
      <c r="B31" s="520"/>
      <c r="C31" s="238"/>
      <c r="D31" s="358">
        <v>57.57</v>
      </c>
      <c r="E31" s="238"/>
      <c r="F31" s="519">
        <v>229345</v>
      </c>
      <c r="G31" s="298">
        <v>40383</v>
      </c>
      <c r="H31" s="540">
        <f t="shared" si="3"/>
        <v>3989.99652052888</v>
      </c>
      <c r="I31" s="260" t="s">
        <v>91</v>
      </c>
      <c r="J31" s="542">
        <v>47.42</v>
      </c>
      <c r="K31" s="526">
        <v>57.48</v>
      </c>
      <c r="L31" s="540">
        <v>229345</v>
      </c>
      <c r="M31" s="540">
        <f t="shared" si="1"/>
        <v>57.48</v>
      </c>
      <c r="N31" s="540">
        <f t="shared" si="4"/>
        <v>229345</v>
      </c>
      <c r="O31" s="535"/>
      <c r="P31" s="540">
        <f t="shared" si="2"/>
        <v>0</v>
      </c>
      <c r="Q31" s="551">
        <f t="shared" si="5"/>
        <v>0</v>
      </c>
      <c r="R31" s="552"/>
      <c r="S31" s="549"/>
      <c r="T31" s="549"/>
      <c r="U31" s="549"/>
      <c r="V31" s="549"/>
      <c r="W31" s="549"/>
      <c r="X31" s="549"/>
      <c r="Y31" s="549"/>
      <c r="Z31" s="549"/>
      <c r="AA31" s="549"/>
      <c r="AB31" s="549"/>
      <c r="AC31" s="549"/>
      <c r="AD31" s="549"/>
      <c r="AE31" s="549"/>
      <c r="AF31" s="549"/>
      <c r="AG31" s="549"/>
      <c r="AH31" s="549"/>
      <c r="AI31" s="549"/>
      <c r="AJ31" s="549"/>
      <c r="AK31" s="549"/>
      <c r="AL31" s="549"/>
      <c r="AM31" s="549"/>
      <c r="AN31" s="549"/>
      <c r="AO31" s="549"/>
      <c r="AP31" s="549"/>
      <c r="AQ31" s="549"/>
      <c r="AR31" s="549"/>
      <c r="AS31" s="549"/>
      <c r="AT31" s="549"/>
      <c r="AU31" s="549"/>
      <c r="AV31" s="549"/>
      <c r="AW31" s="549"/>
      <c r="AX31" s="549"/>
      <c r="AY31" s="549"/>
      <c r="AZ31" s="549"/>
      <c r="BA31" s="549"/>
      <c r="BB31" s="549"/>
      <c r="BC31" s="549"/>
      <c r="BD31" s="549"/>
      <c r="BE31" s="549"/>
      <c r="BF31" s="549"/>
      <c r="BG31" s="549"/>
      <c r="BH31" s="549"/>
      <c r="BI31" s="549"/>
      <c r="BJ31" s="549"/>
      <c r="BK31" s="549"/>
      <c r="BL31" s="549"/>
      <c r="BM31" s="549"/>
      <c r="BN31" s="549"/>
      <c r="BO31" s="549"/>
      <c r="BP31" s="549"/>
      <c r="BQ31" s="549"/>
      <c r="BR31" s="549"/>
      <c r="BS31" s="549"/>
      <c r="BT31" s="549"/>
      <c r="BU31" s="549"/>
      <c r="BV31" s="549"/>
      <c r="BW31" s="549"/>
      <c r="BX31" s="549"/>
      <c r="BY31" s="549"/>
      <c r="BZ31" s="549"/>
      <c r="CA31" s="549"/>
      <c r="CB31" s="549"/>
      <c r="CC31" s="549"/>
      <c r="CD31" s="549"/>
      <c r="CE31" s="549"/>
      <c r="CF31" s="549"/>
      <c r="CG31" s="549"/>
      <c r="CH31" s="549"/>
      <c r="CI31" s="549"/>
      <c r="CJ31" s="549"/>
      <c r="CK31" s="549"/>
      <c r="CL31" s="549"/>
      <c r="CM31" s="549"/>
      <c r="CN31" s="549"/>
      <c r="CO31" s="549"/>
      <c r="CP31" s="549"/>
      <c r="CQ31" s="549"/>
      <c r="CR31" s="549"/>
      <c r="CS31" s="549"/>
      <c r="CT31" s="549"/>
      <c r="CU31" s="549"/>
      <c r="CV31" s="549"/>
      <c r="CW31" s="549"/>
      <c r="CX31" s="549"/>
      <c r="CY31" s="549"/>
      <c r="CZ31" s="549"/>
      <c r="DA31" s="549"/>
      <c r="DB31" s="549"/>
      <c r="DC31" s="549"/>
      <c r="DD31" s="549"/>
      <c r="DE31" s="549"/>
      <c r="DF31" s="549"/>
      <c r="DG31" s="549"/>
      <c r="DH31" s="549"/>
      <c r="DI31" s="549"/>
      <c r="DJ31" s="549"/>
      <c r="DK31" s="549"/>
      <c r="DL31" s="549"/>
      <c r="DM31" s="549"/>
      <c r="DN31" s="549"/>
      <c r="DO31" s="549"/>
      <c r="DP31" s="549"/>
      <c r="DQ31" s="549"/>
      <c r="DR31" s="549"/>
      <c r="DS31" s="549"/>
      <c r="DT31" s="549"/>
      <c r="DU31" s="549"/>
      <c r="DV31" s="549"/>
      <c r="DW31" s="549"/>
      <c r="DX31" s="549"/>
      <c r="DY31" s="549"/>
      <c r="DZ31" s="549"/>
      <c r="EA31" s="549"/>
      <c r="EB31" s="549"/>
      <c r="EC31" s="549"/>
      <c r="ED31" s="549"/>
      <c r="EE31" s="549"/>
      <c r="EF31" s="549"/>
      <c r="EG31" s="549"/>
      <c r="EH31" s="549"/>
      <c r="EI31" s="549"/>
      <c r="EJ31" s="549"/>
      <c r="EK31" s="549"/>
      <c r="EL31" s="549"/>
      <c r="EM31" s="549"/>
      <c r="EN31" s="549"/>
      <c r="EO31" s="549"/>
      <c r="EP31" s="549"/>
      <c r="EQ31" s="549"/>
      <c r="ER31" s="549"/>
      <c r="ES31" s="549"/>
      <c r="ET31" s="549"/>
      <c r="EU31" s="549"/>
      <c r="EV31" s="549"/>
      <c r="EW31" s="549"/>
      <c r="EX31" s="549"/>
      <c r="EY31" s="549"/>
      <c r="EZ31" s="549"/>
      <c r="FA31" s="549"/>
      <c r="FB31" s="549"/>
      <c r="FC31" s="549"/>
      <c r="FD31" s="549"/>
      <c r="FE31" s="549"/>
      <c r="FF31" s="549"/>
      <c r="FG31" s="549"/>
      <c r="FH31" s="549"/>
      <c r="FI31" s="549"/>
      <c r="FJ31" s="549"/>
      <c r="FK31" s="549"/>
      <c r="FL31" s="549"/>
      <c r="FM31" s="549"/>
      <c r="FN31" s="549"/>
      <c r="FO31" s="549"/>
      <c r="FP31" s="549"/>
      <c r="FQ31" s="549"/>
      <c r="FR31" s="549"/>
      <c r="FS31" s="549"/>
      <c r="FT31" s="549"/>
      <c r="FU31" s="549"/>
      <c r="FV31" s="549"/>
      <c r="FW31" s="549"/>
      <c r="FX31" s="549"/>
      <c r="FY31" s="549"/>
      <c r="FZ31" s="549"/>
      <c r="GA31" s="549"/>
      <c r="GB31" s="549"/>
      <c r="GC31" s="549"/>
      <c r="GD31" s="549"/>
      <c r="GE31" s="549"/>
      <c r="GF31" s="549"/>
      <c r="GG31" s="549"/>
      <c r="GH31" s="549"/>
      <c r="GI31" s="549"/>
      <c r="GJ31" s="549"/>
      <c r="GK31" s="549"/>
      <c r="GL31" s="549"/>
      <c r="GM31" s="549"/>
      <c r="GN31" s="549"/>
      <c r="GO31" s="549"/>
      <c r="GP31" s="549"/>
      <c r="GQ31" s="549"/>
      <c r="GR31" s="549"/>
      <c r="GS31" s="549"/>
      <c r="GT31" s="549"/>
      <c r="GU31" s="549"/>
      <c r="GV31" s="549"/>
      <c r="GW31" s="549"/>
      <c r="GX31" s="549"/>
      <c r="GY31" s="549"/>
      <c r="GZ31" s="549"/>
      <c r="HA31" s="549"/>
      <c r="HB31" s="549"/>
      <c r="HC31" s="549"/>
      <c r="HD31" s="549"/>
      <c r="HE31" s="549"/>
      <c r="HF31" s="549"/>
      <c r="HG31" s="549"/>
      <c r="HH31" s="549"/>
      <c r="HI31" s="549"/>
      <c r="HJ31" s="549"/>
      <c r="HK31" s="549"/>
      <c r="HL31" s="549"/>
      <c r="HM31" s="549"/>
      <c r="HN31" s="549"/>
      <c r="HO31" s="549"/>
      <c r="HP31" s="549"/>
      <c r="HQ31" s="549"/>
      <c r="HR31" s="549"/>
      <c r="HS31" s="549"/>
      <c r="HT31" s="549"/>
      <c r="HU31" s="549"/>
      <c r="HV31" s="549"/>
      <c r="HW31" s="533"/>
      <c r="HX31" s="533"/>
      <c r="HY31" s="533"/>
      <c r="HZ31" s="533"/>
      <c r="IA31" s="533"/>
      <c r="IB31" s="533"/>
      <c r="IC31" s="533"/>
      <c r="ID31" s="533"/>
      <c r="IE31" s="533"/>
      <c r="IF31" s="533"/>
      <c r="IG31" s="533"/>
      <c r="IH31" s="533"/>
      <c r="II31" s="533"/>
      <c r="IJ31" s="533"/>
      <c r="IK31" s="533"/>
      <c r="IL31" s="533"/>
      <c r="IM31" s="533"/>
      <c r="IN31" s="533"/>
      <c r="IO31" s="533"/>
      <c r="IP31" s="347"/>
      <c r="IQ31" s="347"/>
      <c r="IR31" s="347"/>
      <c r="IS31" s="347"/>
      <c r="IT31" s="347"/>
      <c r="IU31" s="347"/>
      <c r="IV31" s="347"/>
    </row>
    <row r="32" spans="1:256" s="513" customFormat="1" ht="12.75">
      <c r="A32" s="520"/>
      <c r="B32" s="520"/>
      <c r="C32" s="238"/>
      <c r="D32" s="358">
        <v>57.57</v>
      </c>
      <c r="E32" s="238"/>
      <c r="F32" s="519">
        <v>266707</v>
      </c>
      <c r="G32" s="298">
        <v>40383</v>
      </c>
      <c r="H32" s="540">
        <f t="shared" si="3"/>
        <v>4639.99652052888</v>
      </c>
      <c r="I32" s="260" t="s">
        <v>91</v>
      </c>
      <c r="J32" s="542">
        <v>47.42</v>
      </c>
      <c r="K32" s="526">
        <v>57.48</v>
      </c>
      <c r="L32" s="543">
        <v>266707</v>
      </c>
      <c r="M32" s="540">
        <f t="shared" si="1"/>
        <v>57.48</v>
      </c>
      <c r="N32" s="540">
        <f t="shared" si="4"/>
        <v>266707</v>
      </c>
      <c r="O32" s="535"/>
      <c r="P32" s="540">
        <f t="shared" si="2"/>
        <v>0</v>
      </c>
      <c r="Q32" s="551">
        <f t="shared" si="5"/>
        <v>0</v>
      </c>
      <c r="R32" s="552"/>
      <c r="S32" s="549"/>
      <c r="T32" s="549"/>
      <c r="U32" s="549"/>
      <c r="V32" s="549"/>
      <c r="W32" s="549"/>
      <c r="X32" s="549"/>
      <c r="Y32" s="549"/>
      <c r="Z32" s="549"/>
      <c r="AA32" s="549"/>
      <c r="AB32" s="549"/>
      <c r="AC32" s="549"/>
      <c r="AD32" s="549"/>
      <c r="AE32" s="549"/>
      <c r="AF32" s="549"/>
      <c r="AG32" s="549"/>
      <c r="AH32" s="549"/>
      <c r="AI32" s="549"/>
      <c r="AJ32" s="549"/>
      <c r="AK32" s="549"/>
      <c r="AL32" s="549"/>
      <c r="AM32" s="549"/>
      <c r="AN32" s="549"/>
      <c r="AO32" s="549"/>
      <c r="AP32" s="549"/>
      <c r="AQ32" s="549"/>
      <c r="AR32" s="549"/>
      <c r="AS32" s="549"/>
      <c r="AT32" s="549"/>
      <c r="AU32" s="549"/>
      <c r="AV32" s="549"/>
      <c r="AW32" s="549"/>
      <c r="AX32" s="549"/>
      <c r="AY32" s="549"/>
      <c r="AZ32" s="549"/>
      <c r="BA32" s="549"/>
      <c r="BB32" s="549"/>
      <c r="BC32" s="549"/>
      <c r="BD32" s="549"/>
      <c r="BE32" s="549"/>
      <c r="BF32" s="549"/>
      <c r="BG32" s="549"/>
      <c r="BH32" s="549"/>
      <c r="BI32" s="549"/>
      <c r="BJ32" s="549"/>
      <c r="BK32" s="549"/>
      <c r="BL32" s="549"/>
      <c r="BM32" s="549"/>
      <c r="BN32" s="549"/>
      <c r="BO32" s="549"/>
      <c r="BP32" s="549"/>
      <c r="BQ32" s="549"/>
      <c r="BR32" s="549"/>
      <c r="BS32" s="549"/>
      <c r="BT32" s="549"/>
      <c r="BU32" s="549"/>
      <c r="BV32" s="549"/>
      <c r="BW32" s="549"/>
      <c r="BX32" s="549"/>
      <c r="BY32" s="549"/>
      <c r="BZ32" s="549"/>
      <c r="CA32" s="549"/>
      <c r="CB32" s="549"/>
      <c r="CC32" s="549"/>
      <c r="CD32" s="549"/>
      <c r="CE32" s="549"/>
      <c r="CF32" s="549"/>
      <c r="CG32" s="549"/>
      <c r="CH32" s="549"/>
      <c r="CI32" s="549"/>
      <c r="CJ32" s="549"/>
      <c r="CK32" s="549"/>
      <c r="CL32" s="549"/>
      <c r="CM32" s="549"/>
      <c r="CN32" s="549"/>
      <c r="CO32" s="549"/>
      <c r="CP32" s="549"/>
      <c r="CQ32" s="549"/>
      <c r="CR32" s="549"/>
      <c r="CS32" s="549"/>
      <c r="CT32" s="549"/>
      <c r="CU32" s="549"/>
      <c r="CV32" s="549"/>
      <c r="CW32" s="549"/>
      <c r="CX32" s="549"/>
      <c r="CY32" s="549"/>
      <c r="CZ32" s="549"/>
      <c r="DA32" s="549"/>
      <c r="DB32" s="549"/>
      <c r="DC32" s="549"/>
      <c r="DD32" s="549"/>
      <c r="DE32" s="549"/>
      <c r="DF32" s="549"/>
      <c r="DG32" s="549"/>
      <c r="DH32" s="549"/>
      <c r="DI32" s="549"/>
      <c r="DJ32" s="549"/>
      <c r="DK32" s="549"/>
      <c r="DL32" s="549"/>
      <c r="DM32" s="549"/>
      <c r="DN32" s="549"/>
      <c r="DO32" s="549"/>
      <c r="DP32" s="549"/>
      <c r="DQ32" s="549"/>
      <c r="DR32" s="549"/>
      <c r="DS32" s="549"/>
      <c r="DT32" s="549"/>
      <c r="DU32" s="549"/>
      <c r="DV32" s="549"/>
      <c r="DW32" s="549"/>
      <c r="DX32" s="549"/>
      <c r="DY32" s="549"/>
      <c r="DZ32" s="549"/>
      <c r="EA32" s="549"/>
      <c r="EB32" s="549"/>
      <c r="EC32" s="549"/>
      <c r="ED32" s="549"/>
      <c r="EE32" s="549"/>
      <c r="EF32" s="549"/>
      <c r="EG32" s="549"/>
      <c r="EH32" s="549"/>
      <c r="EI32" s="549"/>
      <c r="EJ32" s="549"/>
      <c r="EK32" s="549"/>
      <c r="EL32" s="549"/>
      <c r="EM32" s="549"/>
      <c r="EN32" s="549"/>
      <c r="EO32" s="549"/>
      <c r="EP32" s="549"/>
      <c r="EQ32" s="549"/>
      <c r="ER32" s="549"/>
      <c r="ES32" s="549"/>
      <c r="ET32" s="549"/>
      <c r="EU32" s="549"/>
      <c r="EV32" s="549"/>
      <c r="EW32" s="549"/>
      <c r="EX32" s="549"/>
      <c r="EY32" s="549"/>
      <c r="EZ32" s="549"/>
      <c r="FA32" s="549"/>
      <c r="FB32" s="549"/>
      <c r="FC32" s="549"/>
      <c r="FD32" s="549"/>
      <c r="FE32" s="549"/>
      <c r="FF32" s="549"/>
      <c r="FG32" s="549"/>
      <c r="FH32" s="549"/>
      <c r="FI32" s="549"/>
      <c r="FJ32" s="549"/>
      <c r="FK32" s="549"/>
      <c r="FL32" s="549"/>
      <c r="FM32" s="549"/>
      <c r="FN32" s="549"/>
      <c r="FO32" s="549"/>
      <c r="FP32" s="549"/>
      <c r="FQ32" s="549"/>
      <c r="FR32" s="549"/>
      <c r="FS32" s="549"/>
      <c r="FT32" s="549"/>
      <c r="FU32" s="549"/>
      <c r="FV32" s="549"/>
      <c r="FW32" s="549"/>
      <c r="FX32" s="549"/>
      <c r="FY32" s="549"/>
      <c r="FZ32" s="549"/>
      <c r="GA32" s="549"/>
      <c r="GB32" s="549"/>
      <c r="GC32" s="549"/>
      <c r="GD32" s="549"/>
      <c r="GE32" s="549"/>
      <c r="GF32" s="549"/>
      <c r="GG32" s="549"/>
      <c r="GH32" s="549"/>
      <c r="GI32" s="549"/>
      <c r="GJ32" s="549"/>
      <c r="GK32" s="549"/>
      <c r="GL32" s="549"/>
      <c r="GM32" s="549"/>
      <c r="GN32" s="549"/>
      <c r="GO32" s="549"/>
      <c r="GP32" s="549"/>
      <c r="GQ32" s="549"/>
      <c r="GR32" s="549"/>
      <c r="GS32" s="549"/>
      <c r="GT32" s="549"/>
      <c r="GU32" s="549"/>
      <c r="GV32" s="549"/>
      <c r="GW32" s="549"/>
      <c r="GX32" s="549"/>
      <c r="GY32" s="549"/>
      <c r="GZ32" s="549"/>
      <c r="HA32" s="549"/>
      <c r="HB32" s="549"/>
      <c r="HC32" s="549"/>
      <c r="HD32" s="549"/>
      <c r="HE32" s="549"/>
      <c r="HF32" s="549"/>
      <c r="HG32" s="549"/>
      <c r="HH32" s="549"/>
      <c r="HI32" s="549"/>
      <c r="HJ32" s="549"/>
      <c r="HK32" s="549"/>
      <c r="HL32" s="549"/>
      <c r="HM32" s="549"/>
      <c r="HN32" s="549"/>
      <c r="HO32" s="549"/>
      <c r="HP32" s="549"/>
      <c r="HQ32" s="549"/>
      <c r="HR32" s="549"/>
      <c r="HS32" s="549"/>
      <c r="HT32" s="549"/>
      <c r="HU32" s="549"/>
      <c r="HV32" s="549"/>
      <c r="HW32" s="533"/>
      <c r="HX32" s="533"/>
      <c r="HY32" s="533"/>
      <c r="HZ32" s="533"/>
      <c r="IA32" s="533"/>
      <c r="IB32" s="533"/>
      <c r="IC32" s="533"/>
      <c r="ID32" s="533"/>
      <c r="IE32" s="533"/>
      <c r="IF32" s="533"/>
      <c r="IG32" s="533"/>
      <c r="IH32" s="533"/>
      <c r="II32" s="533"/>
      <c r="IJ32" s="533"/>
      <c r="IK32" s="533"/>
      <c r="IL32" s="533"/>
      <c r="IM32" s="533"/>
      <c r="IN32" s="533"/>
      <c r="IO32" s="533"/>
      <c r="IP32" s="347"/>
      <c r="IQ32" s="347"/>
      <c r="IR32" s="347"/>
      <c r="IS32" s="347"/>
      <c r="IT32" s="347"/>
      <c r="IU32" s="347"/>
      <c r="IV32" s="347"/>
    </row>
    <row r="33" spans="1:256" s="513" customFormat="1" ht="12.75">
      <c r="A33" s="520"/>
      <c r="B33" s="520"/>
      <c r="C33" s="238"/>
      <c r="D33" s="358">
        <v>57.48</v>
      </c>
      <c r="E33" s="238"/>
      <c r="F33" s="519">
        <v>344478</v>
      </c>
      <c r="G33" s="298">
        <v>40686</v>
      </c>
      <c r="H33" s="540">
        <f t="shared" si="3"/>
        <v>5993.006263048017</v>
      </c>
      <c r="I33" s="260" t="s">
        <v>91</v>
      </c>
      <c r="J33" s="542">
        <v>47.42</v>
      </c>
      <c r="K33" s="526">
        <v>57.48</v>
      </c>
      <c r="L33" s="544">
        <v>344478</v>
      </c>
      <c r="M33" s="540">
        <f t="shared" si="1"/>
        <v>57.48</v>
      </c>
      <c r="N33" s="540">
        <f t="shared" si="4"/>
        <v>344478</v>
      </c>
      <c r="O33" s="535"/>
      <c r="P33" s="540">
        <f t="shared" si="2"/>
        <v>0</v>
      </c>
      <c r="Q33" s="551">
        <f t="shared" si="5"/>
        <v>0</v>
      </c>
      <c r="R33" s="552"/>
      <c r="S33" s="549"/>
      <c r="T33" s="549"/>
      <c r="U33" s="549"/>
      <c r="V33" s="549"/>
      <c r="W33" s="549"/>
      <c r="X33" s="549"/>
      <c r="Y33" s="549"/>
      <c r="Z33" s="549"/>
      <c r="AA33" s="549"/>
      <c r="AB33" s="549"/>
      <c r="AC33" s="549"/>
      <c r="AD33" s="549"/>
      <c r="AE33" s="549"/>
      <c r="AF33" s="549"/>
      <c r="AG33" s="549"/>
      <c r="AH33" s="549"/>
      <c r="AI33" s="549"/>
      <c r="AJ33" s="549"/>
      <c r="AK33" s="549"/>
      <c r="AL33" s="549"/>
      <c r="AM33" s="549"/>
      <c r="AN33" s="549"/>
      <c r="AO33" s="549"/>
      <c r="AP33" s="549"/>
      <c r="AQ33" s="549"/>
      <c r="AR33" s="549"/>
      <c r="AS33" s="549"/>
      <c r="AT33" s="549"/>
      <c r="AU33" s="549"/>
      <c r="AV33" s="549"/>
      <c r="AW33" s="549"/>
      <c r="AX33" s="549"/>
      <c r="AY33" s="549"/>
      <c r="AZ33" s="549"/>
      <c r="BA33" s="549"/>
      <c r="BB33" s="549"/>
      <c r="BC33" s="549"/>
      <c r="BD33" s="549"/>
      <c r="BE33" s="549"/>
      <c r="BF33" s="549"/>
      <c r="BG33" s="549"/>
      <c r="BH33" s="549"/>
      <c r="BI33" s="549"/>
      <c r="BJ33" s="549"/>
      <c r="BK33" s="549"/>
      <c r="BL33" s="549"/>
      <c r="BM33" s="549"/>
      <c r="BN33" s="549"/>
      <c r="BO33" s="549"/>
      <c r="BP33" s="549"/>
      <c r="BQ33" s="549"/>
      <c r="BR33" s="549"/>
      <c r="BS33" s="549"/>
      <c r="BT33" s="549"/>
      <c r="BU33" s="549"/>
      <c r="BV33" s="549"/>
      <c r="BW33" s="549"/>
      <c r="BX33" s="549"/>
      <c r="BY33" s="549"/>
      <c r="BZ33" s="549"/>
      <c r="CA33" s="549"/>
      <c r="CB33" s="549"/>
      <c r="CC33" s="549"/>
      <c r="CD33" s="549"/>
      <c r="CE33" s="549"/>
      <c r="CF33" s="549"/>
      <c r="CG33" s="549"/>
      <c r="CH33" s="549"/>
      <c r="CI33" s="549"/>
      <c r="CJ33" s="549"/>
      <c r="CK33" s="549"/>
      <c r="CL33" s="549"/>
      <c r="CM33" s="549"/>
      <c r="CN33" s="549"/>
      <c r="CO33" s="549"/>
      <c r="CP33" s="549"/>
      <c r="CQ33" s="549"/>
      <c r="CR33" s="549"/>
      <c r="CS33" s="549"/>
      <c r="CT33" s="549"/>
      <c r="CU33" s="549"/>
      <c r="CV33" s="549"/>
      <c r="CW33" s="549"/>
      <c r="CX33" s="549"/>
      <c r="CY33" s="549"/>
      <c r="CZ33" s="549"/>
      <c r="DA33" s="549"/>
      <c r="DB33" s="549"/>
      <c r="DC33" s="549"/>
      <c r="DD33" s="549"/>
      <c r="DE33" s="549"/>
      <c r="DF33" s="549"/>
      <c r="DG33" s="549"/>
      <c r="DH33" s="549"/>
      <c r="DI33" s="549"/>
      <c r="DJ33" s="549"/>
      <c r="DK33" s="549"/>
      <c r="DL33" s="549"/>
      <c r="DM33" s="549"/>
      <c r="DN33" s="549"/>
      <c r="DO33" s="549"/>
      <c r="DP33" s="549"/>
      <c r="DQ33" s="549"/>
      <c r="DR33" s="549"/>
      <c r="DS33" s="549"/>
      <c r="DT33" s="549"/>
      <c r="DU33" s="549"/>
      <c r="DV33" s="549"/>
      <c r="DW33" s="549"/>
      <c r="DX33" s="549"/>
      <c r="DY33" s="549"/>
      <c r="DZ33" s="549"/>
      <c r="EA33" s="549"/>
      <c r="EB33" s="549"/>
      <c r="EC33" s="549"/>
      <c r="ED33" s="549"/>
      <c r="EE33" s="549"/>
      <c r="EF33" s="549"/>
      <c r="EG33" s="549"/>
      <c r="EH33" s="549"/>
      <c r="EI33" s="549"/>
      <c r="EJ33" s="549"/>
      <c r="EK33" s="549"/>
      <c r="EL33" s="549"/>
      <c r="EM33" s="549"/>
      <c r="EN33" s="549"/>
      <c r="EO33" s="549"/>
      <c r="EP33" s="549"/>
      <c r="EQ33" s="549"/>
      <c r="ER33" s="549"/>
      <c r="ES33" s="549"/>
      <c r="ET33" s="549"/>
      <c r="EU33" s="549"/>
      <c r="EV33" s="549"/>
      <c r="EW33" s="549"/>
      <c r="EX33" s="549"/>
      <c r="EY33" s="549"/>
      <c r="EZ33" s="549"/>
      <c r="FA33" s="549"/>
      <c r="FB33" s="549"/>
      <c r="FC33" s="549"/>
      <c r="FD33" s="549"/>
      <c r="FE33" s="549"/>
      <c r="FF33" s="549"/>
      <c r="FG33" s="549"/>
      <c r="FH33" s="549"/>
      <c r="FI33" s="549"/>
      <c r="FJ33" s="549"/>
      <c r="FK33" s="549"/>
      <c r="FL33" s="549"/>
      <c r="FM33" s="549"/>
      <c r="FN33" s="549"/>
      <c r="FO33" s="549"/>
      <c r="FP33" s="549"/>
      <c r="FQ33" s="549"/>
      <c r="FR33" s="549"/>
      <c r="FS33" s="549"/>
      <c r="FT33" s="549"/>
      <c r="FU33" s="549"/>
      <c r="FV33" s="549"/>
      <c r="FW33" s="549"/>
      <c r="FX33" s="549"/>
      <c r="FY33" s="549"/>
      <c r="FZ33" s="549"/>
      <c r="GA33" s="549"/>
      <c r="GB33" s="549"/>
      <c r="GC33" s="549"/>
      <c r="GD33" s="549"/>
      <c r="GE33" s="549"/>
      <c r="GF33" s="549"/>
      <c r="GG33" s="549"/>
      <c r="GH33" s="549"/>
      <c r="GI33" s="549"/>
      <c r="GJ33" s="549"/>
      <c r="GK33" s="549"/>
      <c r="GL33" s="549"/>
      <c r="GM33" s="549"/>
      <c r="GN33" s="549"/>
      <c r="GO33" s="549"/>
      <c r="GP33" s="549"/>
      <c r="GQ33" s="549"/>
      <c r="GR33" s="549"/>
      <c r="GS33" s="549"/>
      <c r="GT33" s="549"/>
      <c r="GU33" s="549"/>
      <c r="GV33" s="549"/>
      <c r="GW33" s="549"/>
      <c r="GX33" s="549"/>
      <c r="GY33" s="549"/>
      <c r="GZ33" s="549"/>
      <c r="HA33" s="549"/>
      <c r="HB33" s="549"/>
      <c r="HC33" s="549"/>
      <c r="HD33" s="549"/>
      <c r="HE33" s="549"/>
      <c r="HF33" s="549"/>
      <c r="HG33" s="549"/>
      <c r="HH33" s="549"/>
      <c r="HI33" s="549"/>
      <c r="HJ33" s="549"/>
      <c r="HK33" s="549"/>
      <c r="HL33" s="549"/>
      <c r="HM33" s="549"/>
      <c r="HN33" s="549"/>
      <c r="HO33" s="549"/>
      <c r="HP33" s="549"/>
      <c r="HQ33" s="549"/>
      <c r="HR33" s="549"/>
      <c r="HS33" s="549"/>
      <c r="HT33" s="549"/>
      <c r="HU33" s="549"/>
      <c r="HV33" s="549"/>
      <c r="HW33" s="533"/>
      <c r="HX33" s="533"/>
      <c r="HY33" s="533"/>
      <c r="HZ33" s="533"/>
      <c r="IA33" s="533"/>
      <c r="IB33" s="533"/>
      <c r="IC33" s="533"/>
      <c r="ID33" s="533"/>
      <c r="IE33" s="533"/>
      <c r="IF33" s="533"/>
      <c r="IG33" s="533"/>
      <c r="IH33" s="533"/>
      <c r="II33" s="533"/>
      <c r="IJ33" s="533"/>
      <c r="IK33" s="533"/>
      <c r="IL33" s="533"/>
      <c r="IM33" s="533"/>
      <c r="IN33" s="533"/>
      <c r="IO33" s="533"/>
      <c r="IP33" s="347"/>
      <c r="IQ33" s="347"/>
      <c r="IR33" s="347"/>
      <c r="IS33" s="347"/>
      <c r="IT33" s="347"/>
      <c r="IU33" s="347"/>
      <c r="IV33" s="347"/>
    </row>
    <row r="34" spans="1:256" s="513" customFormat="1" ht="12.75">
      <c r="A34" s="520"/>
      <c r="B34" s="520"/>
      <c r="C34" s="238"/>
      <c r="D34" s="358">
        <v>57.57</v>
      </c>
      <c r="E34" s="238"/>
      <c r="F34" s="519">
        <v>367987</v>
      </c>
      <c r="G34" s="298">
        <v>40556</v>
      </c>
      <c r="H34" s="540">
        <f t="shared" si="3"/>
        <v>6402.000695894224</v>
      </c>
      <c r="I34" s="260"/>
      <c r="J34" s="542">
        <v>47.42</v>
      </c>
      <c r="K34" s="526">
        <v>57.48</v>
      </c>
      <c r="L34" s="540">
        <v>367987</v>
      </c>
      <c r="M34" s="540">
        <f t="shared" si="1"/>
        <v>57.48</v>
      </c>
      <c r="N34" s="540">
        <f t="shared" si="4"/>
        <v>367987</v>
      </c>
      <c r="O34" s="535"/>
      <c r="P34" s="540">
        <f t="shared" si="2"/>
        <v>0</v>
      </c>
      <c r="Q34" s="551">
        <f t="shared" si="5"/>
        <v>0</v>
      </c>
      <c r="R34" s="552"/>
      <c r="S34" s="549"/>
      <c r="T34" s="549"/>
      <c r="U34" s="549"/>
      <c r="V34" s="549"/>
      <c r="W34" s="549"/>
      <c r="X34" s="549"/>
      <c r="Y34" s="549"/>
      <c r="Z34" s="549"/>
      <c r="AA34" s="549"/>
      <c r="AB34" s="549"/>
      <c r="AC34" s="549"/>
      <c r="AD34" s="549"/>
      <c r="AE34" s="549"/>
      <c r="AF34" s="549"/>
      <c r="AG34" s="549"/>
      <c r="AH34" s="549"/>
      <c r="AI34" s="549"/>
      <c r="AJ34" s="549"/>
      <c r="AK34" s="549"/>
      <c r="AL34" s="549"/>
      <c r="AM34" s="549"/>
      <c r="AN34" s="549"/>
      <c r="AO34" s="549"/>
      <c r="AP34" s="549"/>
      <c r="AQ34" s="549"/>
      <c r="AR34" s="549"/>
      <c r="AS34" s="549"/>
      <c r="AT34" s="549"/>
      <c r="AU34" s="549"/>
      <c r="AV34" s="549"/>
      <c r="AW34" s="549"/>
      <c r="AX34" s="549"/>
      <c r="AY34" s="549"/>
      <c r="AZ34" s="549"/>
      <c r="BA34" s="549"/>
      <c r="BB34" s="549"/>
      <c r="BC34" s="549"/>
      <c r="BD34" s="549"/>
      <c r="BE34" s="549"/>
      <c r="BF34" s="549"/>
      <c r="BG34" s="549"/>
      <c r="BH34" s="549"/>
      <c r="BI34" s="549"/>
      <c r="BJ34" s="549"/>
      <c r="BK34" s="549"/>
      <c r="BL34" s="549"/>
      <c r="BM34" s="549"/>
      <c r="BN34" s="549"/>
      <c r="BO34" s="549"/>
      <c r="BP34" s="549"/>
      <c r="BQ34" s="549"/>
      <c r="BR34" s="549"/>
      <c r="BS34" s="549"/>
      <c r="BT34" s="549"/>
      <c r="BU34" s="549"/>
      <c r="BV34" s="549"/>
      <c r="BW34" s="549"/>
      <c r="BX34" s="549"/>
      <c r="BY34" s="549"/>
      <c r="BZ34" s="549"/>
      <c r="CA34" s="549"/>
      <c r="CB34" s="549"/>
      <c r="CC34" s="549"/>
      <c r="CD34" s="549"/>
      <c r="CE34" s="549"/>
      <c r="CF34" s="549"/>
      <c r="CG34" s="549"/>
      <c r="CH34" s="549"/>
      <c r="CI34" s="549"/>
      <c r="CJ34" s="549"/>
      <c r="CK34" s="549"/>
      <c r="CL34" s="549"/>
      <c r="CM34" s="549"/>
      <c r="CN34" s="549"/>
      <c r="CO34" s="549"/>
      <c r="CP34" s="549"/>
      <c r="CQ34" s="549"/>
      <c r="CR34" s="549"/>
      <c r="CS34" s="549"/>
      <c r="CT34" s="549"/>
      <c r="CU34" s="549"/>
      <c r="CV34" s="549"/>
      <c r="CW34" s="549"/>
      <c r="CX34" s="549"/>
      <c r="CY34" s="549"/>
      <c r="CZ34" s="549"/>
      <c r="DA34" s="549"/>
      <c r="DB34" s="549"/>
      <c r="DC34" s="549"/>
      <c r="DD34" s="549"/>
      <c r="DE34" s="549"/>
      <c r="DF34" s="549"/>
      <c r="DG34" s="549"/>
      <c r="DH34" s="549"/>
      <c r="DI34" s="549"/>
      <c r="DJ34" s="549"/>
      <c r="DK34" s="549"/>
      <c r="DL34" s="549"/>
      <c r="DM34" s="549"/>
      <c r="DN34" s="549"/>
      <c r="DO34" s="549"/>
      <c r="DP34" s="549"/>
      <c r="DQ34" s="549"/>
      <c r="DR34" s="549"/>
      <c r="DS34" s="549"/>
      <c r="DT34" s="549"/>
      <c r="DU34" s="549"/>
      <c r="DV34" s="549"/>
      <c r="DW34" s="549"/>
      <c r="DX34" s="549"/>
      <c r="DY34" s="549"/>
      <c r="DZ34" s="549"/>
      <c r="EA34" s="549"/>
      <c r="EB34" s="549"/>
      <c r="EC34" s="549"/>
      <c r="ED34" s="549"/>
      <c r="EE34" s="549"/>
      <c r="EF34" s="549"/>
      <c r="EG34" s="549"/>
      <c r="EH34" s="549"/>
      <c r="EI34" s="549"/>
      <c r="EJ34" s="549"/>
      <c r="EK34" s="549"/>
      <c r="EL34" s="549"/>
      <c r="EM34" s="549"/>
      <c r="EN34" s="549"/>
      <c r="EO34" s="549"/>
      <c r="EP34" s="549"/>
      <c r="EQ34" s="549"/>
      <c r="ER34" s="549"/>
      <c r="ES34" s="549"/>
      <c r="ET34" s="549"/>
      <c r="EU34" s="549"/>
      <c r="EV34" s="549"/>
      <c r="EW34" s="549"/>
      <c r="EX34" s="549"/>
      <c r="EY34" s="549"/>
      <c r="EZ34" s="549"/>
      <c r="FA34" s="549"/>
      <c r="FB34" s="549"/>
      <c r="FC34" s="549"/>
      <c r="FD34" s="549"/>
      <c r="FE34" s="549"/>
      <c r="FF34" s="549"/>
      <c r="FG34" s="549"/>
      <c r="FH34" s="549"/>
      <c r="FI34" s="549"/>
      <c r="FJ34" s="549"/>
      <c r="FK34" s="549"/>
      <c r="FL34" s="549"/>
      <c r="FM34" s="549"/>
      <c r="FN34" s="549"/>
      <c r="FO34" s="549"/>
      <c r="FP34" s="549"/>
      <c r="FQ34" s="549"/>
      <c r="FR34" s="549"/>
      <c r="FS34" s="549"/>
      <c r="FT34" s="549"/>
      <c r="FU34" s="549"/>
      <c r="FV34" s="549"/>
      <c r="FW34" s="549"/>
      <c r="FX34" s="549"/>
      <c r="FY34" s="549"/>
      <c r="FZ34" s="549"/>
      <c r="GA34" s="549"/>
      <c r="GB34" s="549"/>
      <c r="GC34" s="549"/>
      <c r="GD34" s="549"/>
      <c r="GE34" s="549"/>
      <c r="GF34" s="549"/>
      <c r="GG34" s="549"/>
      <c r="GH34" s="549"/>
      <c r="GI34" s="549"/>
      <c r="GJ34" s="549"/>
      <c r="GK34" s="549"/>
      <c r="GL34" s="549"/>
      <c r="GM34" s="549"/>
      <c r="GN34" s="549"/>
      <c r="GO34" s="549"/>
      <c r="GP34" s="549"/>
      <c r="GQ34" s="549"/>
      <c r="GR34" s="549"/>
      <c r="GS34" s="549"/>
      <c r="GT34" s="549"/>
      <c r="GU34" s="549"/>
      <c r="GV34" s="549"/>
      <c r="GW34" s="549"/>
      <c r="GX34" s="549"/>
      <c r="GY34" s="549"/>
      <c r="GZ34" s="549"/>
      <c r="HA34" s="549"/>
      <c r="HB34" s="549"/>
      <c r="HC34" s="549"/>
      <c r="HD34" s="549"/>
      <c r="HE34" s="549"/>
      <c r="HF34" s="549"/>
      <c r="HG34" s="549"/>
      <c r="HH34" s="549"/>
      <c r="HI34" s="549"/>
      <c r="HJ34" s="549"/>
      <c r="HK34" s="549"/>
      <c r="HL34" s="549"/>
      <c r="HM34" s="549"/>
      <c r="HN34" s="549"/>
      <c r="HO34" s="549"/>
      <c r="HP34" s="549"/>
      <c r="HQ34" s="549"/>
      <c r="HR34" s="549"/>
      <c r="HS34" s="549"/>
      <c r="HT34" s="549"/>
      <c r="HU34" s="549"/>
      <c r="HV34" s="549"/>
      <c r="HW34" s="533"/>
      <c r="HX34" s="533"/>
      <c r="HY34" s="533"/>
      <c r="HZ34" s="533"/>
      <c r="IA34" s="533"/>
      <c r="IB34" s="533"/>
      <c r="IC34" s="533"/>
      <c r="ID34" s="533"/>
      <c r="IE34" s="533"/>
      <c r="IF34" s="533"/>
      <c r="IG34" s="533"/>
      <c r="IH34" s="533"/>
      <c r="II34" s="533"/>
      <c r="IJ34" s="533"/>
      <c r="IK34" s="533"/>
      <c r="IL34" s="533"/>
      <c r="IM34" s="533"/>
      <c r="IN34" s="533"/>
      <c r="IO34" s="533"/>
      <c r="IP34" s="347"/>
      <c r="IQ34" s="347"/>
      <c r="IR34" s="347"/>
      <c r="IS34" s="347"/>
      <c r="IT34" s="347"/>
      <c r="IU34" s="347"/>
      <c r="IV34" s="347"/>
    </row>
    <row r="35" spans="1:256" s="513" customFormat="1" ht="12.75">
      <c r="A35" s="520"/>
      <c r="B35" s="520"/>
      <c r="C35" s="238"/>
      <c r="D35" s="358">
        <v>57.57</v>
      </c>
      <c r="E35" s="238"/>
      <c r="F35" s="519">
        <v>282227</v>
      </c>
      <c r="G35" s="298">
        <v>40382</v>
      </c>
      <c r="H35" s="540">
        <f t="shared" si="3"/>
        <v>4910.003479471121</v>
      </c>
      <c r="I35" s="260" t="s">
        <v>92</v>
      </c>
      <c r="J35" s="542">
        <v>47.42</v>
      </c>
      <c r="K35" s="526">
        <v>57.48</v>
      </c>
      <c r="L35" s="540">
        <v>282227</v>
      </c>
      <c r="M35" s="540">
        <f t="shared" si="1"/>
        <v>57.48</v>
      </c>
      <c r="N35" s="540">
        <f t="shared" si="4"/>
        <v>282227</v>
      </c>
      <c r="O35" s="535"/>
      <c r="P35" s="540">
        <f t="shared" si="2"/>
        <v>0</v>
      </c>
      <c r="Q35" s="551">
        <f t="shared" si="5"/>
        <v>0</v>
      </c>
      <c r="R35" s="552"/>
      <c r="S35" s="549"/>
      <c r="T35" s="549"/>
      <c r="U35" s="549"/>
      <c r="V35" s="549"/>
      <c r="W35" s="549"/>
      <c r="X35" s="549"/>
      <c r="Y35" s="549"/>
      <c r="Z35" s="549"/>
      <c r="AA35" s="549"/>
      <c r="AB35" s="549"/>
      <c r="AC35" s="549"/>
      <c r="AD35" s="549"/>
      <c r="AE35" s="549"/>
      <c r="AF35" s="549"/>
      <c r="AG35" s="549"/>
      <c r="AH35" s="549"/>
      <c r="AI35" s="549"/>
      <c r="AJ35" s="549"/>
      <c r="AK35" s="549"/>
      <c r="AL35" s="549"/>
      <c r="AM35" s="549"/>
      <c r="AN35" s="549"/>
      <c r="AO35" s="549"/>
      <c r="AP35" s="549"/>
      <c r="AQ35" s="549"/>
      <c r="AR35" s="549"/>
      <c r="AS35" s="549"/>
      <c r="AT35" s="549"/>
      <c r="AU35" s="549"/>
      <c r="AV35" s="549"/>
      <c r="AW35" s="549"/>
      <c r="AX35" s="549"/>
      <c r="AY35" s="549"/>
      <c r="AZ35" s="549"/>
      <c r="BA35" s="549"/>
      <c r="BB35" s="549"/>
      <c r="BC35" s="549"/>
      <c r="BD35" s="549"/>
      <c r="BE35" s="549"/>
      <c r="BF35" s="549"/>
      <c r="BG35" s="549"/>
      <c r="BH35" s="549"/>
      <c r="BI35" s="549"/>
      <c r="BJ35" s="549"/>
      <c r="BK35" s="549"/>
      <c r="BL35" s="549"/>
      <c r="BM35" s="549"/>
      <c r="BN35" s="549"/>
      <c r="BO35" s="549"/>
      <c r="BP35" s="549"/>
      <c r="BQ35" s="549"/>
      <c r="BR35" s="549"/>
      <c r="BS35" s="549"/>
      <c r="BT35" s="549"/>
      <c r="BU35" s="549"/>
      <c r="BV35" s="549"/>
      <c r="BW35" s="549"/>
      <c r="BX35" s="549"/>
      <c r="BY35" s="549"/>
      <c r="BZ35" s="549"/>
      <c r="CA35" s="549"/>
      <c r="CB35" s="549"/>
      <c r="CC35" s="549"/>
      <c r="CD35" s="549"/>
      <c r="CE35" s="549"/>
      <c r="CF35" s="549"/>
      <c r="CG35" s="549"/>
      <c r="CH35" s="549"/>
      <c r="CI35" s="549"/>
      <c r="CJ35" s="549"/>
      <c r="CK35" s="549"/>
      <c r="CL35" s="549"/>
      <c r="CM35" s="549"/>
      <c r="CN35" s="549"/>
      <c r="CO35" s="549"/>
      <c r="CP35" s="549"/>
      <c r="CQ35" s="549"/>
      <c r="CR35" s="549"/>
      <c r="CS35" s="549"/>
      <c r="CT35" s="549"/>
      <c r="CU35" s="549"/>
      <c r="CV35" s="549"/>
      <c r="CW35" s="549"/>
      <c r="CX35" s="549"/>
      <c r="CY35" s="549"/>
      <c r="CZ35" s="549"/>
      <c r="DA35" s="549"/>
      <c r="DB35" s="549"/>
      <c r="DC35" s="549"/>
      <c r="DD35" s="549"/>
      <c r="DE35" s="549"/>
      <c r="DF35" s="549"/>
      <c r="DG35" s="549"/>
      <c r="DH35" s="549"/>
      <c r="DI35" s="549"/>
      <c r="DJ35" s="549"/>
      <c r="DK35" s="549"/>
      <c r="DL35" s="549"/>
      <c r="DM35" s="549"/>
      <c r="DN35" s="549"/>
      <c r="DO35" s="549"/>
      <c r="DP35" s="549"/>
      <c r="DQ35" s="549"/>
      <c r="DR35" s="549"/>
      <c r="DS35" s="549"/>
      <c r="DT35" s="549"/>
      <c r="DU35" s="549"/>
      <c r="DV35" s="549"/>
      <c r="DW35" s="549"/>
      <c r="DX35" s="549"/>
      <c r="DY35" s="549"/>
      <c r="DZ35" s="549"/>
      <c r="EA35" s="549"/>
      <c r="EB35" s="549"/>
      <c r="EC35" s="549"/>
      <c r="ED35" s="549"/>
      <c r="EE35" s="549"/>
      <c r="EF35" s="549"/>
      <c r="EG35" s="549"/>
      <c r="EH35" s="549"/>
      <c r="EI35" s="549"/>
      <c r="EJ35" s="549"/>
      <c r="EK35" s="549"/>
      <c r="EL35" s="549"/>
      <c r="EM35" s="549"/>
      <c r="EN35" s="549"/>
      <c r="EO35" s="549"/>
      <c r="EP35" s="549"/>
      <c r="EQ35" s="549"/>
      <c r="ER35" s="549"/>
      <c r="ES35" s="549"/>
      <c r="ET35" s="549"/>
      <c r="EU35" s="549"/>
      <c r="EV35" s="549"/>
      <c r="EW35" s="549"/>
      <c r="EX35" s="549"/>
      <c r="EY35" s="549"/>
      <c r="EZ35" s="549"/>
      <c r="FA35" s="549"/>
      <c r="FB35" s="549"/>
      <c r="FC35" s="549"/>
      <c r="FD35" s="549"/>
      <c r="FE35" s="549"/>
      <c r="FF35" s="549"/>
      <c r="FG35" s="549"/>
      <c r="FH35" s="549"/>
      <c r="FI35" s="549"/>
      <c r="FJ35" s="549"/>
      <c r="FK35" s="549"/>
      <c r="FL35" s="549"/>
      <c r="FM35" s="549"/>
      <c r="FN35" s="549"/>
      <c r="FO35" s="549"/>
      <c r="FP35" s="549"/>
      <c r="FQ35" s="549"/>
      <c r="FR35" s="549"/>
      <c r="FS35" s="549"/>
      <c r="FT35" s="549"/>
      <c r="FU35" s="549"/>
      <c r="FV35" s="549"/>
      <c r="FW35" s="549"/>
      <c r="FX35" s="549"/>
      <c r="FY35" s="549"/>
      <c r="FZ35" s="549"/>
      <c r="GA35" s="549"/>
      <c r="GB35" s="549"/>
      <c r="GC35" s="549"/>
      <c r="GD35" s="549"/>
      <c r="GE35" s="549"/>
      <c r="GF35" s="549"/>
      <c r="GG35" s="549"/>
      <c r="GH35" s="549"/>
      <c r="GI35" s="549"/>
      <c r="GJ35" s="549"/>
      <c r="GK35" s="549"/>
      <c r="GL35" s="549"/>
      <c r="GM35" s="549"/>
      <c r="GN35" s="549"/>
      <c r="GO35" s="549"/>
      <c r="GP35" s="549"/>
      <c r="GQ35" s="549"/>
      <c r="GR35" s="549"/>
      <c r="GS35" s="549"/>
      <c r="GT35" s="549"/>
      <c r="GU35" s="549"/>
      <c r="GV35" s="549"/>
      <c r="GW35" s="549"/>
      <c r="GX35" s="549"/>
      <c r="GY35" s="549"/>
      <c r="GZ35" s="549"/>
      <c r="HA35" s="549"/>
      <c r="HB35" s="549"/>
      <c r="HC35" s="549"/>
      <c r="HD35" s="549"/>
      <c r="HE35" s="549"/>
      <c r="HF35" s="549"/>
      <c r="HG35" s="549"/>
      <c r="HH35" s="549"/>
      <c r="HI35" s="549"/>
      <c r="HJ35" s="549"/>
      <c r="HK35" s="549"/>
      <c r="HL35" s="549"/>
      <c r="HM35" s="549"/>
      <c r="HN35" s="549"/>
      <c r="HO35" s="549"/>
      <c r="HP35" s="549"/>
      <c r="HQ35" s="549"/>
      <c r="HR35" s="549"/>
      <c r="HS35" s="549"/>
      <c r="HT35" s="549"/>
      <c r="HU35" s="549"/>
      <c r="HV35" s="549"/>
      <c r="HW35" s="533"/>
      <c r="HX35" s="533"/>
      <c r="HY35" s="533"/>
      <c r="HZ35" s="533"/>
      <c r="IA35" s="533"/>
      <c r="IB35" s="533"/>
      <c r="IC35" s="533"/>
      <c r="ID35" s="533"/>
      <c r="IE35" s="533"/>
      <c r="IF35" s="533"/>
      <c r="IG35" s="533"/>
      <c r="IH35" s="533"/>
      <c r="II35" s="533"/>
      <c r="IJ35" s="533"/>
      <c r="IK35" s="533"/>
      <c r="IL35" s="533"/>
      <c r="IM35" s="533"/>
      <c r="IN35" s="533"/>
      <c r="IO35" s="533"/>
      <c r="IP35" s="347"/>
      <c r="IQ35" s="347"/>
      <c r="IR35" s="347"/>
      <c r="IS35" s="347"/>
      <c r="IT35" s="347"/>
      <c r="IU35" s="347"/>
      <c r="IV35" s="347"/>
    </row>
    <row r="36" spans="1:256" s="513" customFormat="1" ht="12.75">
      <c r="A36" s="520"/>
      <c r="B36" s="520"/>
      <c r="C36" s="238"/>
      <c r="D36" s="358">
        <v>57.57</v>
      </c>
      <c r="E36" s="238"/>
      <c r="F36" s="519">
        <v>377184</v>
      </c>
      <c r="G36" s="298">
        <v>40553</v>
      </c>
      <c r="H36" s="540">
        <f t="shared" si="3"/>
        <v>6562.004175365345</v>
      </c>
      <c r="I36" s="260" t="s">
        <v>91</v>
      </c>
      <c r="J36" s="542">
        <v>47.42</v>
      </c>
      <c r="K36" s="526">
        <v>57.48</v>
      </c>
      <c r="L36" s="540">
        <v>377184</v>
      </c>
      <c r="M36" s="540">
        <f t="shared" si="1"/>
        <v>57.48</v>
      </c>
      <c r="N36" s="540">
        <f t="shared" si="4"/>
        <v>377184</v>
      </c>
      <c r="O36" s="535"/>
      <c r="P36" s="540">
        <f t="shared" si="2"/>
        <v>0</v>
      </c>
      <c r="Q36" s="551">
        <f t="shared" si="5"/>
        <v>0</v>
      </c>
      <c r="R36" s="552"/>
      <c r="S36" s="549"/>
      <c r="T36" s="549"/>
      <c r="U36" s="549"/>
      <c r="V36" s="549"/>
      <c r="W36" s="549"/>
      <c r="X36" s="549"/>
      <c r="Y36" s="549"/>
      <c r="Z36" s="549"/>
      <c r="AA36" s="549"/>
      <c r="AB36" s="549"/>
      <c r="AC36" s="549"/>
      <c r="AD36" s="549"/>
      <c r="AE36" s="549"/>
      <c r="AF36" s="549"/>
      <c r="AG36" s="549"/>
      <c r="AH36" s="549"/>
      <c r="AI36" s="549"/>
      <c r="AJ36" s="549"/>
      <c r="AK36" s="549"/>
      <c r="AL36" s="549"/>
      <c r="AM36" s="549"/>
      <c r="AN36" s="549"/>
      <c r="AO36" s="549"/>
      <c r="AP36" s="549"/>
      <c r="AQ36" s="549"/>
      <c r="AR36" s="549"/>
      <c r="AS36" s="549"/>
      <c r="AT36" s="549"/>
      <c r="AU36" s="549"/>
      <c r="AV36" s="549"/>
      <c r="AW36" s="549"/>
      <c r="AX36" s="549"/>
      <c r="AY36" s="549"/>
      <c r="AZ36" s="549"/>
      <c r="BA36" s="549"/>
      <c r="BB36" s="549"/>
      <c r="BC36" s="549"/>
      <c r="BD36" s="549"/>
      <c r="BE36" s="549"/>
      <c r="BF36" s="549"/>
      <c r="BG36" s="549"/>
      <c r="BH36" s="549"/>
      <c r="BI36" s="549"/>
      <c r="BJ36" s="549"/>
      <c r="BK36" s="549"/>
      <c r="BL36" s="549"/>
      <c r="BM36" s="549"/>
      <c r="BN36" s="549"/>
      <c r="BO36" s="549"/>
      <c r="BP36" s="549"/>
      <c r="BQ36" s="549"/>
      <c r="BR36" s="549"/>
      <c r="BS36" s="549"/>
      <c r="BT36" s="549"/>
      <c r="BU36" s="549"/>
      <c r="BV36" s="549"/>
      <c r="BW36" s="549"/>
      <c r="BX36" s="549"/>
      <c r="BY36" s="549"/>
      <c r="BZ36" s="549"/>
      <c r="CA36" s="549"/>
      <c r="CB36" s="549"/>
      <c r="CC36" s="549"/>
      <c r="CD36" s="549"/>
      <c r="CE36" s="549"/>
      <c r="CF36" s="549"/>
      <c r="CG36" s="549"/>
      <c r="CH36" s="549"/>
      <c r="CI36" s="549"/>
      <c r="CJ36" s="549"/>
      <c r="CK36" s="549"/>
      <c r="CL36" s="549"/>
      <c r="CM36" s="549"/>
      <c r="CN36" s="549"/>
      <c r="CO36" s="549"/>
      <c r="CP36" s="549"/>
      <c r="CQ36" s="549"/>
      <c r="CR36" s="549"/>
      <c r="CS36" s="549"/>
      <c r="CT36" s="549"/>
      <c r="CU36" s="549"/>
      <c r="CV36" s="549"/>
      <c r="CW36" s="549"/>
      <c r="CX36" s="549"/>
      <c r="CY36" s="549"/>
      <c r="CZ36" s="549"/>
      <c r="DA36" s="549"/>
      <c r="DB36" s="549"/>
      <c r="DC36" s="549"/>
      <c r="DD36" s="549"/>
      <c r="DE36" s="549"/>
      <c r="DF36" s="549"/>
      <c r="DG36" s="549"/>
      <c r="DH36" s="549"/>
      <c r="DI36" s="549"/>
      <c r="DJ36" s="549"/>
      <c r="DK36" s="549"/>
      <c r="DL36" s="549"/>
      <c r="DM36" s="549"/>
      <c r="DN36" s="549"/>
      <c r="DO36" s="549"/>
      <c r="DP36" s="549"/>
      <c r="DQ36" s="549"/>
      <c r="DR36" s="549"/>
      <c r="DS36" s="549"/>
      <c r="DT36" s="549"/>
      <c r="DU36" s="549"/>
      <c r="DV36" s="549"/>
      <c r="DW36" s="549"/>
      <c r="DX36" s="549"/>
      <c r="DY36" s="549"/>
      <c r="DZ36" s="549"/>
      <c r="EA36" s="549"/>
      <c r="EB36" s="549"/>
      <c r="EC36" s="549"/>
      <c r="ED36" s="549"/>
      <c r="EE36" s="549"/>
      <c r="EF36" s="549"/>
      <c r="EG36" s="549"/>
      <c r="EH36" s="549"/>
      <c r="EI36" s="549"/>
      <c r="EJ36" s="549"/>
      <c r="EK36" s="549"/>
      <c r="EL36" s="549"/>
      <c r="EM36" s="549"/>
      <c r="EN36" s="549"/>
      <c r="EO36" s="549"/>
      <c r="EP36" s="549"/>
      <c r="EQ36" s="549"/>
      <c r="ER36" s="549"/>
      <c r="ES36" s="549"/>
      <c r="ET36" s="549"/>
      <c r="EU36" s="549"/>
      <c r="EV36" s="549"/>
      <c r="EW36" s="549"/>
      <c r="EX36" s="549"/>
      <c r="EY36" s="549"/>
      <c r="EZ36" s="549"/>
      <c r="FA36" s="549"/>
      <c r="FB36" s="549"/>
      <c r="FC36" s="549"/>
      <c r="FD36" s="549"/>
      <c r="FE36" s="549"/>
      <c r="FF36" s="549"/>
      <c r="FG36" s="549"/>
      <c r="FH36" s="549"/>
      <c r="FI36" s="549"/>
      <c r="FJ36" s="549"/>
      <c r="FK36" s="549"/>
      <c r="FL36" s="549"/>
      <c r="FM36" s="549"/>
      <c r="FN36" s="549"/>
      <c r="FO36" s="549"/>
      <c r="FP36" s="549"/>
      <c r="FQ36" s="549"/>
      <c r="FR36" s="549"/>
      <c r="FS36" s="549"/>
      <c r="FT36" s="549"/>
      <c r="FU36" s="549"/>
      <c r="FV36" s="549"/>
      <c r="FW36" s="549"/>
      <c r="FX36" s="549"/>
      <c r="FY36" s="549"/>
      <c r="FZ36" s="549"/>
      <c r="GA36" s="549"/>
      <c r="GB36" s="549"/>
      <c r="GC36" s="549"/>
      <c r="GD36" s="549"/>
      <c r="GE36" s="549"/>
      <c r="GF36" s="549"/>
      <c r="GG36" s="549"/>
      <c r="GH36" s="549"/>
      <c r="GI36" s="549"/>
      <c r="GJ36" s="549"/>
      <c r="GK36" s="549"/>
      <c r="GL36" s="549"/>
      <c r="GM36" s="549"/>
      <c r="GN36" s="549"/>
      <c r="GO36" s="549"/>
      <c r="GP36" s="549"/>
      <c r="GQ36" s="549"/>
      <c r="GR36" s="549"/>
      <c r="GS36" s="549"/>
      <c r="GT36" s="549"/>
      <c r="GU36" s="549"/>
      <c r="GV36" s="549"/>
      <c r="GW36" s="549"/>
      <c r="GX36" s="549"/>
      <c r="GY36" s="549"/>
      <c r="GZ36" s="549"/>
      <c r="HA36" s="549"/>
      <c r="HB36" s="549"/>
      <c r="HC36" s="549"/>
      <c r="HD36" s="549"/>
      <c r="HE36" s="549"/>
      <c r="HF36" s="549"/>
      <c r="HG36" s="549"/>
      <c r="HH36" s="549"/>
      <c r="HI36" s="549"/>
      <c r="HJ36" s="549"/>
      <c r="HK36" s="549"/>
      <c r="HL36" s="549"/>
      <c r="HM36" s="549"/>
      <c r="HN36" s="549"/>
      <c r="HO36" s="549"/>
      <c r="HP36" s="549"/>
      <c r="HQ36" s="549"/>
      <c r="HR36" s="549"/>
      <c r="HS36" s="549"/>
      <c r="HT36" s="549"/>
      <c r="HU36" s="549"/>
      <c r="HV36" s="549"/>
      <c r="HW36" s="533"/>
      <c r="HX36" s="533"/>
      <c r="HY36" s="533"/>
      <c r="HZ36" s="533"/>
      <c r="IA36" s="533"/>
      <c r="IB36" s="533"/>
      <c r="IC36" s="533"/>
      <c r="ID36" s="533"/>
      <c r="IE36" s="533"/>
      <c r="IF36" s="533"/>
      <c r="IG36" s="533"/>
      <c r="IH36" s="533"/>
      <c r="II36" s="533"/>
      <c r="IJ36" s="533"/>
      <c r="IK36" s="533"/>
      <c r="IL36" s="533"/>
      <c r="IM36" s="533"/>
      <c r="IN36" s="533"/>
      <c r="IO36" s="533"/>
      <c r="IP36" s="347"/>
      <c r="IQ36" s="347"/>
      <c r="IR36" s="347"/>
      <c r="IS36" s="347"/>
      <c r="IT36" s="347"/>
      <c r="IU36" s="347"/>
      <c r="IV36" s="347"/>
    </row>
    <row r="37" spans="1:256" s="513" customFormat="1" ht="12.75">
      <c r="A37" s="520"/>
      <c r="B37" s="520"/>
      <c r="C37" s="238"/>
      <c r="D37" s="358">
        <v>57.48</v>
      </c>
      <c r="E37" s="238"/>
      <c r="F37" s="519">
        <v>332292</v>
      </c>
      <c r="G37" s="298">
        <v>41019</v>
      </c>
      <c r="H37" s="540">
        <f t="shared" si="3"/>
        <v>5781.0020876826729</v>
      </c>
      <c r="I37" s="260" t="s">
        <v>92</v>
      </c>
      <c r="J37" s="542">
        <v>47.42</v>
      </c>
      <c r="K37" s="526">
        <v>57.48</v>
      </c>
      <c r="L37" s="540">
        <v>332292</v>
      </c>
      <c r="M37" s="540">
        <f t="shared" si="1"/>
        <v>57.48</v>
      </c>
      <c r="N37" s="540">
        <f t="shared" si="4"/>
        <v>332292</v>
      </c>
      <c r="O37" s="535"/>
      <c r="P37" s="540">
        <f t="shared" si="2"/>
        <v>0</v>
      </c>
      <c r="Q37" s="551">
        <f t="shared" si="5"/>
        <v>0</v>
      </c>
      <c r="R37" s="552"/>
      <c r="S37" s="549"/>
      <c r="T37" s="549"/>
      <c r="U37" s="549"/>
      <c r="V37" s="549"/>
      <c r="W37" s="549"/>
      <c r="X37" s="549"/>
      <c r="Y37" s="549"/>
      <c r="Z37" s="549"/>
      <c r="AA37" s="549"/>
      <c r="AB37" s="549"/>
      <c r="AC37" s="549"/>
      <c r="AD37" s="549"/>
      <c r="AE37" s="549"/>
      <c r="AF37" s="549"/>
      <c r="AG37" s="549"/>
      <c r="AH37" s="549"/>
      <c r="AI37" s="549"/>
      <c r="AJ37" s="549"/>
      <c r="AK37" s="549"/>
      <c r="AL37" s="549"/>
      <c r="AM37" s="549"/>
      <c r="AN37" s="549"/>
      <c r="AO37" s="549"/>
      <c r="AP37" s="549"/>
      <c r="AQ37" s="549"/>
      <c r="AR37" s="549"/>
      <c r="AS37" s="549"/>
      <c r="AT37" s="549"/>
      <c r="AU37" s="549"/>
      <c r="AV37" s="549"/>
      <c r="AW37" s="549"/>
      <c r="AX37" s="549"/>
      <c r="AY37" s="549"/>
      <c r="AZ37" s="549"/>
      <c r="BA37" s="549"/>
      <c r="BB37" s="549"/>
      <c r="BC37" s="549"/>
      <c r="BD37" s="549"/>
      <c r="BE37" s="549"/>
      <c r="BF37" s="549"/>
      <c r="BG37" s="549"/>
      <c r="BH37" s="549"/>
      <c r="BI37" s="549"/>
      <c r="BJ37" s="549"/>
      <c r="BK37" s="549"/>
      <c r="BL37" s="549"/>
      <c r="BM37" s="549"/>
      <c r="BN37" s="549"/>
      <c r="BO37" s="549"/>
      <c r="BP37" s="549"/>
      <c r="BQ37" s="549"/>
      <c r="BR37" s="549"/>
      <c r="BS37" s="549"/>
      <c r="BT37" s="549"/>
      <c r="BU37" s="549"/>
      <c r="BV37" s="549"/>
      <c r="BW37" s="549"/>
      <c r="BX37" s="549"/>
      <c r="BY37" s="549"/>
      <c r="BZ37" s="549"/>
      <c r="CA37" s="549"/>
      <c r="CB37" s="549"/>
      <c r="CC37" s="549"/>
      <c r="CD37" s="549"/>
      <c r="CE37" s="549"/>
      <c r="CF37" s="549"/>
      <c r="CG37" s="549"/>
      <c r="CH37" s="549"/>
      <c r="CI37" s="549"/>
      <c r="CJ37" s="549"/>
      <c r="CK37" s="549"/>
      <c r="CL37" s="549"/>
      <c r="CM37" s="549"/>
      <c r="CN37" s="549"/>
      <c r="CO37" s="549"/>
      <c r="CP37" s="549"/>
      <c r="CQ37" s="549"/>
      <c r="CR37" s="549"/>
      <c r="CS37" s="549"/>
      <c r="CT37" s="549"/>
      <c r="CU37" s="549"/>
      <c r="CV37" s="549"/>
      <c r="CW37" s="549"/>
      <c r="CX37" s="549"/>
      <c r="CY37" s="549"/>
      <c r="CZ37" s="549"/>
      <c r="DA37" s="549"/>
      <c r="DB37" s="549"/>
      <c r="DC37" s="549"/>
      <c r="DD37" s="549"/>
      <c r="DE37" s="549"/>
      <c r="DF37" s="549"/>
      <c r="DG37" s="549"/>
      <c r="DH37" s="549"/>
      <c r="DI37" s="549"/>
      <c r="DJ37" s="549"/>
      <c r="DK37" s="549"/>
      <c r="DL37" s="549"/>
      <c r="DM37" s="549"/>
      <c r="DN37" s="549"/>
      <c r="DO37" s="549"/>
      <c r="DP37" s="549"/>
      <c r="DQ37" s="549"/>
      <c r="DR37" s="549"/>
      <c r="DS37" s="549"/>
      <c r="DT37" s="549"/>
      <c r="DU37" s="549"/>
      <c r="DV37" s="549"/>
      <c r="DW37" s="549"/>
      <c r="DX37" s="549"/>
      <c r="DY37" s="549"/>
      <c r="DZ37" s="549"/>
      <c r="EA37" s="549"/>
      <c r="EB37" s="549"/>
      <c r="EC37" s="549"/>
      <c r="ED37" s="549"/>
      <c r="EE37" s="549"/>
      <c r="EF37" s="549"/>
      <c r="EG37" s="549"/>
      <c r="EH37" s="549"/>
      <c r="EI37" s="549"/>
      <c r="EJ37" s="549"/>
      <c r="EK37" s="549"/>
      <c r="EL37" s="549"/>
      <c r="EM37" s="549"/>
      <c r="EN37" s="549"/>
      <c r="EO37" s="549"/>
      <c r="EP37" s="549"/>
      <c r="EQ37" s="549"/>
      <c r="ER37" s="549"/>
      <c r="ES37" s="549"/>
      <c r="ET37" s="549"/>
      <c r="EU37" s="549"/>
      <c r="EV37" s="549"/>
      <c r="EW37" s="549"/>
      <c r="EX37" s="549"/>
      <c r="EY37" s="549"/>
      <c r="EZ37" s="549"/>
      <c r="FA37" s="549"/>
      <c r="FB37" s="549"/>
      <c r="FC37" s="549"/>
      <c r="FD37" s="549"/>
      <c r="FE37" s="549"/>
      <c r="FF37" s="549"/>
      <c r="FG37" s="549"/>
      <c r="FH37" s="549"/>
      <c r="FI37" s="549"/>
      <c r="FJ37" s="549"/>
      <c r="FK37" s="549"/>
      <c r="FL37" s="549"/>
      <c r="FM37" s="549"/>
      <c r="FN37" s="549"/>
      <c r="FO37" s="549"/>
      <c r="FP37" s="549"/>
      <c r="FQ37" s="549"/>
      <c r="FR37" s="549"/>
      <c r="FS37" s="549"/>
      <c r="FT37" s="549"/>
      <c r="FU37" s="549"/>
      <c r="FV37" s="549"/>
      <c r="FW37" s="549"/>
      <c r="FX37" s="549"/>
      <c r="FY37" s="549"/>
      <c r="FZ37" s="549"/>
      <c r="GA37" s="549"/>
      <c r="GB37" s="549"/>
      <c r="GC37" s="549"/>
      <c r="GD37" s="549"/>
      <c r="GE37" s="549"/>
      <c r="GF37" s="549"/>
      <c r="GG37" s="549"/>
      <c r="GH37" s="549"/>
      <c r="GI37" s="549"/>
      <c r="GJ37" s="549"/>
      <c r="GK37" s="549"/>
      <c r="GL37" s="549"/>
      <c r="GM37" s="549"/>
      <c r="GN37" s="549"/>
      <c r="GO37" s="549"/>
      <c r="GP37" s="549"/>
      <c r="GQ37" s="549"/>
      <c r="GR37" s="549"/>
      <c r="GS37" s="549"/>
      <c r="GT37" s="549"/>
      <c r="GU37" s="549"/>
      <c r="GV37" s="549"/>
      <c r="GW37" s="549"/>
      <c r="GX37" s="549"/>
      <c r="GY37" s="549"/>
      <c r="GZ37" s="549"/>
      <c r="HA37" s="549"/>
      <c r="HB37" s="549"/>
      <c r="HC37" s="549"/>
      <c r="HD37" s="549"/>
      <c r="HE37" s="549"/>
      <c r="HF37" s="549"/>
      <c r="HG37" s="549"/>
      <c r="HH37" s="549"/>
      <c r="HI37" s="549"/>
      <c r="HJ37" s="549"/>
      <c r="HK37" s="549"/>
      <c r="HL37" s="549"/>
      <c r="HM37" s="549"/>
      <c r="HN37" s="549"/>
      <c r="HO37" s="549"/>
      <c r="HP37" s="549"/>
      <c r="HQ37" s="549"/>
      <c r="HR37" s="549"/>
      <c r="HS37" s="549"/>
      <c r="HT37" s="549"/>
      <c r="HU37" s="549"/>
      <c r="HV37" s="549"/>
      <c r="HW37" s="533"/>
      <c r="HX37" s="533"/>
      <c r="HY37" s="533"/>
      <c r="HZ37" s="533"/>
      <c r="IA37" s="533"/>
      <c r="IB37" s="533"/>
      <c r="IC37" s="533"/>
      <c r="ID37" s="533"/>
      <c r="IE37" s="533"/>
      <c r="IF37" s="533"/>
      <c r="IG37" s="533"/>
      <c r="IH37" s="533"/>
      <c r="II37" s="533"/>
      <c r="IJ37" s="533"/>
      <c r="IK37" s="533"/>
      <c r="IL37" s="533"/>
      <c r="IM37" s="533"/>
      <c r="IN37" s="533"/>
      <c r="IO37" s="533"/>
      <c r="IP37" s="347"/>
      <c r="IQ37" s="347"/>
      <c r="IR37" s="347"/>
      <c r="IS37" s="347"/>
      <c r="IT37" s="347"/>
      <c r="IU37" s="347"/>
      <c r="IV37" s="347"/>
    </row>
    <row r="38" spans="1:256" s="513" customFormat="1" ht="12.75">
      <c r="A38" s="520"/>
      <c r="B38" s="520"/>
      <c r="C38" s="238"/>
      <c r="D38" s="358">
        <v>57.48</v>
      </c>
      <c r="E38" s="238"/>
      <c r="F38" s="519">
        <v>349881</v>
      </c>
      <c r="G38" s="298">
        <v>40801</v>
      </c>
      <c r="H38" s="540">
        <f t="shared" si="3"/>
        <v>6087.004175365345</v>
      </c>
      <c r="I38" s="260"/>
      <c r="J38" s="542">
        <v>47.42</v>
      </c>
      <c r="K38" s="526">
        <v>57.48</v>
      </c>
      <c r="L38" s="540">
        <v>349881</v>
      </c>
      <c r="M38" s="540">
        <f t="shared" si="1"/>
        <v>57.48</v>
      </c>
      <c r="N38" s="540">
        <f t="shared" si="4"/>
        <v>349881</v>
      </c>
      <c r="O38" s="535"/>
      <c r="P38" s="540">
        <f t="shared" si="2"/>
        <v>0</v>
      </c>
      <c r="Q38" s="551">
        <f t="shared" si="5"/>
        <v>0</v>
      </c>
      <c r="R38" s="552"/>
      <c r="S38" s="549"/>
      <c r="T38" s="549"/>
      <c r="U38" s="549"/>
      <c r="V38" s="549"/>
      <c r="W38" s="549"/>
      <c r="X38" s="549"/>
      <c r="Y38" s="549"/>
      <c r="Z38" s="549"/>
      <c r="AA38" s="549"/>
      <c r="AB38" s="549"/>
      <c r="AC38" s="549"/>
      <c r="AD38" s="549"/>
      <c r="AE38" s="549"/>
      <c r="AF38" s="549"/>
      <c r="AG38" s="549"/>
      <c r="AH38" s="549"/>
      <c r="AI38" s="549"/>
      <c r="AJ38" s="549"/>
      <c r="AK38" s="549"/>
      <c r="AL38" s="549"/>
      <c r="AM38" s="549"/>
      <c r="AN38" s="549"/>
      <c r="AO38" s="549"/>
      <c r="AP38" s="549"/>
      <c r="AQ38" s="549"/>
      <c r="AR38" s="549"/>
      <c r="AS38" s="549"/>
      <c r="AT38" s="549"/>
      <c r="AU38" s="549"/>
      <c r="AV38" s="549"/>
      <c r="AW38" s="549"/>
      <c r="AX38" s="549"/>
      <c r="AY38" s="549"/>
      <c r="AZ38" s="549"/>
      <c r="BA38" s="549"/>
      <c r="BB38" s="549"/>
      <c r="BC38" s="549"/>
      <c r="BD38" s="549"/>
      <c r="BE38" s="549"/>
      <c r="BF38" s="549"/>
      <c r="BG38" s="549"/>
      <c r="BH38" s="549"/>
      <c r="BI38" s="549"/>
      <c r="BJ38" s="549"/>
      <c r="BK38" s="549"/>
      <c r="BL38" s="549"/>
      <c r="BM38" s="549"/>
      <c r="BN38" s="549"/>
      <c r="BO38" s="549"/>
      <c r="BP38" s="549"/>
      <c r="BQ38" s="549"/>
      <c r="BR38" s="549"/>
      <c r="BS38" s="549"/>
      <c r="BT38" s="549"/>
      <c r="BU38" s="549"/>
      <c r="BV38" s="549"/>
      <c r="BW38" s="549"/>
      <c r="BX38" s="549"/>
      <c r="BY38" s="549"/>
      <c r="BZ38" s="549"/>
      <c r="CA38" s="549"/>
      <c r="CB38" s="549"/>
      <c r="CC38" s="549"/>
      <c r="CD38" s="549"/>
      <c r="CE38" s="549"/>
      <c r="CF38" s="549"/>
      <c r="CG38" s="549"/>
      <c r="CH38" s="549"/>
      <c r="CI38" s="549"/>
      <c r="CJ38" s="549"/>
      <c r="CK38" s="549"/>
      <c r="CL38" s="549"/>
      <c r="CM38" s="549"/>
      <c r="CN38" s="549"/>
      <c r="CO38" s="549"/>
      <c r="CP38" s="549"/>
      <c r="CQ38" s="549"/>
      <c r="CR38" s="549"/>
      <c r="CS38" s="549"/>
      <c r="CT38" s="549"/>
      <c r="CU38" s="549"/>
      <c r="CV38" s="549"/>
      <c r="CW38" s="549"/>
      <c r="CX38" s="549"/>
      <c r="CY38" s="549"/>
      <c r="CZ38" s="549"/>
      <c r="DA38" s="549"/>
      <c r="DB38" s="549"/>
      <c r="DC38" s="549"/>
      <c r="DD38" s="549"/>
      <c r="DE38" s="549"/>
      <c r="DF38" s="549"/>
      <c r="DG38" s="549"/>
      <c r="DH38" s="549"/>
      <c r="DI38" s="549"/>
      <c r="DJ38" s="549"/>
      <c r="DK38" s="549"/>
      <c r="DL38" s="549"/>
      <c r="DM38" s="549"/>
      <c r="DN38" s="549"/>
      <c r="DO38" s="549"/>
      <c r="DP38" s="549"/>
      <c r="DQ38" s="549"/>
      <c r="DR38" s="549"/>
      <c r="DS38" s="549"/>
      <c r="DT38" s="549"/>
      <c r="DU38" s="549"/>
      <c r="DV38" s="549"/>
      <c r="DW38" s="549"/>
      <c r="DX38" s="549"/>
      <c r="DY38" s="549"/>
      <c r="DZ38" s="549"/>
      <c r="EA38" s="549"/>
      <c r="EB38" s="549"/>
      <c r="EC38" s="549"/>
      <c r="ED38" s="549"/>
      <c r="EE38" s="549"/>
      <c r="EF38" s="549"/>
      <c r="EG38" s="549"/>
      <c r="EH38" s="549"/>
      <c r="EI38" s="549"/>
      <c r="EJ38" s="549"/>
      <c r="EK38" s="549"/>
      <c r="EL38" s="549"/>
      <c r="EM38" s="549"/>
      <c r="EN38" s="549"/>
      <c r="EO38" s="549"/>
      <c r="EP38" s="549"/>
      <c r="EQ38" s="549"/>
      <c r="ER38" s="549"/>
      <c r="ES38" s="549"/>
      <c r="ET38" s="549"/>
      <c r="EU38" s="549"/>
      <c r="EV38" s="549"/>
      <c r="EW38" s="549"/>
      <c r="EX38" s="549"/>
      <c r="EY38" s="549"/>
      <c r="EZ38" s="549"/>
      <c r="FA38" s="549"/>
      <c r="FB38" s="549"/>
      <c r="FC38" s="549"/>
      <c r="FD38" s="549"/>
      <c r="FE38" s="549"/>
      <c r="FF38" s="549"/>
      <c r="FG38" s="549"/>
      <c r="FH38" s="549"/>
      <c r="FI38" s="549"/>
      <c r="FJ38" s="549"/>
      <c r="FK38" s="549"/>
      <c r="FL38" s="549"/>
      <c r="FM38" s="549"/>
      <c r="FN38" s="549"/>
      <c r="FO38" s="549"/>
      <c r="FP38" s="549"/>
      <c r="FQ38" s="549"/>
      <c r="FR38" s="549"/>
      <c r="FS38" s="549"/>
      <c r="FT38" s="549"/>
      <c r="FU38" s="549"/>
      <c r="FV38" s="549"/>
      <c r="FW38" s="549"/>
      <c r="FX38" s="549"/>
      <c r="FY38" s="549"/>
      <c r="FZ38" s="549"/>
      <c r="GA38" s="549"/>
      <c r="GB38" s="549"/>
      <c r="GC38" s="549"/>
      <c r="GD38" s="549"/>
      <c r="GE38" s="549"/>
      <c r="GF38" s="549"/>
      <c r="GG38" s="549"/>
      <c r="GH38" s="549"/>
      <c r="GI38" s="549"/>
      <c r="GJ38" s="549"/>
      <c r="GK38" s="549"/>
      <c r="GL38" s="549"/>
      <c r="GM38" s="549"/>
      <c r="GN38" s="549"/>
      <c r="GO38" s="549"/>
      <c r="GP38" s="549"/>
      <c r="GQ38" s="549"/>
      <c r="GR38" s="549"/>
      <c r="GS38" s="549"/>
      <c r="GT38" s="549"/>
      <c r="GU38" s="549"/>
      <c r="GV38" s="549"/>
      <c r="GW38" s="549"/>
      <c r="GX38" s="549"/>
      <c r="GY38" s="549"/>
      <c r="GZ38" s="549"/>
      <c r="HA38" s="549"/>
      <c r="HB38" s="549"/>
      <c r="HC38" s="549"/>
      <c r="HD38" s="549"/>
      <c r="HE38" s="549"/>
      <c r="HF38" s="549"/>
      <c r="HG38" s="549"/>
      <c r="HH38" s="549"/>
      <c r="HI38" s="549"/>
      <c r="HJ38" s="549"/>
      <c r="HK38" s="549"/>
      <c r="HL38" s="549"/>
      <c r="HM38" s="549"/>
      <c r="HN38" s="549"/>
      <c r="HO38" s="549"/>
      <c r="HP38" s="549"/>
      <c r="HQ38" s="549"/>
      <c r="HR38" s="549"/>
      <c r="HS38" s="549"/>
      <c r="HT38" s="549"/>
      <c r="HU38" s="549"/>
      <c r="HV38" s="549"/>
      <c r="HW38" s="533"/>
      <c r="HX38" s="533"/>
      <c r="HY38" s="533"/>
      <c r="HZ38" s="533"/>
      <c r="IA38" s="533"/>
      <c r="IB38" s="533"/>
      <c r="IC38" s="533"/>
      <c r="ID38" s="533"/>
      <c r="IE38" s="533"/>
      <c r="IF38" s="533"/>
      <c r="IG38" s="533"/>
      <c r="IH38" s="533"/>
      <c r="II38" s="533"/>
      <c r="IJ38" s="533"/>
      <c r="IK38" s="533"/>
      <c r="IL38" s="533"/>
      <c r="IM38" s="533"/>
      <c r="IN38" s="533"/>
      <c r="IO38" s="533"/>
      <c r="IP38" s="347"/>
      <c r="IQ38" s="347"/>
      <c r="IR38" s="347"/>
      <c r="IS38" s="347"/>
      <c r="IT38" s="347"/>
      <c r="IU38" s="347"/>
      <c r="IV38" s="347"/>
    </row>
    <row r="39" spans="1:256" s="513" customFormat="1" ht="12.75">
      <c r="A39" s="520"/>
      <c r="B39" s="520"/>
      <c r="C39" s="238"/>
      <c r="D39" s="358">
        <v>57.57</v>
      </c>
      <c r="E39" s="238"/>
      <c r="F39" s="519">
        <v>246015</v>
      </c>
      <c r="G39" s="298">
        <v>40382</v>
      </c>
      <c r="H39" s="540">
        <f t="shared" si="3"/>
        <v>4280.010438413361</v>
      </c>
      <c r="I39" s="260" t="s">
        <v>91</v>
      </c>
      <c r="J39" s="542">
        <v>47.42</v>
      </c>
      <c r="K39" s="526">
        <v>57.48</v>
      </c>
      <c r="L39" s="540">
        <v>221760</v>
      </c>
      <c r="M39" s="540">
        <f t="shared" si="1"/>
        <v>57.48</v>
      </c>
      <c r="N39" s="540">
        <v>246015</v>
      </c>
      <c r="O39" s="535"/>
      <c r="P39" s="540">
        <f t="shared" si="2"/>
        <v>0</v>
      </c>
      <c r="Q39" s="551">
        <f t="shared" si="5"/>
        <v>0</v>
      </c>
      <c r="R39" s="552"/>
      <c r="S39" s="549"/>
      <c r="T39" s="549"/>
      <c r="U39" s="549"/>
      <c r="V39" s="549"/>
      <c r="W39" s="549"/>
      <c r="X39" s="549"/>
      <c r="Y39" s="549"/>
      <c r="Z39" s="549"/>
      <c r="AA39" s="549"/>
      <c r="AB39" s="549"/>
      <c r="AC39" s="549"/>
      <c r="AD39" s="549"/>
      <c r="AE39" s="549"/>
      <c r="AF39" s="549"/>
      <c r="AG39" s="549"/>
      <c r="AH39" s="549"/>
      <c r="AI39" s="549"/>
      <c r="AJ39" s="549"/>
      <c r="AK39" s="549"/>
      <c r="AL39" s="549"/>
      <c r="AM39" s="549"/>
      <c r="AN39" s="549"/>
      <c r="AO39" s="549"/>
      <c r="AP39" s="549"/>
      <c r="AQ39" s="549"/>
      <c r="AR39" s="549"/>
      <c r="AS39" s="549"/>
      <c r="AT39" s="549"/>
      <c r="AU39" s="549"/>
      <c r="AV39" s="549"/>
      <c r="AW39" s="549"/>
      <c r="AX39" s="549"/>
      <c r="AY39" s="549"/>
      <c r="AZ39" s="549"/>
      <c r="BA39" s="549"/>
      <c r="BB39" s="549"/>
      <c r="BC39" s="549"/>
      <c r="BD39" s="549"/>
      <c r="BE39" s="549"/>
      <c r="BF39" s="549"/>
      <c r="BG39" s="549"/>
      <c r="BH39" s="549"/>
      <c r="BI39" s="549"/>
      <c r="BJ39" s="549"/>
      <c r="BK39" s="549"/>
      <c r="BL39" s="549"/>
      <c r="BM39" s="549"/>
      <c r="BN39" s="549"/>
      <c r="BO39" s="549"/>
      <c r="BP39" s="549"/>
      <c r="BQ39" s="549"/>
      <c r="BR39" s="549"/>
      <c r="BS39" s="549"/>
      <c r="BT39" s="549"/>
      <c r="BU39" s="549"/>
      <c r="BV39" s="549"/>
      <c r="BW39" s="549"/>
      <c r="BX39" s="549"/>
      <c r="BY39" s="549"/>
      <c r="BZ39" s="549"/>
      <c r="CA39" s="549"/>
      <c r="CB39" s="549"/>
      <c r="CC39" s="549"/>
      <c r="CD39" s="549"/>
      <c r="CE39" s="549"/>
      <c r="CF39" s="549"/>
      <c r="CG39" s="549"/>
      <c r="CH39" s="549"/>
      <c r="CI39" s="549"/>
      <c r="CJ39" s="549"/>
      <c r="CK39" s="549"/>
      <c r="CL39" s="549"/>
      <c r="CM39" s="549"/>
      <c r="CN39" s="549"/>
      <c r="CO39" s="549"/>
      <c r="CP39" s="549"/>
      <c r="CQ39" s="549"/>
      <c r="CR39" s="549"/>
      <c r="CS39" s="549"/>
      <c r="CT39" s="549"/>
      <c r="CU39" s="549"/>
      <c r="CV39" s="549"/>
      <c r="CW39" s="549"/>
      <c r="CX39" s="549"/>
      <c r="CY39" s="549"/>
      <c r="CZ39" s="549"/>
      <c r="DA39" s="549"/>
      <c r="DB39" s="549"/>
      <c r="DC39" s="549"/>
      <c r="DD39" s="549"/>
      <c r="DE39" s="549"/>
      <c r="DF39" s="549"/>
      <c r="DG39" s="549"/>
      <c r="DH39" s="549"/>
      <c r="DI39" s="549"/>
      <c r="DJ39" s="549"/>
      <c r="DK39" s="549"/>
      <c r="DL39" s="549"/>
      <c r="DM39" s="549"/>
      <c r="DN39" s="549"/>
      <c r="DO39" s="549"/>
      <c r="DP39" s="549"/>
      <c r="DQ39" s="549"/>
      <c r="DR39" s="549"/>
      <c r="DS39" s="549"/>
      <c r="DT39" s="549"/>
      <c r="DU39" s="549"/>
      <c r="DV39" s="549"/>
      <c r="DW39" s="549"/>
      <c r="DX39" s="549"/>
      <c r="DY39" s="549"/>
      <c r="DZ39" s="549"/>
      <c r="EA39" s="549"/>
      <c r="EB39" s="549"/>
      <c r="EC39" s="549"/>
      <c r="ED39" s="549"/>
      <c r="EE39" s="549"/>
      <c r="EF39" s="549"/>
      <c r="EG39" s="549"/>
      <c r="EH39" s="549"/>
      <c r="EI39" s="549"/>
      <c r="EJ39" s="549"/>
      <c r="EK39" s="549"/>
      <c r="EL39" s="549"/>
      <c r="EM39" s="549"/>
      <c r="EN39" s="549"/>
      <c r="EO39" s="549"/>
      <c r="EP39" s="549"/>
      <c r="EQ39" s="549"/>
      <c r="ER39" s="549"/>
      <c r="ES39" s="549"/>
      <c r="ET39" s="549"/>
      <c r="EU39" s="549"/>
      <c r="EV39" s="549"/>
      <c r="EW39" s="549"/>
      <c r="EX39" s="549"/>
      <c r="EY39" s="549"/>
      <c r="EZ39" s="549"/>
      <c r="FA39" s="549"/>
      <c r="FB39" s="549"/>
      <c r="FC39" s="549"/>
      <c r="FD39" s="549"/>
      <c r="FE39" s="549"/>
      <c r="FF39" s="549"/>
      <c r="FG39" s="549"/>
      <c r="FH39" s="549"/>
      <c r="FI39" s="549"/>
      <c r="FJ39" s="549"/>
      <c r="FK39" s="549"/>
      <c r="FL39" s="549"/>
      <c r="FM39" s="549"/>
      <c r="FN39" s="549"/>
      <c r="FO39" s="549"/>
      <c r="FP39" s="549"/>
      <c r="FQ39" s="549"/>
      <c r="FR39" s="549"/>
      <c r="FS39" s="549"/>
      <c r="FT39" s="549"/>
      <c r="FU39" s="549"/>
      <c r="FV39" s="549"/>
      <c r="FW39" s="549"/>
      <c r="FX39" s="549"/>
      <c r="FY39" s="549"/>
      <c r="FZ39" s="549"/>
      <c r="GA39" s="549"/>
      <c r="GB39" s="549"/>
      <c r="GC39" s="549"/>
      <c r="GD39" s="549"/>
      <c r="GE39" s="549"/>
      <c r="GF39" s="549"/>
      <c r="GG39" s="549"/>
      <c r="GH39" s="549"/>
      <c r="GI39" s="549"/>
      <c r="GJ39" s="549"/>
      <c r="GK39" s="549"/>
      <c r="GL39" s="549"/>
      <c r="GM39" s="549"/>
      <c r="GN39" s="549"/>
      <c r="GO39" s="549"/>
      <c r="GP39" s="549"/>
      <c r="GQ39" s="549"/>
      <c r="GR39" s="549"/>
      <c r="GS39" s="549"/>
      <c r="GT39" s="549"/>
      <c r="GU39" s="549"/>
      <c r="GV39" s="549"/>
      <c r="GW39" s="549"/>
      <c r="GX39" s="549"/>
      <c r="GY39" s="549"/>
      <c r="GZ39" s="549"/>
      <c r="HA39" s="549"/>
      <c r="HB39" s="549"/>
      <c r="HC39" s="549"/>
      <c r="HD39" s="549"/>
      <c r="HE39" s="549"/>
      <c r="HF39" s="549"/>
      <c r="HG39" s="549"/>
      <c r="HH39" s="549"/>
      <c r="HI39" s="549"/>
      <c r="HJ39" s="549"/>
      <c r="HK39" s="549"/>
      <c r="HL39" s="549"/>
      <c r="HM39" s="549"/>
      <c r="HN39" s="549"/>
      <c r="HO39" s="549"/>
      <c r="HP39" s="549"/>
      <c r="HQ39" s="549"/>
      <c r="HR39" s="549"/>
      <c r="HS39" s="549"/>
      <c r="HT39" s="549"/>
      <c r="HU39" s="549"/>
      <c r="HV39" s="549"/>
      <c r="HW39" s="533"/>
      <c r="HX39" s="533"/>
      <c r="HY39" s="533"/>
      <c r="HZ39" s="533"/>
      <c r="IA39" s="533"/>
      <c r="IB39" s="533"/>
      <c r="IC39" s="533"/>
      <c r="ID39" s="533"/>
      <c r="IE39" s="533"/>
      <c r="IF39" s="533"/>
      <c r="IG39" s="533"/>
      <c r="IH39" s="533"/>
      <c r="II39" s="533"/>
      <c r="IJ39" s="533"/>
      <c r="IK39" s="533"/>
      <c r="IL39" s="533"/>
      <c r="IM39" s="533"/>
      <c r="IN39" s="533"/>
      <c r="IO39" s="533"/>
      <c r="IP39" s="347"/>
      <c r="IQ39" s="347"/>
      <c r="IR39" s="347"/>
      <c r="IS39" s="347"/>
      <c r="IT39" s="347"/>
      <c r="IU39" s="347"/>
      <c r="IV39" s="347"/>
    </row>
    <row r="40" spans="1:256" s="513" customFormat="1" ht="12.75">
      <c r="A40" s="520"/>
      <c r="B40" s="520"/>
      <c r="C40" s="238"/>
      <c r="D40" s="358">
        <v>57.57</v>
      </c>
      <c r="E40" s="238"/>
      <c r="F40" s="519">
        <v>211296</v>
      </c>
      <c r="G40" s="298">
        <v>40387</v>
      </c>
      <c r="H40" s="540">
        <f t="shared" si="3"/>
        <v>3675.9916492693114</v>
      </c>
      <c r="I40" s="260" t="s">
        <v>92</v>
      </c>
      <c r="J40" s="542">
        <v>47.42</v>
      </c>
      <c r="K40" s="526">
        <v>57.48</v>
      </c>
      <c r="L40" s="540">
        <v>211296</v>
      </c>
      <c r="M40" s="540">
        <f t="shared" si="1"/>
        <v>57.48</v>
      </c>
      <c r="N40" s="540">
        <f t="shared" si="4"/>
        <v>211296</v>
      </c>
      <c r="O40" s="535"/>
      <c r="P40" s="540">
        <f t="shared" si="2"/>
        <v>0</v>
      </c>
      <c r="Q40" s="551">
        <f t="shared" si="5"/>
        <v>0</v>
      </c>
      <c r="R40" s="552"/>
      <c r="S40" s="549"/>
      <c r="T40" s="549"/>
      <c r="U40" s="549"/>
      <c r="V40" s="549"/>
      <c r="W40" s="549"/>
      <c r="X40" s="549"/>
      <c r="Y40" s="549"/>
      <c r="Z40" s="549"/>
      <c r="AA40" s="549"/>
      <c r="AB40" s="549"/>
      <c r="AC40" s="549"/>
      <c r="AD40" s="549"/>
      <c r="AE40" s="549"/>
      <c r="AF40" s="549"/>
      <c r="AG40" s="549"/>
      <c r="AH40" s="549"/>
      <c r="AI40" s="549"/>
      <c r="AJ40" s="549"/>
      <c r="AK40" s="549"/>
      <c r="AL40" s="549"/>
      <c r="AM40" s="549"/>
      <c r="AN40" s="549"/>
      <c r="AO40" s="549"/>
      <c r="AP40" s="549"/>
      <c r="AQ40" s="549"/>
      <c r="AR40" s="549"/>
      <c r="AS40" s="549"/>
      <c r="AT40" s="549"/>
      <c r="AU40" s="549"/>
      <c r="AV40" s="549"/>
      <c r="AW40" s="549"/>
      <c r="AX40" s="549"/>
      <c r="AY40" s="549"/>
      <c r="AZ40" s="549"/>
      <c r="BA40" s="549"/>
      <c r="BB40" s="549"/>
      <c r="BC40" s="549"/>
      <c r="BD40" s="549"/>
      <c r="BE40" s="549"/>
      <c r="BF40" s="549"/>
      <c r="BG40" s="549"/>
      <c r="BH40" s="549"/>
      <c r="BI40" s="549"/>
      <c r="BJ40" s="549"/>
      <c r="BK40" s="549"/>
      <c r="BL40" s="549"/>
      <c r="BM40" s="549"/>
      <c r="BN40" s="549"/>
      <c r="BO40" s="549"/>
      <c r="BP40" s="549"/>
      <c r="BQ40" s="549"/>
      <c r="BR40" s="549"/>
      <c r="BS40" s="549"/>
      <c r="BT40" s="549"/>
      <c r="BU40" s="549"/>
      <c r="BV40" s="549"/>
      <c r="BW40" s="549"/>
      <c r="BX40" s="549"/>
      <c r="BY40" s="549"/>
      <c r="BZ40" s="549"/>
      <c r="CA40" s="549"/>
      <c r="CB40" s="549"/>
      <c r="CC40" s="549"/>
      <c r="CD40" s="549"/>
      <c r="CE40" s="549"/>
      <c r="CF40" s="549"/>
      <c r="CG40" s="549"/>
      <c r="CH40" s="549"/>
      <c r="CI40" s="549"/>
      <c r="CJ40" s="549"/>
      <c r="CK40" s="549"/>
      <c r="CL40" s="549"/>
      <c r="CM40" s="549"/>
      <c r="CN40" s="549"/>
      <c r="CO40" s="549"/>
      <c r="CP40" s="549"/>
      <c r="CQ40" s="549"/>
      <c r="CR40" s="549"/>
      <c r="CS40" s="549"/>
      <c r="CT40" s="549"/>
      <c r="CU40" s="549"/>
      <c r="CV40" s="549"/>
      <c r="CW40" s="549"/>
      <c r="CX40" s="549"/>
      <c r="CY40" s="549"/>
      <c r="CZ40" s="549"/>
      <c r="DA40" s="549"/>
      <c r="DB40" s="549"/>
      <c r="DC40" s="549"/>
      <c r="DD40" s="549"/>
      <c r="DE40" s="549"/>
      <c r="DF40" s="549"/>
      <c r="DG40" s="549"/>
      <c r="DH40" s="549"/>
      <c r="DI40" s="549"/>
      <c r="DJ40" s="549"/>
      <c r="DK40" s="549"/>
      <c r="DL40" s="549"/>
      <c r="DM40" s="549"/>
      <c r="DN40" s="549"/>
      <c r="DO40" s="549"/>
      <c r="DP40" s="549"/>
      <c r="DQ40" s="549"/>
      <c r="DR40" s="549"/>
      <c r="DS40" s="549"/>
      <c r="DT40" s="549"/>
      <c r="DU40" s="549"/>
      <c r="DV40" s="549"/>
      <c r="DW40" s="549"/>
      <c r="DX40" s="549"/>
      <c r="DY40" s="549"/>
      <c r="DZ40" s="549"/>
      <c r="EA40" s="549"/>
      <c r="EB40" s="549"/>
      <c r="EC40" s="549"/>
      <c r="ED40" s="549"/>
      <c r="EE40" s="549"/>
      <c r="EF40" s="549"/>
      <c r="EG40" s="549"/>
      <c r="EH40" s="549"/>
      <c r="EI40" s="549"/>
      <c r="EJ40" s="549"/>
      <c r="EK40" s="549"/>
      <c r="EL40" s="549"/>
      <c r="EM40" s="549"/>
      <c r="EN40" s="549"/>
      <c r="EO40" s="549"/>
      <c r="EP40" s="549"/>
      <c r="EQ40" s="549"/>
      <c r="ER40" s="549"/>
      <c r="ES40" s="549"/>
      <c r="ET40" s="549"/>
      <c r="EU40" s="549"/>
      <c r="EV40" s="549"/>
      <c r="EW40" s="549"/>
      <c r="EX40" s="549"/>
      <c r="EY40" s="549"/>
      <c r="EZ40" s="549"/>
      <c r="FA40" s="549"/>
      <c r="FB40" s="549"/>
      <c r="FC40" s="549"/>
      <c r="FD40" s="549"/>
      <c r="FE40" s="549"/>
      <c r="FF40" s="549"/>
      <c r="FG40" s="549"/>
      <c r="FH40" s="549"/>
      <c r="FI40" s="549"/>
      <c r="FJ40" s="549"/>
      <c r="FK40" s="549"/>
      <c r="FL40" s="549"/>
      <c r="FM40" s="549"/>
      <c r="FN40" s="549"/>
      <c r="FO40" s="549"/>
      <c r="FP40" s="549"/>
      <c r="FQ40" s="549"/>
      <c r="FR40" s="549"/>
      <c r="FS40" s="549"/>
      <c r="FT40" s="549"/>
      <c r="FU40" s="549"/>
      <c r="FV40" s="549"/>
      <c r="FW40" s="549"/>
      <c r="FX40" s="549"/>
      <c r="FY40" s="549"/>
      <c r="FZ40" s="549"/>
      <c r="GA40" s="549"/>
      <c r="GB40" s="549"/>
      <c r="GC40" s="549"/>
      <c r="GD40" s="549"/>
      <c r="GE40" s="549"/>
      <c r="GF40" s="549"/>
      <c r="GG40" s="549"/>
      <c r="GH40" s="549"/>
      <c r="GI40" s="549"/>
      <c r="GJ40" s="549"/>
      <c r="GK40" s="549"/>
      <c r="GL40" s="549"/>
      <c r="GM40" s="549"/>
      <c r="GN40" s="549"/>
      <c r="GO40" s="549"/>
      <c r="GP40" s="549"/>
      <c r="GQ40" s="549"/>
      <c r="GR40" s="549"/>
      <c r="GS40" s="549"/>
      <c r="GT40" s="549"/>
      <c r="GU40" s="549"/>
      <c r="GV40" s="549"/>
      <c r="GW40" s="549"/>
      <c r="GX40" s="549"/>
      <c r="GY40" s="549"/>
      <c r="GZ40" s="549"/>
      <c r="HA40" s="549"/>
      <c r="HB40" s="549"/>
      <c r="HC40" s="549"/>
      <c r="HD40" s="549"/>
      <c r="HE40" s="549"/>
      <c r="HF40" s="549"/>
      <c r="HG40" s="549"/>
      <c r="HH40" s="549"/>
      <c r="HI40" s="549"/>
      <c r="HJ40" s="549"/>
      <c r="HK40" s="549"/>
      <c r="HL40" s="549"/>
      <c r="HM40" s="549"/>
      <c r="HN40" s="549"/>
      <c r="HO40" s="549"/>
      <c r="HP40" s="549"/>
      <c r="HQ40" s="549"/>
      <c r="HR40" s="549"/>
      <c r="HS40" s="549"/>
      <c r="HT40" s="549"/>
      <c r="HU40" s="549"/>
      <c r="HV40" s="549"/>
      <c r="HW40" s="533"/>
      <c r="HX40" s="533"/>
      <c r="HY40" s="533"/>
      <c r="HZ40" s="533"/>
      <c r="IA40" s="533"/>
      <c r="IB40" s="533"/>
      <c r="IC40" s="533"/>
      <c r="ID40" s="533"/>
      <c r="IE40" s="533"/>
      <c r="IF40" s="533"/>
      <c r="IG40" s="533"/>
      <c r="IH40" s="533"/>
      <c r="II40" s="533"/>
      <c r="IJ40" s="533"/>
      <c r="IK40" s="533"/>
      <c r="IL40" s="533"/>
      <c r="IM40" s="533"/>
      <c r="IN40" s="533"/>
      <c r="IO40" s="533"/>
      <c r="IP40" s="347"/>
      <c r="IQ40" s="347"/>
      <c r="IR40" s="347"/>
      <c r="IS40" s="347"/>
      <c r="IT40" s="347"/>
      <c r="IU40" s="347"/>
      <c r="IV40" s="347"/>
    </row>
    <row r="41" spans="1:256" s="513" customFormat="1" ht="12.75">
      <c r="A41" s="520"/>
      <c r="B41" s="520"/>
      <c r="C41" s="238"/>
      <c r="D41" s="358">
        <v>57.48</v>
      </c>
      <c r="E41" s="238"/>
      <c r="F41" s="519">
        <v>266477</v>
      </c>
      <c r="G41" s="298">
        <v>41229</v>
      </c>
      <c r="H41" s="540">
        <f t="shared" si="3"/>
        <v>4635.9951287404319</v>
      </c>
      <c r="I41" s="260" t="s">
        <v>91</v>
      </c>
      <c r="J41" s="542">
        <v>47.42</v>
      </c>
      <c r="K41" s="526">
        <v>57.48</v>
      </c>
      <c r="L41" s="540">
        <v>266477</v>
      </c>
      <c r="M41" s="540">
        <f t="shared" si="1"/>
        <v>57.48</v>
      </c>
      <c r="N41" s="540">
        <f t="shared" si="4"/>
        <v>266477</v>
      </c>
      <c r="O41" s="535"/>
      <c r="P41" s="540">
        <f t="shared" si="2"/>
        <v>0</v>
      </c>
      <c r="Q41" s="551">
        <f t="shared" si="5"/>
        <v>0</v>
      </c>
      <c r="R41" s="552"/>
      <c r="S41" s="549"/>
      <c r="T41" s="549"/>
      <c r="U41" s="549"/>
      <c r="V41" s="549"/>
      <c r="W41" s="549"/>
      <c r="X41" s="549"/>
      <c r="Y41" s="549"/>
      <c r="Z41" s="549"/>
      <c r="AA41" s="549"/>
      <c r="AB41" s="549"/>
      <c r="AC41" s="549"/>
      <c r="AD41" s="549"/>
      <c r="AE41" s="549"/>
      <c r="AF41" s="549"/>
      <c r="AG41" s="549"/>
      <c r="AH41" s="549"/>
      <c r="AI41" s="549"/>
      <c r="AJ41" s="549"/>
      <c r="AK41" s="549"/>
      <c r="AL41" s="549"/>
      <c r="AM41" s="549"/>
      <c r="AN41" s="549"/>
      <c r="AO41" s="549"/>
      <c r="AP41" s="549"/>
      <c r="AQ41" s="549"/>
      <c r="AR41" s="549"/>
      <c r="AS41" s="549"/>
      <c r="AT41" s="549"/>
      <c r="AU41" s="549"/>
      <c r="AV41" s="549"/>
      <c r="AW41" s="549"/>
      <c r="AX41" s="549"/>
      <c r="AY41" s="549"/>
      <c r="AZ41" s="549"/>
      <c r="BA41" s="549"/>
      <c r="BB41" s="549"/>
      <c r="BC41" s="549"/>
      <c r="BD41" s="549"/>
      <c r="BE41" s="549"/>
      <c r="BF41" s="549"/>
      <c r="BG41" s="549"/>
      <c r="BH41" s="549"/>
      <c r="BI41" s="549"/>
      <c r="BJ41" s="549"/>
      <c r="BK41" s="549"/>
      <c r="BL41" s="549"/>
      <c r="BM41" s="549"/>
      <c r="BN41" s="549"/>
      <c r="BO41" s="549"/>
      <c r="BP41" s="549"/>
      <c r="BQ41" s="549"/>
      <c r="BR41" s="549"/>
      <c r="BS41" s="549"/>
      <c r="BT41" s="549"/>
      <c r="BU41" s="549"/>
      <c r="BV41" s="549"/>
      <c r="BW41" s="549"/>
      <c r="BX41" s="549"/>
      <c r="BY41" s="549"/>
      <c r="BZ41" s="549"/>
      <c r="CA41" s="549"/>
      <c r="CB41" s="549"/>
      <c r="CC41" s="549"/>
      <c r="CD41" s="549"/>
      <c r="CE41" s="549"/>
      <c r="CF41" s="549"/>
      <c r="CG41" s="549"/>
      <c r="CH41" s="549"/>
      <c r="CI41" s="549"/>
      <c r="CJ41" s="549"/>
      <c r="CK41" s="549"/>
      <c r="CL41" s="549"/>
      <c r="CM41" s="549"/>
      <c r="CN41" s="549"/>
      <c r="CO41" s="549"/>
      <c r="CP41" s="549"/>
      <c r="CQ41" s="549"/>
      <c r="CR41" s="549"/>
      <c r="CS41" s="549"/>
      <c r="CT41" s="549"/>
      <c r="CU41" s="549"/>
      <c r="CV41" s="549"/>
      <c r="CW41" s="549"/>
      <c r="CX41" s="549"/>
      <c r="CY41" s="549"/>
      <c r="CZ41" s="549"/>
      <c r="DA41" s="549"/>
      <c r="DB41" s="549"/>
      <c r="DC41" s="549"/>
      <c r="DD41" s="549"/>
      <c r="DE41" s="549"/>
      <c r="DF41" s="549"/>
      <c r="DG41" s="549"/>
      <c r="DH41" s="549"/>
      <c r="DI41" s="549"/>
      <c r="DJ41" s="549"/>
      <c r="DK41" s="549"/>
      <c r="DL41" s="549"/>
      <c r="DM41" s="549"/>
      <c r="DN41" s="549"/>
      <c r="DO41" s="549"/>
      <c r="DP41" s="549"/>
      <c r="DQ41" s="549"/>
      <c r="DR41" s="549"/>
      <c r="DS41" s="549"/>
      <c r="DT41" s="549"/>
      <c r="DU41" s="549"/>
      <c r="DV41" s="549"/>
      <c r="DW41" s="549"/>
      <c r="DX41" s="549"/>
      <c r="DY41" s="549"/>
      <c r="DZ41" s="549"/>
      <c r="EA41" s="549"/>
      <c r="EB41" s="549"/>
      <c r="EC41" s="549"/>
      <c r="ED41" s="549"/>
      <c r="EE41" s="549"/>
      <c r="EF41" s="549"/>
      <c r="EG41" s="549"/>
      <c r="EH41" s="549"/>
      <c r="EI41" s="549"/>
      <c r="EJ41" s="549"/>
      <c r="EK41" s="549"/>
      <c r="EL41" s="549"/>
      <c r="EM41" s="549"/>
      <c r="EN41" s="549"/>
      <c r="EO41" s="549"/>
      <c r="EP41" s="549"/>
      <c r="EQ41" s="549"/>
      <c r="ER41" s="549"/>
      <c r="ES41" s="549"/>
      <c r="ET41" s="549"/>
      <c r="EU41" s="549"/>
      <c r="EV41" s="549"/>
      <c r="EW41" s="549"/>
      <c r="EX41" s="549"/>
      <c r="EY41" s="549"/>
      <c r="EZ41" s="549"/>
      <c r="FA41" s="549"/>
      <c r="FB41" s="549"/>
      <c r="FC41" s="549"/>
      <c r="FD41" s="549"/>
      <c r="FE41" s="549"/>
      <c r="FF41" s="549"/>
      <c r="FG41" s="549"/>
      <c r="FH41" s="549"/>
      <c r="FI41" s="549"/>
      <c r="FJ41" s="549"/>
      <c r="FK41" s="549"/>
      <c r="FL41" s="549"/>
      <c r="FM41" s="549"/>
      <c r="FN41" s="549"/>
      <c r="FO41" s="549"/>
      <c r="FP41" s="549"/>
      <c r="FQ41" s="549"/>
      <c r="FR41" s="549"/>
      <c r="FS41" s="549"/>
      <c r="FT41" s="549"/>
      <c r="FU41" s="549"/>
      <c r="FV41" s="549"/>
      <c r="FW41" s="549"/>
      <c r="FX41" s="549"/>
      <c r="FY41" s="549"/>
      <c r="FZ41" s="549"/>
      <c r="GA41" s="549"/>
      <c r="GB41" s="549"/>
      <c r="GC41" s="549"/>
      <c r="GD41" s="549"/>
      <c r="GE41" s="549"/>
      <c r="GF41" s="549"/>
      <c r="GG41" s="549"/>
      <c r="GH41" s="549"/>
      <c r="GI41" s="549"/>
      <c r="GJ41" s="549"/>
      <c r="GK41" s="549"/>
      <c r="GL41" s="549"/>
      <c r="GM41" s="549"/>
      <c r="GN41" s="549"/>
      <c r="GO41" s="549"/>
      <c r="GP41" s="549"/>
      <c r="GQ41" s="549"/>
      <c r="GR41" s="549"/>
      <c r="GS41" s="549"/>
      <c r="GT41" s="549"/>
      <c r="GU41" s="549"/>
      <c r="GV41" s="549"/>
      <c r="GW41" s="549"/>
      <c r="GX41" s="549"/>
      <c r="GY41" s="549"/>
      <c r="GZ41" s="549"/>
      <c r="HA41" s="549"/>
      <c r="HB41" s="549"/>
      <c r="HC41" s="549"/>
      <c r="HD41" s="549"/>
      <c r="HE41" s="549"/>
      <c r="HF41" s="549"/>
      <c r="HG41" s="549"/>
      <c r="HH41" s="549"/>
      <c r="HI41" s="549"/>
      <c r="HJ41" s="549"/>
      <c r="HK41" s="549"/>
      <c r="HL41" s="549"/>
      <c r="HM41" s="549"/>
      <c r="HN41" s="549"/>
      <c r="HO41" s="549"/>
      <c r="HP41" s="549"/>
      <c r="HQ41" s="549"/>
      <c r="HR41" s="549"/>
      <c r="HS41" s="549"/>
      <c r="HT41" s="549"/>
      <c r="HU41" s="549"/>
      <c r="HV41" s="549"/>
      <c r="HW41" s="533"/>
      <c r="HX41" s="533"/>
      <c r="HY41" s="533"/>
      <c r="HZ41" s="533"/>
      <c r="IA41" s="533"/>
      <c r="IB41" s="533"/>
      <c r="IC41" s="533"/>
      <c r="ID41" s="533"/>
      <c r="IE41" s="533"/>
      <c r="IF41" s="533"/>
      <c r="IG41" s="533"/>
      <c r="IH41" s="533"/>
      <c r="II41" s="533"/>
      <c r="IJ41" s="533"/>
      <c r="IK41" s="533"/>
      <c r="IL41" s="533"/>
      <c r="IM41" s="533"/>
      <c r="IN41" s="533"/>
      <c r="IO41" s="533"/>
      <c r="IP41" s="347"/>
      <c r="IQ41" s="347"/>
      <c r="IR41" s="347"/>
      <c r="IS41" s="347"/>
      <c r="IT41" s="347"/>
      <c r="IU41" s="347"/>
      <c r="IV41" s="347"/>
    </row>
    <row r="42" spans="1:256" s="513" customFormat="1" ht="12.75">
      <c r="A42" s="520"/>
      <c r="B42" s="520"/>
      <c r="C42" s="238"/>
      <c r="D42" s="358">
        <v>57.57</v>
      </c>
      <c r="E42" s="238"/>
      <c r="F42" s="519">
        <v>223597</v>
      </c>
      <c r="G42" s="298">
        <v>40383</v>
      </c>
      <c r="H42" s="540">
        <f t="shared" si="3"/>
        <v>3889.99652052888</v>
      </c>
      <c r="I42" s="260" t="s">
        <v>92</v>
      </c>
      <c r="J42" s="542">
        <v>47.42</v>
      </c>
      <c r="K42" s="526">
        <v>57.48</v>
      </c>
      <c r="L42" s="540">
        <v>223597</v>
      </c>
      <c r="M42" s="540">
        <f t="shared" si="1"/>
        <v>57.48</v>
      </c>
      <c r="N42" s="540">
        <f t="shared" si="4"/>
        <v>223597</v>
      </c>
      <c r="O42" s="535"/>
      <c r="P42" s="540">
        <f t="shared" si="2"/>
        <v>0</v>
      </c>
      <c r="Q42" s="551">
        <f t="shared" si="5"/>
        <v>0</v>
      </c>
      <c r="R42" s="552"/>
      <c r="S42" s="549"/>
      <c r="T42" s="549"/>
      <c r="U42" s="549"/>
      <c r="V42" s="549"/>
      <c r="W42" s="549"/>
      <c r="X42" s="549"/>
      <c r="Y42" s="549"/>
      <c r="Z42" s="549"/>
      <c r="AA42" s="549"/>
      <c r="AB42" s="549"/>
      <c r="AC42" s="549"/>
      <c r="AD42" s="549"/>
      <c r="AE42" s="549"/>
      <c r="AF42" s="549"/>
      <c r="AG42" s="549"/>
      <c r="AH42" s="549"/>
      <c r="AI42" s="549"/>
      <c r="AJ42" s="549"/>
      <c r="AK42" s="549"/>
      <c r="AL42" s="549"/>
      <c r="AM42" s="549"/>
      <c r="AN42" s="549"/>
      <c r="AO42" s="549"/>
      <c r="AP42" s="549"/>
      <c r="AQ42" s="549"/>
      <c r="AR42" s="549"/>
      <c r="AS42" s="549"/>
      <c r="AT42" s="549"/>
      <c r="AU42" s="549"/>
      <c r="AV42" s="549"/>
      <c r="AW42" s="549"/>
      <c r="AX42" s="549"/>
      <c r="AY42" s="549"/>
      <c r="AZ42" s="549"/>
      <c r="BA42" s="549"/>
      <c r="BB42" s="549"/>
      <c r="BC42" s="549"/>
      <c r="BD42" s="549"/>
      <c r="BE42" s="549"/>
      <c r="BF42" s="549"/>
      <c r="BG42" s="549"/>
      <c r="BH42" s="549"/>
      <c r="BI42" s="549"/>
      <c r="BJ42" s="549"/>
      <c r="BK42" s="549"/>
      <c r="BL42" s="549"/>
      <c r="BM42" s="549"/>
      <c r="BN42" s="549"/>
      <c r="BO42" s="549"/>
      <c r="BP42" s="549"/>
      <c r="BQ42" s="549"/>
      <c r="BR42" s="549"/>
      <c r="BS42" s="549"/>
      <c r="BT42" s="549"/>
      <c r="BU42" s="549"/>
      <c r="BV42" s="549"/>
      <c r="BW42" s="549"/>
      <c r="BX42" s="549"/>
      <c r="BY42" s="549"/>
      <c r="BZ42" s="549"/>
      <c r="CA42" s="549"/>
      <c r="CB42" s="549"/>
      <c r="CC42" s="549"/>
      <c r="CD42" s="549"/>
      <c r="CE42" s="549"/>
      <c r="CF42" s="549"/>
      <c r="CG42" s="549"/>
      <c r="CH42" s="549"/>
      <c r="CI42" s="549"/>
      <c r="CJ42" s="549"/>
      <c r="CK42" s="549"/>
      <c r="CL42" s="549"/>
      <c r="CM42" s="549"/>
      <c r="CN42" s="549"/>
      <c r="CO42" s="549"/>
      <c r="CP42" s="549"/>
      <c r="CQ42" s="549"/>
      <c r="CR42" s="549"/>
      <c r="CS42" s="549"/>
      <c r="CT42" s="549"/>
      <c r="CU42" s="549"/>
      <c r="CV42" s="549"/>
      <c r="CW42" s="549"/>
      <c r="CX42" s="549"/>
      <c r="CY42" s="549"/>
      <c r="CZ42" s="549"/>
      <c r="DA42" s="549"/>
      <c r="DB42" s="549"/>
      <c r="DC42" s="549"/>
      <c r="DD42" s="549"/>
      <c r="DE42" s="549"/>
      <c r="DF42" s="549"/>
      <c r="DG42" s="549"/>
      <c r="DH42" s="549"/>
      <c r="DI42" s="549"/>
      <c r="DJ42" s="549"/>
      <c r="DK42" s="549"/>
      <c r="DL42" s="549"/>
      <c r="DM42" s="549"/>
      <c r="DN42" s="549"/>
      <c r="DO42" s="549"/>
      <c r="DP42" s="549"/>
      <c r="DQ42" s="549"/>
      <c r="DR42" s="549"/>
      <c r="DS42" s="549"/>
      <c r="DT42" s="549"/>
      <c r="DU42" s="549"/>
      <c r="DV42" s="549"/>
      <c r="DW42" s="549"/>
      <c r="DX42" s="549"/>
      <c r="DY42" s="549"/>
      <c r="DZ42" s="549"/>
      <c r="EA42" s="549"/>
      <c r="EB42" s="549"/>
      <c r="EC42" s="549"/>
      <c r="ED42" s="549"/>
      <c r="EE42" s="549"/>
      <c r="EF42" s="549"/>
      <c r="EG42" s="549"/>
      <c r="EH42" s="549"/>
      <c r="EI42" s="549"/>
      <c r="EJ42" s="549"/>
      <c r="EK42" s="549"/>
      <c r="EL42" s="549"/>
      <c r="EM42" s="549"/>
      <c r="EN42" s="549"/>
      <c r="EO42" s="549"/>
      <c r="EP42" s="549"/>
      <c r="EQ42" s="549"/>
      <c r="ER42" s="549"/>
      <c r="ES42" s="549"/>
      <c r="ET42" s="549"/>
      <c r="EU42" s="549"/>
      <c r="EV42" s="549"/>
      <c r="EW42" s="549"/>
      <c r="EX42" s="549"/>
      <c r="EY42" s="549"/>
      <c r="EZ42" s="549"/>
      <c r="FA42" s="549"/>
      <c r="FB42" s="549"/>
      <c r="FC42" s="549"/>
      <c r="FD42" s="549"/>
      <c r="FE42" s="549"/>
      <c r="FF42" s="549"/>
      <c r="FG42" s="549"/>
      <c r="FH42" s="549"/>
      <c r="FI42" s="549"/>
      <c r="FJ42" s="549"/>
      <c r="FK42" s="549"/>
      <c r="FL42" s="549"/>
      <c r="FM42" s="549"/>
      <c r="FN42" s="549"/>
      <c r="FO42" s="549"/>
      <c r="FP42" s="549"/>
      <c r="FQ42" s="549"/>
      <c r="FR42" s="549"/>
      <c r="FS42" s="549"/>
      <c r="FT42" s="549"/>
      <c r="FU42" s="549"/>
      <c r="FV42" s="549"/>
      <c r="FW42" s="549"/>
      <c r="FX42" s="549"/>
      <c r="FY42" s="549"/>
      <c r="FZ42" s="549"/>
      <c r="GA42" s="549"/>
      <c r="GB42" s="549"/>
      <c r="GC42" s="549"/>
      <c r="GD42" s="549"/>
      <c r="GE42" s="549"/>
      <c r="GF42" s="549"/>
      <c r="GG42" s="549"/>
      <c r="GH42" s="549"/>
      <c r="GI42" s="549"/>
      <c r="GJ42" s="549"/>
      <c r="GK42" s="549"/>
      <c r="GL42" s="549"/>
      <c r="GM42" s="549"/>
      <c r="GN42" s="549"/>
      <c r="GO42" s="549"/>
      <c r="GP42" s="549"/>
      <c r="GQ42" s="549"/>
      <c r="GR42" s="549"/>
      <c r="GS42" s="549"/>
      <c r="GT42" s="549"/>
      <c r="GU42" s="549"/>
      <c r="GV42" s="549"/>
      <c r="GW42" s="549"/>
      <c r="GX42" s="549"/>
      <c r="GY42" s="549"/>
      <c r="GZ42" s="549"/>
      <c r="HA42" s="549"/>
      <c r="HB42" s="549"/>
      <c r="HC42" s="549"/>
      <c r="HD42" s="549"/>
      <c r="HE42" s="549"/>
      <c r="HF42" s="549"/>
      <c r="HG42" s="549"/>
      <c r="HH42" s="549"/>
      <c r="HI42" s="549"/>
      <c r="HJ42" s="549"/>
      <c r="HK42" s="549"/>
      <c r="HL42" s="549"/>
      <c r="HM42" s="549"/>
      <c r="HN42" s="549"/>
      <c r="HO42" s="549"/>
      <c r="HP42" s="549"/>
      <c r="HQ42" s="549"/>
      <c r="HR42" s="549"/>
      <c r="HS42" s="549"/>
      <c r="HT42" s="549"/>
      <c r="HU42" s="549"/>
      <c r="HV42" s="549"/>
      <c r="HW42" s="533"/>
      <c r="HX42" s="533"/>
      <c r="HY42" s="533"/>
      <c r="HZ42" s="533"/>
      <c r="IA42" s="533"/>
      <c r="IB42" s="533"/>
      <c r="IC42" s="533"/>
      <c r="ID42" s="533"/>
      <c r="IE42" s="533"/>
      <c r="IF42" s="533"/>
      <c r="IG42" s="533"/>
      <c r="IH42" s="533"/>
      <c r="II42" s="533"/>
      <c r="IJ42" s="533"/>
      <c r="IK42" s="533"/>
      <c r="IL42" s="533"/>
      <c r="IM42" s="533"/>
      <c r="IN42" s="533"/>
      <c r="IO42" s="533"/>
      <c r="IP42" s="347"/>
      <c r="IQ42" s="347"/>
      <c r="IR42" s="347"/>
      <c r="IS42" s="347"/>
      <c r="IT42" s="347"/>
      <c r="IU42" s="347"/>
      <c r="IV42" s="347"/>
    </row>
    <row r="43" spans="1:256" s="513" customFormat="1" ht="12.75">
      <c r="A43" s="520"/>
      <c r="B43" s="520"/>
      <c r="C43" s="238"/>
      <c r="D43" s="358">
        <v>57.57</v>
      </c>
      <c r="E43" s="238"/>
      <c r="F43" s="519">
        <v>266707</v>
      </c>
      <c r="G43" s="298">
        <v>40392</v>
      </c>
      <c r="H43" s="540">
        <f t="shared" si="3"/>
        <v>4639.99652052888</v>
      </c>
      <c r="I43" s="260" t="s">
        <v>91</v>
      </c>
      <c r="J43" s="542">
        <v>47.42</v>
      </c>
      <c r="K43" s="526">
        <v>57.48</v>
      </c>
      <c r="L43" s="540">
        <v>266707</v>
      </c>
      <c r="M43" s="540">
        <f t="shared" si="1"/>
        <v>57.48</v>
      </c>
      <c r="N43" s="540">
        <f t="shared" si="4"/>
        <v>266707</v>
      </c>
      <c r="O43" s="535"/>
      <c r="P43" s="540">
        <f t="shared" si="2"/>
        <v>0</v>
      </c>
      <c r="Q43" s="551">
        <f t="shared" si="5"/>
        <v>0</v>
      </c>
      <c r="R43" s="552"/>
      <c r="S43" s="549"/>
      <c r="T43" s="549"/>
      <c r="U43" s="549"/>
      <c r="V43" s="549"/>
      <c r="W43" s="549"/>
      <c r="X43" s="549"/>
      <c r="Y43" s="549"/>
      <c r="Z43" s="549"/>
      <c r="AA43" s="549"/>
      <c r="AB43" s="549"/>
      <c r="AC43" s="549"/>
      <c r="AD43" s="549"/>
      <c r="AE43" s="549"/>
      <c r="AF43" s="549"/>
      <c r="AG43" s="549"/>
      <c r="AH43" s="549"/>
      <c r="AI43" s="549"/>
      <c r="AJ43" s="549"/>
      <c r="AK43" s="549"/>
      <c r="AL43" s="549"/>
      <c r="AM43" s="549"/>
      <c r="AN43" s="549"/>
      <c r="AO43" s="549"/>
      <c r="AP43" s="549"/>
      <c r="AQ43" s="549"/>
      <c r="AR43" s="549"/>
      <c r="AS43" s="549"/>
      <c r="AT43" s="549"/>
      <c r="AU43" s="549"/>
      <c r="AV43" s="549"/>
      <c r="AW43" s="549"/>
      <c r="AX43" s="549"/>
      <c r="AY43" s="549"/>
      <c r="AZ43" s="549"/>
      <c r="BA43" s="549"/>
      <c r="BB43" s="549"/>
      <c r="BC43" s="549"/>
      <c r="BD43" s="549"/>
      <c r="BE43" s="549"/>
      <c r="BF43" s="549"/>
      <c r="BG43" s="549"/>
      <c r="BH43" s="549"/>
      <c r="BI43" s="549"/>
      <c r="BJ43" s="549"/>
      <c r="BK43" s="549"/>
      <c r="BL43" s="549"/>
      <c r="BM43" s="549"/>
      <c r="BN43" s="549"/>
      <c r="BO43" s="549"/>
      <c r="BP43" s="549"/>
      <c r="BQ43" s="549"/>
      <c r="BR43" s="549"/>
      <c r="BS43" s="549"/>
      <c r="BT43" s="549"/>
      <c r="BU43" s="549"/>
      <c r="BV43" s="549"/>
      <c r="BW43" s="549"/>
      <c r="BX43" s="549"/>
      <c r="BY43" s="549"/>
      <c r="BZ43" s="549"/>
      <c r="CA43" s="549"/>
      <c r="CB43" s="549"/>
      <c r="CC43" s="549"/>
      <c r="CD43" s="549"/>
      <c r="CE43" s="549"/>
      <c r="CF43" s="549"/>
      <c r="CG43" s="549"/>
      <c r="CH43" s="549"/>
      <c r="CI43" s="549"/>
      <c r="CJ43" s="549"/>
      <c r="CK43" s="549"/>
      <c r="CL43" s="549"/>
      <c r="CM43" s="549"/>
      <c r="CN43" s="549"/>
      <c r="CO43" s="549"/>
      <c r="CP43" s="549"/>
      <c r="CQ43" s="549"/>
      <c r="CR43" s="549"/>
      <c r="CS43" s="549"/>
      <c r="CT43" s="549"/>
      <c r="CU43" s="549"/>
      <c r="CV43" s="549"/>
      <c r="CW43" s="549"/>
      <c r="CX43" s="549"/>
      <c r="CY43" s="549"/>
      <c r="CZ43" s="549"/>
      <c r="DA43" s="549"/>
      <c r="DB43" s="549"/>
      <c r="DC43" s="549"/>
      <c r="DD43" s="549"/>
      <c r="DE43" s="549"/>
      <c r="DF43" s="549"/>
      <c r="DG43" s="549"/>
      <c r="DH43" s="549"/>
      <c r="DI43" s="549"/>
      <c r="DJ43" s="549"/>
      <c r="DK43" s="549"/>
      <c r="DL43" s="549"/>
      <c r="DM43" s="549"/>
      <c r="DN43" s="549"/>
      <c r="DO43" s="549"/>
      <c r="DP43" s="549"/>
      <c r="DQ43" s="549"/>
      <c r="DR43" s="549"/>
      <c r="DS43" s="549"/>
      <c r="DT43" s="549"/>
      <c r="DU43" s="549"/>
      <c r="DV43" s="549"/>
      <c r="DW43" s="549"/>
      <c r="DX43" s="549"/>
      <c r="DY43" s="549"/>
      <c r="DZ43" s="549"/>
      <c r="EA43" s="549"/>
      <c r="EB43" s="549"/>
      <c r="EC43" s="549"/>
      <c r="ED43" s="549"/>
      <c r="EE43" s="549"/>
      <c r="EF43" s="549"/>
      <c r="EG43" s="549"/>
      <c r="EH43" s="549"/>
      <c r="EI43" s="549"/>
      <c r="EJ43" s="549"/>
      <c r="EK43" s="549"/>
      <c r="EL43" s="549"/>
      <c r="EM43" s="549"/>
      <c r="EN43" s="549"/>
      <c r="EO43" s="549"/>
      <c r="EP43" s="549"/>
      <c r="EQ43" s="549"/>
      <c r="ER43" s="549"/>
      <c r="ES43" s="549"/>
      <c r="ET43" s="549"/>
      <c r="EU43" s="549"/>
      <c r="EV43" s="549"/>
      <c r="EW43" s="549"/>
      <c r="EX43" s="549"/>
      <c r="EY43" s="549"/>
      <c r="EZ43" s="549"/>
      <c r="FA43" s="549"/>
      <c r="FB43" s="549"/>
      <c r="FC43" s="549"/>
      <c r="FD43" s="549"/>
      <c r="FE43" s="549"/>
      <c r="FF43" s="549"/>
      <c r="FG43" s="549"/>
      <c r="FH43" s="549"/>
      <c r="FI43" s="549"/>
      <c r="FJ43" s="549"/>
      <c r="FK43" s="549"/>
      <c r="FL43" s="549"/>
      <c r="FM43" s="549"/>
      <c r="FN43" s="549"/>
      <c r="FO43" s="549"/>
      <c r="FP43" s="549"/>
      <c r="FQ43" s="549"/>
      <c r="FR43" s="549"/>
      <c r="FS43" s="549"/>
      <c r="FT43" s="549"/>
      <c r="FU43" s="549"/>
      <c r="FV43" s="549"/>
      <c r="FW43" s="549"/>
      <c r="FX43" s="549"/>
      <c r="FY43" s="549"/>
      <c r="FZ43" s="549"/>
      <c r="GA43" s="549"/>
      <c r="GB43" s="549"/>
      <c r="GC43" s="549"/>
      <c r="GD43" s="549"/>
      <c r="GE43" s="549"/>
      <c r="GF43" s="549"/>
      <c r="GG43" s="549"/>
      <c r="GH43" s="549"/>
      <c r="GI43" s="549"/>
      <c r="GJ43" s="549"/>
      <c r="GK43" s="549"/>
      <c r="GL43" s="549"/>
      <c r="GM43" s="549"/>
      <c r="GN43" s="549"/>
      <c r="GO43" s="549"/>
      <c r="GP43" s="549"/>
      <c r="GQ43" s="549"/>
      <c r="GR43" s="549"/>
      <c r="GS43" s="549"/>
      <c r="GT43" s="549"/>
      <c r="GU43" s="549"/>
      <c r="GV43" s="549"/>
      <c r="GW43" s="549"/>
      <c r="GX43" s="549"/>
      <c r="GY43" s="549"/>
      <c r="GZ43" s="549"/>
      <c r="HA43" s="549"/>
      <c r="HB43" s="549"/>
      <c r="HC43" s="549"/>
      <c r="HD43" s="549"/>
      <c r="HE43" s="549"/>
      <c r="HF43" s="549"/>
      <c r="HG43" s="549"/>
      <c r="HH43" s="549"/>
      <c r="HI43" s="549"/>
      <c r="HJ43" s="549"/>
      <c r="HK43" s="549"/>
      <c r="HL43" s="549"/>
      <c r="HM43" s="549"/>
      <c r="HN43" s="549"/>
      <c r="HO43" s="549"/>
      <c r="HP43" s="549"/>
      <c r="HQ43" s="549"/>
      <c r="HR43" s="549"/>
      <c r="HS43" s="549"/>
      <c r="HT43" s="549"/>
      <c r="HU43" s="549"/>
      <c r="HV43" s="549"/>
      <c r="HW43" s="533"/>
      <c r="HX43" s="533"/>
      <c r="HY43" s="533"/>
      <c r="HZ43" s="533"/>
      <c r="IA43" s="533"/>
      <c r="IB43" s="533"/>
      <c r="IC43" s="533"/>
      <c r="ID43" s="533"/>
      <c r="IE43" s="533"/>
      <c r="IF43" s="533"/>
      <c r="IG43" s="533"/>
      <c r="IH43" s="533"/>
      <c r="II43" s="533"/>
      <c r="IJ43" s="533"/>
      <c r="IK43" s="533"/>
      <c r="IL43" s="533"/>
      <c r="IM43" s="533"/>
      <c r="IN43" s="533"/>
      <c r="IO43" s="533"/>
      <c r="IP43" s="347"/>
      <c r="IQ43" s="347"/>
      <c r="IR43" s="347"/>
      <c r="IS43" s="347"/>
      <c r="IT43" s="347"/>
      <c r="IU43" s="347"/>
      <c r="IV43" s="347"/>
    </row>
    <row r="44" spans="1:256" s="513" customFormat="1" ht="12.75">
      <c r="A44" s="520"/>
      <c r="B44" s="520"/>
      <c r="C44" s="238"/>
      <c r="D44" s="358">
        <v>57.57</v>
      </c>
      <c r="E44" s="238"/>
      <c r="F44" s="519">
        <v>227391</v>
      </c>
      <c r="G44" s="298">
        <v>40382</v>
      </c>
      <c r="H44" s="540">
        <f t="shared" si="3"/>
        <v>3956.0020876826725</v>
      </c>
      <c r="I44" s="260" t="s">
        <v>92</v>
      </c>
      <c r="J44" s="542">
        <v>47.42</v>
      </c>
      <c r="K44" s="526">
        <v>57.48</v>
      </c>
      <c r="L44" s="540">
        <v>227391</v>
      </c>
      <c r="M44" s="540">
        <f t="shared" si="1"/>
        <v>57.48</v>
      </c>
      <c r="N44" s="540">
        <f t="shared" si="4"/>
        <v>227391</v>
      </c>
      <c r="O44" s="535"/>
      <c r="P44" s="540">
        <f t="shared" si="2"/>
        <v>0</v>
      </c>
      <c r="Q44" s="551">
        <f t="shared" si="5"/>
        <v>0</v>
      </c>
      <c r="R44" s="552"/>
      <c r="S44" s="549"/>
      <c r="T44" s="549"/>
      <c r="U44" s="549"/>
      <c r="V44" s="549"/>
      <c r="W44" s="549"/>
      <c r="X44" s="549"/>
      <c r="Y44" s="549"/>
      <c r="Z44" s="549"/>
      <c r="AA44" s="549"/>
      <c r="AB44" s="549"/>
      <c r="AC44" s="549"/>
      <c r="AD44" s="549"/>
      <c r="AE44" s="549"/>
      <c r="AF44" s="549"/>
      <c r="AG44" s="549"/>
      <c r="AH44" s="549"/>
      <c r="AI44" s="549"/>
      <c r="AJ44" s="549"/>
      <c r="AK44" s="549"/>
      <c r="AL44" s="549"/>
      <c r="AM44" s="549"/>
      <c r="AN44" s="549"/>
      <c r="AO44" s="549"/>
      <c r="AP44" s="549"/>
      <c r="AQ44" s="549"/>
      <c r="AR44" s="549"/>
      <c r="AS44" s="549"/>
      <c r="AT44" s="549"/>
      <c r="AU44" s="549"/>
      <c r="AV44" s="549"/>
      <c r="AW44" s="549"/>
      <c r="AX44" s="549"/>
      <c r="AY44" s="549"/>
      <c r="AZ44" s="549"/>
      <c r="BA44" s="549"/>
      <c r="BB44" s="549"/>
      <c r="BC44" s="549"/>
      <c r="BD44" s="549"/>
      <c r="BE44" s="549"/>
      <c r="BF44" s="549"/>
      <c r="BG44" s="549"/>
      <c r="BH44" s="549"/>
      <c r="BI44" s="549"/>
      <c r="BJ44" s="549"/>
      <c r="BK44" s="549"/>
      <c r="BL44" s="549"/>
      <c r="BM44" s="549"/>
      <c r="BN44" s="549"/>
      <c r="BO44" s="549"/>
      <c r="BP44" s="549"/>
      <c r="BQ44" s="549"/>
      <c r="BR44" s="549"/>
      <c r="BS44" s="549"/>
      <c r="BT44" s="549"/>
      <c r="BU44" s="549"/>
      <c r="BV44" s="549"/>
      <c r="BW44" s="549"/>
      <c r="BX44" s="549"/>
      <c r="BY44" s="549"/>
      <c r="BZ44" s="549"/>
      <c r="CA44" s="549"/>
      <c r="CB44" s="549"/>
      <c r="CC44" s="549"/>
      <c r="CD44" s="549"/>
      <c r="CE44" s="549"/>
      <c r="CF44" s="549"/>
      <c r="CG44" s="549"/>
      <c r="CH44" s="549"/>
      <c r="CI44" s="549"/>
      <c r="CJ44" s="549"/>
      <c r="CK44" s="549"/>
      <c r="CL44" s="549"/>
      <c r="CM44" s="549"/>
      <c r="CN44" s="549"/>
      <c r="CO44" s="549"/>
      <c r="CP44" s="549"/>
      <c r="CQ44" s="549"/>
      <c r="CR44" s="549"/>
      <c r="CS44" s="549"/>
      <c r="CT44" s="549"/>
      <c r="CU44" s="549"/>
      <c r="CV44" s="549"/>
      <c r="CW44" s="549"/>
      <c r="CX44" s="549"/>
      <c r="CY44" s="549"/>
      <c r="CZ44" s="549"/>
      <c r="DA44" s="549"/>
      <c r="DB44" s="549"/>
      <c r="DC44" s="549"/>
      <c r="DD44" s="549"/>
      <c r="DE44" s="549"/>
      <c r="DF44" s="549"/>
      <c r="DG44" s="549"/>
      <c r="DH44" s="549"/>
      <c r="DI44" s="549"/>
      <c r="DJ44" s="549"/>
      <c r="DK44" s="549"/>
      <c r="DL44" s="549"/>
      <c r="DM44" s="549"/>
      <c r="DN44" s="549"/>
      <c r="DO44" s="549"/>
      <c r="DP44" s="549"/>
      <c r="DQ44" s="549"/>
      <c r="DR44" s="549"/>
      <c r="DS44" s="549"/>
      <c r="DT44" s="549"/>
      <c r="DU44" s="549"/>
      <c r="DV44" s="549"/>
      <c r="DW44" s="549"/>
      <c r="DX44" s="549"/>
      <c r="DY44" s="549"/>
      <c r="DZ44" s="549"/>
      <c r="EA44" s="549"/>
      <c r="EB44" s="549"/>
      <c r="EC44" s="549"/>
      <c r="ED44" s="549"/>
      <c r="EE44" s="549"/>
      <c r="EF44" s="549"/>
      <c r="EG44" s="549"/>
      <c r="EH44" s="549"/>
      <c r="EI44" s="549"/>
      <c r="EJ44" s="549"/>
      <c r="EK44" s="549"/>
      <c r="EL44" s="549"/>
      <c r="EM44" s="549"/>
      <c r="EN44" s="549"/>
      <c r="EO44" s="549"/>
      <c r="EP44" s="549"/>
      <c r="EQ44" s="549"/>
      <c r="ER44" s="549"/>
      <c r="ES44" s="549"/>
      <c r="ET44" s="549"/>
      <c r="EU44" s="549"/>
      <c r="EV44" s="549"/>
      <c r="EW44" s="549"/>
      <c r="EX44" s="549"/>
      <c r="EY44" s="549"/>
      <c r="EZ44" s="549"/>
      <c r="FA44" s="549"/>
      <c r="FB44" s="549"/>
      <c r="FC44" s="549"/>
      <c r="FD44" s="549"/>
      <c r="FE44" s="549"/>
      <c r="FF44" s="549"/>
      <c r="FG44" s="549"/>
      <c r="FH44" s="549"/>
      <c r="FI44" s="549"/>
      <c r="FJ44" s="549"/>
      <c r="FK44" s="549"/>
      <c r="FL44" s="549"/>
      <c r="FM44" s="549"/>
      <c r="FN44" s="549"/>
      <c r="FO44" s="549"/>
      <c r="FP44" s="549"/>
      <c r="FQ44" s="549"/>
      <c r="FR44" s="549"/>
      <c r="FS44" s="549"/>
      <c r="FT44" s="549"/>
      <c r="FU44" s="549"/>
      <c r="FV44" s="549"/>
      <c r="FW44" s="549"/>
      <c r="FX44" s="549"/>
      <c r="FY44" s="549"/>
      <c r="FZ44" s="549"/>
      <c r="GA44" s="549"/>
      <c r="GB44" s="549"/>
      <c r="GC44" s="549"/>
      <c r="GD44" s="549"/>
      <c r="GE44" s="549"/>
      <c r="GF44" s="549"/>
      <c r="GG44" s="549"/>
      <c r="GH44" s="549"/>
      <c r="GI44" s="549"/>
      <c r="GJ44" s="549"/>
      <c r="GK44" s="549"/>
      <c r="GL44" s="549"/>
      <c r="GM44" s="549"/>
      <c r="GN44" s="549"/>
      <c r="GO44" s="549"/>
      <c r="GP44" s="549"/>
      <c r="GQ44" s="549"/>
      <c r="GR44" s="549"/>
      <c r="GS44" s="549"/>
      <c r="GT44" s="549"/>
      <c r="GU44" s="549"/>
      <c r="GV44" s="549"/>
      <c r="GW44" s="549"/>
      <c r="GX44" s="549"/>
      <c r="GY44" s="549"/>
      <c r="GZ44" s="549"/>
      <c r="HA44" s="549"/>
      <c r="HB44" s="549"/>
      <c r="HC44" s="549"/>
      <c r="HD44" s="549"/>
      <c r="HE44" s="549"/>
      <c r="HF44" s="549"/>
      <c r="HG44" s="549"/>
      <c r="HH44" s="549"/>
      <c r="HI44" s="549"/>
      <c r="HJ44" s="549"/>
      <c r="HK44" s="549"/>
      <c r="HL44" s="549"/>
      <c r="HM44" s="549"/>
      <c r="HN44" s="549"/>
      <c r="HO44" s="549"/>
      <c r="HP44" s="549"/>
      <c r="HQ44" s="549"/>
      <c r="HR44" s="549"/>
      <c r="HS44" s="549"/>
      <c r="HT44" s="549"/>
      <c r="HU44" s="549"/>
      <c r="HV44" s="549"/>
      <c r="HW44" s="533"/>
      <c r="HX44" s="533"/>
      <c r="HY44" s="533"/>
      <c r="HZ44" s="533"/>
      <c r="IA44" s="533"/>
      <c r="IB44" s="533"/>
      <c r="IC44" s="533"/>
      <c r="ID44" s="533"/>
      <c r="IE44" s="533"/>
      <c r="IF44" s="533"/>
      <c r="IG44" s="533"/>
      <c r="IH44" s="533"/>
      <c r="II44" s="533"/>
      <c r="IJ44" s="533"/>
      <c r="IK44" s="533"/>
      <c r="IL44" s="533"/>
      <c r="IM44" s="533"/>
      <c r="IN44" s="533"/>
      <c r="IO44" s="533"/>
      <c r="IP44" s="347"/>
      <c r="IQ44" s="347"/>
      <c r="IR44" s="347"/>
      <c r="IS44" s="347"/>
      <c r="IT44" s="347"/>
      <c r="IU44" s="347"/>
      <c r="IV44" s="347"/>
    </row>
    <row r="45" spans="1:256" s="513" customFormat="1" ht="12.75">
      <c r="A45" s="520"/>
      <c r="B45" s="520"/>
      <c r="C45" s="238"/>
      <c r="D45" s="358">
        <v>57.48</v>
      </c>
      <c r="E45" s="238"/>
      <c r="F45" s="519">
        <v>322980</v>
      </c>
      <c r="G45" s="298">
        <v>41025</v>
      </c>
      <c r="H45" s="540">
        <f t="shared" si="3"/>
        <v>5618.997912317328</v>
      </c>
      <c r="I45" s="260" t="s">
        <v>92</v>
      </c>
      <c r="J45" s="542">
        <v>47.42</v>
      </c>
      <c r="K45" s="526">
        <v>57.48</v>
      </c>
      <c r="L45" s="540">
        <v>322980</v>
      </c>
      <c r="M45" s="540">
        <f t="shared" si="1"/>
        <v>57.48</v>
      </c>
      <c r="N45" s="540">
        <f t="shared" si="4"/>
        <v>322980</v>
      </c>
      <c r="O45" s="535"/>
      <c r="P45" s="540">
        <f t="shared" ref="P45:P108" si="6">N45-F45</f>
        <v>0</v>
      </c>
      <c r="Q45" s="551">
        <f t="shared" si="5"/>
        <v>0</v>
      </c>
      <c r="R45" s="552"/>
      <c r="S45" s="549"/>
      <c r="T45" s="549"/>
      <c r="U45" s="549"/>
      <c r="V45" s="549"/>
      <c r="W45" s="549"/>
      <c r="X45" s="549"/>
      <c r="Y45" s="549"/>
      <c r="Z45" s="549"/>
      <c r="AA45" s="549"/>
      <c r="AB45" s="549"/>
      <c r="AC45" s="549"/>
      <c r="AD45" s="549"/>
      <c r="AE45" s="549"/>
      <c r="AF45" s="549"/>
      <c r="AG45" s="549"/>
      <c r="AH45" s="549"/>
      <c r="AI45" s="549"/>
      <c r="AJ45" s="549"/>
      <c r="AK45" s="549"/>
      <c r="AL45" s="549"/>
      <c r="AM45" s="549"/>
      <c r="AN45" s="549"/>
      <c r="AO45" s="549"/>
      <c r="AP45" s="549"/>
      <c r="AQ45" s="549"/>
      <c r="AR45" s="549"/>
      <c r="AS45" s="549"/>
      <c r="AT45" s="549"/>
      <c r="AU45" s="549"/>
      <c r="AV45" s="549"/>
      <c r="AW45" s="549"/>
      <c r="AX45" s="549"/>
      <c r="AY45" s="549"/>
      <c r="AZ45" s="549"/>
      <c r="BA45" s="549"/>
      <c r="BB45" s="549"/>
      <c r="BC45" s="549"/>
      <c r="BD45" s="549"/>
      <c r="BE45" s="549"/>
      <c r="BF45" s="549"/>
      <c r="BG45" s="549"/>
      <c r="BH45" s="549"/>
      <c r="BI45" s="549"/>
      <c r="BJ45" s="549"/>
      <c r="BK45" s="549"/>
      <c r="BL45" s="549"/>
      <c r="BM45" s="549"/>
      <c r="BN45" s="549"/>
      <c r="BO45" s="549"/>
      <c r="BP45" s="549"/>
      <c r="BQ45" s="549"/>
      <c r="BR45" s="549"/>
      <c r="BS45" s="549"/>
      <c r="BT45" s="549"/>
      <c r="BU45" s="549"/>
      <c r="BV45" s="549"/>
      <c r="BW45" s="549"/>
      <c r="BX45" s="549"/>
      <c r="BY45" s="549"/>
      <c r="BZ45" s="549"/>
      <c r="CA45" s="549"/>
      <c r="CB45" s="549"/>
      <c r="CC45" s="549"/>
      <c r="CD45" s="549"/>
      <c r="CE45" s="549"/>
      <c r="CF45" s="549"/>
      <c r="CG45" s="549"/>
      <c r="CH45" s="549"/>
      <c r="CI45" s="549"/>
      <c r="CJ45" s="549"/>
      <c r="CK45" s="549"/>
      <c r="CL45" s="549"/>
      <c r="CM45" s="549"/>
      <c r="CN45" s="549"/>
      <c r="CO45" s="549"/>
      <c r="CP45" s="549"/>
      <c r="CQ45" s="549"/>
      <c r="CR45" s="549"/>
      <c r="CS45" s="549"/>
      <c r="CT45" s="549"/>
      <c r="CU45" s="549"/>
      <c r="CV45" s="549"/>
      <c r="CW45" s="549"/>
      <c r="CX45" s="549"/>
      <c r="CY45" s="549"/>
      <c r="CZ45" s="549"/>
      <c r="DA45" s="549"/>
      <c r="DB45" s="549"/>
      <c r="DC45" s="549"/>
      <c r="DD45" s="549"/>
      <c r="DE45" s="549"/>
      <c r="DF45" s="549"/>
      <c r="DG45" s="549"/>
      <c r="DH45" s="549"/>
      <c r="DI45" s="549"/>
      <c r="DJ45" s="549"/>
      <c r="DK45" s="549"/>
      <c r="DL45" s="549"/>
      <c r="DM45" s="549"/>
      <c r="DN45" s="549"/>
      <c r="DO45" s="549"/>
      <c r="DP45" s="549"/>
      <c r="DQ45" s="549"/>
      <c r="DR45" s="549"/>
      <c r="DS45" s="549"/>
      <c r="DT45" s="549"/>
      <c r="DU45" s="549"/>
      <c r="DV45" s="549"/>
      <c r="DW45" s="549"/>
      <c r="DX45" s="549"/>
      <c r="DY45" s="549"/>
      <c r="DZ45" s="549"/>
      <c r="EA45" s="549"/>
      <c r="EB45" s="549"/>
      <c r="EC45" s="549"/>
      <c r="ED45" s="549"/>
      <c r="EE45" s="549"/>
      <c r="EF45" s="549"/>
      <c r="EG45" s="549"/>
      <c r="EH45" s="549"/>
      <c r="EI45" s="549"/>
      <c r="EJ45" s="549"/>
      <c r="EK45" s="549"/>
      <c r="EL45" s="549"/>
      <c r="EM45" s="549"/>
      <c r="EN45" s="549"/>
      <c r="EO45" s="549"/>
      <c r="EP45" s="549"/>
      <c r="EQ45" s="549"/>
      <c r="ER45" s="549"/>
      <c r="ES45" s="549"/>
      <c r="ET45" s="549"/>
      <c r="EU45" s="549"/>
      <c r="EV45" s="549"/>
      <c r="EW45" s="549"/>
      <c r="EX45" s="549"/>
      <c r="EY45" s="549"/>
      <c r="EZ45" s="549"/>
      <c r="FA45" s="549"/>
      <c r="FB45" s="549"/>
      <c r="FC45" s="549"/>
      <c r="FD45" s="549"/>
      <c r="FE45" s="549"/>
      <c r="FF45" s="549"/>
      <c r="FG45" s="549"/>
      <c r="FH45" s="549"/>
      <c r="FI45" s="549"/>
      <c r="FJ45" s="549"/>
      <c r="FK45" s="549"/>
      <c r="FL45" s="549"/>
      <c r="FM45" s="549"/>
      <c r="FN45" s="549"/>
      <c r="FO45" s="549"/>
      <c r="FP45" s="549"/>
      <c r="FQ45" s="549"/>
      <c r="FR45" s="549"/>
      <c r="FS45" s="549"/>
      <c r="FT45" s="549"/>
      <c r="FU45" s="549"/>
      <c r="FV45" s="549"/>
      <c r="FW45" s="549"/>
      <c r="FX45" s="549"/>
      <c r="FY45" s="549"/>
      <c r="FZ45" s="549"/>
      <c r="GA45" s="549"/>
      <c r="GB45" s="549"/>
      <c r="GC45" s="549"/>
      <c r="GD45" s="549"/>
      <c r="GE45" s="549"/>
      <c r="GF45" s="549"/>
      <c r="GG45" s="549"/>
      <c r="GH45" s="549"/>
      <c r="GI45" s="549"/>
      <c r="GJ45" s="549"/>
      <c r="GK45" s="549"/>
      <c r="GL45" s="549"/>
      <c r="GM45" s="549"/>
      <c r="GN45" s="549"/>
      <c r="GO45" s="549"/>
      <c r="GP45" s="549"/>
      <c r="GQ45" s="549"/>
      <c r="GR45" s="549"/>
      <c r="GS45" s="549"/>
      <c r="GT45" s="549"/>
      <c r="GU45" s="549"/>
      <c r="GV45" s="549"/>
      <c r="GW45" s="549"/>
      <c r="GX45" s="549"/>
      <c r="GY45" s="549"/>
      <c r="GZ45" s="549"/>
      <c r="HA45" s="549"/>
      <c r="HB45" s="549"/>
      <c r="HC45" s="549"/>
      <c r="HD45" s="549"/>
      <c r="HE45" s="549"/>
      <c r="HF45" s="549"/>
      <c r="HG45" s="549"/>
      <c r="HH45" s="549"/>
      <c r="HI45" s="549"/>
      <c r="HJ45" s="549"/>
      <c r="HK45" s="549"/>
      <c r="HL45" s="549"/>
      <c r="HM45" s="549"/>
      <c r="HN45" s="549"/>
      <c r="HO45" s="549"/>
      <c r="HP45" s="549"/>
      <c r="HQ45" s="549"/>
      <c r="HR45" s="549"/>
      <c r="HS45" s="549"/>
      <c r="HT45" s="549"/>
      <c r="HU45" s="549"/>
      <c r="HV45" s="549"/>
      <c r="HW45" s="533"/>
      <c r="HX45" s="533"/>
      <c r="HY45" s="533"/>
      <c r="HZ45" s="533"/>
      <c r="IA45" s="533"/>
      <c r="IB45" s="533"/>
      <c r="IC45" s="533"/>
      <c r="ID45" s="533"/>
      <c r="IE45" s="533"/>
      <c r="IF45" s="533"/>
      <c r="IG45" s="533"/>
      <c r="IH45" s="533"/>
      <c r="II45" s="533"/>
      <c r="IJ45" s="533"/>
      <c r="IK45" s="533"/>
      <c r="IL45" s="533"/>
      <c r="IM45" s="533"/>
      <c r="IN45" s="533"/>
      <c r="IO45" s="533"/>
      <c r="IP45" s="347"/>
      <c r="IQ45" s="347"/>
      <c r="IR45" s="347"/>
      <c r="IS45" s="347"/>
      <c r="IT45" s="347"/>
      <c r="IU45" s="347"/>
      <c r="IV45" s="347"/>
    </row>
    <row r="46" spans="1:256" s="513" customFormat="1" ht="12.75">
      <c r="A46" s="520"/>
      <c r="B46" s="520"/>
      <c r="C46" s="238"/>
      <c r="D46" s="358">
        <v>57.48</v>
      </c>
      <c r="E46" s="238"/>
      <c r="F46" s="519">
        <v>319991</v>
      </c>
      <c r="G46" s="298">
        <v>41119</v>
      </c>
      <c r="H46" s="540">
        <f t="shared" si="3"/>
        <v>5566.997216423104</v>
      </c>
      <c r="I46" s="260" t="s">
        <v>92</v>
      </c>
      <c r="J46" s="542">
        <v>47.42</v>
      </c>
      <c r="K46" s="526">
        <v>57.48</v>
      </c>
      <c r="L46" s="540">
        <v>319991</v>
      </c>
      <c r="M46" s="540">
        <f t="shared" si="1"/>
        <v>57.48</v>
      </c>
      <c r="N46" s="540">
        <f t="shared" si="4"/>
        <v>319991</v>
      </c>
      <c r="O46" s="535"/>
      <c r="P46" s="540">
        <f t="shared" si="6"/>
        <v>0</v>
      </c>
      <c r="Q46" s="551">
        <f t="shared" si="5"/>
        <v>0</v>
      </c>
      <c r="R46" s="552"/>
      <c r="S46" s="549"/>
      <c r="T46" s="549"/>
      <c r="U46" s="549"/>
      <c r="V46" s="549"/>
      <c r="W46" s="549"/>
      <c r="X46" s="549"/>
      <c r="Y46" s="549"/>
      <c r="Z46" s="549"/>
      <c r="AA46" s="549"/>
      <c r="AB46" s="549"/>
      <c r="AC46" s="549"/>
      <c r="AD46" s="549"/>
      <c r="AE46" s="549"/>
      <c r="AF46" s="549"/>
      <c r="AG46" s="549"/>
      <c r="AH46" s="549"/>
      <c r="AI46" s="549"/>
      <c r="AJ46" s="549"/>
      <c r="AK46" s="549"/>
      <c r="AL46" s="549"/>
      <c r="AM46" s="549"/>
      <c r="AN46" s="549"/>
      <c r="AO46" s="549"/>
      <c r="AP46" s="549"/>
      <c r="AQ46" s="549"/>
      <c r="AR46" s="549"/>
      <c r="AS46" s="549"/>
      <c r="AT46" s="549"/>
      <c r="AU46" s="549"/>
      <c r="AV46" s="549"/>
      <c r="AW46" s="549"/>
      <c r="AX46" s="549"/>
      <c r="AY46" s="549"/>
      <c r="AZ46" s="549"/>
      <c r="BA46" s="549"/>
      <c r="BB46" s="549"/>
      <c r="BC46" s="549"/>
      <c r="BD46" s="549"/>
      <c r="BE46" s="549"/>
      <c r="BF46" s="549"/>
      <c r="BG46" s="549"/>
      <c r="BH46" s="549"/>
      <c r="BI46" s="549"/>
      <c r="BJ46" s="549"/>
      <c r="BK46" s="549"/>
      <c r="BL46" s="549"/>
      <c r="BM46" s="549"/>
      <c r="BN46" s="549"/>
      <c r="BO46" s="549"/>
      <c r="BP46" s="549"/>
      <c r="BQ46" s="549"/>
      <c r="BR46" s="549"/>
      <c r="BS46" s="549"/>
      <c r="BT46" s="549"/>
      <c r="BU46" s="549"/>
      <c r="BV46" s="549"/>
      <c r="BW46" s="549"/>
      <c r="BX46" s="549"/>
      <c r="BY46" s="549"/>
      <c r="BZ46" s="549"/>
      <c r="CA46" s="549"/>
      <c r="CB46" s="549"/>
      <c r="CC46" s="549"/>
      <c r="CD46" s="549"/>
      <c r="CE46" s="549"/>
      <c r="CF46" s="549"/>
      <c r="CG46" s="549"/>
      <c r="CH46" s="549"/>
      <c r="CI46" s="549"/>
      <c r="CJ46" s="549"/>
      <c r="CK46" s="549"/>
      <c r="CL46" s="549"/>
      <c r="CM46" s="549"/>
      <c r="CN46" s="549"/>
      <c r="CO46" s="549"/>
      <c r="CP46" s="549"/>
      <c r="CQ46" s="549"/>
      <c r="CR46" s="549"/>
      <c r="CS46" s="549"/>
      <c r="CT46" s="549"/>
      <c r="CU46" s="549"/>
      <c r="CV46" s="549"/>
      <c r="CW46" s="549"/>
      <c r="CX46" s="549"/>
      <c r="CY46" s="549"/>
      <c r="CZ46" s="549"/>
      <c r="DA46" s="549"/>
      <c r="DB46" s="549"/>
      <c r="DC46" s="549"/>
      <c r="DD46" s="549"/>
      <c r="DE46" s="549"/>
      <c r="DF46" s="549"/>
      <c r="DG46" s="549"/>
      <c r="DH46" s="549"/>
      <c r="DI46" s="549"/>
      <c r="DJ46" s="549"/>
      <c r="DK46" s="549"/>
      <c r="DL46" s="549"/>
      <c r="DM46" s="549"/>
      <c r="DN46" s="549"/>
      <c r="DO46" s="549"/>
      <c r="DP46" s="549"/>
      <c r="DQ46" s="549"/>
      <c r="DR46" s="549"/>
      <c r="DS46" s="549"/>
      <c r="DT46" s="549"/>
      <c r="DU46" s="549"/>
      <c r="DV46" s="549"/>
      <c r="DW46" s="549"/>
      <c r="DX46" s="549"/>
      <c r="DY46" s="549"/>
      <c r="DZ46" s="549"/>
      <c r="EA46" s="549"/>
      <c r="EB46" s="549"/>
      <c r="EC46" s="549"/>
      <c r="ED46" s="549"/>
      <c r="EE46" s="549"/>
      <c r="EF46" s="549"/>
      <c r="EG46" s="549"/>
      <c r="EH46" s="549"/>
      <c r="EI46" s="549"/>
      <c r="EJ46" s="549"/>
      <c r="EK46" s="549"/>
      <c r="EL46" s="549"/>
      <c r="EM46" s="549"/>
      <c r="EN46" s="549"/>
      <c r="EO46" s="549"/>
      <c r="EP46" s="549"/>
      <c r="EQ46" s="549"/>
      <c r="ER46" s="549"/>
      <c r="ES46" s="549"/>
      <c r="ET46" s="549"/>
      <c r="EU46" s="549"/>
      <c r="EV46" s="549"/>
      <c r="EW46" s="549"/>
      <c r="EX46" s="549"/>
      <c r="EY46" s="549"/>
      <c r="EZ46" s="549"/>
      <c r="FA46" s="549"/>
      <c r="FB46" s="549"/>
      <c r="FC46" s="549"/>
      <c r="FD46" s="549"/>
      <c r="FE46" s="549"/>
      <c r="FF46" s="549"/>
      <c r="FG46" s="549"/>
      <c r="FH46" s="549"/>
      <c r="FI46" s="549"/>
      <c r="FJ46" s="549"/>
      <c r="FK46" s="549"/>
      <c r="FL46" s="549"/>
      <c r="FM46" s="549"/>
      <c r="FN46" s="549"/>
      <c r="FO46" s="549"/>
      <c r="FP46" s="549"/>
      <c r="FQ46" s="549"/>
      <c r="FR46" s="549"/>
      <c r="FS46" s="549"/>
      <c r="FT46" s="549"/>
      <c r="FU46" s="549"/>
      <c r="FV46" s="549"/>
      <c r="FW46" s="549"/>
      <c r="FX46" s="549"/>
      <c r="FY46" s="549"/>
      <c r="FZ46" s="549"/>
      <c r="GA46" s="549"/>
      <c r="GB46" s="549"/>
      <c r="GC46" s="549"/>
      <c r="GD46" s="549"/>
      <c r="GE46" s="549"/>
      <c r="GF46" s="549"/>
      <c r="GG46" s="549"/>
      <c r="GH46" s="549"/>
      <c r="GI46" s="549"/>
      <c r="GJ46" s="549"/>
      <c r="GK46" s="549"/>
      <c r="GL46" s="549"/>
      <c r="GM46" s="549"/>
      <c r="GN46" s="549"/>
      <c r="GO46" s="549"/>
      <c r="GP46" s="549"/>
      <c r="GQ46" s="549"/>
      <c r="GR46" s="549"/>
      <c r="GS46" s="549"/>
      <c r="GT46" s="549"/>
      <c r="GU46" s="549"/>
      <c r="GV46" s="549"/>
      <c r="GW46" s="549"/>
      <c r="GX46" s="549"/>
      <c r="GY46" s="549"/>
      <c r="GZ46" s="549"/>
      <c r="HA46" s="549"/>
      <c r="HB46" s="549"/>
      <c r="HC46" s="549"/>
      <c r="HD46" s="549"/>
      <c r="HE46" s="549"/>
      <c r="HF46" s="549"/>
      <c r="HG46" s="549"/>
      <c r="HH46" s="549"/>
      <c r="HI46" s="549"/>
      <c r="HJ46" s="549"/>
      <c r="HK46" s="549"/>
      <c r="HL46" s="549"/>
      <c r="HM46" s="549"/>
      <c r="HN46" s="549"/>
      <c r="HO46" s="549"/>
      <c r="HP46" s="549"/>
      <c r="HQ46" s="549"/>
      <c r="HR46" s="549"/>
      <c r="HS46" s="549"/>
      <c r="HT46" s="549"/>
      <c r="HU46" s="549"/>
      <c r="HV46" s="549"/>
      <c r="HW46" s="533"/>
      <c r="HX46" s="533"/>
      <c r="HY46" s="533"/>
      <c r="HZ46" s="533"/>
      <c r="IA46" s="533"/>
      <c r="IB46" s="533"/>
      <c r="IC46" s="533"/>
      <c r="ID46" s="533"/>
      <c r="IE46" s="533"/>
      <c r="IF46" s="533"/>
      <c r="IG46" s="533"/>
      <c r="IH46" s="533"/>
      <c r="II46" s="533"/>
      <c r="IJ46" s="533"/>
      <c r="IK46" s="533"/>
      <c r="IL46" s="533"/>
      <c r="IM46" s="533"/>
      <c r="IN46" s="533"/>
      <c r="IO46" s="533"/>
      <c r="IP46" s="347"/>
      <c r="IQ46" s="347"/>
      <c r="IR46" s="347"/>
      <c r="IS46" s="347"/>
      <c r="IT46" s="347"/>
      <c r="IU46" s="347"/>
      <c r="IV46" s="347"/>
    </row>
    <row r="47" spans="1:256" s="513" customFormat="1" ht="12.75">
      <c r="A47" s="520"/>
      <c r="B47" s="520"/>
      <c r="C47" s="238"/>
      <c r="D47" s="358">
        <v>57.48</v>
      </c>
      <c r="E47" s="238"/>
      <c r="F47" s="519">
        <v>324015</v>
      </c>
      <c r="G47" s="298">
        <v>41119</v>
      </c>
      <c r="H47" s="540">
        <f t="shared" si="3"/>
        <v>5637.004175365345</v>
      </c>
      <c r="I47" s="260" t="s">
        <v>92</v>
      </c>
      <c r="J47" s="542">
        <v>47.42</v>
      </c>
      <c r="K47" s="526">
        <v>57.48</v>
      </c>
      <c r="L47" s="540">
        <v>324015</v>
      </c>
      <c r="M47" s="540">
        <f t="shared" si="1"/>
        <v>57.48</v>
      </c>
      <c r="N47" s="540">
        <f t="shared" si="4"/>
        <v>324015</v>
      </c>
      <c r="O47" s="535"/>
      <c r="P47" s="540">
        <f t="shared" si="6"/>
        <v>0</v>
      </c>
      <c r="Q47" s="551">
        <f t="shared" si="5"/>
        <v>0</v>
      </c>
      <c r="R47" s="552"/>
      <c r="S47" s="549"/>
      <c r="T47" s="549"/>
      <c r="U47" s="549"/>
      <c r="V47" s="549"/>
      <c r="W47" s="549"/>
      <c r="X47" s="549"/>
      <c r="Y47" s="549"/>
      <c r="Z47" s="549"/>
      <c r="AA47" s="549"/>
      <c r="AB47" s="549"/>
      <c r="AC47" s="549"/>
      <c r="AD47" s="549"/>
      <c r="AE47" s="549"/>
      <c r="AF47" s="549"/>
      <c r="AG47" s="549"/>
      <c r="AH47" s="549"/>
      <c r="AI47" s="549"/>
      <c r="AJ47" s="549"/>
      <c r="AK47" s="549"/>
      <c r="AL47" s="549"/>
      <c r="AM47" s="549"/>
      <c r="AN47" s="549"/>
      <c r="AO47" s="549"/>
      <c r="AP47" s="549"/>
      <c r="AQ47" s="549"/>
      <c r="AR47" s="549"/>
      <c r="AS47" s="549"/>
      <c r="AT47" s="549"/>
      <c r="AU47" s="549"/>
      <c r="AV47" s="549"/>
      <c r="AW47" s="549"/>
      <c r="AX47" s="549"/>
      <c r="AY47" s="549"/>
      <c r="AZ47" s="549"/>
      <c r="BA47" s="549"/>
      <c r="BB47" s="549"/>
      <c r="BC47" s="549"/>
      <c r="BD47" s="549"/>
      <c r="BE47" s="549"/>
      <c r="BF47" s="549"/>
      <c r="BG47" s="549"/>
      <c r="BH47" s="549"/>
      <c r="BI47" s="549"/>
      <c r="BJ47" s="549"/>
      <c r="BK47" s="549"/>
      <c r="BL47" s="549"/>
      <c r="BM47" s="549"/>
      <c r="BN47" s="549"/>
      <c r="BO47" s="549"/>
      <c r="BP47" s="549"/>
      <c r="BQ47" s="549"/>
      <c r="BR47" s="549"/>
      <c r="BS47" s="549"/>
      <c r="BT47" s="549"/>
      <c r="BU47" s="549"/>
      <c r="BV47" s="549"/>
      <c r="BW47" s="549"/>
      <c r="BX47" s="549"/>
      <c r="BY47" s="549"/>
      <c r="BZ47" s="549"/>
      <c r="CA47" s="549"/>
      <c r="CB47" s="549"/>
      <c r="CC47" s="549"/>
      <c r="CD47" s="549"/>
      <c r="CE47" s="549"/>
      <c r="CF47" s="549"/>
      <c r="CG47" s="549"/>
      <c r="CH47" s="549"/>
      <c r="CI47" s="549"/>
      <c r="CJ47" s="549"/>
      <c r="CK47" s="549"/>
      <c r="CL47" s="549"/>
      <c r="CM47" s="549"/>
      <c r="CN47" s="549"/>
      <c r="CO47" s="549"/>
      <c r="CP47" s="549"/>
      <c r="CQ47" s="549"/>
      <c r="CR47" s="549"/>
      <c r="CS47" s="549"/>
      <c r="CT47" s="549"/>
      <c r="CU47" s="549"/>
      <c r="CV47" s="549"/>
      <c r="CW47" s="549"/>
      <c r="CX47" s="549"/>
      <c r="CY47" s="549"/>
      <c r="CZ47" s="549"/>
      <c r="DA47" s="549"/>
      <c r="DB47" s="549"/>
      <c r="DC47" s="549"/>
      <c r="DD47" s="549"/>
      <c r="DE47" s="549"/>
      <c r="DF47" s="549"/>
      <c r="DG47" s="549"/>
      <c r="DH47" s="549"/>
      <c r="DI47" s="549"/>
      <c r="DJ47" s="549"/>
      <c r="DK47" s="549"/>
      <c r="DL47" s="549"/>
      <c r="DM47" s="549"/>
      <c r="DN47" s="549"/>
      <c r="DO47" s="549"/>
      <c r="DP47" s="549"/>
      <c r="DQ47" s="549"/>
      <c r="DR47" s="549"/>
      <c r="DS47" s="549"/>
      <c r="DT47" s="549"/>
      <c r="DU47" s="549"/>
      <c r="DV47" s="549"/>
      <c r="DW47" s="549"/>
      <c r="DX47" s="549"/>
      <c r="DY47" s="549"/>
      <c r="DZ47" s="549"/>
      <c r="EA47" s="549"/>
      <c r="EB47" s="549"/>
      <c r="EC47" s="549"/>
      <c r="ED47" s="549"/>
      <c r="EE47" s="549"/>
      <c r="EF47" s="549"/>
      <c r="EG47" s="549"/>
      <c r="EH47" s="549"/>
      <c r="EI47" s="549"/>
      <c r="EJ47" s="549"/>
      <c r="EK47" s="549"/>
      <c r="EL47" s="549"/>
      <c r="EM47" s="549"/>
      <c r="EN47" s="549"/>
      <c r="EO47" s="549"/>
      <c r="EP47" s="549"/>
      <c r="EQ47" s="549"/>
      <c r="ER47" s="549"/>
      <c r="ES47" s="549"/>
      <c r="ET47" s="549"/>
      <c r="EU47" s="549"/>
      <c r="EV47" s="549"/>
      <c r="EW47" s="549"/>
      <c r="EX47" s="549"/>
      <c r="EY47" s="549"/>
      <c r="EZ47" s="549"/>
      <c r="FA47" s="549"/>
      <c r="FB47" s="549"/>
      <c r="FC47" s="549"/>
      <c r="FD47" s="549"/>
      <c r="FE47" s="549"/>
      <c r="FF47" s="549"/>
      <c r="FG47" s="549"/>
      <c r="FH47" s="549"/>
      <c r="FI47" s="549"/>
      <c r="FJ47" s="549"/>
      <c r="FK47" s="549"/>
      <c r="FL47" s="549"/>
      <c r="FM47" s="549"/>
      <c r="FN47" s="549"/>
      <c r="FO47" s="549"/>
      <c r="FP47" s="549"/>
      <c r="FQ47" s="549"/>
      <c r="FR47" s="549"/>
      <c r="FS47" s="549"/>
      <c r="FT47" s="549"/>
      <c r="FU47" s="549"/>
      <c r="FV47" s="549"/>
      <c r="FW47" s="549"/>
      <c r="FX47" s="549"/>
      <c r="FY47" s="549"/>
      <c r="FZ47" s="549"/>
      <c r="GA47" s="549"/>
      <c r="GB47" s="549"/>
      <c r="GC47" s="549"/>
      <c r="GD47" s="549"/>
      <c r="GE47" s="549"/>
      <c r="GF47" s="549"/>
      <c r="GG47" s="549"/>
      <c r="GH47" s="549"/>
      <c r="GI47" s="549"/>
      <c r="GJ47" s="549"/>
      <c r="GK47" s="549"/>
      <c r="GL47" s="549"/>
      <c r="GM47" s="549"/>
      <c r="GN47" s="549"/>
      <c r="GO47" s="549"/>
      <c r="GP47" s="549"/>
      <c r="GQ47" s="549"/>
      <c r="GR47" s="549"/>
      <c r="GS47" s="549"/>
      <c r="GT47" s="549"/>
      <c r="GU47" s="549"/>
      <c r="GV47" s="549"/>
      <c r="GW47" s="549"/>
      <c r="GX47" s="549"/>
      <c r="GY47" s="549"/>
      <c r="GZ47" s="549"/>
      <c r="HA47" s="549"/>
      <c r="HB47" s="549"/>
      <c r="HC47" s="549"/>
      <c r="HD47" s="549"/>
      <c r="HE47" s="549"/>
      <c r="HF47" s="549"/>
      <c r="HG47" s="549"/>
      <c r="HH47" s="549"/>
      <c r="HI47" s="549"/>
      <c r="HJ47" s="549"/>
      <c r="HK47" s="549"/>
      <c r="HL47" s="549"/>
      <c r="HM47" s="549"/>
      <c r="HN47" s="549"/>
      <c r="HO47" s="549"/>
      <c r="HP47" s="549"/>
      <c r="HQ47" s="549"/>
      <c r="HR47" s="549"/>
      <c r="HS47" s="549"/>
      <c r="HT47" s="549"/>
      <c r="HU47" s="549"/>
      <c r="HV47" s="549"/>
      <c r="HW47" s="533"/>
      <c r="HX47" s="533"/>
      <c r="HY47" s="533"/>
      <c r="HZ47" s="533"/>
      <c r="IA47" s="533"/>
      <c r="IB47" s="533"/>
      <c r="IC47" s="533"/>
      <c r="ID47" s="533"/>
      <c r="IE47" s="533"/>
      <c r="IF47" s="533"/>
      <c r="IG47" s="533"/>
      <c r="IH47" s="533"/>
      <c r="II47" s="533"/>
      <c r="IJ47" s="533"/>
      <c r="IK47" s="533"/>
      <c r="IL47" s="533"/>
      <c r="IM47" s="533"/>
      <c r="IN47" s="533"/>
      <c r="IO47" s="533"/>
      <c r="IP47" s="347"/>
      <c r="IQ47" s="347"/>
      <c r="IR47" s="347"/>
      <c r="IS47" s="347"/>
      <c r="IT47" s="347"/>
      <c r="IU47" s="347"/>
      <c r="IV47" s="347"/>
    </row>
    <row r="48" spans="1:256" s="513" customFormat="1" ht="12.75">
      <c r="A48" s="520"/>
      <c r="B48" s="520"/>
      <c r="C48" s="238"/>
      <c r="D48" s="358">
        <v>57.48</v>
      </c>
      <c r="E48" s="238"/>
      <c r="F48" s="519">
        <v>348271</v>
      </c>
      <c r="G48" s="298">
        <v>41351</v>
      </c>
      <c r="H48" s="540">
        <f t="shared" si="3"/>
        <v>6058.9944328462079</v>
      </c>
      <c r="I48" s="260" t="s">
        <v>92</v>
      </c>
      <c r="J48" s="542">
        <v>47.42</v>
      </c>
      <c r="K48" s="526">
        <v>57.48</v>
      </c>
      <c r="L48" s="543">
        <v>348271</v>
      </c>
      <c r="M48" s="540">
        <f t="shared" si="1"/>
        <v>57.48</v>
      </c>
      <c r="N48" s="540">
        <f t="shared" si="4"/>
        <v>348271</v>
      </c>
      <c r="O48" s="535"/>
      <c r="P48" s="540">
        <f t="shared" si="6"/>
        <v>0</v>
      </c>
      <c r="Q48" s="551">
        <f t="shared" si="5"/>
        <v>0</v>
      </c>
      <c r="R48" s="552"/>
      <c r="S48" s="549"/>
      <c r="T48" s="549"/>
      <c r="U48" s="549"/>
      <c r="V48" s="549"/>
      <c r="W48" s="549"/>
      <c r="X48" s="549"/>
      <c r="Y48" s="549"/>
      <c r="Z48" s="549"/>
      <c r="AA48" s="549"/>
      <c r="AB48" s="549"/>
      <c r="AC48" s="549"/>
      <c r="AD48" s="549"/>
      <c r="AE48" s="549"/>
      <c r="AF48" s="549"/>
      <c r="AG48" s="549"/>
      <c r="AH48" s="549"/>
      <c r="AI48" s="549"/>
      <c r="AJ48" s="549"/>
      <c r="AK48" s="549"/>
      <c r="AL48" s="549"/>
      <c r="AM48" s="549"/>
      <c r="AN48" s="549"/>
      <c r="AO48" s="549"/>
      <c r="AP48" s="549"/>
      <c r="AQ48" s="549"/>
      <c r="AR48" s="549"/>
      <c r="AS48" s="549"/>
      <c r="AT48" s="549"/>
      <c r="AU48" s="549"/>
      <c r="AV48" s="549"/>
      <c r="AW48" s="549"/>
      <c r="AX48" s="549"/>
      <c r="AY48" s="549"/>
      <c r="AZ48" s="549"/>
      <c r="BA48" s="549"/>
      <c r="BB48" s="549"/>
      <c r="BC48" s="549"/>
      <c r="BD48" s="549"/>
      <c r="BE48" s="549"/>
      <c r="BF48" s="549"/>
      <c r="BG48" s="549"/>
      <c r="BH48" s="549"/>
      <c r="BI48" s="549"/>
      <c r="BJ48" s="549"/>
      <c r="BK48" s="549"/>
      <c r="BL48" s="549"/>
      <c r="BM48" s="549"/>
      <c r="BN48" s="549"/>
      <c r="BO48" s="549"/>
      <c r="BP48" s="549"/>
      <c r="BQ48" s="549"/>
      <c r="BR48" s="549"/>
      <c r="BS48" s="549"/>
      <c r="BT48" s="549"/>
      <c r="BU48" s="549"/>
      <c r="BV48" s="549"/>
      <c r="BW48" s="549"/>
      <c r="BX48" s="549"/>
      <c r="BY48" s="549"/>
      <c r="BZ48" s="549"/>
      <c r="CA48" s="549"/>
      <c r="CB48" s="549"/>
      <c r="CC48" s="549"/>
      <c r="CD48" s="549"/>
      <c r="CE48" s="549"/>
      <c r="CF48" s="549"/>
      <c r="CG48" s="549"/>
      <c r="CH48" s="549"/>
      <c r="CI48" s="549"/>
      <c r="CJ48" s="549"/>
      <c r="CK48" s="549"/>
      <c r="CL48" s="549"/>
      <c r="CM48" s="549"/>
      <c r="CN48" s="549"/>
      <c r="CO48" s="549"/>
      <c r="CP48" s="549"/>
      <c r="CQ48" s="549"/>
      <c r="CR48" s="549"/>
      <c r="CS48" s="549"/>
      <c r="CT48" s="549"/>
      <c r="CU48" s="549"/>
      <c r="CV48" s="549"/>
      <c r="CW48" s="549"/>
      <c r="CX48" s="549"/>
      <c r="CY48" s="549"/>
      <c r="CZ48" s="549"/>
      <c r="DA48" s="549"/>
      <c r="DB48" s="549"/>
      <c r="DC48" s="549"/>
      <c r="DD48" s="549"/>
      <c r="DE48" s="549"/>
      <c r="DF48" s="549"/>
      <c r="DG48" s="549"/>
      <c r="DH48" s="549"/>
      <c r="DI48" s="549"/>
      <c r="DJ48" s="549"/>
      <c r="DK48" s="549"/>
      <c r="DL48" s="549"/>
      <c r="DM48" s="549"/>
      <c r="DN48" s="549"/>
      <c r="DO48" s="549"/>
      <c r="DP48" s="549"/>
      <c r="DQ48" s="549"/>
      <c r="DR48" s="549"/>
      <c r="DS48" s="549"/>
      <c r="DT48" s="549"/>
      <c r="DU48" s="549"/>
      <c r="DV48" s="549"/>
      <c r="DW48" s="549"/>
      <c r="DX48" s="549"/>
      <c r="DY48" s="549"/>
      <c r="DZ48" s="549"/>
      <c r="EA48" s="549"/>
      <c r="EB48" s="549"/>
      <c r="EC48" s="549"/>
      <c r="ED48" s="549"/>
      <c r="EE48" s="549"/>
      <c r="EF48" s="549"/>
      <c r="EG48" s="549"/>
      <c r="EH48" s="549"/>
      <c r="EI48" s="549"/>
      <c r="EJ48" s="549"/>
      <c r="EK48" s="549"/>
      <c r="EL48" s="549"/>
      <c r="EM48" s="549"/>
      <c r="EN48" s="549"/>
      <c r="EO48" s="549"/>
      <c r="EP48" s="549"/>
      <c r="EQ48" s="549"/>
      <c r="ER48" s="549"/>
      <c r="ES48" s="549"/>
      <c r="ET48" s="549"/>
      <c r="EU48" s="549"/>
      <c r="EV48" s="549"/>
      <c r="EW48" s="549"/>
      <c r="EX48" s="549"/>
      <c r="EY48" s="549"/>
      <c r="EZ48" s="549"/>
      <c r="FA48" s="549"/>
      <c r="FB48" s="549"/>
      <c r="FC48" s="549"/>
      <c r="FD48" s="549"/>
      <c r="FE48" s="549"/>
      <c r="FF48" s="549"/>
      <c r="FG48" s="549"/>
      <c r="FH48" s="549"/>
      <c r="FI48" s="549"/>
      <c r="FJ48" s="549"/>
      <c r="FK48" s="549"/>
      <c r="FL48" s="549"/>
      <c r="FM48" s="549"/>
      <c r="FN48" s="549"/>
      <c r="FO48" s="549"/>
      <c r="FP48" s="549"/>
      <c r="FQ48" s="549"/>
      <c r="FR48" s="549"/>
      <c r="FS48" s="549"/>
      <c r="FT48" s="549"/>
      <c r="FU48" s="549"/>
      <c r="FV48" s="549"/>
      <c r="FW48" s="549"/>
      <c r="FX48" s="549"/>
      <c r="FY48" s="549"/>
      <c r="FZ48" s="549"/>
      <c r="GA48" s="549"/>
      <c r="GB48" s="549"/>
      <c r="GC48" s="549"/>
      <c r="GD48" s="549"/>
      <c r="GE48" s="549"/>
      <c r="GF48" s="549"/>
      <c r="GG48" s="549"/>
      <c r="GH48" s="549"/>
      <c r="GI48" s="549"/>
      <c r="GJ48" s="549"/>
      <c r="GK48" s="549"/>
      <c r="GL48" s="549"/>
      <c r="GM48" s="549"/>
      <c r="GN48" s="549"/>
      <c r="GO48" s="549"/>
      <c r="GP48" s="549"/>
      <c r="GQ48" s="549"/>
      <c r="GR48" s="549"/>
      <c r="GS48" s="549"/>
      <c r="GT48" s="549"/>
      <c r="GU48" s="549"/>
      <c r="GV48" s="549"/>
      <c r="GW48" s="549"/>
      <c r="GX48" s="549"/>
      <c r="GY48" s="549"/>
      <c r="GZ48" s="549"/>
      <c r="HA48" s="549"/>
      <c r="HB48" s="549"/>
      <c r="HC48" s="549"/>
      <c r="HD48" s="549"/>
      <c r="HE48" s="549"/>
      <c r="HF48" s="549"/>
      <c r="HG48" s="549"/>
      <c r="HH48" s="549"/>
      <c r="HI48" s="549"/>
      <c r="HJ48" s="549"/>
      <c r="HK48" s="549"/>
      <c r="HL48" s="549"/>
      <c r="HM48" s="549"/>
      <c r="HN48" s="549"/>
      <c r="HO48" s="549"/>
      <c r="HP48" s="549"/>
      <c r="HQ48" s="549"/>
      <c r="HR48" s="549"/>
      <c r="HS48" s="549"/>
      <c r="HT48" s="549"/>
      <c r="HU48" s="549"/>
      <c r="HV48" s="549"/>
      <c r="HW48" s="533"/>
      <c r="HX48" s="533"/>
      <c r="HY48" s="533"/>
      <c r="HZ48" s="533"/>
      <c r="IA48" s="533"/>
      <c r="IB48" s="533"/>
      <c r="IC48" s="533"/>
      <c r="ID48" s="533"/>
      <c r="IE48" s="533"/>
      <c r="IF48" s="533"/>
      <c r="IG48" s="533"/>
      <c r="IH48" s="533"/>
      <c r="II48" s="533"/>
      <c r="IJ48" s="533"/>
      <c r="IK48" s="533"/>
      <c r="IL48" s="533"/>
      <c r="IM48" s="533"/>
      <c r="IN48" s="533"/>
      <c r="IO48" s="533"/>
      <c r="IP48" s="347"/>
      <c r="IQ48" s="347"/>
      <c r="IR48" s="347"/>
      <c r="IS48" s="347"/>
      <c r="IT48" s="347"/>
      <c r="IU48" s="347"/>
      <c r="IV48" s="347"/>
    </row>
    <row r="49" spans="1:256" s="513" customFormat="1" ht="12.75">
      <c r="A49" s="520"/>
      <c r="B49" s="520"/>
      <c r="C49" s="238"/>
      <c r="D49" s="358">
        <v>57.48</v>
      </c>
      <c r="E49" s="238"/>
      <c r="F49" s="519">
        <v>349881</v>
      </c>
      <c r="G49" s="298">
        <v>40801</v>
      </c>
      <c r="H49" s="540">
        <f t="shared" si="3"/>
        <v>6087.004175365345</v>
      </c>
      <c r="I49" s="260"/>
      <c r="J49" s="542">
        <v>47.42</v>
      </c>
      <c r="K49" s="526">
        <v>57.48</v>
      </c>
      <c r="L49" s="544">
        <v>349881</v>
      </c>
      <c r="M49" s="540">
        <f t="shared" si="1"/>
        <v>57.48</v>
      </c>
      <c r="N49" s="540">
        <f t="shared" si="4"/>
        <v>349881</v>
      </c>
      <c r="O49" s="535"/>
      <c r="P49" s="540">
        <f t="shared" si="6"/>
        <v>0</v>
      </c>
      <c r="Q49" s="551">
        <f t="shared" si="5"/>
        <v>0</v>
      </c>
      <c r="R49" s="552"/>
      <c r="S49" s="549"/>
      <c r="T49" s="549"/>
      <c r="U49" s="549"/>
      <c r="V49" s="549"/>
      <c r="W49" s="549"/>
      <c r="X49" s="549"/>
      <c r="Y49" s="549"/>
      <c r="Z49" s="549"/>
      <c r="AA49" s="549"/>
      <c r="AB49" s="549"/>
      <c r="AC49" s="549"/>
      <c r="AD49" s="549"/>
      <c r="AE49" s="549"/>
      <c r="AF49" s="549"/>
      <c r="AG49" s="549"/>
      <c r="AH49" s="549"/>
      <c r="AI49" s="549"/>
      <c r="AJ49" s="549"/>
      <c r="AK49" s="549"/>
      <c r="AL49" s="549"/>
      <c r="AM49" s="549"/>
      <c r="AN49" s="549"/>
      <c r="AO49" s="549"/>
      <c r="AP49" s="549"/>
      <c r="AQ49" s="549"/>
      <c r="AR49" s="549"/>
      <c r="AS49" s="549"/>
      <c r="AT49" s="549"/>
      <c r="AU49" s="549"/>
      <c r="AV49" s="549"/>
      <c r="AW49" s="549"/>
      <c r="AX49" s="549"/>
      <c r="AY49" s="549"/>
      <c r="AZ49" s="549"/>
      <c r="BA49" s="549"/>
      <c r="BB49" s="549"/>
      <c r="BC49" s="549"/>
      <c r="BD49" s="549"/>
      <c r="BE49" s="549"/>
      <c r="BF49" s="549"/>
      <c r="BG49" s="549"/>
      <c r="BH49" s="549"/>
      <c r="BI49" s="549"/>
      <c r="BJ49" s="549"/>
      <c r="BK49" s="549"/>
      <c r="BL49" s="549"/>
      <c r="BM49" s="549"/>
      <c r="BN49" s="549"/>
      <c r="BO49" s="549"/>
      <c r="BP49" s="549"/>
      <c r="BQ49" s="549"/>
      <c r="BR49" s="549"/>
      <c r="BS49" s="549"/>
      <c r="BT49" s="549"/>
      <c r="BU49" s="549"/>
      <c r="BV49" s="549"/>
      <c r="BW49" s="549"/>
      <c r="BX49" s="549"/>
      <c r="BY49" s="549"/>
      <c r="BZ49" s="549"/>
      <c r="CA49" s="549"/>
      <c r="CB49" s="549"/>
      <c r="CC49" s="549"/>
      <c r="CD49" s="549"/>
      <c r="CE49" s="549"/>
      <c r="CF49" s="549"/>
      <c r="CG49" s="549"/>
      <c r="CH49" s="549"/>
      <c r="CI49" s="549"/>
      <c r="CJ49" s="549"/>
      <c r="CK49" s="549"/>
      <c r="CL49" s="549"/>
      <c r="CM49" s="549"/>
      <c r="CN49" s="549"/>
      <c r="CO49" s="549"/>
      <c r="CP49" s="549"/>
      <c r="CQ49" s="549"/>
      <c r="CR49" s="549"/>
      <c r="CS49" s="549"/>
      <c r="CT49" s="549"/>
      <c r="CU49" s="549"/>
      <c r="CV49" s="549"/>
      <c r="CW49" s="549"/>
      <c r="CX49" s="549"/>
      <c r="CY49" s="549"/>
      <c r="CZ49" s="549"/>
      <c r="DA49" s="549"/>
      <c r="DB49" s="549"/>
      <c r="DC49" s="549"/>
      <c r="DD49" s="549"/>
      <c r="DE49" s="549"/>
      <c r="DF49" s="549"/>
      <c r="DG49" s="549"/>
      <c r="DH49" s="549"/>
      <c r="DI49" s="549"/>
      <c r="DJ49" s="549"/>
      <c r="DK49" s="549"/>
      <c r="DL49" s="549"/>
      <c r="DM49" s="549"/>
      <c r="DN49" s="549"/>
      <c r="DO49" s="549"/>
      <c r="DP49" s="549"/>
      <c r="DQ49" s="549"/>
      <c r="DR49" s="549"/>
      <c r="DS49" s="549"/>
      <c r="DT49" s="549"/>
      <c r="DU49" s="549"/>
      <c r="DV49" s="549"/>
      <c r="DW49" s="549"/>
      <c r="DX49" s="549"/>
      <c r="DY49" s="549"/>
      <c r="DZ49" s="549"/>
      <c r="EA49" s="549"/>
      <c r="EB49" s="549"/>
      <c r="EC49" s="549"/>
      <c r="ED49" s="549"/>
      <c r="EE49" s="549"/>
      <c r="EF49" s="549"/>
      <c r="EG49" s="549"/>
      <c r="EH49" s="549"/>
      <c r="EI49" s="549"/>
      <c r="EJ49" s="549"/>
      <c r="EK49" s="549"/>
      <c r="EL49" s="549"/>
      <c r="EM49" s="549"/>
      <c r="EN49" s="549"/>
      <c r="EO49" s="549"/>
      <c r="EP49" s="549"/>
      <c r="EQ49" s="549"/>
      <c r="ER49" s="549"/>
      <c r="ES49" s="549"/>
      <c r="ET49" s="549"/>
      <c r="EU49" s="549"/>
      <c r="EV49" s="549"/>
      <c r="EW49" s="549"/>
      <c r="EX49" s="549"/>
      <c r="EY49" s="549"/>
      <c r="EZ49" s="549"/>
      <c r="FA49" s="549"/>
      <c r="FB49" s="549"/>
      <c r="FC49" s="549"/>
      <c r="FD49" s="549"/>
      <c r="FE49" s="549"/>
      <c r="FF49" s="549"/>
      <c r="FG49" s="549"/>
      <c r="FH49" s="549"/>
      <c r="FI49" s="549"/>
      <c r="FJ49" s="549"/>
      <c r="FK49" s="549"/>
      <c r="FL49" s="549"/>
      <c r="FM49" s="549"/>
      <c r="FN49" s="549"/>
      <c r="FO49" s="549"/>
      <c r="FP49" s="549"/>
      <c r="FQ49" s="549"/>
      <c r="FR49" s="549"/>
      <c r="FS49" s="549"/>
      <c r="FT49" s="549"/>
      <c r="FU49" s="549"/>
      <c r="FV49" s="549"/>
      <c r="FW49" s="549"/>
      <c r="FX49" s="549"/>
      <c r="FY49" s="549"/>
      <c r="FZ49" s="549"/>
      <c r="GA49" s="549"/>
      <c r="GB49" s="549"/>
      <c r="GC49" s="549"/>
      <c r="GD49" s="549"/>
      <c r="GE49" s="549"/>
      <c r="GF49" s="549"/>
      <c r="GG49" s="549"/>
      <c r="GH49" s="549"/>
      <c r="GI49" s="549"/>
      <c r="GJ49" s="549"/>
      <c r="GK49" s="549"/>
      <c r="GL49" s="549"/>
      <c r="GM49" s="549"/>
      <c r="GN49" s="549"/>
      <c r="GO49" s="549"/>
      <c r="GP49" s="549"/>
      <c r="GQ49" s="549"/>
      <c r="GR49" s="549"/>
      <c r="GS49" s="549"/>
      <c r="GT49" s="549"/>
      <c r="GU49" s="549"/>
      <c r="GV49" s="549"/>
      <c r="GW49" s="549"/>
      <c r="GX49" s="549"/>
      <c r="GY49" s="549"/>
      <c r="GZ49" s="549"/>
      <c r="HA49" s="549"/>
      <c r="HB49" s="549"/>
      <c r="HC49" s="549"/>
      <c r="HD49" s="549"/>
      <c r="HE49" s="549"/>
      <c r="HF49" s="549"/>
      <c r="HG49" s="549"/>
      <c r="HH49" s="549"/>
      <c r="HI49" s="549"/>
      <c r="HJ49" s="549"/>
      <c r="HK49" s="549"/>
      <c r="HL49" s="549"/>
      <c r="HM49" s="549"/>
      <c r="HN49" s="549"/>
      <c r="HO49" s="549"/>
      <c r="HP49" s="549"/>
      <c r="HQ49" s="549"/>
      <c r="HR49" s="549"/>
      <c r="HS49" s="549"/>
      <c r="HT49" s="549"/>
      <c r="HU49" s="549"/>
      <c r="HV49" s="549"/>
      <c r="HW49" s="533"/>
      <c r="HX49" s="533"/>
      <c r="HY49" s="533"/>
      <c r="HZ49" s="533"/>
      <c r="IA49" s="533"/>
      <c r="IB49" s="533"/>
      <c r="IC49" s="533"/>
      <c r="ID49" s="533"/>
      <c r="IE49" s="533"/>
      <c r="IF49" s="533"/>
      <c r="IG49" s="533"/>
      <c r="IH49" s="533"/>
      <c r="II49" s="533"/>
      <c r="IJ49" s="533"/>
      <c r="IK49" s="533"/>
      <c r="IL49" s="533"/>
      <c r="IM49" s="533"/>
      <c r="IN49" s="533"/>
      <c r="IO49" s="533"/>
      <c r="IP49" s="347"/>
      <c r="IQ49" s="347"/>
      <c r="IR49" s="347"/>
      <c r="IS49" s="347"/>
      <c r="IT49" s="347"/>
      <c r="IU49" s="347"/>
      <c r="IV49" s="347"/>
    </row>
    <row r="50" spans="1:256" s="513" customFormat="1" ht="12.75">
      <c r="A50" s="520"/>
      <c r="B50" s="520"/>
      <c r="C50" s="238"/>
      <c r="D50" s="358">
        <v>69.83</v>
      </c>
      <c r="E50" s="238"/>
      <c r="F50" s="519">
        <v>374987</v>
      </c>
      <c r="G50" s="298">
        <v>40828</v>
      </c>
      <c r="H50" s="540">
        <f t="shared" si="3"/>
        <v>5369.9985679507372</v>
      </c>
      <c r="I50" s="260"/>
      <c r="J50" s="542">
        <v>57.61</v>
      </c>
      <c r="K50" s="526">
        <v>69.83</v>
      </c>
      <c r="L50" s="540">
        <v>374987</v>
      </c>
      <c r="M50" s="540">
        <f t="shared" si="1"/>
        <v>69.83</v>
      </c>
      <c r="N50" s="540">
        <f t="shared" si="4"/>
        <v>374987</v>
      </c>
      <c r="O50" s="535"/>
      <c r="P50" s="540">
        <f t="shared" si="6"/>
        <v>0</v>
      </c>
      <c r="Q50" s="551">
        <f t="shared" si="5"/>
        <v>0</v>
      </c>
      <c r="R50" s="552"/>
      <c r="S50" s="549"/>
      <c r="T50" s="549"/>
      <c r="U50" s="549"/>
      <c r="V50" s="549"/>
      <c r="W50" s="549"/>
      <c r="X50" s="549"/>
      <c r="Y50" s="549"/>
      <c r="Z50" s="549"/>
      <c r="AA50" s="549"/>
      <c r="AB50" s="549"/>
      <c r="AC50" s="549"/>
      <c r="AD50" s="549"/>
      <c r="AE50" s="549"/>
      <c r="AF50" s="549"/>
      <c r="AG50" s="549"/>
      <c r="AH50" s="549"/>
      <c r="AI50" s="549"/>
      <c r="AJ50" s="549"/>
      <c r="AK50" s="549"/>
      <c r="AL50" s="549"/>
      <c r="AM50" s="549"/>
      <c r="AN50" s="549"/>
      <c r="AO50" s="549"/>
      <c r="AP50" s="549"/>
      <c r="AQ50" s="549"/>
      <c r="AR50" s="549"/>
      <c r="AS50" s="549"/>
      <c r="AT50" s="549"/>
      <c r="AU50" s="549"/>
      <c r="AV50" s="549"/>
      <c r="AW50" s="549"/>
      <c r="AX50" s="549"/>
      <c r="AY50" s="549"/>
      <c r="AZ50" s="549"/>
      <c r="BA50" s="549"/>
      <c r="BB50" s="549"/>
      <c r="BC50" s="549"/>
      <c r="BD50" s="549"/>
      <c r="BE50" s="549"/>
      <c r="BF50" s="549"/>
      <c r="BG50" s="549"/>
      <c r="BH50" s="549"/>
      <c r="BI50" s="549"/>
      <c r="BJ50" s="549"/>
      <c r="BK50" s="549"/>
      <c r="BL50" s="549"/>
      <c r="BM50" s="549"/>
      <c r="BN50" s="549"/>
      <c r="BO50" s="549"/>
      <c r="BP50" s="549"/>
      <c r="BQ50" s="549"/>
      <c r="BR50" s="549"/>
      <c r="BS50" s="549"/>
      <c r="BT50" s="549"/>
      <c r="BU50" s="549"/>
      <c r="BV50" s="549"/>
      <c r="BW50" s="549"/>
      <c r="BX50" s="549"/>
      <c r="BY50" s="549"/>
      <c r="BZ50" s="549"/>
      <c r="CA50" s="549"/>
      <c r="CB50" s="549"/>
      <c r="CC50" s="549"/>
      <c r="CD50" s="549"/>
      <c r="CE50" s="549"/>
      <c r="CF50" s="549"/>
      <c r="CG50" s="549"/>
      <c r="CH50" s="549"/>
      <c r="CI50" s="549"/>
      <c r="CJ50" s="549"/>
      <c r="CK50" s="549"/>
      <c r="CL50" s="549"/>
      <c r="CM50" s="549"/>
      <c r="CN50" s="549"/>
      <c r="CO50" s="549"/>
      <c r="CP50" s="549"/>
      <c r="CQ50" s="549"/>
      <c r="CR50" s="549"/>
      <c r="CS50" s="549"/>
      <c r="CT50" s="549"/>
      <c r="CU50" s="549"/>
      <c r="CV50" s="549"/>
      <c r="CW50" s="549"/>
      <c r="CX50" s="549"/>
      <c r="CY50" s="549"/>
      <c r="CZ50" s="549"/>
      <c r="DA50" s="549"/>
      <c r="DB50" s="549"/>
      <c r="DC50" s="549"/>
      <c r="DD50" s="549"/>
      <c r="DE50" s="549"/>
      <c r="DF50" s="549"/>
      <c r="DG50" s="549"/>
      <c r="DH50" s="549"/>
      <c r="DI50" s="549"/>
      <c r="DJ50" s="549"/>
      <c r="DK50" s="549"/>
      <c r="DL50" s="549"/>
      <c r="DM50" s="549"/>
      <c r="DN50" s="549"/>
      <c r="DO50" s="549"/>
      <c r="DP50" s="549"/>
      <c r="DQ50" s="549"/>
      <c r="DR50" s="549"/>
      <c r="DS50" s="549"/>
      <c r="DT50" s="549"/>
      <c r="DU50" s="549"/>
      <c r="DV50" s="549"/>
      <c r="DW50" s="549"/>
      <c r="DX50" s="549"/>
      <c r="DY50" s="549"/>
      <c r="DZ50" s="549"/>
      <c r="EA50" s="549"/>
      <c r="EB50" s="549"/>
      <c r="EC50" s="549"/>
      <c r="ED50" s="549"/>
      <c r="EE50" s="549"/>
      <c r="EF50" s="549"/>
      <c r="EG50" s="549"/>
      <c r="EH50" s="549"/>
      <c r="EI50" s="549"/>
      <c r="EJ50" s="549"/>
      <c r="EK50" s="549"/>
      <c r="EL50" s="549"/>
      <c r="EM50" s="549"/>
      <c r="EN50" s="549"/>
      <c r="EO50" s="549"/>
      <c r="EP50" s="549"/>
      <c r="EQ50" s="549"/>
      <c r="ER50" s="549"/>
      <c r="ES50" s="549"/>
      <c r="ET50" s="549"/>
      <c r="EU50" s="549"/>
      <c r="EV50" s="549"/>
      <c r="EW50" s="549"/>
      <c r="EX50" s="549"/>
      <c r="EY50" s="549"/>
      <c r="EZ50" s="549"/>
      <c r="FA50" s="549"/>
      <c r="FB50" s="549"/>
      <c r="FC50" s="549"/>
      <c r="FD50" s="549"/>
      <c r="FE50" s="549"/>
      <c r="FF50" s="549"/>
      <c r="FG50" s="549"/>
      <c r="FH50" s="549"/>
      <c r="FI50" s="549"/>
      <c r="FJ50" s="549"/>
      <c r="FK50" s="549"/>
      <c r="FL50" s="549"/>
      <c r="FM50" s="549"/>
      <c r="FN50" s="549"/>
      <c r="FO50" s="549"/>
      <c r="FP50" s="549"/>
      <c r="FQ50" s="549"/>
      <c r="FR50" s="549"/>
      <c r="FS50" s="549"/>
      <c r="FT50" s="549"/>
      <c r="FU50" s="549"/>
      <c r="FV50" s="549"/>
      <c r="FW50" s="549"/>
      <c r="FX50" s="549"/>
      <c r="FY50" s="549"/>
      <c r="FZ50" s="549"/>
      <c r="GA50" s="549"/>
      <c r="GB50" s="549"/>
      <c r="GC50" s="549"/>
      <c r="GD50" s="549"/>
      <c r="GE50" s="549"/>
      <c r="GF50" s="549"/>
      <c r="GG50" s="549"/>
      <c r="GH50" s="549"/>
      <c r="GI50" s="549"/>
      <c r="GJ50" s="549"/>
      <c r="GK50" s="549"/>
      <c r="GL50" s="549"/>
      <c r="GM50" s="549"/>
      <c r="GN50" s="549"/>
      <c r="GO50" s="549"/>
      <c r="GP50" s="549"/>
      <c r="GQ50" s="549"/>
      <c r="GR50" s="549"/>
      <c r="GS50" s="549"/>
      <c r="GT50" s="549"/>
      <c r="GU50" s="549"/>
      <c r="GV50" s="549"/>
      <c r="GW50" s="549"/>
      <c r="GX50" s="549"/>
      <c r="GY50" s="549"/>
      <c r="GZ50" s="549"/>
      <c r="HA50" s="549"/>
      <c r="HB50" s="549"/>
      <c r="HC50" s="549"/>
      <c r="HD50" s="549"/>
      <c r="HE50" s="549"/>
      <c r="HF50" s="549"/>
      <c r="HG50" s="549"/>
      <c r="HH50" s="549"/>
      <c r="HI50" s="549"/>
      <c r="HJ50" s="549"/>
      <c r="HK50" s="549"/>
      <c r="HL50" s="549"/>
      <c r="HM50" s="549"/>
      <c r="HN50" s="549"/>
      <c r="HO50" s="549"/>
      <c r="HP50" s="549"/>
      <c r="HQ50" s="549"/>
      <c r="HR50" s="549"/>
      <c r="HS50" s="549"/>
      <c r="HT50" s="549"/>
      <c r="HU50" s="549"/>
      <c r="HV50" s="549"/>
      <c r="HW50" s="533"/>
      <c r="HX50" s="533"/>
      <c r="HY50" s="533"/>
      <c r="HZ50" s="533"/>
      <c r="IA50" s="533"/>
      <c r="IB50" s="533"/>
      <c r="IC50" s="533"/>
      <c r="ID50" s="533"/>
      <c r="IE50" s="533"/>
      <c r="IF50" s="533"/>
      <c r="IG50" s="533"/>
      <c r="IH50" s="533"/>
      <c r="II50" s="533"/>
      <c r="IJ50" s="533"/>
      <c r="IK50" s="533"/>
      <c r="IL50" s="533"/>
      <c r="IM50" s="533"/>
      <c r="IN50" s="533"/>
      <c r="IO50" s="533"/>
      <c r="IP50" s="347"/>
      <c r="IQ50" s="347"/>
      <c r="IR50" s="347"/>
      <c r="IS50" s="347"/>
      <c r="IT50" s="347"/>
      <c r="IU50" s="347"/>
      <c r="IV50" s="347"/>
    </row>
    <row r="51" spans="1:256" s="513" customFormat="1" ht="12.75">
      <c r="A51" s="520"/>
      <c r="B51" s="520"/>
      <c r="C51" s="238"/>
      <c r="D51" s="358">
        <v>70.48</v>
      </c>
      <c r="E51" s="238"/>
      <c r="F51" s="519">
        <v>262561</v>
      </c>
      <c r="G51" s="298">
        <v>40385</v>
      </c>
      <c r="H51" s="540">
        <f t="shared" si="3"/>
        <v>3760.0028640985252</v>
      </c>
      <c r="I51" s="260" t="s">
        <v>91</v>
      </c>
      <c r="J51" s="542">
        <v>57.61</v>
      </c>
      <c r="K51" s="526">
        <v>69.83</v>
      </c>
      <c r="L51" s="540">
        <v>262561</v>
      </c>
      <c r="M51" s="540">
        <f t="shared" si="1"/>
        <v>69.83</v>
      </c>
      <c r="N51" s="540">
        <f t="shared" si="4"/>
        <v>262561</v>
      </c>
      <c r="O51" s="535"/>
      <c r="P51" s="540">
        <f t="shared" si="6"/>
        <v>0</v>
      </c>
      <c r="Q51" s="551">
        <f t="shared" si="5"/>
        <v>0</v>
      </c>
      <c r="R51" s="552"/>
      <c r="S51" s="549"/>
      <c r="T51" s="549"/>
      <c r="U51" s="549"/>
      <c r="V51" s="549"/>
      <c r="W51" s="549"/>
      <c r="X51" s="549"/>
      <c r="Y51" s="549"/>
      <c r="Z51" s="549"/>
      <c r="AA51" s="549"/>
      <c r="AB51" s="549"/>
      <c r="AC51" s="549"/>
      <c r="AD51" s="549"/>
      <c r="AE51" s="549"/>
      <c r="AF51" s="549"/>
      <c r="AG51" s="549"/>
      <c r="AH51" s="549"/>
      <c r="AI51" s="549"/>
      <c r="AJ51" s="549"/>
      <c r="AK51" s="549"/>
      <c r="AL51" s="549"/>
      <c r="AM51" s="549"/>
      <c r="AN51" s="549"/>
      <c r="AO51" s="549"/>
      <c r="AP51" s="549"/>
      <c r="AQ51" s="549"/>
      <c r="AR51" s="549"/>
      <c r="AS51" s="549"/>
      <c r="AT51" s="549"/>
      <c r="AU51" s="549"/>
      <c r="AV51" s="549"/>
      <c r="AW51" s="549"/>
      <c r="AX51" s="549"/>
      <c r="AY51" s="549"/>
      <c r="AZ51" s="549"/>
      <c r="BA51" s="549"/>
      <c r="BB51" s="549"/>
      <c r="BC51" s="549"/>
      <c r="BD51" s="549"/>
      <c r="BE51" s="549"/>
      <c r="BF51" s="549"/>
      <c r="BG51" s="549"/>
      <c r="BH51" s="549"/>
      <c r="BI51" s="549"/>
      <c r="BJ51" s="549"/>
      <c r="BK51" s="549"/>
      <c r="BL51" s="549"/>
      <c r="BM51" s="549"/>
      <c r="BN51" s="549"/>
      <c r="BO51" s="549"/>
      <c r="BP51" s="549"/>
      <c r="BQ51" s="549"/>
      <c r="BR51" s="549"/>
      <c r="BS51" s="549"/>
      <c r="BT51" s="549"/>
      <c r="BU51" s="549"/>
      <c r="BV51" s="549"/>
      <c r="BW51" s="549"/>
      <c r="BX51" s="549"/>
      <c r="BY51" s="549"/>
      <c r="BZ51" s="549"/>
      <c r="CA51" s="549"/>
      <c r="CB51" s="549"/>
      <c r="CC51" s="549"/>
      <c r="CD51" s="549"/>
      <c r="CE51" s="549"/>
      <c r="CF51" s="549"/>
      <c r="CG51" s="549"/>
      <c r="CH51" s="549"/>
      <c r="CI51" s="549"/>
      <c r="CJ51" s="549"/>
      <c r="CK51" s="549"/>
      <c r="CL51" s="549"/>
      <c r="CM51" s="549"/>
      <c r="CN51" s="549"/>
      <c r="CO51" s="549"/>
      <c r="CP51" s="549"/>
      <c r="CQ51" s="549"/>
      <c r="CR51" s="549"/>
      <c r="CS51" s="549"/>
      <c r="CT51" s="549"/>
      <c r="CU51" s="549"/>
      <c r="CV51" s="549"/>
      <c r="CW51" s="549"/>
      <c r="CX51" s="549"/>
      <c r="CY51" s="549"/>
      <c r="CZ51" s="549"/>
      <c r="DA51" s="549"/>
      <c r="DB51" s="549"/>
      <c r="DC51" s="549"/>
      <c r="DD51" s="549"/>
      <c r="DE51" s="549"/>
      <c r="DF51" s="549"/>
      <c r="DG51" s="549"/>
      <c r="DH51" s="549"/>
      <c r="DI51" s="549"/>
      <c r="DJ51" s="549"/>
      <c r="DK51" s="549"/>
      <c r="DL51" s="549"/>
      <c r="DM51" s="549"/>
      <c r="DN51" s="549"/>
      <c r="DO51" s="549"/>
      <c r="DP51" s="549"/>
      <c r="DQ51" s="549"/>
      <c r="DR51" s="549"/>
      <c r="DS51" s="549"/>
      <c r="DT51" s="549"/>
      <c r="DU51" s="549"/>
      <c r="DV51" s="549"/>
      <c r="DW51" s="549"/>
      <c r="DX51" s="549"/>
      <c r="DY51" s="549"/>
      <c r="DZ51" s="549"/>
      <c r="EA51" s="549"/>
      <c r="EB51" s="549"/>
      <c r="EC51" s="549"/>
      <c r="ED51" s="549"/>
      <c r="EE51" s="549"/>
      <c r="EF51" s="549"/>
      <c r="EG51" s="549"/>
      <c r="EH51" s="549"/>
      <c r="EI51" s="549"/>
      <c r="EJ51" s="549"/>
      <c r="EK51" s="549"/>
      <c r="EL51" s="549"/>
      <c r="EM51" s="549"/>
      <c r="EN51" s="549"/>
      <c r="EO51" s="549"/>
      <c r="EP51" s="549"/>
      <c r="EQ51" s="549"/>
      <c r="ER51" s="549"/>
      <c r="ES51" s="549"/>
      <c r="ET51" s="549"/>
      <c r="EU51" s="549"/>
      <c r="EV51" s="549"/>
      <c r="EW51" s="549"/>
      <c r="EX51" s="549"/>
      <c r="EY51" s="549"/>
      <c r="EZ51" s="549"/>
      <c r="FA51" s="549"/>
      <c r="FB51" s="549"/>
      <c r="FC51" s="549"/>
      <c r="FD51" s="549"/>
      <c r="FE51" s="549"/>
      <c r="FF51" s="549"/>
      <c r="FG51" s="549"/>
      <c r="FH51" s="549"/>
      <c r="FI51" s="549"/>
      <c r="FJ51" s="549"/>
      <c r="FK51" s="549"/>
      <c r="FL51" s="549"/>
      <c r="FM51" s="549"/>
      <c r="FN51" s="549"/>
      <c r="FO51" s="549"/>
      <c r="FP51" s="549"/>
      <c r="FQ51" s="549"/>
      <c r="FR51" s="549"/>
      <c r="FS51" s="549"/>
      <c r="FT51" s="549"/>
      <c r="FU51" s="549"/>
      <c r="FV51" s="549"/>
      <c r="FW51" s="549"/>
      <c r="FX51" s="549"/>
      <c r="FY51" s="549"/>
      <c r="FZ51" s="549"/>
      <c r="GA51" s="549"/>
      <c r="GB51" s="549"/>
      <c r="GC51" s="549"/>
      <c r="GD51" s="549"/>
      <c r="GE51" s="549"/>
      <c r="GF51" s="549"/>
      <c r="GG51" s="549"/>
      <c r="GH51" s="549"/>
      <c r="GI51" s="549"/>
      <c r="GJ51" s="549"/>
      <c r="GK51" s="549"/>
      <c r="GL51" s="549"/>
      <c r="GM51" s="549"/>
      <c r="GN51" s="549"/>
      <c r="GO51" s="549"/>
      <c r="GP51" s="549"/>
      <c r="GQ51" s="549"/>
      <c r="GR51" s="549"/>
      <c r="GS51" s="549"/>
      <c r="GT51" s="549"/>
      <c r="GU51" s="549"/>
      <c r="GV51" s="549"/>
      <c r="GW51" s="549"/>
      <c r="GX51" s="549"/>
      <c r="GY51" s="549"/>
      <c r="GZ51" s="549"/>
      <c r="HA51" s="549"/>
      <c r="HB51" s="549"/>
      <c r="HC51" s="549"/>
      <c r="HD51" s="549"/>
      <c r="HE51" s="549"/>
      <c r="HF51" s="549"/>
      <c r="HG51" s="549"/>
      <c r="HH51" s="549"/>
      <c r="HI51" s="549"/>
      <c r="HJ51" s="549"/>
      <c r="HK51" s="549"/>
      <c r="HL51" s="549"/>
      <c r="HM51" s="549"/>
      <c r="HN51" s="549"/>
      <c r="HO51" s="549"/>
      <c r="HP51" s="549"/>
      <c r="HQ51" s="549"/>
      <c r="HR51" s="549"/>
      <c r="HS51" s="549"/>
      <c r="HT51" s="549"/>
      <c r="HU51" s="549"/>
      <c r="HV51" s="549"/>
      <c r="HW51" s="533"/>
      <c r="HX51" s="533"/>
      <c r="HY51" s="533"/>
      <c r="HZ51" s="533"/>
      <c r="IA51" s="533"/>
      <c r="IB51" s="533"/>
      <c r="IC51" s="533"/>
      <c r="ID51" s="533"/>
      <c r="IE51" s="533"/>
      <c r="IF51" s="533"/>
      <c r="IG51" s="533"/>
      <c r="IH51" s="533"/>
      <c r="II51" s="533"/>
      <c r="IJ51" s="533"/>
      <c r="IK51" s="533"/>
      <c r="IL51" s="533"/>
      <c r="IM51" s="533"/>
      <c r="IN51" s="533"/>
      <c r="IO51" s="533"/>
      <c r="IP51" s="347"/>
      <c r="IQ51" s="347"/>
      <c r="IR51" s="347"/>
      <c r="IS51" s="347"/>
      <c r="IT51" s="347"/>
      <c r="IU51" s="347"/>
      <c r="IV51" s="347"/>
    </row>
    <row r="52" spans="1:256" s="513" customFormat="1" ht="12.75">
      <c r="A52" s="520"/>
      <c r="B52" s="520"/>
      <c r="C52" s="238"/>
      <c r="D52" s="358">
        <v>70.48</v>
      </c>
      <c r="E52" s="238"/>
      <c r="F52" s="519">
        <v>275130</v>
      </c>
      <c r="G52" s="298">
        <v>40381</v>
      </c>
      <c r="H52" s="540">
        <f t="shared" si="3"/>
        <v>3939.9971359014753</v>
      </c>
      <c r="I52" s="260" t="s">
        <v>92</v>
      </c>
      <c r="J52" s="542">
        <v>57.61</v>
      </c>
      <c r="K52" s="545">
        <v>69.83</v>
      </c>
      <c r="L52" s="540">
        <v>275130</v>
      </c>
      <c r="M52" s="540">
        <f t="shared" si="1"/>
        <v>69.83</v>
      </c>
      <c r="N52" s="540">
        <f t="shared" si="4"/>
        <v>275130</v>
      </c>
      <c r="O52" s="535"/>
      <c r="P52" s="540">
        <f t="shared" si="6"/>
        <v>0</v>
      </c>
      <c r="Q52" s="551">
        <f t="shared" si="5"/>
        <v>0</v>
      </c>
      <c r="R52" s="552"/>
      <c r="S52" s="549"/>
      <c r="T52" s="549"/>
      <c r="U52" s="549"/>
      <c r="V52" s="549"/>
      <c r="W52" s="549"/>
      <c r="X52" s="549"/>
      <c r="Y52" s="549"/>
      <c r="Z52" s="549"/>
      <c r="AA52" s="549"/>
      <c r="AB52" s="549"/>
      <c r="AC52" s="549"/>
      <c r="AD52" s="549"/>
      <c r="AE52" s="549"/>
      <c r="AF52" s="549"/>
      <c r="AG52" s="549"/>
      <c r="AH52" s="549"/>
      <c r="AI52" s="549"/>
      <c r="AJ52" s="549"/>
      <c r="AK52" s="549"/>
      <c r="AL52" s="549"/>
      <c r="AM52" s="549"/>
      <c r="AN52" s="549"/>
      <c r="AO52" s="549"/>
      <c r="AP52" s="549"/>
      <c r="AQ52" s="549"/>
      <c r="AR52" s="549"/>
      <c r="AS52" s="549"/>
      <c r="AT52" s="549"/>
      <c r="AU52" s="549"/>
      <c r="AV52" s="549"/>
      <c r="AW52" s="549"/>
      <c r="AX52" s="549"/>
      <c r="AY52" s="549"/>
      <c r="AZ52" s="549"/>
      <c r="BA52" s="549"/>
      <c r="BB52" s="549"/>
      <c r="BC52" s="549"/>
      <c r="BD52" s="549"/>
      <c r="BE52" s="549"/>
      <c r="BF52" s="549"/>
      <c r="BG52" s="549"/>
      <c r="BH52" s="549"/>
      <c r="BI52" s="549"/>
      <c r="BJ52" s="549"/>
      <c r="BK52" s="549"/>
      <c r="BL52" s="549"/>
      <c r="BM52" s="549"/>
      <c r="BN52" s="549"/>
      <c r="BO52" s="549"/>
      <c r="BP52" s="549"/>
      <c r="BQ52" s="549"/>
      <c r="BR52" s="549"/>
      <c r="BS52" s="549"/>
      <c r="BT52" s="549"/>
      <c r="BU52" s="549"/>
      <c r="BV52" s="549"/>
      <c r="BW52" s="549"/>
      <c r="BX52" s="549"/>
      <c r="BY52" s="549"/>
      <c r="BZ52" s="549"/>
      <c r="CA52" s="549"/>
      <c r="CB52" s="549"/>
      <c r="CC52" s="549"/>
      <c r="CD52" s="549"/>
      <c r="CE52" s="549"/>
      <c r="CF52" s="549"/>
      <c r="CG52" s="549"/>
      <c r="CH52" s="549"/>
      <c r="CI52" s="549"/>
      <c r="CJ52" s="549"/>
      <c r="CK52" s="549"/>
      <c r="CL52" s="549"/>
      <c r="CM52" s="549"/>
      <c r="CN52" s="549"/>
      <c r="CO52" s="549"/>
      <c r="CP52" s="549"/>
      <c r="CQ52" s="549"/>
      <c r="CR52" s="549"/>
      <c r="CS52" s="549"/>
      <c r="CT52" s="549"/>
      <c r="CU52" s="549"/>
      <c r="CV52" s="549"/>
      <c r="CW52" s="549"/>
      <c r="CX52" s="549"/>
      <c r="CY52" s="549"/>
      <c r="CZ52" s="549"/>
      <c r="DA52" s="549"/>
      <c r="DB52" s="549"/>
      <c r="DC52" s="549"/>
      <c r="DD52" s="549"/>
      <c r="DE52" s="549"/>
      <c r="DF52" s="549"/>
      <c r="DG52" s="549"/>
      <c r="DH52" s="549"/>
      <c r="DI52" s="549"/>
      <c r="DJ52" s="549"/>
      <c r="DK52" s="549"/>
      <c r="DL52" s="549"/>
      <c r="DM52" s="549"/>
      <c r="DN52" s="549"/>
      <c r="DO52" s="549"/>
      <c r="DP52" s="549"/>
      <c r="DQ52" s="549"/>
      <c r="DR52" s="549"/>
      <c r="DS52" s="549"/>
      <c r="DT52" s="549"/>
      <c r="DU52" s="549"/>
      <c r="DV52" s="549"/>
      <c r="DW52" s="549"/>
      <c r="DX52" s="549"/>
      <c r="DY52" s="549"/>
      <c r="DZ52" s="549"/>
      <c r="EA52" s="549"/>
      <c r="EB52" s="549"/>
      <c r="EC52" s="549"/>
      <c r="ED52" s="549"/>
      <c r="EE52" s="549"/>
      <c r="EF52" s="549"/>
      <c r="EG52" s="549"/>
      <c r="EH52" s="549"/>
      <c r="EI52" s="549"/>
      <c r="EJ52" s="549"/>
      <c r="EK52" s="549"/>
      <c r="EL52" s="549"/>
      <c r="EM52" s="549"/>
      <c r="EN52" s="549"/>
      <c r="EO52" s="549"/>
      <c r="EP52" s="549"/>
      <c r="EQ52" s="549"/>
      <c r="ER52" s="549"/>
      <c r="ES52" s="549"/>
      <c r="ET52" s="549"/>
      <c r="EU52" s="549"/>
      <c r="EV52" s="549"/>
      <c r="EW52" s="549"/>
      <c r="EX52" s="549"/>
      <c r="EY52" s="549"/>
      <c r="EZ52" s="549"/>
      <c r="FA52" s="549"/>
      <c r="FB52" s="549"/>
      <c r="FC52" s="549"/>
      <c r="FD52" s="549"/>
      <c r="FE52" s="549"/>
      <c r="FF52" s="549"/>
      <c r="FG52" s="549"/>
      <c r="FH52" s="549"/>
      <c r="FI52" s="549"/>
      <c r="FJ52" s="549"/>
      <c r="FK52" s="549"/>
      <c r="FL52" s="549"/>
      <c r="FM52" s="549"/>
      <c r="FN52" s="549"/>
      <c r="FO52" s="549"/>
      <c r="FP52" s="549"/>
      <c r="FQ52" s="549"/>
      <c r="FR52" s="549"/>
      <c r="FS52" s="549"/>
      <c r="FT52" s="549"/>
      <c r="FU52" s="549"/>
      <c r="FV52" s="549"/>
      <c r="FW52" s="549"/>
      <c r="FX52" s="549"/>
      <c r="FY52" s="549"/>
      <c r="FZ52" s="549"/>
      <c r="GA52" s="549"/>
      <c r="GB52" s="549"/>
      <c r="GC52" s="549"/>
      <c r="GD52" s="549"/>
      <c r="GE52" s="549"/>
      <c r="GF52" s="549"/>
      <c r="GG52" s="549"/>
      <c r="GH52" s="549"/>
      <c r="GI52" s="549"/>
      <c r="GJ52" s="549"/>
      <c r="GK52" s="549"/>
      <c r="GL52" s="549"/>
      <c r="GM52" s="549"/>
      <c r="GN52" s="549"/>
      <c r="GO52" s="549"/>
      <c r="GP52" s="549"/>
      <c r="GQ52" s="549"/>
      <c r="GR52" s="549"/>
      <c r="GS52" s="549"/>
      <c r="GT52" s="549"/>
      <c r="GU52" s="549"/>
      <c r="GV52" s="549"/>
      <c r="GW52" s="549"/>
      <c r="GX52" s="549"/>
      <c r="GY52" s="549"/>
      <c r="GZ52" s="549"/>
      <c r="HA52" s="549"/>
      <c r="HB52" s="549"/>
      <c r="HC52" s="549"/>
      <c r="HD52" s="549"/>
      <c r="HE52" s="549"/>
      <c r="HF52" s="549"/>
      <c r="HG52" s="549"/>
      <c r="HH52" s="549"/>
      <c r="HI52" s="549"/>
      <c r="HJ52" s="549"/>
      <c r="HK52" s="549"/>
      <c r="HL52" s="549"/>
      <c r="HM52" s="549"/>
      <c r="HN52" s="549"/>
      <c r="HO52" s="549"/>
      <c r="HP52" s="549"/>
      <c r="HQ52" s="549"/>
      <c r="HR52" s="549"/>
      <c r="HS52" s="549"/>
      <c r="HT52" s="549"/>
      <c r="HU52" s="549"/>
      <c r="HV52" s="549"/>
      <c r="HW52" s="533"/>
      <c r="HX52" s="533"/>
      <c r="HY52" s="533"/>
      <c r="HZ52" s="533"/>
      <c r="IA52" s="533"/>
      <c r="IB52" s="533"/>
      <c r="IC52" s="533"/>
      <c r="ID52" s="533"/>
      <c r="IE52" s="533"/>
      <c r="IF52" s="533"/>
      <c r="IG52" s="533"/>
      <c r="IH52" s="533"/>
      <c r="II52" s="533"/>
      <c r="IJ52" s="533"/>
      <c r="IK52" s="533"/>
      <c r="IL52" s="533"/>
      <c r="IM52" s="533"/>
      <c r="IN52" s="533"/>
      <c r="IO52" s="533"/>
      <c r="IP52" s="347"/>
      <c r="IQ52" s="347"/>
      <c r="IR52" s="347"/>
      <c r="IS52" s="347"/>
      <c r="IT52" s="347"/>
      <c r="IU52" s="347"/>
      <c r="IV52" s="347"/>
    </row>
    <row r="53" spans="1:256">
      <c r="A53" s="520"/>
      <c r="B53" s="520"/>
      <c r="C53" s="238"/>
      <c r="D53" s="358">
        <v>70.48</v>
      </c>
      <c r="E53" s="238"/>
      <c r="F53" s="519">
        <v>437415</v>
      </c>
      <c r="G53" s="298"/>
      <c r="H53" s="540">
        <f t="shared" si="3"/>
        <v>6263.9982815408848</v>
      </c>
      <c r="I53" s="260" t="s">
        <v>92</v>
      </c>
      <c r="J53" s="542">
        <v>57.61</v>
      </c>
      <c r="K53" s="526">
        <v>69.83</v>
      </c>
      <c r="L53" s="540">
        <v>437415</v>
      </c>
      <c r="M53" s="540">
        <f t="shared" ref="M53:M116" si="7">K53</f>
        <v>69.83</v>
      </c>
      <c r="N53" s="540">
        <f t="shared" si="4"/>
        <v>437415</v>
      </c>
      <c r="O53" s="546"/>
      <c r="P53" s="540">
        <f t="shared" si="6"/>
        <v>0</v>
      </c>
      <c r="Q53" s="551">
        <f t="shared" si="5"/>
        <v>0</v>
      </c>
      <c r="R53" s="283"/>
    </row>
    <row r="54" spans="1:256">
      <c r="A54" s="520"/>
      <c r="B54" s="520"/>
      <c r="C54" s="238"/>
      <c r="D54" s="358">
        <v>70.48</v>
      </c>
      <c r="E54" s="238"/>
      <c r="F54" s="519">
        <v>442303</v>
      </c>
      <c r="G54" s="298"/>
      <c r="H54" s="540">
        <f t="shared" si="3"/>
        <v>6333.9968494916229</v>
      </c>
      <c r="I54" s="260" t="s">
        <v>92</v>
      </c>
      <c r="J54" s="542">
        <v>57.61</v>
      </c>
      <c r="K54" s="526">
        <v>69.83</v>
      </c>
      <c r="L54" s="540">
        <v>442303</v>
      </c>
      <c r="M54" s="540">
        <f t="shared" si="7"/>
        <v>69.83</v>
      </c>
      <c r="N54" s="540">
        <f t="shared" si="4"/>
        <v>442303</v>
      </c>
      <c r="O54" s="546"/>
      <c r="P54" s="540">
        <f t="shared" si="6"/>
        <v>0</v>
      </c>
      <c r="Q54" s="551">
        <f t="shared" si="5"/>
        <v>0</v>
      </c>
      <c r="R54" s="283"/>
    </row>
    <row r="55" spans="1:256">
      <c r="A55" s="520"/>
      <c r="B55" s="520"/>
      <c r="C55" s="238"/>
      <c r="D55" s="358">
        <v>70.48</v>
      </c>
      <c r="E55" s="238"/>
      <c r="F55" s="519">
        <v>291889</v>
      </c>
      <c r="G55" s="298">
        <v>40378</v>
      </c>
      <c r="H55" s="540">
        <f t="shared" si="3"/>
        <v>4179.9942718029497</v>
      </c>
      <c r="I55" s="260" t="s">
        <v>91</v>
      </c>
      <c r="J55" s="542">
        <v>57.61</v>
      </c>
      <c r="K55" s="526">
        <v>69.83</v>
      </c>
      <c r="L55" s="540">
        <v>291889</v>
      </c>
      <c r="M55" s="540">
        <f t="shared" si="7"/>
        <v>69.83</v>
      </c>
      <c r="N55" s="540">
        <f t="shared" si="4"/>
        <v>291889</v>
      </c>
      <c r="O55" s="546"/>
      <c r="P55" s="540">
        <f t="shared" si="6"/>
        <v>0</v>
      </c>
      <c r="Q55" s="551">
        <f t="shared" si="5"/>
        <v>0</v>
      </c>
      <c r="R55" s="283"/>
    </row>
    <row r="56" spans="1:256">
      <c r="A56" s="520"/>
      <c r="B56" s="520"/>
      <c r="C56" s="238"/>
      <c r="D56" s="358">
        <v>70.48</v>
      </c>
      <c r="E56" s="238"/>
      <c r="F56" s="519">
        <v>278482</v>
      </c>
      <c r="G56" s="298">
        <v>40389</v>
      </c>
      <c r="H56" s="540">
        <f t="shared" si="3"/>
        <v>3987.9994271802952</v>
      </c>
      <c r="I56" s="260" t="s">
        <v>92</v>
      </c>
      <c r="J56" s="542">
        <v>57.61</v>
      </c>
      <c r="K56" s="526">
        <v>69.83</v>
      </c>
      <c r="L56" s="367">
        <v>278482</v>
      </c>
      <c r="M56" s="540">
        <f t="shared" si="7"/>
        <v>69.83</v>
      </c>
      <c r="N56" s="540">
        <f t="shared" si="4"/>
        <v>278482</v>
      </c>
      <c r="O56" s="546"/>
      <c r="P56" s="540">
        <f t="shared" si="6"/>
        <v>0</v>
      </c>
      <c r="Q56" s="551">
        <f t="shared" si="5"/>
        <v>0</v>
      </c>
      <c r="R56" s="283"/>
    </row>
    <row r="57" spans="1:256">
      <c r="A57" s="520"/>
      <c r="B57" s="520"/>
      <c r="C57" s="238"/>
      <c r="D57" s="358">
        <v>70.48</v>
      </c>
      <c r="E57" s="238"/>
      <c r="F57" s="519">
        <v>297755</v>
      </c>
      <c r="G57" s="298">
        <v>40383</v>
      </c>
      <c r="H57" s="540">
        <f t="shared" si="3"/>
        <v>4263.9982815408848</v>
      </c>
      <c r="I57" s="260" t="s">
        <v>92</v>
      </c>
      <c r="J57" s="542">
        <v>57.61</v>
      </c>
      <c r="K57" s="526">
        <v>69.83</v>
      </c>
      <c r="L57" s="367">
        <v>297755</v>
      </c>
      <c r="M57" s="540">
        <f t="shared" si="7"/>
        <v>69.83</v>
      </c>
      <c r="N57" s="540">
        <f t="shared" si="4"/>
        <v>297755</v>
      </c>
      <c r="O57" s="546"/>
      <c r="P57" s="540">
        <f t="shared" si="6"/>
        <v>0</v>
      </c>
      <c r="Q57" s="551">
        <f t="shared" si="5"/>
        <v>0</v>
      </c>
      <c r="R57" s="283"/>
    </row>
    <row r="58" spans="1:256">
      <c r="A58" s="520"/>
      <c r="B58" s="520"/>
      <c r="C58" s="238"/>
      <c r="D58" s="358">
        <v>70.48</v>
      </c>
      <c r="E58" s="238"/>
      <c r="F58" s="519">
        <v>289655</v>
      </c>
      <c r="G58" s="298">
        <v>41291</v>
      </c>
      <c r="H58" s="540">
        <f t="shared" si="3"/>
        <v>4148.0022912788199</v>
      </c>
      <c r="I58" s="260" t="s">
        <v>92</v>
      </c>
      <c r="J58" s="542">
        <v>57.61</v>
      </c>
      <c r="K58" s="526">
        <v>69.83</v>
      </c>
      <c r="L58" s="367">
        <v>289655</v>
      </c>
      <c r="M58" s="540">
        <f t="shared" si="7"/>
        <v>69.83</v>
      </c>
      <c r="N58" s="540">
        <f t="shared" si="4"/>
        <v>289655</v>
      </c>
      <c r="O58" s="546"/>
      <c r="P58" s="540">
        <f t="shared" si="6"/>
        <v>0</v>
      </c>
      <c r="Q58" s="551">
        <f t="shared" si="5"/>
        <v>0</v>
      </c>
      <c r="R58" s="283"/>
    </row>
    <row r="59" spans="1:256" s="513" customFormat="1" ht="12.75">
      <c r="A59" s="520"/>
      <c r="B59" s="520"/>
      <c r="C59" s="238"/>
      <c r="D59" s="358">
        <v>69.83</v>
      </c>
      <c r="E59" s="238"/>
      <c r="F59" s="519">
        <v>422612</v>
      </c>
      <c r="G59" s="298">
        <v>40686</v>
      </c>
      <c r="H59" s="540">
        <f t="shared" si="3"/>
        <v>6052.0120292138054</v>
      </c>
      <c r="I59" s="260" t="s">
        <v>92</v>
      </c>
      <c r="J59" s="542">
        <v>57.61</v>
      </c>
      <c r="K59" s="526">
        <v>69.83</v>
      </c>
      <c r="L59" s="543">
        <v>422612</v>
      </c>
      <c r="M59" s="540">
        <f t="shared" si="7"/>
        <v>69.83</v>
      </c>
      <c r="N59" s="540">
        <f t="shared" si="4"/>
        <v>422612</v>
      </c>
      <c r="O59" s="535"/>
      <c r="P59" s="540">
        <f t="shared" si="6"/>
        <v>0</v>
      </c>
      <c r="Q59" s="551">
        <f t="shared" si="5"/>
        <v>0</v>
      </c>
      <c r="R59" s="552"/>
      <c r="S59" s="549"/>
      <c r="T59" s="549"/>
      <c r="U59" s="549"/>
      <c r="V59" s="549"/>
      <c r="W59" s="549"/>
      <c r="X59" s="549"/>
      <c r="Y59" s="549"/>
      <c r="Z59" s="549"/>
      <c r="AA59" s="549"/>
      <c r="AB59" s="549"/>
      <c r="AC59" s="549"/>
      <c r="AD59" s="549"/>
      <c r="AE59" s="549"/>
      <c r="AF59" s="549"/>
      <c r="AG59" s="549"/>
      <c r="AH59" s="549"/>
      <c r="AI59" s="549"/>
      <c r="AJ59" s="549"/>
      <c r="AK59" s="549"/>
      <c r="AL59" s="549"/>
      <c r="AM59" s="549"/>
      <c r="AN59" s="549"/>
      <c r="AO59" s="549"/>
      <c r="AP59" s="549"/>
      <c r="AQ59" s="549"/>
      <c r="AR59" s="549"/>
      <c r="AS59" s="549"/>
      <c r="AT59" s="549"/>
      <c r="AU59" s="549"/>
      <c r="AV59" s="549"/>
      <c r="AW59" s="549"/>
      <c r="AX59" s="549"/>
      <c r="AY59" s="549"/>
      <c r="AZ59" s="549"/>
      <c r="BA59" s="549"/>
      <c r="BB59" s="549"/>
      <c r="BC59" s="549"/>
      <c r="BD59" s="549"/>
      <c r="BE59" s="549"/>
      <c r="BF59" s="549"/>
      <c r="BG59" s="549"/>
      <c r="BH59" s="549"/>
      <c r="BI59" s="549"/>
      <c r="BJ59" s="549"/>
      <c r="BK59" s="549"/>
      <c r="BL59" s="549"/>
      <c r="BM59" s="549"/>
      <c r="BN59" s="549"/>
      <c r="BO59" s="549"/>
      <c r="BP59" s="549"/>
      <c r="BQ59" s="549"/>
      <c r="BR59" s="549"/>
      <c r="BS59" s="549"/>
      <c r="BT59" s="549"/>
      <c r="BU59" s="549"/>
      <c r="BV59" s="549"/>
      <c r="BW59" s="549"/>
      <c r="BX59" s="549"/>
      <c r="BY59" s="549"/>
      <c r="BZ59" s="549"/>
      <c r="CA59" s="549"/>
      <c r="CB59" s="549"/>
      <c r="CC59" s="549"/>
      <c r="CD59" s="549"/>
      <c r="CE59" s="549"/>
      <c r="CF59" s="549"/>
      <c r="CG59" s="549"/>
      <c r="CH59" s="549"/>
      <c r="CI59" s="549"/>
      <c r="CJ59" s="549"/>
      <c r="CK59" s="549"/>
      <c r="CL59" s="549"/>
      <c r="CM59" s="549"/>
      <c r="CN59" s="549"/>
      <c r="CO59" s="549"/>
      <c r="CP59" s="549"/>
      <c r="CQ59" s="549"/>
      <c r="CR59" s="549"/>
      <c r="CS59" s="549"/>
      <c r="CT59" s="549"/>
      <c r="CU59" s="549"/>
      <c r="CV59" s="549"/>
      <c r="CW59" s="549"/>
      <c r="CX59" s="549"/>
      <c r="CY59" s="549"/>
      <c r="CZ59" s="549"/>
      <c r="DA59" s="549"/>
      <c r="DB59" s="549"/>
      <c r="DC59" s="549"/>
      <c r="DD59" s="549"/>
      <c r="DE59" s="549"/>
      <c r="DF59" s="549"/>
      <c r="DG59" s="549"/>
      <c r="DH59" s="549"/>
      <c r="DI59" s="549"/>
      <c r="DJ59" s="549"/>
      <c r="DK59" s="549"/>
      <c r="DL59" s="549"/>
      <c r="DM59" s="549"/>
      <c r="DN59" s="549"/>
      <c r="DO59" s="549"/>
      <c r="DP59" s="549"/>
      <c r="DQ59" s="549"/>
      <c r="DR59" s="549"/>
      <c r="DS59" s="549"/>
      <c r="DT59" s="549"/>
      <c r="DU59" s="549"/>
      <c r="DV59" s="549"/>
      <c r="DW59" s="549"/>
      <c r="DX59" s="549"/>
      <c r="DY59" s="549"/>
      <c r="DZ59" s="549"/>
      <c r="EA59" s="549"/>
      <c r="EB59" s="549"/>
      <c r="EC59" s="549"/>
      <c r="ED59" s="549"/>
      <c r="EE59" s="549"/>
      <c r="EF59" s="549"/>
      <c r="EG59" s="549"/>
      <c r="EH59" s="549"/>
      <c r="EI59" s="549"/>
      <c r="EJ59" s="549"/>
      <c r="EK59" s="549"/>
      <c r="EL59" s="549"/>
      <c r="EM59" s="549"/>
      <c r="EN59" s="549"/>
      <c r="EO59" s="549"/>
      <c r="EP59" s="549"/>
      <c r="EQ59" s="549"/>
      <c r="ER59" s="549"/>
      <c r="ES59" s="549"/>
      <c r="ET59" s="549"/>
      <c r="EU59" s="549"/>
      <c r="EV59" s="549"/>
      <c r="EW59" s="549"/>
      <c r="EX59" s="549"/>
      <c r="EY59" s="549"/>
      <c r="EZ59" s="549"/>
      <c r="FA59" s="549"/>
      <c r="FB59" s="549"/>
      <c r="FC59" s="549"/>
      <c r="FD59" s="549"/>
      <c r="FE59" s="549"/>
      <c r="FF59" s="549"/>
      <c r="FG59" s="549"/>
      <c r="FH59" s="549"/>
      <c r="FI59" s="549"/>
      <c r="FJ59" s="549"/>
      <c r="FK59" s="549"/>
      <c r="FL59" s="549"/>
      <c r="FM59" s="549"/>
      <c r="FN59" s="549"/>
      <c r="FO59" s="549"/>
      <c r="FP59" s="549"/>
      <c r="FQ59" s="549"/>
      <c r="FR59" s="549"/>
      <c r="FS59" s="549"/>
      <c r="FT59" s="549"/>
      <c r="FU59" s="549"/>
      <c r="FV59" s="549"/>
      <c r="FW59" s="549"/>
      <c r="FX59" s="549"/>
      <c r="FY59" s="549"/>
      <c r="FZ59" s="549"/>
      <c r="GA59" s="549"/>
      <c r="GB59" s="549"/>
      <c r="GC59" s="549"/>
      <c r="GD59" s="549"/>
      <c r="GE59" s="549"/>
      <c r="GF59" s="549"/>
      <c r="GG59" s="549"/>
      <c r="GH59" s="549"/>
      <c r="GI59" s="549"/>
      <c r="GJ59" s="549"/>
      <c r="GK59" s="549"/>
      <c r="GL59" s="549"/>
      <c r="GM59" s="549"/>
      <c r="GN59" s="549"/>
      <c r="GO59" s="549"/>
      <c r="GP59" s="549"/>
      <c r="GQ59" s="549"/>
      <c r="GR59" s="549"/>
      <c r="GS59" s="549"/>
      <c r="GT59" s="549"/>
      <c r="GU59" s="549"/>
      <c r="GV59" s="549"/>
      <c r="GW59" s="549"/>
      <c r="GX59" s="549"/>
      <c r="GY59" s="549"/>
      <c r="GZ59" s="549"/>
      <c r="HA59" s="549"/>
      <c r="HB59" s="549"/>
      <c r="HC59" s="549"/>
      <c r="HD59" s="549"/>
      <c r="HE59" s="549"/>
      <c r="HF59" s="549"/>
      <c r="HG59" s="549"/>
      <c r="HH59" s="549"/>
      <c r="HI59" s="549"/>
      <c r="HJ59" s="549"/>
      <c r="HK59" s="549"/>
      <c r="HL59" s="549"/>
      <c r="HM59" s="549"/>
      <c r="HN59" s="549"/>
      <c r="HO59" s="549"/>
      <c r="HP59" s="549"/>
      <c r="HQ59" s="549"/>
      <c r="HR59" s="549"/>
      <c r="HS59" s="549"/>
      <c r="HT59" s="549"/>
      <c r="HU59" s="549"/>
      <c r="HV59" s="549"/>
      <c r="HW59" s="533"/>
      <c r="HX59" s="533"/>
      <c r="HY59" s="533"/>
      <c r="HZ59" s="533"/>
      <c r="IA59" s="533"/>
      <c r="IB59" s="533"/>
      <c r="IC59" s="533"/>
      <c r="ID59" s="533"/>
      <c r="IE59" s="533"/>
      <c r="IF59" s="533"/>
      <c r="IG59" s="533"/>
      <c r="IH59" s="533"/>
      <c r="II59" s="533"/>
      <c r="IJ59" s="533"/>
      <c r="IK59" s="533"/>
      <c r="IL59" s="533"/>
      <c r="IM59" s="533"/>
      <c r="IN59" s="533"/>
      <c r="IO59" s="533"/>
      <c r="IP59" s="347"/>
      <c r="IQ59" s="347"/>
      <c r="IR59" s="347"/>
      <c r="IS59" s="347"/>
      <c r="IT59" s="347"/>
      <c r="IU59" s="347"/>
      <c r="IV59" s="347"/>
    </row>
    <row r="60" spans="1:256" s="513" customFormat="1" ht="12.75">
      <c r="A60" s="520"/>
      <c r="B60" s="520"/>
      <c r="C60" s="238"/>
      <c r="D60" s="358">
        <v>69.83</v>
      </c>
      <c r="E60" s="238"/>
      <c r="F60" s="519">
        <v>415279</v>
      </c>
      <c r="G60" s="298">
        <v>40888</v>
      </c>
      <c r="H60" s="540">
        <f t="shared" si="3"/>
        <v>5946.9998567950743</v>
      </c>
      <c r="I60" s="260" t="s">
        <v>92</v>
      </c>
      <c r="J60" s="542">
        <v>57.61</v>
      </c>
      <c r="K60" s="526">
        <v>69.83</v>
      </c>
      <c r="L60" s="540">
        <v>415279</v>
      </c>
      <c r="M60" s="540">
        <f t="shared" si="7"/>
        <v>69.83</v>
      </c>
      <c r="N60" s="540">
        <f t="shared" si="4"/>
        <v>415279</v>
      </c>
      <c r="O60" s="535"/>
      <c r="P60" s="540">
        <f t="shared" si="6"/>
        <v>0</v>
      </c>
      <c r="Q60" s="551">
        <f t="shared" si="5"/>
        <v>0</v>
      </c>
      <c r="R60" s="552"/>
      <c r="S60" s="549"/>
      <c r="T60" s="549"/>
      <c r="U60" s="549"/>
      <c r="V60" s="549"/>
      <c r="W60" s="549"/>
      <c r="X60" s="549"/>
      <c r="Y60" s="549"/>
      <c r="Z60" s="549"/>
      <c r="AA60" s="549"/>
      <c r="AB60" s="549"/>
      <c r="AC60" s="549"/>
      <c r="AD60" s="549"/>
      <c r="AE60" s="549"/>
      <c r="AF60" s="549"/>
      <c r="AG60" s="549"/>
      <c r="AH60" s="549"/>
      <c r="AI60" s="549"/>
      <c r="AJ60" s="549"/>
      <c r="AK60" s="549"/>
      <c r="AL60" s="549"/>
      <c r="AM60" s="549"/>
      <c r="AN60" s="549"/>
      <c r="AO60" s="549"/>
      <c r="AP60" s="549"/>
      <c r="AQ60" s="549"/>
      <c r="AR60" s="549"/>
      <c r="AS60" s="549"/>
      <c r="AT60" s="549"/>
      <c r="AU60" s="549"/>
      <c r="AV60" s="549"/>
      <c r="AW60" s="549"/>
      <c r="AX60" s="549"/>
      <c r="AY60" s="549"/>
      <c r="AZ60" s="549"/>
      <c r="BA60" s="549"/>
      <c r="BB60" s="549"/>
      <c r="BC60" s="549"/>
      <c r="BD60" s="549"/>
      <c r="BE60" s="549"/>
      <c r="BF60" s="549"/>
      <c r="BG60" s="549"/>
      <c r="BH60" s="549"/>
      <c r="BI60" s="549"/>
      <c r="BJ60" s="549"/>
      <c r="BK60" s="549"/>
      <c r="BL60" s="549"/>
      <c r="BM60" s="549"/>
      <c r="BN60" s="549"/>
      <c r="BO60" s="549"/>
      <c r="BP60" s="549"/>
      <c r="BQ60" s="549"/>
      <c r="BR60" s="549"/>
      <c r="BS60" s="549"/>
      <c r="BT60" s="549"/>
      <c r="BU60" s="549"/>
      <c r="BV60" s="549"/>
      <c r="BW60" s="549"/>
      <c r="BX60" s="549"/>
      <c r="BY60" s="549"/>
      <c r="BZ60" s="549"/>
      <c r="CA60" s="549"/>
      <c r="CB60" s="549"/>
      <c r="CC60" s="549"/>
      <c r="CD60" s="549"/>
      <c r="CE60" s="549"/>
      <c r="CF60" s="549"/>
      <c r="CG60" s="549"/>
      <c r="CH60" s="549"/>
      <c r="CI60" s="549"/>
      <c r="CJ60" s="549"/>
      <c r="CK60" s="549"/>
      <c r="CL60" s="549"/>
      <c r="CM60" s="549"/>
      <c r="CN60" s="549"/>
      <c r="CO60" s="549"/>
      <c r="CP60" s="549"/>
      <c r="CQ60" s="549"/>
      <c r="CR60" s="549"/>
      <c r="CS60" s="549"/>
      <c r="CT60" s="549"/>
      <c r="CU60" s="549"/>
      <c r="CV60" s="549"/>
      <c r="CW60" s="549"/>
      <c r="CX60" s="549"/>
      <c r="CY60" s="549"/>
      <c r="CZ60" s="549"/>
      <c r="DA60" s="549"/>
      <c r="DB60" s="549"/>
      <c r="DC60" s="549"/>
      <c r="DD60" s="549"/>
      <c r="DE60" s="549"/>
      <c r="DF60" s="549"/>
      <c r="DG60" s="549"/>
      <c r="DH60" s="549"/>
      <c r="DI60" s="549"/>
      <c r="DJ60" s="549"/>
      <c r="DK60" s="549"/>
      <c r="DL60" s="549"/>
      <c r="DM60" s="549"/>
      <c r="DN60" s="549"/>
      <c r="DO60" s="549"/>
      <c r="DP60" s="549"/>
      <c r="DQ60" s="549"/>
      <c r="DR60" s="549"/>
      <c r="DS60" s="549"/>
      <c r="DT60" s="549"/>
      <c r="DU60" s="549"/>
      <c r="DV60" s="549"/>
      <c r="DW60" s="549"/>
      <c r="DX60" s="549"/>
      <c r="DY60" s="549"/>
      <c r="DZ60" s="549"/>
      <c r="EA60" s="549"/>
      <c r="EB60" s="549"/>
      <c r="EC60" s="549"/>
      <c r="ED60" s="549"/>
      <c r="EE60" s="549"/>
      <c r="EF60" s="549"/>
      <c r="EG60" s="549"/>
      <c r="EH60" s="549"/>
      <c r="EI60" s="549"/>
      <c r="EJ60" s="549"/>
      <c r="EK60" s="549"/>
      <c r="EL60" s="549"/>
      <c r="EM60" s="549"/>
      <c r="EN60" s="549"/>
      <c r="EO60" s="549"/>
      <c r="EP60" s="549"/>
      <c r="EQ60" s="549"/>
      <c r="ER60" s="549"/>
      <c r="ES60" s="549"/>
      <c r="ET60" s="549"/>
      <c r="EU60" s="549"/>
      <c r="EV60" s="549"/>
      <c r="EW60" s="549"/>
      <c r="EX60" s="549"/>
      <c r="EY60" s="549"/>
      <c r="EZ60" s="549"/>
      <c r="FA60" s="549"/>
      <c r="FB60" s="549"/>
      <c r="FC60" s="549"/>
      <c r="FD60" s="549"/>
      <c r="FE60" s="549"/>
      <c r="FF60" s="549"/>
      <c r="FG60" s="549"/>
      <c r="FH60" s="549"/>
      <c r="FI60" s="549"/>
      <c r="FJ60" s="549"/>
      <c r="FK60" s="549"/>
      <c r="FL60" s="549"/>
      <c r="FM60" s="549"/>
      <c r="FN60" s="549"/>
      <c r="FO60" s="549"/>
      <c r="FP60" s="549"/>
      <c r="FQ60" s="549"/>
      <c r="FR60" s="549"/>
      <c r="FS60" s="549"/>
      <c r="FT60" s="549"/>
      <c r="FU60" s="549"/>
      <c r="FV60" s="549"/>
      <c r="FW60" s="549"/>
      <c r="FX60" s="549"/>
      <c r="FY60" s="549"/>
      <c r="FZ60" s="549"/>
      <c r="GA60" s="549"/>
      <c r="GB60" s="549"/>
      <c r="GC60" s="549"/>
      <c r="GD60" s="549"/>
      <c r="GE60" s="549"/>
      <c r="GF60" s="549"/>
      <c r="GG60" s="549"/>
      <c r="GH60" s="549"/>
      <c r="GI60" s="549"/>
      <c r="GJ60" s="549"/>
      <c r="GK60" s="549"/>
      <c r="GL60" s="549"/>
      <c r="GM60" s="549"/>
      <c r="GN60" s="549"/>
      <c r="GO60" s="549"/>
      <c r="GP60" s="549"/>
      <c r="GQ60" s="549"/>
      <c r="GR60" s="549"/>
      <c r="GS60" s="549"/>
      <c r="GT60" s="549"/>
      <c r="GU60" s="549"/>
      <c r="GV60" s="549"/>
      <c r="GW60" s="549"/>
      <c r="GX60" s="549"/>
      <c r="GY60" s="549"/>
      <c r="GZ60" s="549"/>
      <c r="HA60" s="549"/>
      <c r="HB60" s="549"/>
      <c r="HC60" s="549"/>
      <c r="HD60" s="549"/>
      <c r="HE60" s="549"/>
      <c r="HF60" s="549"/>
      <c r="HG60" s="549"/>
      <c r="HH60" s="549"/>
      <c r="HI60" s="549"/>
      <c r="HJ60" s="549"/>
      <c r="HK60" s="549"/>
      <c r="HL60" s="549"/>
      <c r="HM60" s="549"/>
      <c r="HN60" s="549"/>
      <c r="HO60" s="549"/>
      <c r="HP60" s="549"/>
      <c r="HQ60" s="549"/>
      <c r="HR60" s="549"/>
      <c r="HS60" s="549"/>
      <c r="HT60" s="549"/>
      <c r="HU60" s="549"/>
      <c r="HV60" s="549"/>
      <c r="HW60" s="533"/>
      <c r="HX60" s="533"/>
      <c r="HY60" s="533"/>
      <c r="HZ60" s="533"/>
      <c r="IA60" s="533"/>
      <c r="IB60" s="533"/>
      <c r="IC60" s="533"/>
      <c r="ID60" s="533"/>
      <c r="IE60" s="533"/>
      <c r="IF60" s="533"/>
      <c r="IG60" s="533"/>
      <c r="IH60" s="533"/>
      <c r="II60" s="533"/>
      <c r="IJ60" s="533"/>
      <c r="IK60" s="533"/>
      <c r="IL60" s="533"/>
      <c r="IM60" s="533"/>
      <c r="IN60" s="533"/>
      <c r="IO60" s="533"/>
      <c r="IP60" s="347"/>
      <c r="IQ60" s="347"/>
      <c r="IR60" s="347"/>
      <c r="IS60" s="347"/>
      <c r="IT60" s="347"/>
      <c r="IU60" s="347"/>
      <c r="IV60" s="347"/>
    </row>
    <row r="61" spans="1:256">
      <c r="A61" s="520"/>
      <c r="B61" s="520"/>
      <c r="C61" s="238"/>
      <c r="D61" s="358">
        <v>70.48</v>
      </c>
      <c r="E61" s="238"/>
      <c r="F61" s="519">
        <v>256974</v>
      </c>
      <c r="G61" s="298">
        <v>40382</v>
      </c>
      <c r="H61" s="540">
        <f t="shared" si="3"/>
        <v>3679.9942718029502</v>
      </c>
      <c r="I61" s="260" t="s">
        <v>91</v>
      </c>
      <c r="J61" s="542">
        <v>57.61</v>
      </c>
      <c r="K61" s="526">
        <v>69.83</v>
      </c>
      <c r="L61" s="367">
        <v>256974</v>
      </c>
      <c r="M61" s="540">
        <f t="shared" si="7"/>
        <v>69.83</v>
      </c>
      <c r="N61" s="540">
        <f t="shared" si="4"/>
        <v>256974</v>
      </c>
      <c r="O61" s="546"/>
      <c r="P61" s="540">
        <f t="shared" si="6"/>
        <v>0</v>
      </c>
      <c r="Q61" s="551">
        <f t="shared" si="5"/>
        <v>0</v>
      </c>
      <c r="R61" s="283"/>
    </row>
    <row r="62" spans="1:256">
      <c r="A62" s="520"/>
      <c r="B62" s="520"/>
      <c r="C62" s="238"/>
      <c r="D62" s="358">
        <v>70.48</v>
      </c>
      <c r="E62" s="238"/>
      <c r="F62" s="519">
        <v>261862</v>
      </c>
      <c r="G62" s="298">
        <v>40232</v>
      </c>
      <c r="H62" s="540">
        <f t="shared" si="3"/>
        <v>3749.9928397536878</v>
      </c>
      <c r="I62" s="260" t="s">
        <v>91</v>
      </c>
      <c r="J62" s="542">
        <v>57.61</v>
      </c>
      <c r="K62" s="526">
        <v>69.83</v>
      </c>
      <c r="L62" s="367">
        <v>261862</v>
      </c>
      <c r="M62" s="540">
        <f t="shared" si="7"/>
        <v>69.83</v>
      </c>
      <c r="N62" s="540">
        <f t="shared" si="4"/>
        <v>261862</v>
      </c>
      <c r="O62" s="546"/>
      <c r="P62" s="540">
        <f t="shared" si="6"/>
        <v>0</v>
      </c>
      <c r="Q62" s="551">
        <f t="shared" si="5"/>
        <v>0</v>
      </c>
      <c r="R62" s="283"/>
    </row>
    <row r="63" spans="1:256" ht="24">
      <c r="A63" s="520"/>
      <c r="B63" s="520"/>
      <c r="C63" s="238"/>
      <c r="D63" s="358">
        <v>70.48</v>
      </c>
      <c r="E63" s="238"/>
      <c r="F63" s="519">
        <v>261164</v>
      </c>
      <c r="G63" s="298">
        <v>40393</v>
      </c>
      <c r="H63" s="540">
        <f t="shared" si="3"/>
        <v>3739.9971359014753</v>
      </c>
      <c r="I63" s="260" t="s">
        <v>90</v>
      </c>
      <c r="J63" s="542">
        <v>57.61</v>
      </c>
      <c r="K63" s="526">
        <v>69.83</v>
      </c>
      <c r="L63" s="367">
        <v>88595</v>
      </c>
      <c r="M63" s="540">
        <f t="shared" si="7"/>
        <v>69.83</v>
      </c>
      <c r="N63" s="540">
        <v>261164</v>
      </c>
      <c r="O63" s="546"/>
      <c r="P63" s="540">
        <f t="shared" si="6"/>
        <v>0</v>
      </c>
      <c r="Q63" s="551">
        <f t="shared" si="5"/>
        <v>0</v>
      </c>
      <c r="R63" s="283"/>
    </row>
    <row r="64" spans="1:256">
      <c r="A64" s="520"/>
      <c r="B64" s="520"/>
      <c r="C64" s="238"/>
      <c r="D64" s="358">
        <v>70.48</v>
      </c>
      <c r="E64" s="238"/>
      <c r="F64" s="519">
        <v>285605</v>
      </c>
      <c r="G64" s="298">
        <v>40392</v>
      </c>
      <c r="H64" s="540">
        <f t="shared" si="3"/>
        <v>4090.0042961477875</v>
      </c>
      <c r="I64" s="260" t="s">
        <v>91</v>
      </c>
      <c r="J64" s="542">
        <v>57.61</v>
      </c>
      <c r="K64" s="526">
        <v>69.83</v>
      </c>
      <c r="L64" s="367">
        <v>285605</v>
      </c>
      <c r="M64" s="540">
        <f t="shared" si="7"/>
        <v>69.83</v>
      </c>
      <c r="N64" s="540">
        <f t="shared" si="4"/>
        <v>285605</v>
      </c>
      <c r="O64" s="546"/>
      <c r="P64" s="540">
        <f t="shared" si="6"/>
        <v>0</v>
      </c>
      <c r="Q64" s="551">
        <f t="shared" si="5"/>
        <v>0</v>
      </c>
      <c r="R64" s="283"/>
    </row>
    <row r="65" spans="1:18">
      <c r="A65" s="520"/>
      <c r="B65" s="520"/>
      <c r="C65" s="238"/>
      <c r="D65" s="358">
        <v>70.48</v>
      </c>
      <c r="E65" s="238"/>
      <c r="F65" s="519">
        <v>290493</v>
      </c>
      <c r="G65" s="298">
        <v>40390</v>
      </c>
      <c r="H65" s="540">
        <f t="shared" si="3"/>
        <v>4160.0028640985247</v>
      </c>
      <c r="I65" s="260" t="s">
        <v>91</v>
      </c>
      <c r="J65" s="542">
        <v>57.61</v>
      </c>
      <c r="K65" s="526">
        <v>69.83</v>
      </c>
      <c r="L65" s="367">
        <v>290493</v>
      </c>
      <c r="M65" s="540">
        <f t="shared" si="7"/>
        <v>69.83</v>
      </c>
      <c r="N65" s="540">
        <f t="shared" si="4"/>
        <v>290493</v>
      </c>
      <c r="O65" s="546"/>
      <c r="P65" s="540">
        <f t="shared" si="6"/>
        <v>0</v>
      </c>
      <c r="Q65" s="551">
        <f t="shared" si="5"/>
        <v>0</v>
      </c>
      <c r="R65" s="283"/>
    </row>
    <row r="66" spans="1:18">
      <c r="A66" s="520"/>
      <c r="B66" s="520"/>
      <c r="C66" s="238"/>
      <c r="D66" s="358">
        <v>70.48</v>
      </c>
      <c r="E66" s="238"/>
      <c r="F66" s="519">
        <v>455990</v>
      </c>
      <c r="G66" s="298">
        <v>40382</v>
      </c>
      <c r="H66" s="540">
        <f t="shared" si="3"/>
        <v>6530.0014320492628</v>
      </c>
      <c r="I66" s="260" t="s">
        <v>91</v>
      </c>
      <c r="J66" s="542">
        <v>57.61</v>
      </c>
      <c r="K66" s="526">
        <v>69.83</v>
      </c>
      <c r="L66" s="367">
        <v>455990</v>
      </c>
      <c r="M66" s="540">
        <f t="shared" si="7"/>
        <v>69.83</v>
      </c>
      <c r="N66" s="540">
        <f t="shared" si="4"/>
        <v>455990</v>
      </c>
      <c r="O66" s="546"/>
      <c r="P66" s="540">
        <f t="shared" si="6"/>
        <v>0</v>
      </c>
      <c r="Q66" s="551">
        <f t="shared" si="5"/>
        <v>0</v>
      </c>
      <c r="R66" s="283"/>
    </row>
    <row r="67" spans="1:18">
      <c r="A67" s="520"/>
      <c r="B67" s="520"/>
      <c r="C67" s="238"/>
      <c r="D67" s="358">
        <v>70.48</v>
      </c>
      <c r="E67" s="238"/>
      <c r="F67" s="519">
        <v>433644</v>
      </c>
      <c r="G67" s="298">
        <v>40561</v>
      </c>
      <c r="H67" s="540">
        <f t="shared" si="3"/>
        <v>6209.9957038522125</v>
      </c>
      <c r="I67" s="260" t="s">
        <v>92</v>
      </c>
      <c r="J67" s="542">
        <v>57.61</v>
      </c>
      <c r="K67" s="526">
        <v>69.83</v>
      </c>
      <c r="L67" s="367">
        <v>433644</v>
      </c>
      <c r="M67" s="540">
        <f t="shared" si="7"/>
        <v>69.83</v>
      </c>
      <c r="N67" s="540">
        <f t="shared" si="4"/>
        <v>433644</v>
      </c>
      <c r="O67" s="546"/>
      <c r="P67" s="540">
        <f t="shared" si="6"/>
        <v>0</v>
      </c>
      <c r="Q67" s="551">
        <f t="shared" si="5"/>
        <v>0</v>
      </c>
      <c r="R67" s="283"/>
    </row>
    <row r="68" spans="1:18">
      <c r="A68" s="520"/>
      <c r="B68" s="520"/>
      <c r="C68" s="238"/>
      <c r="D68" s="358">
        <v>70.48</v>
      </c>
      <c r="E68" s="238"/>
      <c r="F68" s="519">
        <v>342865</v>
      </c>
      <c r="G68" s="298">
        <v>40374</v>
      </c>
      <c r="H68" s="540">
        <f t="shared" si="3"/>
        <v>4909.9957038522125</v>
      </c>
      <c r="I68" s="260" t="s">
        <v>92</v>
      </c>
      <c r="J68" s="542">
        <v>57.61</v>
      </c>
      <c r="K68" s="526">
        <v>69.83</v>
      </c>
      <c r="L68" s="367">
        <v>342865</v>
      </c>
      <c r="M68" s="540">
        <f t="shared" si="7"/>
        <v>69.83</v>
      </c>
      <c r="N68" s="540">
        <f t="shared" si="4"/>
        <v>342865</v>
      </c>
      <c r="O68" s="546"/>
      <c r="P68" s="540">
        <f t="shared" si="6"/>
        <v>0</v>
      </c>
      <c r="Q68" s="551">
        <f t="shared" si="5"/>
        <v>0</v>
      </c>
      <c r="R68" s="283"/>
    </row>
    <row r="69" spans="1:18">
      <c r="A69" s="520"/>
      <c r="B69" s="520"/>
      <c r="C69" s="238"/>
      <c r="D69" s="358">
        <v>69.83</v>
      </c>
      <c r="E69" s="238"/>
      <c r="F69" s="519">
        <v>419050</v>
      </c>
      <c r="G69" s="298">
        <v>40321</v>
      </c>
      <c r="H69" s="540">
        <f t="shared" si="3"/>
        <v>6001.0024344837466</v>
      </c>
      <c r="I69" s="260" t="s">
        <v>92</v>
      </c>
      <c r="J69" s="542">
        <v>57.61</v>
      </c>
      <c r="K69" s="526">
        <v>69.83</v>
      </c>
      <c r="L69" s="367">
        <v>419050</v>
      </c>
      <c r="M69" s="540">
        <f t="shared" si="7"/>
        <v>69.83</v>
      </c>
      <c r="N69" s="540">
        <f t="shared" si="4"/>
        <v>419050</v>
      </c>
      <c r="O69" s="546"/>
      <c r="P69" s="540">
        <f t="shared" si="6"/>
        <v>0</v>
      </c>
      <c r="Q69" s="551">
        <f t="shared" si="5"/>
        <v>0</v>
      </c>
      <c r="R69" s="283"/>
    </row>
    <row r="70" spans="1:18">
      <c r="A70" s="520"/>
      <c r="B70" s="520"/>
      <c r="C70" s="238"/>
      <c r="D70" s="358">
        <v>69.83</v>
      </c>
      <c r="E70" s="238"/>
      <c r="F70" s="519">
        <v>422612</v>
      </c>
      <c r="G70" s="298">
        <v>40686</v>
      </c>
      <c r="H70" s="540">
        <f t="shared" si="3"/>
        <v>6052.0120292138054</v>
      </c>
      <c r="I70" s="260" t="s">
        <v>92</v>
      </c>
      <c r="J70" s="542">
        <v>57.61</v>
      </c>
      <c r="K70" s="526">
        <v>69.83</v>
      </c>
      <c r="L70" s="367">
        <v>422612</v>
      </c>
      <c r="M70" s="540">
        <f t="shared" si="7"/>
        <v>69.83</v>
      </c>
      <c r="N70" s="540">
        <f t="shared" si="4"/>
        <v>422612</v>
      </c>
      <c r="O70" s="546"/>
      <c r="P70" s="540">
        <f t="shared" si="6"/>
        <v>0</v>
      </c>
      <c r="Q70" s="551">
        <f t="shared" si="5"/>
        <v>0</v>
      </c>
      <c r="R70" s="283"/>
    </row>
    <row r="71" spans="1:18">
      <c r="A71" s="520"/>
      <c r="B71" s="520"/>
      <c r="C71" s="238"/>
      <c r="D71" s="358">
        <v>69.83</v>
      </c>
      <c r="E71" s="238"/>
      <c r="F71" s="519">
        <v>419678</v>
      </c>
      <c r="G71" s="298">
        <v>40833</v>
      </c>
      <c r="H71" s="540">
        <f t="shared" si="3"/>
        <v>6009.9957038522125</v>
      </c>
      <c r="I71" s="260" t="s">
        <v>92</v>
      </c>
      <c r="J71" s="542">
        <v>57.61</v>
      </c>
      <c r="K71" s="526">
        <v>69.83</v>
      </c>
      <c r="L71" s="367">
        <v>419678</v>
      </c>
      <c r="M71" s="540">
        <f t="shared" si="7"/>
        <v>69.83</v>
      </c>
      <c r="N71" s="540">
        <f t="shared" si="4"/>
        <v>419678</v>
      </c>
      <c r="O71" s="546"/>
      <c r="P71" s="540">
        <f t="shared" si="6"/>
        <v>0</v>
      </c>
      <c r="Q71" s="551">
        <f t="shared" si="5"/>
        <v>0</v>
      </c>
      <c r="R71" s="283"/>
    </row>
    <row r="72" spans="1:18" ht="24">
      <c r="A72" s="520"/>
      <c r="B72" s="520"/>
      <c r="C72" s="238"/>
      <c r="D72" s="358">
        <v>57.48</v>
      </c>
      <c r="E72" s="238"/>
      <c r="F72" s="519">
        <v>275904</v>
      </c>
      <c r="G72" s="298">
        <v>41077</v>
      </c>
      <c r="H72" s="540">
        <f t="shared" si="3"/>
        <v>4800</v>
      </c>
      <c r="I72" s="260" t="s">
        <v>90</v>
      </c>
      <c r="J72" s="542">
        <v>47.42</v>
      </c>
      <c r="K72" s="526">
        <v>57.48</v>
      </c>
      <c r="L72" s="367">
        <v>275904</v>
      </c>
      <c r="M72" s="540">
        <f t="shared" si="7"/>
        <v>57.48</v>
      </c>
      <c r="N72" s="540">
        <f t="shared" si="4"/>
        <v>275904</v>
      </c>
      <c r="O72" s="546"/>
      <c r="P72" s="540">
        <f t="shared" si="6"/>
        <v>0</v>
      </c>
      <c r="Q72" s="551">
        <f t="shared" si="5"/>
        <v>0</v>
      </c>
      <c r="R72" s="283"/>
    </row>
    <row r="73" spans="1:18">
      <c r="A73" s="520"/>
      <c r="B73" s="520"/>
      <c r="C73" s="238"/>
      <c r="D73" s="358">
        <v>57.57</v>
      </c>
      <c r="E73" s="238"/>
      <c r="F73" s="519">
        <v>215550</v>
      </c>
      <c r="G73" s="298">
        <v>40381</v>
      </c>
      <c r="H73" s="540">
        <f t="shared" ref="H73:H136" si="8">F73/K73</f>
        <v>3750</v>
      </c>
      <c r="I73" s="260" t="s">
        <v>92</v>
      </c>
      <c r="J73" s="542">
        <v>47.42</v>
      </c>
      <c r="K73" s="526">
        <v>57.48</v>
      </c>
      <c r="L73" s="367">
        <v>215550</v>
      </c>
      <c r="M73" s="540">
        <f t="shared" si="7"/>
        <v>57.48</v>
      </c>
      <c r="N73" s="540">
        <f t="shared" ref="N73:N136" si="9">L73</f>
        <v>215550</v>
      </c>
      <c r="O73" s="546"/>
      <c r="P73" s="540">
        <f t="shared" si="6"/>
        <v>0</v>
      </c>
      <c r="Q73" s="551">
        <f t="shared" ref="Q73:Q136" si="10">IF(H73-3544.48&lt;0,H73,0)</f>
        <v>0</v>
      </c>
      <c r="R73" s="283"/>
    </row>
    <row r="74" spans="1:18">
      <c r="A74" s="520"/>
      <c r="B74" s="520"/>
      <c r="C74" s="238"/>
      <c r="D74" s="358">
        <v>57.57</v>
      </c>
      <c r="E74" s="238"/>
      <c r="F74" s="519">
        <v>225322</v>
      </c>
      <c r="G74" s="298">
        <v>40382</v>
      </c>
      <c r="H74" s="540">
        <f t="shared" si="8"/>
        <v>3920.006958942241</v>
      </c>
      <c r="I74" s="260" t="s">
        <v>91</v>
      </c>
      <c r="J74" s="542">
        <v>47.42</v>
      </c>
      <c r="K74" s="526">
        <v>57.48</v>
      </c>
      <c r="L74" s="367">
        <v>225322</v>
      </c>
      <c r="M74" s="540">
        <f t="shared" si="7"/>
        <v>57.48</v>
      </c>
      <c r="N74" s="540">
        <f t="shared" si="9"/>
        <v>225322</v>
      </c>
      <c r="O74" s="546"/>
      <c r="P74" s="540">
        <f t="shared" si="6"/>
        <v>0</v>
      </c>
      <c r="Q74" s="551">
        <f t="shared" si="10"/>
        <v>0</v>
      </c>
      <c r="R74" s="283"/>
    </row>
    <row r="75" spans="1:18">
      <c r="A75" s="520"/>
      <c r="B75" s="520"/>
      <c r="C75" s="238"/>
      <c r="D75" s="358">
        <v>57.57</v>
      </c>
      <c r="E75" s="238"/>
      <c r="F75" s="519">
        <v>224977</v>
      </c>
      <c r="G75" s="298">
        <v>40375</v>
      </c>
      <c r="H75" s="540">
        <f t="shared" si="8"/>
        <v>3914.004871259569</v>
      </c>
      <c r="I75" s="260" t="s">
        <v>92</v>
      </c>
      <c r="J75" s="542">
        <v>47.42</v>
      </c>
      <c r="K75" s="526">
        <v>57.48</v>
      </c>
      <c r="L75" s="367">
        <v>224977</v>
      </c>
      <c r="M75" s="540">
        <f t="shared" si="7"/>
        <v>57.48</v>
      </c>
      <c r="N75" s="540">
        <f t="shared" si="9"/>
        <v>224977</v>
      </c>
      <c r="O75" s="546"/>
      <c r="P75" s="540">
        <f t="shared" si="6"/>
        <v>0</v>
      </c>
      <c r="Q75" s="551">
        <f t="shared" si="10"/>
        <v>0</v>
      </c>
      <c r="R75" s="283"/>
    </row>
    <row r="76" spans="1:18" ht="24">
      <c r="A76" s="520"/>
      <c r="B76" s="520"/>
      <c r="C76" s="238"/>
      <c r="D76" s="358">
        <v>57.57</v>
      </c>
      <c r="E76" s="238"/>
      <c r="F76" s="519">
        <v>227621</v>
      </c>
      <c r="G76" s="298">
        <v>40392</v>
      </c>
      <c r="H76" s="540">
        <f t="shared" si="8"/>
        <v>3960.0034794711205</v>
      </c>
      <c r="I76" s="260" t="s">
        <v>90</v>
      </c>
      <c r="J76" s="542">
        <v>47.42</v>
      </c>
      <c r="K76" s="526">
        <v>57.48</v>
      </c>
      <c r="L76" s="367">
        <v>227621</v>
      </c>
      <c r="M76" s="540">
        <f t="shared" si="7"/>
        <v>57.48</v>
      </c>
      <c r="N76" s="540">
        <f t="shared" si="9"/>
        <v>227621</v>
      </c>
      <c r="O76" s="546"/>
      <c r="P76" s="540">
        <f t="shared" si="6"/>
        <v>0</v>
      </c>
      <c r="Q76" s="551">
        <f t="shared" si="10"/>
        <v>0</v>
      </c>
      <c r="R76" s="283"/>
    </row>
    <row r="77" spans="1:18">
      <c r="A77" s="520"/>
      <c r="B77" s="520"/>
      <c r="C77" s="238"/>
      <c r="D77" s="358">
        <v>57.57</v>
      </c>
      <c r="E77" s="238"/>
      <c r="F77" s="519">
        <v>375344</v>
      </c>
      <c r="G77" s="298">
        <v>40382</v>
      </c>
      <c r="H77" s="540">
        <f t="shared" si="8"/>
        <v>6529.9930410577599</v>
      </c>
      <c r="I77" s="260" t="s">
        <v>91</v>
      </c>
      <c r="J77" s="542">
        <v>47.42</v>
      </c>
      <c r="K77" s="526">
        <v>57.48</v>
      </c>
      <c r="L77" s="367">
        <v>375344</v>
      </c>
      <c r="M77" s="540">
        <f t="shared" si="7"/>
        <v>57.48</v>
      </c>
      <c r="N77" s="540">
        <f t="shared" si="9"/>
        <v>375344</v>
      </c>
      <c r="O77" s="546"/>
      <c r="P77" s="540">
        <f t="shared" si="6"/>
        <v>0</v>
      </c>
      <c r="Q77" s="551">
        <f t="shared" si="10"/>
        <v>0</v>
      </c>
      <c r="R77" s="283"/>
    </row>
    <row r="78" spans="1:18">
      <c r="A78" s="520"/>
      <c r="B78" s="520"/>
      <c r="C78" s="238"/>
      <c r="D78" s="358">
        <v>57.57</v>
      </c>
      <c r="E78" s="238"/>
      <c r="F78" s="519">
        <v>277054</v>
      </c>
      <c r="G78" s="298">
        <v>40389</v>
      </c>
      <c r="H78" s="540">
        <f t="shared" si="8"/>
        <v>4820.006958942241</v>
      </c>
      <c r="I78" s="260" t="s">
        <v>91</v>
      </c>
      <c r="J78" s="542">
        <v>47.42</v>
      </c>
      <c r="K78" s="526">
        <v>57.48</v>
      </c>
      <c r="L78" s="367">
        <v>277054</v>
      </c>
      <c r="M78" s="540">
        <f t="shared" si="7"/>
        <v>57.48</v>
      </c>
      <c r="N78" s="540">
        <f t="shared" si="9"/>
        <v>277054</v>
      </c>
      <c r="O78" s="546"/>
      <c r="P78" s="540">
        <f t="shared" si="6"/>
        <v>0</v>
      </c>
      <c r="Q78" s="551">
        <f t="shared" si="10"/>
        <v>0</v>
      </c>
      <c r="R78" s="283"/>
    </row>
    <row r="79" spans="1:18">
      <c r="A79" s="520"/>
      <c r="B79" s="520"/>
      <c r="C79" s="238"/>
      <c r="D79" s="358">
        <v>57.48</v>
      </c>
      <c r="E79" s="238"/>
      <c r="F79" s="519">
        <v>313266</v>
      </c>
      <c r="G79" s="298">
        <v>41061</v>
      </c>
      <c r="H79" s="540">
        <f t="shared" si="8"/>
        <v>5450</v>
      </c>
      <c r="I79" s="260" t="s">
        <v>92</v>
      </c>
      <c r="J79" s="542">
        <v>47.42</v>
      </c>
      <c r="K79" s="526">
        <v>57.48</v>
      </c>
      <c r="L79" s="367">
        <v>313266</v>
      </c>
      <c r="M79" s="540">
        <f t="shared" si="7"/>
        <v>57.48</v>
      </c>
      <c r="N79" s="540">
        <f t="shared" si="9"/>
        <v>313266</v>
      </c>
      <c r="O79" s="546"/>
      <c r="P79" s="540">
        <f t="shared" si="6"/>
        <v>0</v>
      </c>
      <c r="Q79" s="551">
        <f t="shared" si="10"/>
        <v>0</v>
      </c>
      <c r="R79" s="283"/>
    </row>
    <row r="80" spans="1:18">
      <c r="A80" s="520"/>
      <c r="B80" s="520"/>
      <c r="C80" s="238"/>
      <c r="D80" s="358">
        <v>57.48</v>
      </c>
      <c r="E80" s="238"/>
      <c r="F80" s="519">
        <v>348846</v>
      </c>
      <c r="G80" s="298">
        <v>41450</v>
      </c>
      <c r="H80" s="540">
        <f t="shared" si="8"/>
        <v>6068.997912317328</v>
      </c>
      <c r="I80" s="260" t="s">
        <v>92</v>
      </c>
      <c r="J80" s="542">
        <v>47.42</v>
      </c>
      <c r="K80" s="526">
        <v>57.48</v>
      </c>
      <c r="L80" s="367">
        <v>348846</v>
      </c>
      <c r="M80" s="540">
        <f t="shared" si="7"/>
        <v>57.48</v>
      </c>
      <c r="N80" s="540">
        <f t="shared" si="9"/>
        <v>348846</v>
      </c>
      <c r="O80" s="546"/>
      <c r="P80" s="540">
        <f t="shared" si="6"/>
        <v>0</v>
      </c>
      <c r="Q80" s="551">
        <f t="shared" si="10"/>
        <v>0</v>
      </c>
      <c r="R80" s="283"/>
    </row>
    <row r="81" spans="1:18">
      <c r="A81" s="520"/>
      <c r="B81" s="520"/>
      <c r="C81" s="238"/>
      <c r="D81" s="358">
        <v>57.48</v>
      </c>
      <c r="E81" s="238"/>
      <c r="F81" s="519">
        <v>343960</v>
      </c>
      <c r="G81" s="298">
        <v>41332</v>
      </c>
      <c r="H81" s="540">
        <f t="shared" si="8"/>
        <v>5983.9944328462079</v>
      </c>
      <c r="I81" s="260" t="s">
        <v>91</v>
      </c>
      <c r="J81" s="542">
        <v>47.42</v>
      </c>
      <c r="K81" s="526">
        <v>57.48</v>
      </c>
      <c r="L81" s="367">
        <v>343960</v>
      </c>
      <c r="M81" s="540">
        <f t="shared" si="7"/>
        <v>57.48</v>
      </c>
      <c r="N81" s="540">
        <f t="shared" si="9"/>
        <v>343960</v>
      </c>
      <c r="O81" s="546"/>
      <c r="P81" s="540">
        <f t="shared" si="6"/>
        <v>0</v>
      </c>
      <c r="Q81" s="551">
        <f t="shared" si="10"/>
        <v>0</v>
      </c>
      <c r="R81" s="283"/>
    </row>
    <row r="82" spans="1:18">
      <c r="A82" s="520"/>
      <c r="B82" s="520"/>
      <c r="C82" s="238"/>
      <c r="D82" s="358">
        <v>57.57</v>
      </c>
      <c r="E82" s="238"/>
      <c r="F82" s="519">
        <v>282227</v>
      </c>
      <c r="G82" s="298">
        <v>40387</v>
      </c>
      <c r="H82" s="540">
        <f t="shared" si="8"/>
        <v>4910.003479471121</v>
      </c>
      <c r="I82" s="260" t="s">
        <v>91</v>
      </c>
      <c r="J82" s="542">
        <v>47.42</v>
      </c>
      <c r="K82" s="526">
        <v>57.48</v>
      </c>
      <c r="L82" s="367">
        <v>282227</v>
      </c>
      <c r="M82" s="540">
        <f t="shared" si="7"/>
        <v>57.48</v>
      </c>
      <c r="N82" s="540">
        <f t="shared" si="9"/>
        <v>282227</v>
      </c>
      <c r="O82" s="546"/>
      <c r="P82" s="540">
        <f t="shared" si="6"/>
        <v>0</v>
      </c>
      <c r="Q82" s="551">
        <f t="shared" si="10"/>
        <v>0</v>
      </c>
      <c r="R82" s="283"/>
    </row>
    <row r="83" spans="1:18">
      <c r="A83" s="520"/>
      <c r="B83" s="520"/>
      <c r="C83" s="238"/>
      <c r="D83" s="358">
        <v>57.57</v>
      </c>
      <c r="E83" s="238"/>
      <c r="F83" s="519">
        <v>207272</v>
      </c>
      <c r="G83" s="298">
        <v>40385</v>
      </c>
      <c r="H83" s="540">
        <f t="shared" si="8"/>
        <v>3605.9846903270704</v>
      </c>
      <c r="I83" s="260" t="s">
        <v>92</v>
      </c>
      <c r="J83" s="542">
        <v>47.42</v>
      </c>
      <c r="K83" s="526">
        <v>57.48</v>
      </c>
      <c r="L83" s="367">
        <v>207272</v>
      </c>
      <c r="M83" s="540">
        <f t="shared" si="7"/>
        <v>57.48</v>
      </c>
      <c r="N83" s="540">
        <f t="shared" si="9"/>
        <v>207272</v>
      </c>
      <c r="O83" s="546"/>
      <c r="P83" s="540">
        <f t="shared" si="6"/>
        <v>0</v>
      </c>
      <c r="Q83" s="551">
        <f t="shared" si="10"/>
        <v>0</v>
      </c>
      <c r="R83" s="283"/>
    </row>
    <row r="84" spans="1:18">
      <c r="A84" s="520"/>
      <c r="B84" s="520"/>
      <c r="C84" s="238"/>
      <c r="D84" s="358">
        <v>57.57</v>
      </c>
      <c r="E84" s="238"/>
      <c r="F84" s="519">
        <v>215550</v>
      </c>
      <c r="G84" s="298">
        <v>40381</v>
      </c>
      <c r="H84" s="540">
        <f t="shared" si="8"/>
        <v>3750</v>
      </c>
      <c r="I84" s="260" t="s">
        <v>91</v>
      </c>
      <c r="J84" s="542">
        <v>47.42</v>
      </c>
      <c r="K84" s="526">
        <v>57.48</v>
      </c>
      <c r="L84" s="367">
        <v>215550</v>
      </c>
      <c r="M84" s="540">
        <f t="shared" si="7"/>
        <v>57.48</v>
      </c>
      <c r="N84" s="540">
        <f t="shared" si="9"/>
        <v>215550</v>
      </c>
      <c r="O84" s="546"/>
      <c r="P84" s="540">
        <f t="shared" si="6"/>
        <v>0</v>
      </c>
      <c r="Q84" s="551">
        <f t="shared" si="10"/>
        <v>0</v>
      </c>
      <c r="R84" s="283"/>
    </row>
    <row r="85" spans="1:18">
      <c r="A85" s="520"/>
      <c r="B85" s="520"/>
      <c r="C85" s="238"/>
      <c r="D85" s="358">
        <v>57.57</v>
      </c>
      <c r="E85" s="238"/>
      <c r="F85" s="519">
        <v>256361</v>
      </c>
      <c r="G85" s="298">
        <v>40409</v>
      </c>
      <c r="H85" s="540">
        <f t="shared" si="8"/>
        <v>4460.003479471121</v>
      </c>
      <c r="I85" s="260" t="s">
        <v>91</v>
      </c>
      <c r="J85" s="542">
        <v>47.42</v>
      </c>
      <c r="K85" s="526">
        <v>57.48</v>
      </c>
      <c r="L85" s="367">
        <v>256361</v>
      </c>
      <c r="M85" s="540">
        <f t="shared" si="7"/>
        <v>57.48</v>
      </c>
      <c r="N85" s="540">
        <f t="shared" si="9"/>
        <v>256361</v>
      </c>
      <c r="O85" s="546"/>
      <c r="P85" s="540">
        <f t="shared" si="6"/>
        <v>0</v>
      </c>
      <c r="Q85" s="551">
        <f t="shared" si="10"/>
        <v>0</v>
      </c>
      <c r="R85" s="283"/>
    </row>
    <row r="86" spans="1:18">
      <c r="A86" s="520"/>
      <c r="B86" s="520"/>
      <c r="C86" s="238"/>
      <c r="D86" s="358">
        <v>57.57</v>
      </c>
      <c r="E86" s="238"/>
      <c r="F86" s="519">
        <v>219344</v>
      </c>
      <c r="G86" s="298">
        <v>40382</v>
      </c>
      <c r="H86" s="540">
        <f t="shared" si="8"/>
        <v>3816.005567153793</v>
      </c>
      <c r="I86" s="260" t="s">
        <v>92</v>
      </c>
      <c r="J86" s="542">
        <v>47.42</v>
      </c>
      <c r="K86" s="526">
        <v>57.48</v>
      </c>
      <c r="L86" s="367">
        <v>219344</v>
      </c>
      <c r="M86" s="540">
        <f t="shared" si="7"/>
        <v>57.48</v>
      </c>
      <c r="N86" s="540">
        <f t="shared" si="9"/>
        <v>219344</v>
      </c>
      <c r="O86" s="546"/>
      <c r="P86" s="540">
        <f t="shared" si="6"/>
        <v>0</v>
      </c>
      <c r="Q86" s="551">
        <f t="shared" si="10"/>
        <v>0</v>
      </c>
      <c r="R86" s="283"/>
    </row>
    <row r="87" spans="1:18">
      <c r="A87" s="520"/>
      <c r="B87" s="520"/>
      <c r="C87" s="238"/>
      <c r="D87" s="358">
        <v>57.57</v>
      </c>
      <c r="E87" s="238"/>
      <c r="F87" s="519">
        <v>266707</v>
      </c>
      <c r="G87" s="298">
        <v>40382</v>
      </c>
      <c r="H87" s="540">
        <f t="shared" si="8"/>
        <v>4639.99652052888</v>
      </c>
      <c r="I87" s="260" t="s">
        <v>91</v>
      </c>
      <c r="J87" s="542">
        <v>47.42</v>
      </c>
      <c r="K87" s="526">
        <v>57.48</v>
      </c>
      <c r="L87" s="367">
        <v>266707</v>
      </c>
      <c r="M87" s="540">
        <f t="shared" si="7"/>
        <v>57.48</v>
      </c>
      <c r="N87" s="540">
        <f t="shared" si="9"/>
        <v>266707</v>
      </c>
      <c r="O87" s="546"/>
      <c r="P87" s="540">
        <f t="shared" si="6"/>
        <v>0</v>
      </c>
      <c r="Q87" s="551">
        <f t="shared" si="10"/>
        <v>0</v>
      </c>
      <c r="R87" s="283"/>
    </row>
    <row r="88" spans="1:18" ht="24">
      <c r="A88" s="520"/>
      <c r="B88" s="520"/>
      <c r="C88" s="238"/>
      <c r="D88" s="358">
        <v>57.57</v>
      </c>
      <c r="E88" s="238"/>
      <c r="F88" s="519">
        <v>243140</v>
      </c>
      <c r="G88" s="298">
        <v>41133</v>
      </c>
      <c r="H88" s="540">
        <f t="shared" si="8"/>
        <v>4229.993041057759</v>
      </c>
      <c r="I88" s="260" t="s">
        <v>90</v>
      </c>
      <c r="J88" s="542">
        <v>47.42</v>
      </c>
      <c r="K88" s="526">
        <v>57.48</v>
      </c>
      <c r="L88" s="367">
        <v>243140</v>
      </c>
      <c r="M88" s="540">
        <f t="shared" si="7"/>
        <v>57.48</v>
      </c>
      <c r="N88" s="540">
        <f t="shared" si="9"/>
        <v>243140</v>
      </c>
      <c r="O88" s="546"/>
      <c r="P88" s="540">
        <f t="shared" si="6"/>
        <v>0</v>
      </c>
      <c r="Q88" s="551">
        <f t="shared" si="10"/>
        <v>0</v>
      </c>
      <c r="R88" s="283"/>
    </row>
    <row r="89" spans="1:18">
      <c r="A89" s="520"/>
      <c r="B89" s="520"/>
      <c r="C89" s="238"/>
      <c r="D89" s="358">
        <v>57.48</v>
      </c>
      <c r="E89" s="238"/>
      <c r="F89" s="519">
        <v>290044</v>
      </c>
      <c r="G89" s="298">
        <v>41242</v>
      </c>
      <c r="H89" s="540">
        <f t="shared" si="8"/>
        <v>5045.998608211552</v>
      </c>
      <c r="I89" s="260" t="s">
        <v>92</v>
      </c>
      <c r="J89" s="542">
        <v>47.42</v>
      </c>
      <c r="K89" s="526">
        <v>57.48</v>
      </c>
      <c r="L89" s="367">
        <v>290044</v>
      </c>
      <c r="M89" s="540">
        <f t="shared" si="7"/>
        <v>57.48</v>
      </c>
      <c r="N89" s="540">
        <f t="shared" si="9"/>
        <v>290044</v>
      </c>
      <c r="O89" s="546"/>
      <c r="P89" s="540">
        <f t="shared" si="6"/>
        <v>0</v>
      </c>
      <c r="Q89" s="551">
        <f t="shared" si="10"/>
        <v>0</v>
      </c>
      <c r="R89" s="283"/>
    </row>
    <row r="90" spans="1:18" ht="24">
      <c r="A90" s="520"/>
      <c r="B90" s="520"/>
      <c r="C90" s="238"/>
      <c r="D90" s="358">
        <v>57.57</v>
      </c>
      <c r="E90" s="238"/>
      <c r="F90" s="519">
        <v>385691</v>
      </c>
      <c r="G90" s="298">
        <v>40385</v>
      </c>
      <c r="H90" s="540">
        <f t="shared" si="8"/>
        <v>6710.003479471121</v>
      </c>
      <c r="I90" s="260" t="s">
        <v>90</v>
      </c>
      <c r="J90" s="542">
        <v>47.42</v>
      </c>
      <c r="K90" s="526">
        <v>57.48</v>
      </c>
      <c r="L90" s="367">
        <v>385691</v>
      </c>
      <c r="M90" s="540">
        <f t="shared" si="7"/>
        <v>57.48</v>
      </c>
      <c r="N90" s="540">
        <f t="shared" si="9"/>
        <v>385691</v>
      </c>
      <c r="O90" s="546"/>
      <c r="P90" s="540">
        <f t="shared" si="6"/>
        <v>0</v>
      </c>
      <c r="Q90" s="551">
        <f t="shared" si="10"/>
        <v>0</v>
      </c>
      <c r="R90" s="283"/>
    </row>
    <row r="91" spans="1:18">
      <c r="A91" s="520"/>
      <c r="B91" s="520"/>
      <c r="C91" s="238"/>
      <c r="D91" s="358">
        <v>57.48</v>
      </c>
      <c r="E91" s="238"/>
      <c r="F91" s="519">
        <v>327981</v>
      </c>
      <c r="G91" s="298">
        <v>41245</v>
      </c>
      <c r="H91" s="540">
        <f t="shared" si="8"/>
        <v>5706.0020876826729</v>
      </c>
      <c r="I91" s="260" t="s">
        <v>92</v>
      </c>
      <c r="J91" s="542">
        <v>47.42</v>
      </c>
      <c r="K91" s="526">
        <v>57.48</v>
      </c>
      <c r="L91" s="367">
        <v>327981</v>
      </c>
      <c r="M91" s="540">
        <f t="shared" si="7"/>
        <v>57.48</v>
      </c>
      <c r="N91" s="540">
        <f t="shared" si="9"/>
        <v>327981</v>
      </c>
      <c r="O91" s="546"/>
      <c r="P91" s="540">
        <f t="shared" si="6"/>
        <v>0</v>
      </c>
      <c r="Q91" s="551">
        <f t="shared" si="10"/>
        <v>0</v>
      </c>
      <c r="R91" s="283"/>
    </row>
    <row r="92" spans="1:18">
      <c r="A92" s="520"/>
      <c r="B92" s="520"/>
      <c r="C92" s="238"/>
      <c r="D92" s="358">
        <v>57.48</v>
      </c>
      <c r="E92" s="238"/>
      <c r="F92" s="519">
        <v>339994</v>
      </c>
      <c r="G92" s="298">
        <v>41325</v>
      </c>
      <c r="H92" s="540">
        <f t="shared" si="8"/>
        <v>5914.99652052888</v>
      </c>
      <c r="I92" s="260" t="s">
        <v>92</v>
      </c>
      <c r="J92" s="542">
        <v>47.42</v>
      </c>
      <c r="K92" s="526">
        <v>57.48</v>
      </c>
      <c r="L92" s="367">
        <v>339994</v>
      </c>
      <c r="M92" s="540">
        <f t="shared" si="7"/>
        <v>57.48</v>
      </c>
      <c r="N92" s="540">
        <f t="shared" si="9"/>
        <v>339994</v>
      </c>
      <c r="O92" s="546"/>
      <c r="P92" s="540">
        <f t="shared" si="6"/>
        <v>0</v>
      </c>
      <c r="Q92" s="551">
        <f t="shared" si="10"/>
        <v>0</v>
      </c>
      <c r="R92" s="283"/>
    </row>
    <row r="93" spans="1:18">
      <c r="A93" s="520"/>
      <c r="B93" s="520"/>
      <c r="C93" s="238"/>
      <c r="D93" s="358">
        <v>57.57</v>
      </c>
      <c r="E93" s="238"/>
      <c r="F93" s="519">
        <v>245440</v>
      </c>
      <c r="G93" s="298">
        <v>40375</v>
      </c>
      <c r="H93" s="540">
        <f t="shared" si="8"/>
        <v>4270.006958942241</v>
      </c>
      <c r="I93" s="260" t="s">
        <v>91</v>
      </c>
      <c r="J93" s="542">
        <v>47.42</v>
      </c>
      <c r="K93" s="526">
        <v>57.48</v>
      </c>
      <c r="L93" s="367">
        <v>245440</v>
      </c>
      <c r="M93" s="540">
        <f t="shared" si="7"/>
        <v>57.48</v>
      </c>
      <c r="N93" s="540">
        <f t="shared" si="9"/>
        <v>245440</v>
      </c>
      <c r="O93" s="546"/>
      <c r="P93" s="540">
        <f t="shared" si="6"/>
        <v>0</v>
      </c>
      <c r="Q93" s="551">
        <f t="shared" si="10"/>
        <v>0</v>
      </c>
      <c r="R93" s="283"/>
    </row>
    <row r="94" spans="1:18" ht="24">
      <c r="A94" s="520"/>
      <c r="B94" s="520"/>
      <c r="C94" s="238"/>
      <c r="D94" s="358">
        <v>69.83</v>
      </c>
      <c r="E94" s="238"/>
      <c r="F94" s="519">
        <v>356133</v>
      </c>
      <c r="G94" s="298">
        <v>41034</v>
      </c>
      <c r="H94" s="540">
        <f t="shared" si="8"/>
        <v>5100</v>
      </c>
      <c r="I94" s="260" t="s">
        <v>90</v>
      </c>
      <c r="J94" s="542">
        <v>57.61</v>
      </c>
      <c r="K94" s="526">
        <v>69.83</v>
      </c>
      <c r="L94" s="367">
        <v>356133</v>
      </c>
      <c r="M94" s="540">
        <f t="shared" si="7"/>
        <v>69.83</v>
      </c>
      <c r="N94" s="540">
        <f t="shared" si="9"/>
        <v>356133</v>
      </c>
      <c r="O94" s="546"/>
      <c r="P94" s="540">
        <f t="shared" si="6"/>
        <v>0</v>
      </c>
      <c r="Q94" s="551">
        <f t="shared" si="10"/>
        <v>0</v>
      </c>
      <c r="R94" s="283"/>
    </row>
    <row r="95" spans="1:18">
      <c r="A95" s="520"/>
      <c r="B95" s="520"/>
      <c r="C95" s="238"/>
      <c r="D95" s="358">
        <v>70.48</v>
      </c>
      <c r="E95" s="238"/>
      <c r="F95" s="519">
        <v>304459</v>
      </c>
      <c r="G95" s="298">
        <v>41292</v>
      </c>
      <c r="H95" s="540">
        <f t="shared" si="8"/>
        <v>4360.0028640985247</v>
      </c>
      <c r="I95" s="260" t="s">
        <v>91</v>
      </c>
      <c r="J95" s="542">
        <v>57.61</v>
      </c>
      <c r="K95" s="526">
        <v>69.83</v>
      </c>
      <c r="L95" s="367">
        <v>304459</v>
      </c>
      <c r="M95" s="540">
        <f t="shared" si="7"/>
        <v>69.83</v>
      </c>
      <c r="N95" s="540">
        <f t="shared" si="9"/>
        <v>304459</v>
      </c>
      <c r="O95" s="546"/>
      <c r="P95" s="540">
        <f t="shared" si="6"/>
        <v>0</v>
      </c>
      <c r="Q95" s="551">
        <f t="shared" si="10"/>
        <v>0</v>
      </c>
      <c r="R95" s="283"/>
    </row>
    <row r="96" spans="1:18">
      <c r="A96" s="520"/>
      <c r="B96" s="520"/>
      <c r="C96" s="238"/>
      <c r="D96" s="358">
        <v>70.48</v>
      </c>
      <c r="E96" s="238"/>
      <c r="F96" s="519">
        <v>431549</v>
      </c>
      <c r="G96" s="298">
        <v>40386</v>
      </c>
      <c r="H96" s="540">
        <f t="shared" si="8"/>
        <v>6179.9942718029506</v>
      </c>
      <c r="I96" s="260" t="s">
        <v>91</v>
      </c>
      <c r="J96" s="542">
        <v>57.61</v>
      </c>
      <c r="K96" s="526">
        <v>69.83</v>
      </c>
      <c r="L96" s="367">
        <v>431549</v>
      </c>
      <c r="M96" s="540">
        <f t="shared" si="7"/>
        <v>69.83</v>
      </c>
      <c r="N96" s="540">
        <f t="shared" si="9"/>
        <v>431549</v>
      </c>
      <c r="O96" s="546"/>
      <c r="P96" s="540">
        <f t="shared" si="6"/>
        <v>0</v>
      </c>
      <c r="Q96" s="551">
        <f t="shared" si="10"/>
        <v>0</v>
      </c>
      <c r="R96" s="283"/>
    </row>
    <row r="97" spans="1:18">
      <c r="A97" s="520"/>
      <c r="B97" s="520"/>
      <c r="C97" s="238"/>
      <c r="D97" s="358">
        <v>70.48</v>
      </c>
      <c r="E97" s="238"/>
      <c r="F97" s="519">
        <v>315632</v>
      </c>
      <c r="G97" s="298">
        <v>40409</v>
      </c>
      <c r="H97" s="540">
        <f t="shared" si="8"/>
        <v>4520.0057281970503</v>
      </c>
      <c r="I97" s="260" t="s">
        <v>91</v>
      </c>
      <c r="J97" s="542">
        <v>57.61</v>
      </c>
      <c r="K97" s="526">
        <v>69.83</v>
      </c>
      <c r="L97" s="367">
        <v>315632</v>
      </c>
      <c r="M97" s="540">
        <f t="shared" si="7"/>
        <v>69.83</v>
      </c>
      <c r="N97" s="540">
        <f t="shared" si="9"/>
        <v>315632</v>
      </c>
      <c r="O97" s="546"/>
      <c r="P97" s="540">
        <f t="shared" si="6"/>
        <v>0</v>
      </c>
      <c r="Q97" s="551">
        <f t="shared" si="10"/>
        <v>0</v>
      </c>
      <c r="R97" s="283"/>
    </row>
    <row r="98" spans="1:18">
      <c r="A98" s="520"/>
      <c r="B98" s="520"/>
      <c r="C98" s="238"/>
      <c r="D98" s="358">
        <v>70.48</v>
      </c>
      <c r="E98" s="238"/>
      <c r="F98" s="519">
        <v>251388</v>
      </c>
      <c r="G98" s="298">
        <v>40384</v>
      </c>
      <c r="H98" s="540">
        <f t="shared" si="8"/>
        <v>3600</v>
      </c>
      <c r="I98" s="260" t="s">
        <v>92</v>
      </c>
      <c r="J98" s="542">
        <v>57.61</v>
      </c>
      <c r="K98" s="526">
        <v>69.83</v>
      </c>
      <c r="L98" s="367">
        <v>251388</v>
      </c>
      <c r="M98" s="540">
        <f t="shared" si="7"/>
        <v>69.83</v>
      </c>
      <c r="N98" s="540">
        <f t="shared" si="9"/>
        <v>251388</v>
      </c>
      <c r="O98" s="546"/>
      <c r="P98" s="540">
        <f t="shared" si="6"/>
        <v>0</v>
      </c>
      <c r="Q98" s="551">
        <f t="shared" si="10"/>
        <v>0</v>
      </c>
      <c r="R98" s="283"/>
    </row>
    <row r="99" spans="1:18">
      <c r="A99" s="520"/>
      <c r="B99" s="520"/>
      <c r="C99" s="238"/>
      <c r="D99" s="358">
        <v>70.48</v>
      </c>
      <c r="E99" s="238"/>
      <c r="F99" s="519">
        <v>469048</v>
      </c>
      <c r="G99" s="298">
        <v>40400</v>
      </c>
      <c r="H99" s="540">
        <f t="shared" si="8"/>
        <v>6716.9984247458115</v>
      </c>
      <c r="I99" s="260" t="s">
        <v>91</v>
      </c>
      <c r="J99" s="542">
        <v>57.61</v>
      </c>
      <c r="K99" s="526">
        <v>69.83</v>
      </c>
      <c r="L99" s="367">
        <v>469048</v>
      </c>
      <c r="M99" s="540">
        <f t="shared" si="7"/>
        <v>69.83</v>
      </c>
      <c r="N99" s="540">
        <f t="shared" si="9"/>
        <v>469048</v>
      </c>
      <c r="O99" s="546"/>
      <c r="P99" s="540">
        <f t="shared" si="6"/>
        <v>0</v>
      </c>
      <c r="Q99" s="551">
        <f t="shared" si="10"/>
        <v>0</v>
      </c>
      <c r="R99" s="283"/>
    </row>
    <row r="100" spans="1:18">
      <c r="A100" s="520"/>
      <c r="B100" s="520"/>
      <c r="C100" s="238"/>
      <c r="D100" s="358">
        <v>70.48</v>
      </c>
      <c r="E100" s="238"/>
      <c r="F100" s="519">
        <v>438672</v>
      </c>
      <c r="G100" s="298">
        <v>40568</v>
      </c>
      <c r="H100" s="540">
        <f t="shared" si="8"/>
        <v>6281.9991407704429</v>
      </c>
      <c r="I100" s="260" t="s">
        <v>92</v>
      </c>
      <c r="J100" s="542">
        <v>57.61</v>
      </c>
      <c r="K100" s="526">
        <v>69.83</v>
      </c>
      <c r="L100" s="367">
        <v>438672</v>
      </c>
      <c r="M100" s="540">
        <f t="shared" si="7"/>
        <v>69.83</v>
      </c>
      <c r="N100" s="540">
        <f t="shared" si="9"/>
        <v>438672</v>
      </c>
      <c r="O100" s="546"/>
      <c r="P100" s="540">
        <f t="shared" si="6"/>
        <v>0</v>
      </c>
      <c r="Q100" s="551">
        <f t="shared" si="10"/>
        <v>0</v>
      </c>
      <c r="R100" s="283"/>
    </row>
    <row r="101" spans="1:18">
      <c r="A101" s="520"/>
      <c r="B101" s="520"/>
      <c r="C101" s="238"/>
      <c r="D101" s="358">
        <v>69.83</v>
      </c>
      <c r="E101" s="238"/>
      <c r="F101" s="519">
        <v>433644</v>
      </c>
      <c r="G101" s="298">
        <v>40681</v>
      </c>
      <c r="H101" s="540">
        <f t="shared" si="8"/>
        <v>6209.9957038522125</v>
      </c>
      <c r="I101" s="260" t="s">
        <v>91</v>
      </c>
      <c r="J101" s="542">
        <v>57.61</v>
      </c>
      <c r="K101" s="526">
        <v>69.83</v>
      </c>
      <c r="L101" s="367">
        <v>433644</v>
      </c>
      <c r="M101" s="540">
        <f t="shared" si="7"/>
        <v>69.83</v>
      </c>
      <c r="N101" s="540">
        <f t="shared" si="9"/>
        <v>433644</v>
      </c>
      <c r="O101" s="546"/>
      <c r="P101" s="540">
        <f t="shared" si="6"/>
        <v>0</v>
      </c>
      <c r="Q101" s="551">
        <f t="shared" si="10"/>
        <v>0</v>
      </c>
      <c r="R101" s="283"/>
    </row>
    <row r="102" spans="1:18">
      <c r="A102" s="520"/>
      <c r="B102" s="520"/>
      <c r="C102" s="238"/>
      <c r="D102" s="358">
        <v>69.83</v>
      </c>
      <c r="E102" s="238"/>
      <c r="F102" s="519">
        <v>419050</v>
      </c>
      <c r="G102" s="298">
        <v>40686</v>
      </c>
      <c r="H102" s="540">
        <f t="shared" si="8"/>
        <v>6001.0024344837466</v>
      </c>
      <c r="I102" s="260" t="s">
        <v>92</v>
      </c>
      <c r="J102" s="542">
        <v>57.61</v>
      </c>
      <c r="K102" s="526">
        <v>69.83</v>
      </c>
      <c r="L102" s="367">
        <v>419050</v>
      </c>
      <c r="M102" s="540">
        <f t="shared" si="7"/>
        <v>69.83</v>
      </c>
      <c r="N102" s="540">
        <f t="shared" si="9"/>
        <v>419050</v>
      </c>
      <c r="O102" s="546"/>
      <c r="P102" s="540">
        <f t="shared" si="6"/>
        <v>0</v>
      </c>
      <c r="Q102" s="551">
        <f t="shared" si="10"/>
        <v>0</v>
      </c>
      <c r="R102" s="283"/>
    </row>
    <row r="103" spans="1:18">
      <c r="A103" s="520"/>
      <c r="B103" s="520"/>
      <c r="C103" s="238"/>
      <c r="D103" s="358">
        <v>69.83</v>
      </c>
      <c r="E103" s="238"/>
      <c r="F103" s="519">
        <v>422612</v>
      </c>
      <c r="G103" s="298">
        <v>40686</v>
      </c>
      <c r="H103" s="540">
        <f t="shared" si="8"/>
        <v>6052.0120292138054</v>
      </c>
      <c r="I103" s="260" t="s">
        <v>92</v>
      </c>
      <c r="J103" s="542">
        <v>57.61</v>
      </c>
      <c r="K103" s="526">
        <v>69.83</v>
      </c>
      <c r="L103" s="367">
        <v>422612</v>
      </c>
      <c r="M103" s="540">
        <f t="shared" si="7"/>
        <v>69.83</v>
      </c>
      <c r="N103" s="540">
        <f t="shared" si="9"/>
        <v>422612</v>
      </c>
      <c r="O103" s="546"/>
      <c r="P103" s="540">
        <f t="shared" si="6"/>
        <v>0</v>
      </c>
      <c r="Q103" s="551">
        <f t="shared" si="10"/>
        <v>0</v>
      </c>
      <c r="R103" s="283"/>
    </row>
    <row r="104" spans="1:18">
      <c r="A104" s="520"/>
      <c r="B104" s="520"/>
      <c r="C104" s="238"/>
      <c r="D104" s="358">
        <v>70.48</v>
      </c>
      <c r="E104" s="238"/>
      <c r="F104" s="519">
        <v>478615</v>
      </c>
      <c r="G104" s="298">
        <v>40484</v>
      </c>
      <c r="H104" s="540">
        <f t="shared" si="8"/>
        <v>6854.0025776886723</v>
      </c>
      <c r="I104" s="260" t="s">
        <v>92</v>
      </c>
      <c r="J104" s="542">
        <v>57.61</v>
      </c>
      <c r="K104" s="526">
        <v>69.83</v>
      </c>
      <c r="L104" s="367">
        <v>478615</v>
      </c>
      <c r="M104" s="540">
        <f t="shared" si="7"/>
        <v>69.83</v>
      </c>
      <c r="N104" s="540">
        <f t="shared" si="9"/>
        <v>478615</v>
      </c>
      <c r="O104" s="546"/>
      <c r="P104" s="540">
        <f t="shared" si="6"/>
        <v>0</v>
      </c>
      <c r="Q104" s="551">
        <f t="shared" si="10"/>
        <v>0</v>
      </c>
      <c r="R104" s="283"/>
    </row>
    <row r="105" spans="1:18">
      <c r="A105" s="520"/>
      <c r="B105" s="520"/>
      <c r="C105" s="238"/>
      <c r="D105" s="358">
        <v>70.48</v>
      </c>
      <c r="E105" s="238"/>
      <c r="F105" s="519">
        <v>250480</v>
      </c>
      <c r="G105" s="298">
        <v>40374</v>
      </c>
      <c r="H105" s="540">
        <f t="shared" si="8"/>
        <v>3586.9969926965487</v>
      </c>
      <c r="I105" s="260" t="s">
        <v>92</v>
      </c>
      <c r="J105" s="542">
        <v>57.61</v>
      </c>
      <c r="K105" s="526">
        <v>69.83</v>
      </c>
      <c r="L105" s="367">
        <v>250480</v>
      </c>
      <c r="M105" s="540">
        <f t="shared" si="7"/>
        <v>69.83</v>
      </c>
      <c r="N105" s="540">
        <f t="shared" si="9"/>
        <v>250480</v>
      </c>
      <c r="O105" s="546"/>
      <c r="P105" s="540">
        <f t="shared" si="6"/>
        <v>0</v>
      </c>
      <c r="Q105" s="551">
        <f t="shared" si="10"/>
        <v>0</v>
      </c>
      <c r="R105" s="283"/>
    </row>
    <row r="106" spans="1:18">
      <c r="A106" s="520"/>
      <c r="B106" s="520"/>
      <c r="C106" s="238"/>
      <c r="D106" s="358">
        <v>70.48</v>
      </c>
      <c r="E106" s="238"/>
      <c r="F106" s="519">
        <v>259069</v>
      </c>
      <c r="G106" s="298">
        <v>40377</v>
      </c>
      <c r="H106" s="540">
        <f t="shared" si="8"/>
        <v>3709.9957038522125</v>
      </c>
      <c r="I106" s="260" t="s">
        <v>91</v>
      </c>
      <c r="J106" s="542">
        <v>57.61</v>
      </c>
      <c r="K106" s="526">
        <v>69.83</v>
      </c>
      <c r="L106" s="367">
        <v>259069</v>
      </c>
      <c r="M106" s="540">
        <f t="shared" si="7"/>
        <v>69.83</v>
      </c>
      <c r="N106" s="540">
        <f t="shared" si="9"/>
        <v>259069</v>
      </c>
      <c r="O106" s="546"/>
      <c r="P106" s="540">
        <f t="shared" si="6"/>
        <v>0</v>
      </c>
      <c r="Q106" s="551">
        <f t="shared" si="10"/>
        <v>0</v>
      </c>
      <c r="R106" s="283"/>
    </row>
    <row r="107" spans="1:18">
      <c r="A107" s="520"/>
      <c r="B107" s="520"/>
      <c r="C107" s="238"/>
      <c r="D107" s="358">
        <v>70.48</v>
      </c>
      <c r="E107" s="238"/>
      <c r="F107" s="519">
        <v>257463</v>
      </c>
      <c r="G107" s="298">
        <v>40378</v>
      </c>
      <c r="H107" s="540">
        <f t="shared" si="8"/>
        <v>3686.9969926965487</v>
      </c>
      <c r="I107" s="260" t="s">
        <v>92</v>
      </c>
      <c r="J107" s="542">
        <v>57.61</v>
      </c>
      <c r="K107" s="526">
        <v>69.83</v>
      </c>
      <c r="L107" s="367">
        <v>257463</v>
      </c>
      <c r="M107" s="540">
        <f t="shared" si="7"/>
        <v>69.83</v>
      </c>
      <c r="N107" s="540">
        <f t="shared" si="9"/>
        <v>257463</v>
      </c>
      <c r="O107" s="546"/>
      <c r="P107" s="540">
        <f t="shared" si="6"/>
        <v>0</v>
      </c>
      <c r="Q107" s="551">
        <f t="shared" si="10"/>
        <v>0</v>
      </c>
      <c r="R107" s="283"/>
    </row>
    <row r="108" spans="1:18">
      <c r="A108" s="520"/>
      <c r="B108" s="520"/>
      <c r="C108" s="238"/>
      <c r="D108" s="358">
        <v>70.48</v>
      </c>
      <c r="E108" s="238"/>
      <c r="F108" s="519">
        <v>313537</v>
      </c>
      <c r="G108" s="298">
        <v>40409</v>
      </c>
      <c r="H108" s="540">
        <f t="shared" si="8"/>
        <v>4490.0042961477875</v>
      </c>
      <c r="I108" s="260" t="s">
        <v>91</v>
      </c>
      <c r="J108" s="542">
        <v>57.61</v>
      </c>
      <c r="K108" s="526">
        <v>69.83</v>
      </c>
      <c r="L108" s="367">
        <v>313537</v>
      </c>
      <c r="M108" s="540">
        <f t="shared" si="7"/>
        <v>69.83</v>
      </c>
      <c r="N108" s="540">
        <f t="shared" si="9"/>
        <v>313537</v>
      </c>
      <c r="O108" s="546"/>
      <c r="P108" s="540">
        <f t="shared" si="6"/>
        <v>0</v>
      </c>
      <c r="Q108" s="551">
        <f t="shared" si="10"/>
        <v>0</v>
      </c>
      <c r="R108" s="283"/>
    </row>
    <row r="109" spans="1:18">
      <c r="A109" s="520"/>
      <c r="B109" s="520"/>
      <c r="C109" s="238"/>
      <c r="D109" s="358">
        <v>70.48</v>
      </c>
      <c r="E109" s="238"/>
      <c r="F109" s="519">
        <v>264446</v>
      </c>
      <c r="G109" s="298">
        <v>40386</v>
      </c>
      <c r="H109" s="540">
        <f t="shared" si="8"/>
        <v>3786.9969926965487</v>
      </c>
      <c r="I109" s="260" t="s">
        <v>92</v>
      </c>
      <c r="J109" s="542">
        <v>57.61</v>
      </c>
      <c r="K109" s="526">
        <v>69.83</v>
      </c>
      <c r="L109" s="367">
        <v>264446</v>
      </c>
      <c r="M109" s="540">
        <f t="shared" si="7"/>
        <v>69.83</v>
      </c>
      <c r="N109" s="540">
        <f t="shared" si="9"/>
        <v>264446</v>
      </c>
      <c r="O109" s="546"/>
      <c r="P109" s="540">
        <f t="shared" ref="P109:P179" si="11">N109-F109</f>
        <v>0</v>
      </c>
      <c r="Q109" s="551">
        <f t="shared" si="10"/>
        <v>0</v>
      </c>
      <c r="R109" s="283"/>
    </row>
    <row r="110" spans="1:18">
      <c r="A110" s="520"/>
      <c r="B110" s="520"/>
      <c r="C110" s="238"/>
      <c r="D110" s="358">
        <v>70.48</v>
      </c>
      <c r="E110" s="238"/>
      <c r="F110" s="519">
        <v>273035</v>
      </c>
      <c r="G110" s="298">
        <v>40383</v>
      </c>
      <c r="H110" s="540">
        <f t="shared" si="8"/>
        <v>3909.9957038522125</v>
      </c>
      <c r="I110" s="260" t="s">
        <v>91</v>
      </c>
      <c r="J110" s="542">
        <v>57.61</v>
      </c>
      <c r="K110" s="526">
        <v>69.83</v>
      </c>
      <c r="L110" s="367">
        <v>273035</v>
      </c>
      <c r="M110" s="540">
        <f t="shared" si="7"/>
        <v>69.83</v>
      </c>
      <c r="N110" s="540">
        <f t="shared" si="9"/>
        <v>273035</v>
      </c>
      <c r="O110" s="546"/>
      <c r="P110" s="540">
        <f t="shared" si="11"/>
        <v>0</v>
      </c>
      <c r="Q110" s="551">
        <f t="shared" si="10"/>
        <v>0</v>
      </c>
      <c r="R110" s="283"/>
    </row>
    <row r="111" spans="1:18">
      <c r="A111" s="520"/>
      <c r="B111" s="520"/>
      <c r="C111" s="238"/>
      <c r="D111" s="358">
        <v>69.83</v>
      </c>
      <c r="E111" s="238"/>
      <c r="F111" s="519">
        <v>411927</v>
      </c>
      <c r="G111" s="298">
        <v>40686</v>
      </c>
      <c r="H111" s="540">
        <f t="shared" si="8"/>
        <v>5898.9975655162543</v>
      </c>
      <c r="I111" s="260" t="s">
        <v>92</v>
      </c>
      <c r="J111" s="542">
        <v>57.61</v>
      </c>
      <c r="K111" s="526">
        <v>69.83</v>
      </c>
      <c r="L111" s="367">
        <v>411927</v>
      </c>
      <c r="M111" s="540">
        <f t="shared" si="7"/>
        <v>69.83</v>
      </c>
      <c r="N111" s="540">
        <f t="shared" si="9"/>
        <v>411927</v>
      </c>
      <c r="O111" s="546"/>
      <c r="P111" s="540">
        <f t="shared" si="11"/>
        <v>0</v>
      </c>
      <c r="Q111" s="551">
        <f t="shared" si="10"/>
        <v>0</v>
      </c>
      <c r="R111" s="283"/>
    </row>
    <row r="112" spans="1:18">
      <c r="A112" s="520"/>
      <c r="B112" s="520"/>
      <c r="C112" s="238"/>
      <c r="D112" s="358">
        <v>70.48</v>
      </c>
      <c r="E112" s="238"/>
      <c r="F112" s="519">
        <v>260466</v>
      </c>
      <c r="G112" s="298">
        <v>40440</v>
      </c>
      <c r="H112" s="540">
        <f t="shared" si="8"/>
        <v>3730.0014320492628</v>
      </c>
      <c r="I112" s="260" t="s">
        <v>91</v>
      </c>
      <c r="J112" s="542">
        <v>57.61</v>
      </c>
      <c r="K112" s="526">
        <v>69.83</v>
      </c>
      <c r="L112" s="367">
        <v>260466</v>
      </c>
      <c r="M112" s="540">
        <f t="shared" si="7"/>
        <v>69.83</v>
      </c>
      <c r="N112" s="540">
        <f t="shared" si="9"/>
        <v>260466</v>
      </c>
      <c r="O112" s="546"/>
      <c r="P112" s="540">
        <f t="shared" si="11"/>
        <v>0</v>
      </c>
      <c r="Q112" s="551">
        <f t="shared" si="10"/>
        <v>0</v>
      </c>
      <c r="R112" s="283"/>
    </row>
    <row r="113" spans="1:18">
      <c r="A113" s="520"/>
      <c r="B113" s="520"/>
      <c r="C113" s="238"/>
      <c r="D113" s="358">
        <v>70.48</v>
      </c>
      <c r="E113" s="238"/>
      <c r="F113" s="519">
        <v>483224</v>
      </c>
      <c r="G113" s="298">
        <v>40410</v>
      </c>
      <c r="H113" s="540">
        <f t="shared" si="8"/>
        <v>6920.0057281970503</v>
      </c>
      <c r="I113" s="260" t="s">
        <v>91</v>
      </c>
      <c r="J113" s="542">
        <v>57.61</v>
      </c>
      <c r="K113" s="526">
        <v>69.83</v>
      </c>
      <c r="L113" s="367">
        <v>483224</v>
      </c>
      <c r="M113" s="540">
        <f t="shared" si="7"/>
        <v>69.83</v>
      </c>
      <c r="N113" s="540">
        <f t="shared" si="9"/>
        <v>483224</v>
      </c>
      <c r="O113" s="546"/>
      <c r="P113" s="540">
        <f t="shared" si="11"/>
        <v>0</v>
      </c>
      <c r="Q113" s="551">
        <f t="shared" si="10"/>
        <v>0</v>
      </c>
      <c r="R113" s="283"/>
    </row>
    <row r="114" spans="1:18">
      <c r="A114" s="520"/>
      <c r="B114" s="520"/>
      <c r="C114" s="238"/>
      <c r="D114" s="358">
        <v>69.83</v>
      </c>
      <c r="E114" s="238"/>
      <c r="F114" s="519">
        <v>422612</v>
      </c>
      <c r="G114" s="298">
        <v>40686</v>
      </c>
      <c r="H114" s="540">
        <f t="shared" si="8"/>
        <v>6052.0120292138054</v>
      </c>
      <c r="I114" s="260" t="s">
        <v>92</v>
      </c>
      <c r="J114" s="542">
        <v>57.61</v>
      </c>
      <c r="K114" s="526">
        <v>69.83</v>
      </c>
      <c r="L114" s="367">
        <v>422612</v>
      </c>
      <c r="M114" s="540">
        <f t="shared" si="7"/>
        <v>69.83</v>
      </c>
      <c r="N114" s="540">
        <f t="shared" si="9"/>
        <v>422612</v>
      </c>
      <c r="O114" s="546"/>
      <c r="P114" s="540">
        <f t="shared" si="11"/>
        <v>0</v>
      </c>
      <c r="Q114" s="551">
        <f t="shared" si="10"/>
        <v>0</v>
      </c>
      <c r="R114" s="283"/>
    </row>
    <row r="115" spans="1:18">
      <c r="A115" s="520"/>
      <c r="B115" s="520"/>
      <c r="C115" s="238"/>
      <c r="D115" s="358">
        <v>70.48</v>
      </c>
      <c r="E115" s="238"/>
      <c r="F115" s="519">
        <v>468839</v>
      </c>
      <c r="G115" s="298">
        <v>40407</v>
      </c>
      <c r="H115" s="540">
        <f t="shared" si="8"/>
        <v>6714.0054417871979</v>
      </c>
      <c r="I115" s="260" t="s">
        <v>92</v>
      </c>
      <c r="J115" s="542">
        <v>57.61</v>
      </c>
      <c r="K115" s="526">
        <v>69.83</v>
      </c>
      <c r="L115" s="367">
        <v>468839</v>
      </c>
      <c r="M115" s="540">
        <f t="shared" si="7"/>
        <v>69.83</v>
      </c>
      <c r="N115" s="540">
        <f t="shared" si="9"/>
        <v>468839</v>
      </c>
      <c r="O115" s="546"/>
      <c r="P115" s="540">
        <f t="shared" si="11"/>
        <v>0</v>
      </c>
      <c r="Q115" s="551">
        <f t="shared" si="10"/>
        <v>0</v>
      </c>
      <c r="R115" s="283"/>
    </row>
    <row r="116" spans="1:18" ht="24">
      <c r="A116" s="520"/>
      <c r="B116" s="520"/>
      <c r="C116" s="238"/>
      <c r="D116" s="358">
        <v>57.57</v>
      </c>
      <c r="E116" s="238"/>
      <c r="F116" s="519">
        <v>246014</v>
      </c>
      <c r="G116" s="298">
        <v>40391</v>
      </c>
      <c r="H116" s="540">
        <f t="shared" si="8"/>
        <v>4279.993041057759</v>
      </c>
      <c r="I116" s="260" t="s">
        <v>90</v>
      </c>
      <c r="J116" s="542">
        <v>47.42</v>
      </c>
      <c r="K116" s="526">
        <v>57.48</v>
      </c>
      <c r="L116" s="367">
        <v>246014</v>
      </c>
      <c r="M116" s="540">
        <f t="shared" si="7"/>
        <v>57.48</v>
      </c>
      <c r="N116" s="540">
        <f t="shared" si="9"/>
        <v>246014</v>
      </c>
      <c r="O116" s="546"/>
      <c r="P116" s="540">
        <f t="shared" si="11"/>
        <v>0</v>
      </c>
      <c r="Q116" s="551">
        <f t="shared" si="10"/>
        <v>0</v>
      </c>
      <c r="R116" s="283"/>
    </row>
    <row r="117" spans="1:18" ht="24">
      <c r="A117" s="520"/>
      <c r="B117" s="520"/>
      <c r="C117" s="238"/>
      <c r="D117" s="358">
        <v>57.57</v>
      </c>
      <c r="E117" s="238"/>
      <c r="F117" s="519">
        <v>215550</v>
      </c>
      <c r="G117" s="298">
        <v>40387</v>
      </c>
      <c r="H117" s="540">
        <f t="shared" si="8"/>
        <v>3750</v>
      </c>
      <c r="I117" s="260" t="s">
        <v>90</v>
      </c>
      <c r="J117" s="542">
        <v>47.42</v>
      </c>
      <c r="K117" s="526">
        <v>57.48</v>
      </c>
      <c r="L117" s="367">
        <v>215550</v>
      </c>
      <c r="M117" s="540">
        <f t="shared" ref="M117:N187" si="12">K117</f>
        <v>57.48</v>
      </c>
      <c r="N117" s="540">
        <f t="shared" si="9"/>
        <v>215550</v>
      </c>
      <c r="O117" s="546"/>
      <c r="P117" s="540">
        <f t="shared" si="11"/>
        <v>0</v>
      </c>
      <c r="Q117" s="551">
        <f t="shared" si="10"/>
        <v>0</v>
      </c>
      <c r="R117" s="283"/>
    </row>
    <row r="118" spans="1:18">
      <c r="A118" s="520"/>
      <c r="B118" s="520"/>
      <c r="C118" s="238"/>
      <c r="D118" s="358">
        <v>57.57</v>
      </c>
      <c r="E118" s="238"/>
      <c r="F118" s="519">
        <v>256361</v>
      </c>
      <c r="G118" s="298">
        <v>40384</v>
      </c>
      <c r="H118" s="540">
        <f t="shared" si="8"/>
        <v>4460.003479471121</v>
      </c>
      <c r="I118" s="260" t="s">
        <v>91</v>
      </c>
      <c r="J118" s="542">
        <v>47.42</v>
      </c>
      <c r="K118" s="526">
        <v>57.48</v>
      </c>
      <c r="L118" s="367">
        <v>256361</v>
      </c>
      <c r="M118" s="540">
        <f t="shared" si="12"/>
        <v>57.48</v>
      </c>
      <c r="N118" s="540">
        <f t="shared" si="9"/>
        <v>256361</v>
      </c>
      <c r="O118" s="546"/>
      <c r="P118" s="540">
        <f t="shared" si="11"/>
        <v>0</v>
      </c>
      <c r="Q118" s="551">
        <f t="shared" si="10"/>
        <v>0</v>
      </c>
      <c r="R118" s="283"/>
    </row>
    <row r="119" spans="1:18">
      <c r="A119" s="520"/>
      <c r="B119" s="520"/>
      <c r="C119" s="238"/>
      <c r="D119" s="358">
        <v>57.57</v>
      </c>
      <c r="E119" s="238"/>
      <c r="F119" s="519">
        <v>224977</v>
      </c>
      <c r="G119" s="298">
        <v>40373</v>
      </c>
      <c r="H119" s="540">
        <f t="shared" si="8"/>
        <v>3914.004871259569</v>
      </c>
      <c r="I119" s="260" t="s">
        <v>92</v>
      </c>
      <c r="J119" s="542">
        <v>47.42</v>
      </c>
      <c r="K119" s="526">
        <v>57.48</v>
      </c>
      <c r="L119" s="367">
        <v>224977</v>
      </c>
      <c r="M119" s="540">
        <f t="shared" si="12"/>
        <v>57.48</v>
      </c>
      <c r="N119" s="540">
        <f t="shared" si="9"/>
        <v>224977</v>
      </c>
      <c r="O119" s="546"/>
      <c r="P119" s="540">
        <f t="shared" si="11"/>
        <v>0</v>
      </c>
      <c r="Q119" s="551">
        <f t="shared" si="10"/>
        <v>0</v>
      </c>
      <c r="R119" s="283"/>
    </row>
    <row r="120" spans="1:18">
      <c r="A120" s="520"/>
      <c r="B120" s="520"/>
      <c r="C120" s="238"/>
      <c r="D120" s="358">
        <v>57.57</v>
      </c>
      <c r="E120" s="238"/>
      <c r="F120" s="519">
        <v>239117</v>
      </c>
      <c r="G120" s="298">
        <v>40389</v>
      </c>
      <c r="H120" s="540">
        <f t="shared" si="8"/>
        <v>4160.003479471121</v>
      </c>
      <c r="I120" s="260" t="s">
        <v>91</v>
      </c>
      <c r="J120" s="542">
        <v>47.42</v>
      </c>
      <c r="K120" s="526">
        <v>57.48</v>
      </c>
      <c r="L120" s="367">
        <v>239117</v>
      </c>
      <c r="M120" s="540">
        <f t="shared" si="12"/>
        <v>57.48</v>
      </c>
      <c r="N120" s="540">
        <f t="shared" si="9"/>
        <v>239117</v>
      </c>
      <c r="O120" s="546"/>
      <c r="P120" s="540">
        <f t="shared" si="11"/>
        <v>0</v>
      </c>
      <c r="Q120" s="551">
        <f t="shared" si="10"/>
        <v>0</v>
      </c>
      <c r="R120" s="283"/>
    </row>
    <row r="121" spans="1:18">
      <c r="A121" s="520"/>
      <c r="B121" s="520"/>
      <c r="C121" s="238"/>
      <c r="D121" s="358">
        <v>57.57</v>
      </c>
      <c r="E121" s="238"/>
      <c r="F121" s="519">
        <v>271880</v>
      </c>
      <c r="G121" s="298">
        <v>40373</v>
      </c>
      <c r="H121" s="540">
        <f t="shared" si="8"/>
        <v>4729.9930410577599</v>
      </c>
      <c r="I121" s="260" t="s">
        <v>91</v>
      </c>
      <c r="J121" s="542">
        <v>47.42</v>
      </c>
      <c r="K121" s="526">
        <v>57.48</v>
      </c>
      <c r="L121" s="367">
        <v>271880</v>
      </c>
      <c r="M121" s="540">
        <f t="shared" si="12"/>
        <v>57.48</v>
      </c>
      <c r="N121" s="540">
        <f t="shared" si="9"/>
        <v>271880</v>
      </c>
      <c r="O121" s="546"/>
      <c r="P121" s="540">
        <f t="shared" si="11"/>
        <v>0</v>
      </c>
      <c r="Q121" s="551">
        <f t="shared" si="10"/>
        <v>0</v>
      </c>
      <c r="R121" s="283"/>
    </row>
    <row r="122" spans="1:18">
      <c r="A122" s="520"/>
      <c r="B122" s="520"/>
      <c r="C122" s="238"/>
      <c r="D122" s="358">
        <v>57.57</v>
      </c>
      <c r="E122" s="238"/>
      <c r="F122" s="519">
        <v>364538</v>
      </c>
      <c r="G122" s="298">
        <v>40558</v>
      </c>
      <c r="H122" s="540">
        <f t="shared" si="8"/>
        <v>6341.997216423104</v>
      </c>
      <c r="I122" s="260" t="s">
        <v>92</v>
      </c>
      <c r="J122" s="542">
        <v>47.42</v>
      </c>
      <c r="K122" s="526">
        <v>57.48</v>
      </c>
      <c r="L122" s="367">
        <v>364538</v>
      </c>
      <c r="M122" s="540">
        <f t="shared" si="12"/>
        <v>57.48</v>
      </c>
      <c r="N122" s="540">
        <f t="shared" si="9"/>
        <v>364538</v>
      </c>
      <c r="O122" s="546"/>
      <c r="P122" s="540">
        <f t="shared" si="11"/>
        <v>0</v>
      </c>
      <c r="Q122" s="551">
        <f t="shared" si="10"/>
        <v>0</v>
      </c>
      <c r="R122" s="283"/>
    </row>
    <row r="123" spans="1:18">
      <c r="A123" s="520"/>
      <c r="B123" s="520"/>
      <c r="C123" s="238"/>
      <c r="D123" s="358">
        <v>57.48</v>
      </c>
      <c r="E123" s="238"/>
      <c r="F123" s="519">
        <v>327981</v>
      </c>
      <c r="G123" s="298">
        <v>41232</v>
      </c>
      <c r="H123" s="540">
        <f t="shared" si="8"/>
        <v>5706.0020876826729</v>
      </c>
      <c r="I123" s="260" t="s">
        <v>92</v>
      </c>
      <c r="J123" s="542">
        <v>47.42</v>
      </c>
      <c r="K123" s="526">
        <v>57.48</v>
      </c>
      <c r="L123" s="367">
        <v>327981</v>
      </c>
      <c r="M123" s="540">
        <f t="shared" si="12"/>
        <v>57.48</v>
      </c>
      <c r="N123" s="540">
        <f t="shared" si="9"/>
        <v>327981</v>
      </c>
      <c r="O123" s="546"/>
      <c r="P123" s="540">
        <f t="shared" si="11"/>
        <v>0</v>
      </c>
      <c r="Q123" s="551">
        <f t="shared" si="10"/>
        <v>0</v>
      </c>
      <c r="R123" s="283"/>
    </row>
    <row r="124" spans="1:18">
      <c r="A124" s="520"/>
      <c r="B124" s="520"/>
      <c r="C124" s="238"/>
      <c r="D124" s="358">
        <v>57.48</v>
      </c>
      <c r="E124" s="238"/>
      <c r="F124" s="519">
        <v>328326</v>
      </c>
      <c r="G124" s="298">
        <v>41411</v>
      </c>
      <c r="H124" s="540">
        <f t="shared" si="8"/>
        <v>5712.004175365345</v>
      </c>
      <c r="I124" s="260" t="s">
        <v>92</v>
      </c>
      <c r="J124" s="542">
        <v>47.42</v>
      </c>
      <c r="K124" s="526">
        <v>57.48</v>
      </c>
      <c r="L124" s="367">
        <v>328326</v>
      </c>
      <c r="M124" s="540">
        <f t="shared" si="12"/>
        <v>57.48</v>
      </c>
      <c r="N124" s="540">
        <f t="shared" si="9"/>
        <v>328326</v>
      </c>
      <c r="O124" s="546"/>
      <c r="P124" s="540">
        <f t="shared" si="11"/>
        <v>0</v>
      </c>
      <c r="Q124" s="551">
        <f t="shared" si="10"/>
        <v>0</v>
      </c>
      <c r="R124" s="283"/>
    </row>
    <row r="125" spans="1:18">
      <c r="A125" s="520"/>
      <c r="B125" s="520"/>
      <c r="C125" s="238"/>
      <c r="D125" s="358">
        <v>57.48</v>
      </c>
      <c r="E125" s="238"/>
      <c r="F125" s="519">
        <v>327406</v>
      </c>
      <c r="G125" s="298">
        <v>41245</v>
      </c>
      <c r="H125" s="540">
        <f t="shared" si="8"/>
        <v>5695.998608211552</v>
      </c>
      <c r="I125" s="260" t="s">
        <v>92</v>
      </c>
      <c r="J125" s="542">
        <v>47.42</v>
      </c>
      <c r="K125" s="526">
        <v>57.48</v>
      </c>
      <c r="L125" s="367">
        <v>327406</v>
      </c>
      <c r="M125" s="540">
        <f t="shared" si="12"/>
        <v>57.48</v>
      </c>
      <c r="N125" s="540">
        <f t="shared" si="9"/>
        <v>327406</v>
      </c>
      <c r="O125" s="546"/>
      <c r="P125" s="540">
        <f t="shared" si="11"/>
        <v>0</v>
      </c>
      <c r="Q125" s="551">
        <f t="shared" si="10"/>
        <v>0</v>
      </c>
      <c r="R125" s="283"/>
    </row>
    <row r="126" spans="1:18">
      <c r="A126" s="520"/>
      <c r="B126" s="520"/>
      <c r="C126" s="238"/>
      <c r="D126" s="358">
        <v>57.57</v>
      </c>
      <c r="E126" s="238"/>
      <c r="F126" s="519">
        <v>251187</v>
      </c>
      <c r="G126" s="298">
        <v>40389</v>
      </c>
      <c r="H126" s="540">
        <f t="shared" si="8"/>
        <v>4369.989561586639</v>
      </c>
      <c r="I126" s="260" t="s">
        <v>91</v>
      </c>
      <c r="J126" s="542">
        <v>47.42</v>
      </c>
      <c r="K126" s="526">
        <v>57.48</v>
      </c>
      <c r="L126" s="367">
        <v>251187</v>
      </c>
      <c r="M126" s="540">
        <f t="shared" si="12"/>
        <v>57.48</v>
      </c>
      <c r="N126" s="540">
        <f t="shared" si="9"/>
        <v>251187</v>
      </c>
      <c r="O126" s="546"/>
      <c r="P126" s="540">
        <f t="shared" si="11"/>
        <v>0</v>
      </c>
      <c r="Q126" s="551">
        <f t="shared" si="10"/>
        <v>0</v>
      </c>
      <c r="R126" s="283"/>
    </row>
    <row r="127" spans="1:18">
      <c r="A127" s="520"/>
      <c r="B127" s="520"/>
      <c r="C127" s="238"/>
      <c r="D127" s="358">
        <v>57.57</v>
      </c>
      <c r="E127" s="238"/>
      <c r="F127" s="519">
        <v>206181</v>
      </c>
      <c r="G127" s="298">
        <v>40382</v>
      </c>
      <c r="H127" s="540">
        <f t="shared" si="8"/>
        <v>3587.0041753653445</v>
      </c>
      <c r="I127" s="260" t="s">
        <v>92</v>
      </c>
      <c r="J127" s="542">
        <v>47.42</v>
      </c>
      <c r="K127" s="526">
        <v>57.48</v>
      </c>
      <c r="L127" s="367">
        <v>206181</v>
      </c>
      <c r="M127" s="540">
        <f t="shared" si="12"/>
        <v>57.48</v>
      </c>
      <c r="N127" s="540">
        <f t="shared" si="9"/>
        <v>206181</v>
      </c>
      <c r="O127" s="546"/>
      <c r="P127" s="540">
        <f t="shared" si="11"/>
        <v>0</v>
      </c>
      <c r="Q127" s="551">
        <f t="shared" si="10"/>
        <v>0</v>
      </c>
      <c r="R127" s="283"/>
    </row>
    <row r="128" spans="1:18">
      <c r="A128" s="520"/>
      <c r="B128" s="520"/>
      <c r="C128" s="238"/>
      <c r="D128" s="358">
        <v>57.57</v>
      </c>
      <c r="E128" s="238"/>
      <c r="F128" s="519">
        <v>213251</v>
      </c>
      <c r="G128" s="298">
        <v>40376</v>
      </c>
      <c r="H128" s="540">
        <f t="shared" si="8"/>
        <v>3710.0034794711205</v>
      </c>
      <c r="I128" s="260" t="s">
        <v>91</v>
      </c>
      <c r="J128" s="542">
        <v>47.42</v>
      </c>
      <c r="K128" s="526">
        <v>57.48</v>
      </c>
      <c r="L128" s="367">
        <v>213251</v>
      </c>
      <c r="M128" s="540">
        <f t="shared" si="12"/>
        <v>57.48</v>
      </c>
      <c r="N128" s="540">
        <f t="shared" si="9"/>
        <v>213251</v>
      </c>
      <c r="O128" s="546"/>
      <c r="P128" s="540">
        <f t="shared" si="11"/>
        <v>0</v>
      </c>
      <c r="Q128" s="551">
        <f t="shared" si="10"/>
        <v>0</v>
      </c>
      <c r="R128" s="283"/>
    </row>
    <row r="129" spans="1:18">
      <c r="A129" s="520"/>
      <c r="B129" s="520"/>
      <c r="C129" s="238"/>
      <c r="D129" s="358">
        <v>57.57</v>
      </c>
      <c r="E129" s="238"/>
      <c r="F129" s="519">
        <v>211929</v>
      </c>
      <c r="G129" s="298">
        <v>40384</v>
      </c>
      <c r="H129" s="540">
        <f t="shared" si="8"/>
        <v>3687.0041753653445</v>
      </c>
      <c r="I129" s="260" t="s">
        <v>92</v>
      </c>
      <c r="J129" s="542">
        <v>47.42</v>
      </c>
      <c r="K129" s="526">
        <v>57.48</v>
      </c>
      <c r="L129" s="367">
        <v>211929</v>
      </c>
      <c r="M129" s="540">
        <f t="shared" si="12"/>
        <v>57.48</v>
      </c>
      <c r="N129" s="540">
        <f t="shared" si="9"/>
        <v>211929</v>
      </c>
      <c r="O129" s="546"/>
      <c r="P129" s="540">
        <f t="shared" si="11"/>
        <v>0</v>
      </c>
      <c r="Q129" s="551">
        <f t="shared" si="10"/>
        <v>0</v>
      </c>
      <c r="R129" s="283"/>
    </row>
    <row r="130" spans="1:18">
      <c r="A130" s="520"/>
      <c r="B130" s="520"/>
      <c r="C130" s="238"/>
      <c r="D130" s="358">
        <v>57.57</v>
      </c>
      <c r="E130" s="238"/>
      <c r="F130" s="519">
        <v>225896</v>
      </c>
      <c r="G130" s="298">
        <v>40380</v>
      </c>
      <c r="H130" s="540">
        <f t="shared" si="8"/>
        <v>3929.9930410577595</v>
      </c>
      <c r="I130" s="260" t="s">
        <v>92</v>
      </c>
      <c r="J130" s="542">
        <v>47.42</v>
      </c>
      <c r="K130" s="526">
        <v>57.48</v>
      </c>
      <c r="L130" s="367">
        <v>225896</v>
      </c>
      <c r="M130" s="540">
        <f t="shared" si="12"/>
        <v>57.48</v>
      </c>
      <c r="N130" s="540">
        <f t="shared" si="9"/>
        <v>225896</v>
      </c>
      <c r="O130" s="546"/>
      <c r="P130" s="540">
        <f t="shared" si="11"/>
        <v>0</v>
      </c>
      <c r="Q130" s="551">
        <f t="shared" si="10"/>
        <v>0</v>
      </c>
      <c r="R130" s="283"/>
    </row>
    <row r="131" spans="1:18" ht="24">
      <c r="A131" s="520"/>
      <c r="B131" s="520"/>
      <c r="C131" s="238"/>
      <c r="D131" s="358">
        <v>57.57</v>
      </c>
      <c r="E131" s="238"/>
      <c r="F131" s="519">
        <v>262109</v>
      </c>
      <c r="G131" s="298">
        <v>40375</v>
      </c>
      <c r="H131" s="540">
        <f t="shared" si="8"/>
        <v>4560.003479471121</v>
      </c>
      <c r="I131" s="260" t="s">
        <v>90</v>
      </c>
      <c r="J131" s="542">
        <v>47.42</v>
      </c>
      <c r="K131" s="526">
        <v>57.48</v>
      </c>
      <c r="L131" s="367">
        <v>262109</v>
      </c>
      <c r="M131" s="540">
        <f t="shared" si="12"/>
        <v>57.48</v>
      </c>
      <c r="N131" s="540">
        <f t="shared" si="9"/>
        <v>262109</v>
      </c>
      <c r="O131" s="546"/>
      <c r="P131" s="540">
        <f t="shared" si="11"/>
        <v>0</v>
      </c>
      <c r="Q131" s="551">
        <f t="shared" si="10"/>
        <v>0</v>
      </c>
      <c r="R131" s="283"/>
    </row>
    <row r="132" spans="1:18">
      <c r="A132" s="520"/>
      <c r="B132" s="520"/>
      <c r="C132" s="238"/>
      <c r="D132" s="358">
        <v>57.57</v>
      </c>
      <c r="E132" s="238"/>
      <c r="F132" s="519">
        <v>266132</v>
      </c>
      <c r="G132" s="298">
        <v>40382</v>
      </c>
      <c r="H132" s="540">
        <f t="shared" si="8"/>
        <v>4629.9930410577599</v>
      </c>
      <c r="I132" s="260" t="s">
        <v>91</v>
      </c>
      <c r="J132" s="542">
        <v>47.42</v>
      </c>
      <c r="K132" s="526">
        <v>57.48</v>
      </c>
      <c r="L132" s="367">
        <v>266132</v>
      </c>
      <c r="M132" s="540">
        <f t="shared" si="12"/>
        <v>57.48</v>
      </c>
      <c r="N132" s="540">
        <f t="shared" si="9"/>
        <v>266132</v>
      </c>
      <c r="O132" s="546"/>
      <c r="P132" s="540">
        <f t="shared" si="11"/>
        <v>0</v>
      </c>
      <c r="Q132" s="551">
        <f t="shared" si="10"/>
        <v>0</v>
      </c>
      <c r="R132" s="283"/>
    </row>
    <row r="133" spans="1:18">
      <c r="A133" s="520"/>
      <c r="B133" s="520"/>
      <c r="C133" s="238"/>
      <c r="D133" s="358">
        <v>57.57</v>
      </c>
      <c r="E133" s="238"/>
      <c r="F133" s="519">
        <v>388565</v>
      </c>
      <c r="G133" s="298">
        <v>40399</v>
      </c>
      <c r="H133" s="540">
        <f t="shared" si="8"/>
        <v>6760.003479471121</v>
      </c>
      <c r="I133" s="260" t="s">
        <v>91</v>
      </c>
      <c r="J133" s="542">
        <v>47.42</v>
      </c>
      <c r="K133" s="526">
        <v>57.48</v>
      </c>
      <c r="L133" s="367">
        <v>388565</v>
      </c>
      <c r="M133" s="540">
        <f t="shared" si="12"/>
        <v>57.48</v>
      </c>
      <c r="N133" s="540">
        <f t="shared" si="9"/>
        <v>388565</v>
      </c>
      <c r="O133" s="546"/>
      <c r="P133" s="540">
        <f t="shared" si="11"/>
        <v>0</v>
      </c>
      <c r="Q133" s="551">
        <f t="shared" si="10"/>
        <v>0</v>
      </c>
      <c r="R133" s="283"/>
    </row>
    <row r="134" spans="1:18">
      <c r="A134" s="520"/>
      <c r="B134" s="520"/>
      <c r="C134" s="238"/>
      <c r="D134" s="358">
        <v>57.57</v>
      </c>
      <c r="E134" s="238"/>
      <c r="F134" s="519">
        <v>266132</v>
      </c>
      <c r="G134" s="298">
        <v>40389</v>
      </c>
      <c r="H134" s="540">
        <f t="shared" si="8"/>
        <v>4629.9930410577599</v>
      </c>
      <c r="I134" s="260" t="s">
        <v>91</v>
      </c>
      <c r="J134" s="542">
        <v>47.42</v>
      </c>
      <c r="K134" s="526">
        <v>57.48</v>
      </c>
      <c r="L134" s="367">
        <v>266132</v>
      </c>
      <c r="M134" s="540">
        <f t="shared" si="12"/>
        <v>57.48</v>
      </c>
      <c r="N134" s="540">
        <f t="shared" si="9"/>
        <v>266132</v>
      </c>
      <c r="O134" s="546"/>
      <c r="P134" s="540">
        <f t="shared" si="11"/>
        <v>0</v>
      </c>
      <c r="Q134" s="551">
        <f t="shared" si="10"/>
        <v>0</v>
      </c>
      <c r="R134" s="283"/>
    </row>
    <row r="135" spans="1:18">
      <c r="A135" s="520"/>
      <c r="B135" s="520"/>
      <c r="C135" s="238"/>
      <c r="D135" s="358">
        <v>57.48</v>
      </c>
      <c r="E135" s="238"/>
      <c r="F135" s="519">
        <v>246014</v>
      </c>
      <c r="G135" s="298">
        <v>40391</v>
      </c>
      <c r="H135" s="540">
        <f t="shared" si="8"/>
        <v>4279.993041057759</v>
      </c>
      <c r="I135" s="260" t="s">
        <v>91</v>
      </c>
      <c r="J135" s="542">
        <v>47.42</v>
      </c>
      <c r="K135" s="526">
        <v>57.48</v>
      </c>
      <c r="L135" s="367">
        <v>246014</v>
      </c>
      <c r="M135" s="540">
        <f t="shared" si="12"/>
        <v>57.48</v>
      </c>
      <c r="N135" s="540">
        <f t="shared" si="9"/>
        <v>246014</v>
      </c>
      <c r="O135" s="546"/>
      <c r="P135" s="540">
        <f t="shared" si="11"/>
        <v>0</v>
      </c>
      <c r="Q135" s="551">
        <f t="shared" si="10"/>
        <v>0</v>
      </c>
      <c r="R135" s="283"/>
    </row>
    <row r="136" spans="1:18">
      <c r="A136" s="520"/>
      <c r="B136" s="520"/>
      <c r="C136" s="238"/>
      <c r="D136" s="358">
        <v>57.57</v>
      </c>
      <c r="E136" s="238"/>
      <c r="F136" s="519">
        <v>390864</v>
      </c>
      <c r="G136" s="298">
        <v>40401</v>
      </c>
      <c r="H136" s="540">
        <f t="shared" si="8"/>
        <v>6800</v>
      </c>
      <c r="I136" s="260" t="s">
        <v>91</v>
      </c>
      <c r="J136" s="542">
        <v>47.42</v>
      </c>
      <c r="K136" s="526">
        <v>57.48</v>
      </c>
      <c r="L136" s="367">
        <v>390864</v>
      </c>
      <c r="M136" s="540">
        <f t="shared" si="12"/>
        <v>57.48</v>
      </c>
      <c r="N136" s="540">
        <f t="shared" si="9"/>
        <v>390864</v>
      </c>
      <c r="O136" s="546"/>
      <c r="P136" s="540">
        <f t="shared" si="11"/>
        <v>0</v>
      </c>
      <c r="Q136" s="551">
        <f t="shared" si="10"/>
        <v>0</v>
      </c>
      <c r="R136" s="283"/>
    </row>
    <row r="137" spans="1:18">
      <c r="A137" s="520"/>
      <c r="B137" s="520"/>
      <c r="C137" s="238"/>
      <c r="D137" s="358">
        <v>57.57</v>
      </c>
      <c r="E137" s="238"/>
      <c r="F137" s="519">
        <v>274180</v>
      </c>
      <c r="G137" s="298">
        <v>40409</v>
      </c>
      <c r="H137" s="540">
        <f t="shared" ref="H137:H209" si="13">F137/K137</f>
        <v>4770.006958942241</v>
      </c>
      <c r="I137" s="260" t="s">
        <v>91</v>
      </c>
      <c r="J137" s="542">
        <v>47.42</v>
      </c>
      <c r="K137" s="526">
        <v>57.48</v>
      </c>
      <c r="L137" s="367">
        <v>274180</v>
      </c>
      <c r="M137" s="540">
        <f t="shared" si="12"/>
        <v>57.48</v>
      </c>
      <c r="N137" s="540">
        <f t="shared" ref="N137:N209" si="14">L137</f>
        <v>274180</v>
      </c>
      <c r="O137" s="546"/>
      <c r="P137" s="540">
        <f t="shared" si="11"/>
        <v>0</v>
      </c>
      <c r="Q137" s="551">
        <f t="shared" ref="Q137:Q209" si="15">IF(H137-3544.48&lt;0,H137,0)</f>
        <v>0</v>
      </c>
      <c r="R137" s="283"/>
    </row>
    <row r="138" spans="1:18" ht="24">
      <c r="A138" s="520"/>
      <c r="B138" s="520"/>
      <c r="C138" s="238"/>
      <c r="D138" s="358">
        <v>122.88</v>
      </c>
      <c r="E138" s="238"/>
      <c r="F138" s="525">
        <v>405080</v>
      </c>
      <c r="G138" s="521">
        <v>40394</v>
      </c>
      <c r="H138" s="540">
        <f t="shared" si="13"/>
        <v>3280</v>
      </c>
      <c r="I138" s="260" t="s">
        <v>90</v>
      </c>
      <c r="J138" s="542">
        <v>105.14</v>
      </c>
      <c r="K138" s="526">
        <v>123.5</v>
      </c>
      <c r="L138" s="563">
        <v>121046</v>
      </c>
      <c r="M138" s="540">
        <f t="shared" si="12"/>
        <v>123.5</v>
      </c>
      <c r="N138" s="540">
        <f>F138</f>
        <v>405080</v>
      </c>
      <c r="O138" s="546"/>
      <c r="P138" s="540">
        <f t="shared" si="11"/>
        <v>0</v>
      </c>
      <c r="Q138" s="551">
        <f t="shared" si="15"/>
        <v>3280</v>
      </c>
      <c r="R138" s="283"/>
    </row>
    <row r="139" spans="1:18">
      <c r="A139" s="520"/>
      <c r="B139" s="520"/>
      <c r="C139" s="238"/>
      <c r="D139" s="358">
        <v>122.88</v>
      </c>
      <c r="E139" s="238"/>
      <c r="F139" s="525">
        <v>530309</v>
      </c>
      <c r="G139" s="521">
        <v>40394</v>
      </c>
      <c r="H139" s="540">
        <f t="shared" si="13"/>
        <v>4294</v>
      </c>
      <c r="I139" s="260" t="s">
        <v>92</v>
      </c>
      <c r="J139" s="542">
        <v>105.14</v>
      </c>
      <c r="K139" s="526">
        <v>123.5</v>
      </c>
      <c r="L139" s="367">
        <v>530309</v>
      </c>
      <c r="M139" s="540">
        <f t="shared" si="12"/>
        <v>123.5</v>
      </c>
      <c r="N139" s="540">
        <f t="shared" si="14"/>
        <v>530309</v>
      </c>
      <c r="O139" s="546"/>
      <c r="P139" s="540">
        <f t="shared" si="11"/>
        <v>0</v>
      </c>
      <c r="Q139" s="551">
        <f t="shared" si="15"/>
        <v>0</v>
      </c>
      <c r="R139" s="283"/>
    </row>
    <row r="140" spans="1:18">
      <c r="A140" s="520"/>
      <c r="B140" s="520"/>
      <c r="C140" s="238"/>
      <c r="D140" s="358">
        <v>123.5</v>
      </c>
      <c r="E140" s="238"/>
      <c r="F140" s="525">
        <v>680485</v>
      </c>
      <c r="G140" s="521">
        <v>41349</v>
      </c>
      <c r="H140" s="540">
        <f t="shared" si="13"/>
        <v>5510</v>
      </c>
      <c r="I140" s="260" t="s">
        <v>91</v>
      </c>
      <c r="J140" s="542">
        <v>105.14</v>
      </c>
      <c r="K140" s="526">
        <v>123.5</v>
      </c>
      <c r="L140" s="367">
        <v>680485</v>
      </c>
      <c r="M140" s="540">
        <f t="shared" si="12"/>
        <v>123.5</v>
      </c>
      <c r="N140" s="540">
        <f t="shared" si="14"/>
        <v>680485</v>
      </c>
      <c r="O140" s="546"/>
      <c r="P140" s="540">
        <f t="shared" si="11"/>
        <v>0</v>
      </c>
      <c r="Q140" s="551">
        <f t="shared" si="15"/>
        <v>0</v>
      </c>
      <c r="R140" s="283"/>
    </row>
    <row r="141" spans="1:18">
      <c r="A141" s="520"/>
      <c r="B141" s="520"/>
      <c r="C141" s="238"/>
      <c r="D141" s="358">
        <v>122.88</v>
      </c>
      <c r="E141" s="238"/>
      <c r="F141" s="525">
        <v>615030</v>
      </c>
      <c r="G141" s="521">
        <v>40386</v>
      </c>
      <c r="H141" s="540">
        <f t="shared" si="13"/>
        <v>4980</v>
      </c>
      <c r="I141" s="260" t="s">
        <v>92</v>
      </c>
      <c r="J141" s="542">
        <v>105.14</v>
      </c>
      <c r="K141" s="526">
        <v>123.5</v>
      </c>
      <c r="L141" s="367">
        <v>615030</v>
      </c>
      <c r="M141" s="540">
        <f t="shared" si="12"/>
        <v>123.5</v>
      </c>
      <c r="N141" s="540">
        <f t="shared" si="14"/>
        <v>615030</v>
      </c>
      <c r="O141" s="546"/>
      <c r="P141" s="540">
        <f t="shared" si="11"/>
        <v>0</v>
      </c>
      <c r="Q141" s="551">
        <f t="shared" si="15"/>
        <v>0</v>
      </c>
      <c r="R141" s="283"/>
    </row>
    <row r="142" spans="1:18">
      <c r="A142" s="520"/>
      <c r="B142" s="520"/>
      <c r="C142" s="238"/>
      <c r="D142" s="358">
        <v>122.88</v>
      </c>
      <c r="E142" s="238"/>
      <c r="F142" s="525">
        <v>845728</v>
      </c>
      <c r="G142" s="521">
        <v>40382</v>
      </c>
      <c r="H142" s="540">
        <f t="shared" si="13"/>
        <v>6848</v>
      </c>
      <c r="I142" s="260" t="s">
        <v>91</v>
      </c>
      <c r="J142" s="542">
        <v>105.14</v>
      </c>
      <c r="K142" s="526">
        <v>123.5</v>
      </c>
      <c r="L142" s="367">
        <v>845728</v>
      </c>
      <c r="M142" s="540">
        <f t="shared" si="12"/>
        <v>123.5</v>
      </c>
      <c r="N142" s="540">
        <f t="shared" si="14"/>
        <v>845728</v>
      </c>
      <c r="O142" s="546"/>
      <c r="P142" s="540">
        <f t="shared" si="11"/>
        <v>0</v>
      </c>
      <c r="Q142" s="551">
        <f t="shared" si="15"/>
        <v>0</v>
      </c>
      <c r="R142" s="283"/>
    </row>
    <row r="143" spans="1:18">
      <c r="A143" s="520"/>
      <c r="B143" s="520"/>
      <c r="C143" s="238"/>
      <c r="D143" s="358">
        <v>122.88</v>
      </c>
      <c r="E143" s="238"/>
      <c r="F143" s="525">
        <v>590330</v>
      </c>
      <c r="G143" s="521">
        <v>40413</v>
      </c>
      <c r="H143" s="540">
        <f t="shared" si="13"/>
        <v>4780</v>
      </c>
      <c r="I143" s="260" t="s">
        <v>91</v>
      </c>
      <c r="J143" s="542">
        <v>105.14</v>
      </c>
      <c r="K143" s="526">
        <v>123.5</v>
      </c>
      <c r="L143" s="367">
        <v>590330</v>
      </c>
      <c r="M143" s="540">
        <f t="shared" si="12"/>
        <v>123.5</v>
      </c>
      <c r="N143" s="540">
        <f t="shared" si="14"/>
        <v>590330</v>
      </c>
      <c r="O143" s="546"/>
      <c r="P143" s="540">
        <f t="shared" si="11"/>
        <v>0</v>
      </c>
      <c r="Q143" s="551">
        <f t="shared" si="15"/>
        <v>0</v>
      </c>
      <c r="R143" s="283"/>
    </row>
    <row r="144" spans="1:18">
      <c r="A144" s="520"/>
      <c r="B144" s="520"/>
      <c r="C144" s="238"/>
      <c r="D144" s="358">
        <v>122.88</v>
      </c>
      <c r="E144" s="238"/>
      <c r="F144" s="525">
        <v>870428</v>
      </c>
      <c r="G144" s="521">
        <v>40382</v>
      </c>
      <c r="H144" s="540">
        <f t="shared" si="13"/>
        <v>7048</v>
      </c>
      <c r="I144" s="260" t="s">
        <v>91</v>
      </c>
      <c r="J144" s="542">
        <v>105.14</v>
      </c>
      <c r="K144" s="526">
        <v>123.5</v>
      </c>
      <c r="L144" s="367">
        <v>870428</v>
      </c>
      <c r="M144" s="540">
        <f t="shared" si="12"/>
        <v>123.5</v>
      </c>
      <c r="N144" s="540">
        <f t="shared" si="14"/>
        <v>870428</v>
      </c>
      <c r="O144" s="546"/>
      <c r="P144" s="540">
        <f t="shared" si="11"/>
        <v>0</v>
      </c>
      <c r="Q144" s="551">
        <f t="shared" si="15"/>
        <v>0</v>
      </c>
      <c r="R144" s="283"/>
    </row>
    <row r="145" spans="1:249">
      <c r="A145" s="520"/>
      <c r="B145" s="520"/>
      <c r="C145" s="238"/>
      <c r="D145" s="358">
        <v>122.88</v>
      </c>
      <c r="E145" s="238"/>
      <c r="F145" s="525">
        <v>832514</v>
      </c>
      <c r="G145" s="521">
        <v>40596</v>
      </c>
      <c r="H145" s="540">
        <f t="shared" si="13"/>
        <v>6741.0040485829959</v>
      </c>
      <c r="I145" s="260" t="s">
        <v>92</v>
      </c>
      <c r="J145" s="542">
        <v>105.14</v>
      </c>
      <c r="K145" s="526">
        <v>123.5</v>
      </c>
      <c r="L145" s="367">
        <v>832514</v>
      </c>
      <c r="M145" s="540">
        <f t="shared" si="12"/>
        <v>123.5</v>
      </c>
      <c r="N145" s="540">
        <f t="shared" si="14"/>
        <v>832514</v>
      </c>
      <c r="O145" s="546"/>
      <c r="P145" s="540">
        <f t="shared" si="11"/>
        <v>0</v>
      </c>
      <c r="Q145" s="551">
        <f t="shared" si="15"/>
        <v>0</v>
      </c>
      <c r="R145" s="283"/>
    </row>
    <row r="146" spans="1:249">
      <c r="A146" s="520"/>
      <c r="B146" s="520"/>
      <c r="C146" s="238"/>
      <c r="D146" s="358">
        <v>122.88</v>
      </c>
      <c r="E146" s="238"/>
      <c r="F146" s="525">
        <v>841159</v>
      </c>
      <c r="G146" s="521">
        <v>40596</v>
      </c>
      <c r="H146" s="540">
        <f t="shared" si="13"/>
        <v>6811.0040485829959</v>
      </c>
      <c r="I146" s="260" t="s">
        <v>92</v>
      </c>
      <c r="J146" s="542">
        <v>105.14</v>
      </c>
      <c r="K146" s="526">
        <v>123.5</v>
      </c>
      <c r="L146" s="367">
        <v>841159</v>
      </c>
      <c r="M146" s="540">
        <f t="shared" si="12"/>
        <v>123.5</v>
      </c>
      <c r="N146" s="540">
        <f t="shared" si="14"/>
        <v>841159</v>
      </c>
      <c r="O146" s="546"/>
      <c r="P146" s="540">
        <f t="shared" si="11"/>
        <v>0</v>
      </c>
      <c r="Q146" s="551">
        <f t="shared" si="15"/>
        <v>0</v>
      </c>
      <c r="R146" s="283"/>
    </row>
    <row r="147" spans="1:249">
      <c r="A147" s="520"/>
      <c r="B147" s="520"/>
      <c r="C147" s="238"/>
      <c r="D147" s="358">
        <v>122.88</v>
      </c>
      <c r="E147" s="238"/>
      <c r="F147" s="525">
        <v>768540</v>
      </c>
      <c r="G147" s="521">
        <v>40561</v>
      </c>
      <c r="H147" s="540">
        <f t="shared" si="13"/>
        <v>6222.9959514170041</v>
      </c>
      <c r="I147" s="260" t="s">
        <v>91</v>
      </c>
      <c r="J147" s="542">
        <v>105.14</v>
      </c>
      <c r="K147" s="526">
        <v>123.5</v>
      </c>
      <c r="L147" s="367">
        <v>768540</v>
      </c>
      <c r="M147" s="540">
        <f t="shared" si="12"/>
        <v>123.5</v>
      </c>
      <c r="N147" s="540">
        <f t="shared" si="14"/>
        <v>768540</v>
      </c>
      <c r="O147" s="546"/>
      <c r="P147" s="540">
        <f t="shared" si="11"/>
        <v>0</v>
      </c>
      <c r="Q147" s="551">
        <f t="shared" si="15"/>
        <v>0</v>
      </c>
      <c r="R147" s="283"/>
    </row>
    <row r="148" spans="1:249" s="528" customFormat="1">
      <c r="A148" s="555"/>
      <c r="B148" s="555"/>
      <c r="C148" s="556"/>
      <c r="D148" s="557">
        <v>123.5</v>
      </c>
      <c r="E148" s="558"/>
      <c r="F148" s="559">
        <f>ROUND(676780/1.05,2)</f>
        <v>644552.38</v>
      </c>
      <c r="G148" s="560">
        <v>42795</v>
      </c>
      <c r="H148" s="561">
        <f t="shared" si="13"/>
        <v>5219.0476113360328</v>
      </c>
      <c r="I148" s="564" t="s">
        <v>92</v>
      </c>
      <c r="J148" s="565">
        <v>105.14</v>
      </c>
      <c r="K148" s="566">
        <v>123.5</v>
      </c>
      <c r="L148" s="567">
        <f>F148</f>
        <v>644552.38</v>
      </c>
      <c r="M148" s="561">
        <f t="shared" si="12"/>
        <v>123.5</v>
      </c>
      <c r="N148" s="561">
        <f t="shared" si="14"/>
        <v>644552.38</v>
      </c>
      <c r="O148" s="568"/>
      <c r="P148" s="561">
        <f t="shared" si="11"/>
        <v>0</v>
      </c>
      <c r="Q148" s="569"/>
      <c r="R148" s="570" t="s">
        <v>93</v>
      </c>
      <c r="S148" s="571"/>
      <c r="T148" s="571"/>
      <c r="U148" s="571"/>
      <c r="V148" s="571"/>
      <c r="W148" s="571"/>
      <c r="X148" s="571"/>
      <c r="Y148" s="571"/>
      <c r="Z148" s="571"/>
      <c r="AA148" s="571"/>
      <c r="AB148" s="571"/>
      <c r="AC148" s="571"/>
      <c r="AD148" s="571"/>
      <c r="AE148" s="571"/>
      <c r="AF148" s="571"/>
      <c r="AG148" s="571"/>
      <c r="AH148" s="571"/>
      <c r="AI148" s="571"/>
      <c r="AJ148" s="571"/>
      <c r="AK148" s="571"/>
      <c r="AL148" s="571"/>
      <c r="AM148" s="571"/>
      <c r="AN148" s="571"/>
      <c r="AO148" s="571"/>
      <c r="AP148" s="571"/>
      <c r="AQ148" s="571"/>
      <c r="AR148" s="571"/>
      <c r="AS148" s="571"/>
      <c r="AT148" s="571"/>
      <c r="AU148" s="571"/>
      <c r="AV148" s="571"/>
      <c r="AW148" s="571"/>
      <c r="AX148" s="571"/>
      <c r="AY148" s="571"/>
      <c r="AZ148" s="571"/>
      <c r="BA148" s="571"/>
      <c r="BB148" s="571"/>
      <c r="BC148" s="571"/>
      <c r="BD148" s="571"/>
      <c r="BE148" s="571"/>
      <c r="BF148" s="571"/>
      <c r="BG148" s="571"/>
      <c r="BH148" s="571"/>
      <c r="BI148" s="571"/>
      <c r="BJ148" s="571"/>
      <c r="BK148" s="571"/>
      <c r="BL148" s="571"/>
      <c r="BM148" s="571"/>
      <c r="BN148" s="571"/>
      <c r="BO148" s="571"/>
      <c r="BP148" s="571"/>
      <c r="BQ148" s="571"/>
      <c r="BR148" s="571"/>
      <c r="BS148" s="571"/>
      <c r="BT148" s="571"/>
      <c r="BU148" s="571"/>
      <c r="BV148" s="571"/>
      <c r="BW148" s="571"/>
      <c r="BX148" s="571"/>
      <c r="BY148" s="571"/>
      <c r="BZ148" s="571"/>
      <c r="CA148" s="571"/>
      <c r="CB148" s="571"/>
      <c r="CC148" s="571"/>
      <c r="CD148" s="571"/>
      <c r="CE148" s="571"/>
      <c r="CF148" s="571"/>
      <c r="CG148" s="571"/>
      <c r="CH148" s="571"/>
      <c r="CI148" s="571"/>
      <c r="CJ148" s="571"/>
      <c r="CK148" s="571"/>
      <c r="CL148" s="571"/>
      <c r="CM148" s="571"/>
      <c r="CN148" s="571"/>
      <c r="CO148" s="571"/>
      <c r="CP148" s="571"/>
      <c r="CQ148" s="571"/>
      <c r="CR148" s="571"/>
      <c r="CS148" s="571"/>
      <c r="CT148" s="571"/>
      <c r="CU148" s="571"/>
      <c r="CV148" s="571"/>
      <c r="CW148" s="571"/>
      <c r="CX148" s="571"/>
      <c r="CY148" s="571"/>
      <c r="CZ148" s="571"/>
      <c r="DA148" s="571"/>
      <c r="DB148" s="571"/>
      <c r="DC148" s="571"/>
      <c r="DD148" s="571"/>
      <c r="DE148" s="571"/>
      <c r="DF148" s="571"/>
      <c r="DG148" s="571"/>
      <c r="DH148" s="571"/>
      <c r="DI148" s="571"/>
      <c r="DJ148" s="571"/>
      <c r="DK148" s="571"/>
      <c r="DL148" s="571"/>
      <c r="DM148" s="571"/>
      <c r="DN148" s="571"/>
      <c r="DO148" s="571"/>
      <c r="DP148" s="571"/>
      <c r="DQ148" s="571"/>
      <c r="DR148" s="571"/>
      <c r="DS148" s="571"/>
      <c r="DT148" s="571"/>
      <c r="DU148" s="571"/>
      <c r="DV148" s="571"/>
      <c r="DW148" s="571"/>
      <c r="DX148" s="571"/>
      <c r="DY148" s="571"/>
      <c r="DZ148" s="571"/>
      <c r="EA148" s="571"/>
      <c r="EB148" s="571"/>
      <c r="EC148" s="571"/>
      <c r="ED148" s="571"/>
      <c r="EE148" s="571"/>
      <c r="EF148" s="571"/>
      <c r="EG148" s="571"/>
      <c r="EH148" s="571"/>
      <c r="EI148" s="571"/>
      <c r="EJ148" s="571"/>
      <c r="EK148" s="571"/>
      <c r="EL148" s="571"/>
      <c r="EM148" s="571"/>
      <c r="EN148" s="571"/>
      <c r="EO148" s="571"/>
      <c r="EP148" s="571"/>
      <c r="EQ148" s="571"/>
      <c r="ER148" s="571"/>
      <c r="ES148" s="571"/>
      <c r="ET148" s="571"/>
      <c r="EU148" s="571"/>
      <c r="EV148" s="571"/>
      <c r="EW148" s="571"/>
      <c r="EX148" s="571"/>
      <c r="EY148" s="571"/>
      <c r="EZ148" s="571"/>
      <c r="FA148" s="571"/>
      <c r="FB148" s="571"/>
      <c r="FC148" s="571"/>
      <c r="FD148" s="571"/>
      <c r="FE148" s="571"/>
      <c r="FF148" s="571"/>
      <c r="FG148" s="571"/>
      <c r="FH148" s="571"/>
      <c r="FI148" s="571"/>
      <c r="FJ148" s="571"/>
      <c r="FK148" s="571"/>
      <c r="FL148" s="571"/>
      <c r="FM148" s="571"/>
      <c r="FN148" s="571"/>
      <c r="FO148" s="571"/>
      <c r="FP148" s="571"/>
      <c r="FQ148" s="571"/>
      <c r="FR148" s="571"/>
      <c r="FS148" s="571"/>
      <c r="FT148" s="571"/>
      <c r="FU148" s="571"/>
      <c r="FV148" s="571"/>
      <c r="FW148" s="571"/>
      <c r="FX148" s="571"/>
      <c r="FY148" s="571"/>
      <c r="FZ148" s="571"/>
      <c r="GA148" s="571"/>
      <c r="GB148" s="571"/>
      <c r="GC148" s="571"/>
      <c r="GD148" s="571"/>
      <c r="GE148" s="571"/>
      <c r="GF148" s="571"/>
      <c r="GG148" s="571"/>
      <c r="GH148" s="571"/>
      <c r="GI148" s="571"/>
      <c r="GJ148" s="571"/>
      <c r="GK148" s="571"/>
      <c r="GL148" s="571"/>
      <c r="GM148" s="571"/>
      <c r="GN148" s="571"/>
      <c r="GO148" s="571"/>
      <c r="GP148" s="571"/>
      <c r="GQ148" s="571"/>
      <c r="GR148" s="571"/>
      <c r="GS148" s="571"/>
      <c r="GT148" s="571"/>
      <c r="GU148" s="571"/>
      <c r="GV148" s="571"/>
      <c r="GW148" s="571"/>
      <c r="GX148" s="571"/>
      <c r="GY148" s="571"/>
      <c r="GZ148" s="571"/>
      <c r="HA148" s="571"/>
      <c r="HB148" s="571"/>
      <c r="HC148" s="571"/>
      <c r="HD148" s="571"/>
      <c r="HE148" s="571"/>
      <c r="HF148" s="571"/>
      <c r="HG148" s="571"/>
      <c r="HH148" s="571"/>
      <c r="HI148" s="571"/>
      <c r="HJ148" s="571"/>
      <c r="HK148" s="571"/>
      <c r="HL148" s="571"/>
      <c r="HM148" s="571"/>
      <c r="HN148" s="571"/>
      <c r="HO148" s="571"/>
      <c r="HP148" s="571"/>
      <c r="HQ148" s="571"/>
      <c r="HR148" s="571"/>
      <c r="HS148" s="571"/>
      <c r="HT148" s="571"/>
      <c r="HU148" s="571"/>
      <c r="HV148" s="571"/>
      <c r="HW148" s="571"/>
      <c r="HX148" s="571"/>
      <c r="HY148" s="571"/>
      <c r="HZ148" s="571"/>
      <c r="IA148" s="571"/>
      <c r="IB148" s="571"/>
      <c r="IC148" s="571"/>
      <c r="ID148" s="571"/>
      <c r="IE148" s="571"/>
      <c r="IF148" s="571"/>
      <c r="IG148" s="571"/>
      <c r="IH148" s="571"/>
      <c r="II148" s="571"/>
      <c r="IJ148" s="571"/>
      <c r="IK148" s="571"/>
      <c r="IL148" s="571"/>
      <c r="IM148" s="571"/>
      <c r="IN148" s="571"/>
      <c r="IO148" s="571"/>
    </row>
    <row r="149" spans="1:249" ht="24">
      <c r="A149" s="520"/>
      <c r="B149" s="520"/>
      <c r="C149" s="238"/>
      <c r="D149" s="358">
        <v>122.88</v>
      </c>
      <c r="E149" s="238"/>
      <c r="F149" s="525">
        <v>528580</v>
      </c>
      <c r="G149" s="521">
        <v>40393</v>
      </c>
      <c r="H149" s="540">
        <f t="shared" si="13"/>
        <v>4280</v>
      </c>
      <c r="I149" s="260" t="s">
        <v>90</v>
      </c>
      <c r="J149" s="542">
        <v>105.14</v>
      </c>
      <c r="K149" s="526">
        <v>123.5</v>
      </c>
      <c r="L149" s="367">
        <v>528580</v>
      </c>
      <c r="M149" s="540">
        <f t="shared" si="12"/>
        <v>123.5</v>
      </c>
      <c r="N149" s="540">
        <f t="shared" si="14"/>
        <v>528580</v>
      </c>
      <c r="O149" s="546"/>
      <c r="P149" s="540">
        <f t="shared" si="11"/>
        <v>0</v>
      </c>
      <c r="Q149" s="551">
        <f t="shared" si="15"/>
        <v>0</v>
      </c>
      <c r="R149" s="283"/>
    </row>
    <row r="150" spans="1:249">
      <c r="A150" s="520"/>
      <c r="B150" s="520"/>
      <c r="C150" s="238"/>
      <c r="D150" s="358">
        <v>122.88</v>
      </c>
      <c r="E150" s="238"/>
      <c r="F150" s="525">
        <v>450775</v>
      </c>
      <c r="G150" s="521">
        <v>40384</v>
      </c>
      <c r="H150" s="540">
        <f t="shared" si="13"/>
        <v>3650</v>
      </c>
      <c r="I150" s="260" t="s">
        <v>91</v>
      </c>
      <c r="J150" s="542">
        <v>105.14</v>
      </c>
      <c r="K150" s="526">
        <v>123.5</v>
      </c>
      <c r="L150" s="367">
        <v>450775</v>
      </c>
      <c r="M150" s="540">
        <f t="shared" si="12"/>
        <v>123.5</v>
      </c>
      <c r="N150" s="540">
        <f t="shared" si="14"/>
        <v>450775</v>
      </c>
      <c r="O150" s="546"/>
      <c r="P150" s="540">
        <f t="shared" si="11"/>
        <v>0</v>
      </c>
      <c r="Q150" s="551">
        <f t="shared" si="15"/>
        <v>0</v>
      </c>
      <c r="R150" s="283"/>
    </row>
    <row r="151" spans="1:249" ht="24">
      <c r="A151" s="520"/>
      <c r="B151" s="520"/>
      <c r="C151" s="238"/>
      <c r="D151" s="358">
        <v>122.88</v>
      </c>
      <c r="E151" s="238"/>
      <c r="F151" s="525">
        <v>459420</v>
      </c>
      <c r="G151" s="521">
        <v>40375</v>
      </c>
      <c r="H151" s="540">
        <f t="shared" si="13"/>
        <v>3720</v>
      </c>
      <c r="I151" s="260" t="s">
        <v>90</v>
      </c>
      <c r="J151" s="542">
        <v>105.14</v>
      </c>
      <c r="K151" s="526">
        <v>123.5</v>
      </c>
      <c r="L151" s="367">
        <v>459420</v>
      </c>
      <c r="M151" s="540">
        <f t="shared" si="12"/>
        <v>123.5</v>
      </c>
      <c r="N151" s="540">
        <f t="shared" si="14"/>
        <v>459420</v>
      </c>
      <c r="O151" s="546"/>
      <c r="P151" s="540">
        <f t="shared" si="11"/>
        <v>0</v>
      </c>
      <c r="Q151" s="551">
        <f t="shared" si="15"/>
        <v>0</v>
      </c>
      <c r="R151" s="283"/>
    </row>
    <row r="152" spans="1:249">
      <c r="A152" s="520"/>
      <c r="B152" s="520"/>
      <c r="C152" s="238"/>
      <c r="D152" s="358">
        <v>123.5</v>
      </c>
      <c r="E152" s="238"/>
      <c r="F152" s="525">
        <v>692835</v>
      </c>
      <c r="G152" s="521">
        <v>41279</v>
      </c>
      <c r="H152" s="540">
        <f t="shared" si="13"/>
        <v>5610</v>
      </c>
      <c r="I152" s="260" t="s">
        <v>92</v>
      </c>
      <c r="J152" s="542">
        <v>105.14</v>
      </c>
      <c r="K152" s="526">
        <v>123.5</v>
      </c>
      <c r="L152" s="367">
        <v>692835</v>
      </c>
      <c r="M152" s="540">
        <f t="shared" si="12"/>
        <v>123.5</v>
      </c>
      <c r="N152" s="540">
        <f t="shared" si="14"/>
        <v>692835</v>
      </c>
      <c r="O152" s="546"/>
      <c r="P152" s="540">
        <f t="shared" si="11"/>
        <v>0</v>
      </c>
      <c r="Q152" s="551">
        <f t="shared" si="15"/>
        <v>0</v>
      </c>
      <c r="R152" s="283"/>
    </row>
    <row r="153" spans="1:249">
      <c r="A153" s="520"/>
      <c r="B153" s="520"/>
      <c r="C153" s="238"/>
      <c r="D153" s="358">
        <v>122.88</v>
      </c>
      <c r="E153" s="238"/>
      <c r="F153" s="525">
        <v>806579</v>
      </c>
      <c r="G153" s="521">
        <v>40596</v>
      </c>
      <c r="H153" s="540">
        <f t="shared" si="13"/>
        <v>6531.0040485829959</v>
      </c>
      <c r="I153" s="260" t="s">
        <v>92</v>
      </c>
      <c r="J153" s="542">
        <v>105.14</v>
      </c>
      <c r="K153" s="526">
        <v>123.5</v>
      </c>
      <c r="L153" s="367">
        <v>806579</v>
      </c>
      <c r="M153" s="540">
        <f t="shared" si="12"/>
        <v>123.5</v>
      </c>
      <c r="N153" s="540">
        <f t="shared" si="14"/>
        <v>806579</v>
      </c>
      <c r="O153" s="546"/>
      <c r="P153" s="540">
        <f t="shared" si="11"/>
        <v>0</v>
      </c>
      <c r="Q153" s="551">
        <f t="shared" si="15"/>
        <v>0</v>
      </c>
      <c r="R153" s="283"/>
    </row>
    <row r="154" spans="1:249">
      <c r="A154" s="520"/>
      <c r="B154" s="520"/>
      <c r="C154" s="238"/>
      <c r="D154" s="358">
        <v>123.5</v>
      </c>
      <c r="E154" s="238"/>
      <c r="F154" s="525">
        <v>732726</v>
      </c>
      <c r="G154" s="521">
        <v>41167</v>
      </c>
      <c r="H154" s="540">
        <f t="shared" si="13"/>
        <v>5933.0040485829959</v>
      </c>
      <c r="I154" s="260" t="s">
        <v>91</v>
      </c>
      <c r="J154" s="542">
        <v>105.14</v>
      </c>
      <c r="K154" s="526">
        <v>123.5</v>
      </c>
      <c r="L154" s="367">
        <v>732726</v>
      </c>
      <c r="M154" s="540">
        <f t="shared" si="12"/>
        <v>123.5</v>
      </c>
      <c r="N154" s="540">
        <f t="shared" si="14"/>
        <v>732726</v>
      </c>
      <c r="O154" s="546"/>
      <c r="P154" s="540">
        <f t="shared" si="11"/>
        <v>0</v>
      </c>
      <c r="Q154" s="551">
        <f t="shared" si="15"/>
        <v>0</v>
      </c>
      <c r="R154" s="283"/>
    </row>
    <row r="155" spans="1:249">
      <c r="A155" s="520"/>
      <c r="B155" s="520"/>
      <c r="C155" s="238"/>
      <c r="D155" s="358">
        <v>122.88</v>
      </c>
      <c r="E155" s="238"/>
      <c r="F155" s="525">
        <v>456950</v>
      </c>
      <c r="G155" s="521">
        <v>41409</v>
      </c>
      <c r="H155" s="540">
        <f t="shared" si="13"/>
        <v>3700</v>
      </c>
      <c r="I155" s="260" t="s">
        <v>91</v>
      </c>
      <c r="J155" s="542">
        <v>105.14</v>
      </c>
      <c r="K155" s="526">
        <v>123.5</v>
      </c>
      <c r="L155" s="367">
        <v>456950</v>
      </c>
      <c r="M155" s="540">
        <f t="shared" si="12"/>
        <v>123.5</v>
      </c>
      <c r="N155" s="540">
        <f t="shared" si="14"/>
        <v>456950</v>
      </c>
      <c r="O155" s="546"/>
      <c r="P155" s="540">
        <f t="shared" si="11"/>
        <v>0</v>
      </c>
      <c r="Q155" s="551">
        <f t="shared" si="15"/>
        <v>0</v>
      </c>
      <c r="R155" s="283"/>
    </row>
    <row r="156" spans="1:249" ht="24">
      <c r="A156" s="520"/>
      <c r="B156" s="520"/>
      <c r="C156" s="238"/>
      <c r="D156" s="358">
        <v>122.88</v>
      </c>
      <c r="E156" s="238"/>
      <c r="F156" s="525">
        <v>606385</v>
      </c>
      <c r="G156" s="521">
        <v>40390</v>
      </c>
      <c r="H156" s="540">
        <f t="shared" si="13"/>
        <v>4910</v>
      </c>
      <c r="I156" s="260" t="s">
        <v>90</v>
      </c>
      <c r="J156" s="542">
        <v>105.14</v>
      </c>
      <c r="K156" s="526">
        <v>123.5</v>
      </c>
      <c r="L156" s="367">
        <v>606385</v>
      </c>
      <c r="M156" s="540">
        <f t="shared" si="12"/>
        <v>123.5</v>
      </c>
      <c r="N156" s="540">
        <f t="shared" si="14"/>
        <v>606385</v>
      </c>
      <c r="O156" s="546"/>
      <c r="P156" s="540">
        <f t="shared" si="11"/>
        <v>0</v>
      </c>
      <c r="Q156" s="551">
        <f t="shared" si="15"/>
        <v>0</v>
      </c>
      <c r="R156" s="283"/>
    </row>
    <row r="157" spans="1:249">
      <c r="A157" s="520"/>
      <c r="B157" s="520"/>
      <c r="C157" s="238"/>
      <c r="D157" s="358">
        <v>122.88</v>
      </c>
      <c r="E157" s="238"/>
      <c r="F157" s="525">
        <v>617500</v>
      </c>
      <c r="G157" s="521">
        <v>40390</v>
      </c>
      <c r="H157" s="540">
        <f t="shared" si="13"/>
        <v>5000</v>
      </c>
      <c r="I157" s="260" t="s">
        <v>91</v>
      </c>
      <c r="J157" s="542">
        <v>105.14</v>
      </c>
      <c r="K157" s="526">
        <v>123.5</v>
      </c>
      <c r="L157" s="367">
        <v>617500</v>
      </c>
      <c r="M157" s="540">
        <f t="shared" si="12"/>
        <v>123.5</v>
      </c>
      <c r="N157" s="540">
        <f t="shared" si="14"/>
        <v>617500</v>
      </c>
      <c r="O157" s="546"/>
      <c r="P157" s="540">
        <f t="shared" si="11"/>
        <v>0</v>
      </c>
      <c r="Q157" s="551">
        <f t="shared" si="15"/>
        <v>0</v>
      </c>
      <c r="R157" s="283"/>
    </row>
    <row r="158" spans="1:249">
      <c r="A158" s="520"/>
      <c r="B158" s="520"/>
      <c r="C158" s="238"/>
      <c r="D158" s="358">
        <v>122.88</v>
      </c>
      <c r="E158" s="238"/>
      <c r="F158" s="525">
        <v>771875</v>
      </c>
      <c r="G158" s="521">
        <v>40549</v>
      </c>
      <c r="H158" s="540">
        <f t="shared" si="13"/>
        <v>6250</v>
      </c>
      <c r="I158" s="260" t="s">
        <v>92</v>
      </c>
      <c r="J158" s="542">
        <v>105.14</v>
      </c>
      <c r="K158" s="526">
        <v>123.5</v>
      </c>
      <c r="L158" s="367">
        <v>771875</v>
      </c>
      <c r="M158" s="540">
        <f t="shared" si="12"/>
        <v>123.5</v>
      </c>
      <c r="N158" s="540">
        <f t="shared" si="14"/>
        <v>771875</v>
      </c>
      <c r="O158" s="546"/>
      <c r="P158" s="540">
        <f t="shared" si="11"/>
        <v>0</v>
      </c>
      <c r="Q158" s="551">
        <f t="shared" si="15"/>
        <v>0</v>
      </c>
      <c r="R158" s="283"/>
    </row>
    <row r="159" spans="1:249" s="528" customFormat="1">
      <c r="A159" s="555"/>
      <c r="B159" s="555"/>
      <c r="C159" s="556"/>
      <c r="D159" s="557">
        <v>123.5</v>
      </c>
      <c r="E159" s="556"/>
      <c r="F159" s="559">
        <f>ROUND(602680/1.05,2)</f>
        <v>573980.94999999995</v>
      </c>
      <c r="G159" s="562">
        <v>42791</v>
      </c>
      <c r="H159" s="561">
        <f t="shared" si="13"/>
        <v>4647.6190283400801</v>
      </c>
      <c r="I159" s="564" t="s">
        <v>92</v>
      </c>
      <c r="J159" s="565">
        <v>105.14</v>
      </c>
      <c r="K159" s="566">
        <v>123.5</v>
      </c>
      <c r="L159" s="567">
        <f>F159</f>
        <v>573980.94999999995</v>
      </c>
      <c r="M159" s="561">
        <f t="shared" si="12"/>
        <v>123.5</v>
      </c>
      <c r="N159" s="561">
        <f t="shared" si="14"/>
        <v>573980.94999999995</v>
      </c>
      <c r="O159" s="568"/>
      <c r="P159" s="561">
        <f t="shared" si="11"/>
        <v>0</v>
      </c>
      <c r="Q159" s="569"/>
      <c r="R159" s="570" t="s">
        <v>93</v>
      </c>
      <c r="S159" s="571"/>
      <c r="T159" s="571"/>
      <c r="U159" s="571"/>
      <c r="V159" s="571"/>
      <c r="W159" s="571"/>
      <c r="X159" s="571"/>
      <c r="Y159" s="571"/>
      <c r="Z159" s="571"/>
      <c r="AA159" s="571"/>
      <c r="AB159" s="571"/>
      <c r="AC159" s="571"/>
      <c r="AD159" s="571"/>
      <c r="AE159" s="571"/>
      <c r="AF159" s="571"/>
      <c r="AG159" s="571"/>
      <c r="AH159" s="571"/>
      <c r="AI159" s="571"/>
      <c r="AJ159" s="571"/>
      <c r="AK159" s="571"/>
      <c r="AL159" s="571"/>
      <c r="AM159" s="571"/>
      <c r="AN159" s="571"/>
      <c r="AO159" s="571"/>
      <c r="AP159" s="571"/>
      <c r="AQ159" s="571"/>
      <c r="AR159" s="571"/>
      <c r="AS159" s="571"/>
      <c r="AT159" s="571"/>
      <c r="AU159" s="571"/>
      <c r="AV159" s="571"/>
      <c r="AW159" s="571"/>
      <c r="AX159" s="571"/>
      <c r="AY159" s="571"/>
      <c r="AZ159" s="571"/>
      <c r="BA159" s="571"/>
      <c r="BB159" s="571"/>
      <c r="BC159" s="571"/>
      <c r="BD159" s="571"/>
      <c r="BE159" s="571"/>
      <c r="BF159" s="571"/>
      <c r="BG159" s="571"/>
      <c r="BH159" s="571"/>
      <c r="BI159" s="571"/>
      <c r="BJ159" s="571"/>
      <c r="BK159" s="571"/>
      <c r="BL159" s="571"/>
      <c r="BM159" s="571"/>
      <c r="BN159" s="571"/>
      <c r="BO159" s="571"/>
      <c r="BP159" s="571"/>
      <c r="BQ159" s="571"/>
      <c r="BR159" s="571"/>
      <c r="BS159" s="571"/>
      <c r="BT159" s="571"/>
      <c r="BU159" s="571"/>
      <c r="BV159" s="571"/>
      <c r="BW159" s="571"/>
      <c r="BX159" s="571"/>
      <c r="BY159" s="571"/>
      <c r="BZ159" s="571"/>
      <c r="CA159" s="571"/>
      <c r="CB159" s="571"/>
      <c r="CC159" s="571"/>
      <c r="CD159" s="571"/>
      <c r="CE159" s="571"/>
      <c r="CF159" s="571"/>
      <c r="CG159" s="571"/>
      <c r="CH159" s="571"/>
      <c r="CI159" s="571"/>
      <c r="CJ159" s="571"/>
      <c r="CK159" s="571"/>
      <c r="CL159" s="571"/>
      <c r="CM159" s="571"/>
      <c r="CN159" s="571"/>
      <c r="CO159" s="571"/>
      <c r="CP159" s="571"/>
      <c r="CQ159" s="571"/>
      <c r="CR159" s="571"/>
      <c r="CS159" s="571"/>
      <c r="CT159" s="571"/>
      <c r="CU159" s="571"/>
      <c r="CV159" s="571"/>
      <c r="CW159" s="571"/>
      <c r="CX159" s="571"/>
      <c r="CY159" s="571"/>
      <c r="CZ159" s="571"/>
      <c r="DA159" s="571"/>
      <c r="DB159" s="571"/>
      <c r="DC159" s="571"/>
      <c r="DD159" s="571"/>
      <c r="DE159" s="571"/>
      <c r="DF159" s="571"/>
      <c r="DG159" s="571"/>
      <c r="DH159" s="571"/>
      <c r="DI159" s="571"/>
      <c r="DJ159" s="571"/>
      <c r="DK159" s="571"/>
      <c r="DL159" s="571"/>
      <c r="DM159" s="571"/>
      <c r="DN159" s="571"/>
      <c r="DO159" s="571"/>
      <c r="DP159" s="571"/>
      <c r="DQ159" s="571"/>
      <c r="DR159" s="571"/>
      <c r="DS159" s="571"/>
      <c r="DT159" s="571"/>
      <c r="DU159" s="571"/>
      <c r="DV159" s="571"/>
      <c r="DW159" s="571"/>
      <c r="DX159" s="571"/>
      <c r="DY159" s="571"/>
      <c r="DZ159" s="571"/>
      <c r="EA159" s="571"/>
      <c r="EB159" s="571"/>
      <c r="EC159" s="571"/>
      <c r="ED159" s="571"/>
      <c r="EE159" s="571"/>
      <c r="EF159" s="571"/>
      <c r="EG159" s="571"/>
      <c r="EH159" s="571"/>
      <c r="EI159" s="571"/>
      <c r="EJ159" s="571"/>
      <c r="EK159" s="571"/>
      <c r="EL159" s="571"/>
      <c r="EM159" s="571"/>
      <c r="EN159" s="571"/>
      <c r="EO159" s="571"/>
      <c r="EP159" s="571"/>
      <c r="EQ159" s="571"/>
      <c r="ER159" s="571"/>
      <c r="ES159" s="571"/>
      <c r="ET159" s="571"/>
      <c r="EU159" s="571"/>
      <c r="EV159" s="571"/>
      <c r="EW159" s="571"/>
      <c r="EX159" s="571"/>
      <c r="EY159" s="571"/>
      <c r="EZ159" s="571"/>
      <c r="FA159" s="571"/>
      <c r="FB159" s="571"/>
      <c r="FC159" s="571"/>
      <c r="FD159" s="571"/>
      <c r="FE159" s="571"/>
      <c r="FF159" s="571"/>
      <c r="FG159" s="571"/>
      <c r="FH159" s="571"/>
      <c r="FI159" s="571"/>
      <c r="FJ159" s="571"/>
      <c r="FK159" s="571"/>
      <c r="FL159" s="571"/>
      <c r="FM159" s="571"/>
      <c r="FN159" s="571"/>
      <c r="FO159" s="571"/>
      <c r="FP159" s="571"/>
      <c r="FQ159" s="571"/>
      <c r="FR159" s="571"/>
      <c r="FS159" s="571"/>
      <c r="FT159" s="571"/>
      <c r="FU159" s="571"/>
      <c r="FV159" s="571"/>
      <c r="FW159" s="571"/>
      <c r="FX159" s="571"/>
      <c r="FY159" s="571"/>
      <c r="FZ159" s="571"/>
      <c r="GA159" s="571"/>
      <c r="GB159" s="571"/>
      <c r="GC159" s="571"/>
      <c r="GD159" s="571"/>
      <c r="GE159" s="571"/>
      <c r="GF159" s="571"/>
      <c r="GG159" s="571"/>
      <c r="GH159" s="571"/>
      <c r="GI159" s="571"/>
      <c r="GJ159" s="571"/>
      <c r="GK159" s="571"/>
      <c r="GL159" s="571"/>
      <c r="GM159" s="571"/>
      <c r="GN159" s="571"/>
      <c r="GO159" s="571"/>
      <c r="GP159" s="571"/>
      <c r="GQ159" s="571"/>
      <c r="GR159" s="571"/>
      <c r="GS159" s="571"/>
      <c r="GT159" s="571"/>
      <c r="GU159" s="571"/>
      <c r="GV159" s="571"/>
      <c r="GW159" s="571"/>
      <c r="GX159" s="571"/>
      <c r="GY159" s="571"/>
      <c r="GZ159" s="571"/>
      <c r="HA159" s="571"/>
      <c r="HB159" s="571"/>
      <c r="HC159" s="571"/>
      <c r="HD159" s="571"/>
      <c r="HE159" s="571"/>
      <c r="HF159" s="571"/>
      <c r="HG159" s="571"/>
      <c r="HH159" s="571"/>
      <c r="HI159" s="571"/>
      <c r="HJ159" s="571"/>
      <c r="HK159" s="571"/>
      <c r="HL159" s="571"/>
      <c r="HM159" s="571"/>
      <c r="HN159" s="571"/>
      <c r="HO159" s="571"/>
      <c r="HP159" s="571"/>
      <c r="HQ159" s="571"/>
      <c r="HR159" s="571"/>
      <c r="HS159" s="571"/>
      <c r="HT159" s="571"/>
      <c r="HU159" s="571"/>
      <c r="HV159" s="571"/>
      <c r="HW159" s="571"/>
      <c r="HX159" s="571"/>
      <c r="HY159" s="571"/>
      <c r="HZ159" s="571"/>
      <c r="IA159" s="571"/>
      <c r="IB159" s="571"/>
      <c r="IC159" s="571"/>
      <c r="ID159" s="571"/>
      <c r="IE159" s="571"/>
      <c r="IF159" s="571"/>
      <c r="IG159" s="571"/>
      <c r="IH159" s="571"/>
      <c r="II159" s="571"/>
      <c r="IJ159" s="571"/>
      <c r="IK159" s="571"/>
      <c r="IL159" s="571"/>
      <c r="IM159" s="571"/>
      <c r="IN159" s="571"/>
      <c r="IO159" s="571"/>
    </row>
    <row r="160" spans="1:249" ht="24">
      <c r="A160" s="520"/>
      <c r="B160" s="520"/>
      <c r="C160" s="238"/>
      <c r="D160" s="358">
        <v>122.88</v>
      </c>
      <c r="E160" s="238"/>
      <c r="F160" s="525">
        <v>442130</v>
      </c>
      <c r="G160" s="521">
        <v>40375</v>
      </c>
      <c r="H160" s="540">
        <f t="shared" si="13"/>
        <v>3580</v>
      </c>
      <c r="I160" s="260" t="s">
        <v>90</v>
      </c>
      <c r="J160" s="542">
        <v>105.14</v>
      </c>
      <c r="K160" s="526">
        <v>123.5</v>
      </c>
      <c r="L160" s="367">
        <v>442130</v>
      </c>
      <c r="M160" s="540">
        <f t="shared" si="12"/>
        <v>123.5</v>
      </c>
      <c r="N160" s="540">
        <f t="shared" si="14"/>
        <v>442130</v>
      </c>
      <c r="O160" s="546"/>
      <c r="P160" s="540">
        <f t="shared" si="11"/>
        <v>0</v>
      </c>
      <c r="Q160" s="551">
        <f t="shared" si="15"/>
        <v>0</v>
      </c>
      <c r="R160" s="283"/>
    </row>
    <row r="161" spans="1:249" ht="24">
      <c r="A161" s="520"/>
      <c r="B161" s="520"/>
      <c r="C161" s="238"/>
      <c r="D161" s="358">
        <v>122.88</v>
      </c>
      <c r="E161" s="238"/>
      <c r="F161" s="525">
        <v>453986</v>
      </c>
      <c r="G161" s="521">
        <v>40399</v>
      </c>
      <c r="H161" s="540">
        <f t="shared" si="13"/>
        <v>3676</v>
      </c>
      <c r="I161" s="260" t="s">
        <v>90</v>
      </c>
      <c r="J161" s="542">
        <v>105.14</v>
      </c>
      <c r="K161" s="526">
        <v>123.5</v>
      </c>
      <c r="L161" s="367">
        <v>453986</v>
      </c>
      <c r="M161" s="540">
        <f t="shared" si="12"/>
        <v>123.5</v>
      </c>
      <c r="N161" s="540">
        <f t="shared" si="14"/>
        <v>453986</v>
      </c>
      <c r="O161" s="546"/>
      <c r="P161" s="540">
        <f t="shared" si="11"/>
        <v>0</v>
      </c>
      <c r="Q161" s="551">
        <f t="shared" si="15"/>
        <v>0</v>
      </c>
      <c r="R161" s="283"/>
    </row>
    <row r="162" spans="1:249" s="528" customFormat="1">
      <c r="A162" s="555"/>
      <c r="B162" s="555"/>
      <c r="C162" s="556"/>
      <c r="D162" s="557">
        <v>123.5</v>
      </c>
      <c r="E162" s="556"/>
      <c r="F162" s="559">
        <f>ROUND(670111/1.05,2)</f>
        <v>638200.94999999995</v>
      </c>
      <c r="G162" s="562">
        <v>42800</v>
      </c>
      <c r="H162" s="561">
        <f t="shared" si="13"/>
        <v>5167.6190283400801</v>
      </c>
      <c r="I162" s="564" t="s">
        <v>92</v>
      </c>
      <c r="J162" s="565">
        <v>105.14</v>
      </c>
      <c r="K162" s="566">
        <v>123.5</v>
      </c>
      <c r="L162" s="567">
        <f>F162</f>
        <v>638200.94999999995</v>
      </c>
      <c r="M162" s="561">
        <v>123.5</v>
      </c>
      <c r="N162" s="561">
        <f t="shared" si="14"/>
        <v>638200.94999999995</v>
      </c>
      <c r="O162" s="568"/>
      <c r="P162" s="561">
        <f t="shared" si="11"/>
        <v>0</v>
      </c>
      <c r="Q162" s="569"/>
      <c r="R162" s="570" t="s">
        <v>93</v>
      </c>
      <c r="S162" s="571"/>
      <c r="T162" s="571"/>
      <c r="U162" s="571"/>
      <c r="V162" s="571"/>
      <c r="W162" s="571"/>
      <c r="X162" s="571"/>
      <c r="Y162" s="571"/>
      <c r="Z162" s="571"/>
      <c r="AA162" s="571"/>
      <c r="AB162" s="571"/>
      <c r="AC162" s="571"/>
      <c r="AD162" s="571"/>
      <c r="AE162" s="571"/>
      <c r="AF162" s="571"/>
      <c r="AG162" s="571"/>
      <c r="AH162" s="571"/>
      <c r="AI162" s="571"/>
      <c r="AJ162" s="571"/>
      <c r="AK162" s="571"/>
      <c r="AL162" s="571"/>
      <c r="AM162" s="571"/>
      <c r="AN162" s="571"/>
      <c r="AO162" s="571"/>
      <c r="AP162" s="571"/>
      <c r="AQ162" s="571"/>
      <c r="AR162" s="571"/>
      <c r="AS162" s="571"/>
      <c r="AT162" s="571"/>
      <c r="AU162" s="571"/>
      <c r="AV162" s="571"/>
      <c r="AW162" s="571"/>
      <c r="AX162" s="571"/>
      <c r="AY162" s="571"/>
      <c r="AZ162" s="571"/>
      <c r="BA162" s="571"/>
      <c r="BB162" s="571"/>
      <c r="BC162" s="571"/>
      <c r="BD162" s="571"/>
      <c r="BE162" s="571"/>
      <c r="BF162" s="571"/>
      <c r="BG162" s="571"/>
      <c r="BH162" s="571"/>
      <c r="BI162" s="571"/>
      <c r="BJ162" s="571"/>
      <c r="BK162" s="571"/>
      <c r="BL162" s="571"/>
      <c r="BM162" s="571"/>
      <c r="BN162" s="571"/>
      <c r="BO162" s="571"/>
      <c r="BP162" s="571"/>
      <c r="BQ162" s="571"/>
      <c r="BR162" s="571"/>
      <c r="BS162" s="571"/>
      <c r="BT162" s="571"/>
      <c r="BU162" s="571"/>
      <c r="BV162" s="571"/>
      <c r="BW162" s="571"/>
      <c r="BX162" s="571"/>
      <c r="BY162" s="571"/>
      <c r="BZ162" s="571"/>
      <c r="CA162" s="571"/>
      <c r="CB162" s="571"/>
      <c r="CC162" s="571"/>
      <c r="CD162" s="571"/>
      <c r="CE162" s="571"/>
      <c r="CF162" s="571"/>
      <c r="CG162" s="571"/>
      <c r="CH162" s="571"/>
      <c r="CI162" s="571"/>
      <c r="CJ162" s="571"/>
      <c r="CK162" s="571"/>
      <c r="CL162" s="571"/>
      <c r="CM162" s="571"/>
      <c r="CN162" s="571"/>
      <c r="CO162" s="571"/>
      <c r="CP162" s="571"/>
      <c r="CQ162" s="571"/>
      <c r="CR162" s="571"/>
      <c r="CS162" s="571"/>
      <c r="CT162" s="571"/>
      <c r="CU162" s="571"/>
      <c r="CV162" s="571"/>
      <c r="CW162" s="571"/>
      <c r="CX162" s="571"/>
      <c r="CY162" s="571"/>
      <c r="CZ162" s="571"/>
      <c r="DA162" s="571"/>
      <c r="DB162" s="571"/>
      <c r="DC162" s="571"/>
      <c r="DD162" s="571"/>
      <c r="DE162" s="571"/>
      <c r="DF162" s="571"/>
      <c r="DG162" s="571"/>
      <c r="DH162" s="571"/>
      <c r="DI162" s="571"/>
      <c r="DJ162" s="571"/>
      <c r="DK162" s="571"/>
      <c r="DL162" s="571"/>
      <c r="DM162" s="571"/>
      <c r="DN162" s="571"/>
      <c r="DO162" s="571"/>
      <c r="DP162" s="571"/>
      <c r="DQ162" s="571"/>
      <c r="DR162" s="571"/>
      <c r="DS162" s="571"/>
      <c r="DT162" s="571"/>
      <c r="DU162" s="571"/>
      <c r="DV162" s="571"/>
      <c r="DW162" s="571"/>
      <c r="DX162" s="571"/>
      <c r="DY162" s="571"/>
      <c r="DZ162" s="571"/>
      <c r="EA162" s="571"/>
      <c r="EB162" s="571"/>
      <c r="EC162" s="571"/>
      <c r="ED162" s="571"/>
      <c r="EE162" s="571"/>
      <c r="EF162" s="571"/>
      <c r="EG162" s="571"/>
      <c r="EH162" s="571"/>
      <c r="EI162" s="571"/>
      <c r="EJ162" s="571"/>
      <c r="EK162" s="571"/>
      <c r="EL162" s="571"/>
      <c r="EM162" s="571"/>
      <c r="EN162" s="571"/>
      <c r="EO162" s="571"/>
      <c r="EP162" s="571"/>
      <c r="EQ162" s="571"/>
      <c r="ER162" s="571"/>
      <c r="ES162" s="571"/>
      <c r="ET162" s="571"/>
      <c r="EU162" s="571"/>
      <c r="EV162" s="571"/>
      <c r="EW162" s="571"/>
      <c r="EX162" s="571"/>
      <c r="EY162" s="571"/>
      <c r="EZ162" s="571"/>
      <c r="FA162" s="571"/>
      <c r="FB162" s="571"/>
      <c r="FC162" s="571"/>
      <c r="FD162" s="571"/>
      <c r="FE162" s="571"/>
      <c r="FF162" s="571"/>
      <c r="FG162" s="571"/>
      <c r="FH162" s="571"/>
      <c r="FI162" s="571"/>
      <c r="FJ162" s="571"/>
      <c r="FK162" s="571"/>
      <c r="FL162" s="571"/>
      <c r="FM162" s="571"/>
      <c r="FN162" s="571"/>
      <c r="FO162" s="571"/>
      <c r="FP162" s="571"/>
      <c r="FQ162" s="571"/>
      <c r="FR162" s="571"/>
      <c r="FS162" s="571"/>
      <c r="FT162" s="571"/>
      <c r="FU162" s="571"/>
      <c r="FV162" s="571"/>
      <c r="FW162" s="571"/>
      <c r="FX162" s="571"/>
      <c r="FY162" s="571"/>
      <c r="FZ162" s="571"/>
      <c r="GA162" s="571"/>
      <c r="GB162" s="571"/>
      <c r="GC162" s="571"/>
      <c r="GD162" s="571"/>
      <c r="GE162" s="571"/>
      <c r="GF162" s="571"/>
      <c r="GG162" s="571"/>
      <c r="GH162" s="571"/>
      <c r="GI162" s="571"/>
      <c r="GJ162" s="571"/>
      <c r="GK162" s="571"/>
      <c r="GL162" s="571"/>
      <c r="GM162" s="571"/>
      <c r="GN162" s="571"/>
      <c r="GO162" s="571"/>
      <c r="GP162" s="571"/>
      <c r="GQ162" s="571"/>
      <c r="GR162" s="571"/>
      <c r="GS162" s="571"/>
      <c r="GT162" s="571"/>
      <c r="GU162" s="571"/>
      <c r="GV162" s="571"/>
      <c r="GW162" s="571"/>
      <c r="GX162" s="571"/>
      <c r="GY162" s="571"/>
      <c r="GZ162" s="571"/>
      <c r="HA162" s="571"/>
      <c r="HB162" s="571"/>
      <c r="HC162" s="571"/>
      <c r="HD162" s="571"/>
      <c r="HE162" s="571"/>
      <c r="HF162" s="571"/>
      <c r="HG162" s="571"/>
      <c r="HH162" s="571"/>
      <c r="HI162" s="571"/>
      <c r="HJ162" s="571"/>
      <c r="HK162" s="571"/>
      <c r="HL162" s="571"/>
      <c r="HM162" s="571"/>
      <c r="HN162" s="571"/>
      <c r="HO162" s="571"/>
      <c r="HP162" s="571"/>
      <c r="HQ162" s="571"/>
      <c r="HR162" s="571"/>
      <c r="HS162" s="571"/>
      <c r="HT162" s="571"/>
      <c r="HU162" s="571"/>
      <c r="HV162" s="571"/>
      <c r="HW162" s="571"/>
      <c r="HX162" s="571"/>
      <c r="HY162" s="571"/>
      <c r="HZ162" s="571"/>
      <c r="IA162" s="571"/>
      <c r="IB162" s="571"/>
      <c r="IC162" s="571"/>
      <c r="ID162" s="571"/>
      <c r="IE162" s="571"/>
      <c r="IF162" s="571"/>
      <c r="IG162" s="571"/>
      <c r="IH162" s="571"/>
      <c r="II162" s="571"/>
      <c r="IJ162" s="571"/>
      <c r="IK162" s="571"/>
      <c r="IL162" s="571"/>
      <c r="IM162" s="571"/>
      <c r="IN162" s="571"/>
      <c r="IO162" s="571"/>
    </row>
    <row r="163" spans="1:249">
      <c r="A163" s="520"/>
      <c r="B163" s="520"/>
      <c r="C163" s="238"/>
      <c r="D163" s="358">
        <v>122.88</v>
      </c>
      <c r="E163" s="238"/>
      <c r="F163" s="525">
        <v>551304</v>
      </c>
      <c r="G163" s="521">
        <v>40394</v>
      </c>
      <c r="H163" s="540">
        <f t="shared" si="13"/>
        <v>4464</v>
      </c>
      <c r="I163" s="260" t="s">
        <v>92</v>
      </c>
      <c r="J163" s="542">
        <v>105.14</v>
      </c>
      <c r="K163" s="526">
        <v>123.5</v>
      </c>
      <c r="L163" s="367">
        <v>551304</v>
      </c>
      <c r="M163" s="540">
        <f t="shared" si="12"/>
        <v>123.5</v>
      </c>
      <c r="N163" s="540">
        <f t="shared" si="14"/>
        <v>551304</v>
      </c>
      <c r="O163" s="546"/>
      <c r="P163" s="540">
        <f t="shared" si="11"/>
        <v>0</v>
      </c>
      <c r="Q163" s="551">
        <f t="shared" si="15"/>
        <v>0</v>
      </c>
      <c r="R163" s="283"/>
    </row>
    <row r="164" spans="1:249" ht="24">
      <c r="A164" s="520"/>
      <c r="B164" s="520"/>
      <c r="C164" s="238"/>
      <c r="D164" s="358">
        <v>123.5</v>
      </c>
      <c r="E164" s="238"/>
      <c r="F164" s="525">
        <v>679250</v>
      </c>
      <c r="G164" s="521">
        <v>41500</v>
      </c>
      <c r="H164" s="540">
        <f t="shared" si="13"/>
        <v>5500</v>
      </c>
      <c r="I164" s="260" t="s">
        <v>90</v>
      </c>
      <c r="J164" s="542">
        <v>105.14</v>
      </c>
      <c r="K164" s="526">
        <v>123.5</v>
      </c>
      <c r="L164" s="367">
        <v>679250</v>
      </c>
      <c r="M164" s="540">
        <f t="shared" si="12"/>
        <v>123.5</v>
      </c>
      <c r="N164" s="540">
        <f t="shared" si="14"/>
        <v>679250</v>
      </c>
      <c r="O164" s="546"/>
      <c r="P164" s="540">
        <f t="shared" si="11"/>
        <v>0</v>
      </c>
      <c r="Q164" s="551">
        <f t="shared" si="15"/>
        <v>0</v>
      </c>
      <c r="R164" s="283"/>
    </row>
    <row r="165" spans="1:249">
      <c r="A165" s="520"/>
      <c r="B165" s="520"/>
      <c r="C165" s="238"/>
      <c r="D165" s="358">
        <v>123.5</v>
      </c>
      <c r="E165" s="238"/>
      <c r="F165" s="525">
        <v>693206</v>
      </c>
      <c r="G165" s="521">
        <v>41422</v>
      </c>
      <c r="H165" s="540">
        <f t="shared" si="13"/>
        <v>5613.0040485829959</v>
      </c>
      <c r="I165" s="260" t="s">
        <v>92</v>
      </c>
      <c r="J165" s="542">
        <v>105.14</v>
      </c>
      <c r="K165" s="526">
        <v>123.5</v>
      </c>
      <c r="L165" s="367">
        <v>693206</v>
      </c>
      <c r="M165" s="540">
        <f t="shared" si="12"/>
        <v>123.5</v>
      </c>
      <c r="N165" s="540">
        <f t="shared" si="14"/>
        <v>693206</v>
      </c>
      <c r="O165" s="546"/>
      <c r="P165" s="540">
        <f t="shared" si="11"/>
        <v>0</v>
      </c>
      <c r="Q165" s="551">
        <f t="shared" si="15"/>
        <v>0</v>
      </c>
      <c r="R165" s="283"/>
    </row>
    <row r="166" spans="1:249">
      <c r="A166" s="520"/>
      <c r="B166" s="520"/>
      <c r="C166" s="238"/>
      <c r="D166" s="358">
        <v>123.5</v>
      </c>
      <c r="E166" s="238"/>
      <c r="F166" s="525">
        <v>742606</v>
      </c>
      <c r="G166" s="521"/>
      <c r="H166" s="540">
        <f t="shared" si="13"/>
        <v>6013.0040485829959</v>
      </c>
      <c r="I166" s="260" t="s">
        <v>91</v>
      </c>
      <c r="J166" s="542">
        <v>105.14</v>
      </c>
      <c r="K166" s="526">
        <v>123.5</v>
      </c>
      <c r="L166" s="367">
        <v>742606</v>
      </c>
      <c r="M166" s="540">
        <f t="shared" si="12"/>
        <v>123.5</v>
      </c>
      <c r="N166" s="540">
        <f t="shared" si="14"/>
        <v>742606</v>
      </c>
      <c r="O166" s="546"/>
      <c r="P166" s="540">
        <f t="shared" si="11"/>
        <v>0</v>
      </c>
      <c r="Q166" s="551">
        <f t="shared" si="15"/>
        <v>0</v>
      </c>
      <c r="R166" s="283"/>
    </row>
    <row r="167" spans="1:249" ht="24">
      <c r="A167" s="520"/>
      <c r="B167" s="520"/>
      <c r="C167" s="238"/>
      <c r="D167" s="358">
        <v>122.88</v>
      </c>
      <c r="E167" s="238"/>
      <c r="F167" s="525">
        <v>502645</v>
      </c>
      <c r="G167" s="521">
        <v>40438</v>
      </c>
      <c r="H167" s="540">
        <f t="shared" si="13"/>
        <v>4070</v>
      </c>
      <c r="I167" s="260" t="s">
        <v>90</v>
      </c>
      <c r="J167" s="542">
        <v>105.14</v>
      </c>
      <c r="K167" s="526">
        <v>123.5</v>
      </c>
      <c r="L167" s="367">
        <v>502645</v>
      </c>
      <c r="M167" s="540">
        <f t="shared" si="12"/>
        <v>123.5</v>
      </c>
      <c r="N167" s="540">
        <f t="shared" si="14"/>
        <v>502645</v>
      </c>
      <c r="O167" s="546"/>
      <c r="P167" s="540">
        <f t="shared" si="11"/>
        <v>0</v>
      </c>
      <c r="Q167" s="551">
        <f t="shared" si="15"/>
        <v>0</v>
      </c>
      <c r="R167" s="283"/>
    </row>
    <row r="168" spans="1:249">
      <c r="A168" s="520"/>
      <c r="B168" s="520"/>
      <c r="C168" s="238"/>
      <c r="D168" s="358">
        <v>122.88</v>
      </c>
      <c r="E168" s="238"/>
      <c r="F168" s="525">
        <v>308750</v>
      </c>
      <c r="G168" s="521">
        <v>40379</v>
      </c>
      <c r="H168" s="540">
        <f t="shared" si="13"/>
        <v>2500</v>
      </c>
      <c r="I168" s="260" t="s">
        <v>91</v>
      </c>
      <c r="J168" s="542">
        <v>105.14</v>
      </c>
      <c r="K168" s="526">
        <v>123.5</v>
      </c>
      <c r="L168" s="367">
        <v>308750</v>
      </c>
      <c r="M168" s="540">
        <f t="shared" si="12"/>
        <v>123.5</v>
      </c>
      <c r="N168" s="540">
        <f>F168</f>
        <v>308750</v>
      </c>
      <c r="O168" s="546"/>
      <c r="P168" s="540">
        <f t="shared" si="11"/>
        <v>0</v>
      </c>
      <c r="Q168" s="551">
        <f t="shared" si="15"/>
        <v>2500</v>
      </c>
      <c r="R168" s="283"/>
    </row>
    <row r="169" spans="1:249" s="528" customFormat="1" ht="24">
      <c r="A169" s="555"/>
      <c r="B169" s="555"/>
      <c r="C169" s="556"/>
      <c r="D169" s="557">
        <v>123.5</v>
      </c>
      <c r="E169" s="556"/>
      <c r="F169" s="559">
        <f>ROUND(708643/1.05,2)</f>
        <v>674898.1</v>
      </c>
      <c r="G169" s="562">
        <v>42793</v>
      </c>
      <c r="H169" s="561">
        <f t="shared" si="13"/>
        <v>5464.7619433198379</v>
      </c>
      <c r="I169" s="564" t="s">
        <v>90</v>
      </c>
      <c r="J169" s="565">
        <v>105.14</v>
      </c>
      <c r="K169" s="566">
        <v>123.5</v>
      </c>
      <c r="L169" s="567">
        <f>F169</f>
        <v>674898.1</v>
      </c>
      <c r="M169" s="561">
        <f t="shared" si="12"/>
        <v>123.5</v>
      </c>
      <c r="N169" s="561">
        <f t="shared" si="12"/>
        <v>674898.1</v>
      </c>
      <c r="O169" s="568"/>
      <c r="P169" s="561">
        <f t="shared" si="11"/>
        <v>0</v>
      </c>
      <c r="Q169" s="569"/>
      <c r="R169" s="570" t="s">
        <v>93</v>
      </c>
      <c r="S169" s="571"/>
      <c r="T169" s="571"/>
      <c r="U169" s="571"/>
      <c r="V169" s="571"/>
      <c r="W169" s="571"/>
      <c r="X169" s="571"/>
      <c r="Y169" s="571"/>
      <c r="Z169" s="571"/>
      <c r="AA169" s="571"/>
      <c r="AB169" s="571"/>
      <c r="AC169" s="571"/>
      <c r="AD169" s="571"/>
      <c r="AE169" s="571"/>
      <c r="AF169" s="571"/>
      <c r="AG169" s="571"/>
      <c r="AH169" s="571"/>
      <c r="AI169" s="571"/>
      <c r="AJ169" s="571"/>
      <c r="AK169" s="571"/>
      <c r="AL169" s="571"/>
      <c r="AM169" s="571"/>
      <c r="AN169" s="571"/>
      <c r="AO169" s="571"/>
      <c r="AP169" s="571"/>
      <c r="AQ169" s="571"/>
      <c r="AR169" s="571"/>
      <c r="AS169" s="571"/>
      <c r="AT169" s="571"/>
      <c r="AU169" s="571"/>
      <c r="AV169" s="571"/>
      <c r="AW169" s="571"/>
      <c r="AX169" s="571"/>
      <c r="AY169" s="571"/>
      <c r="AZ169" s="571"/>
      <c r="BA169" s="571"/>
      <c r="BB169" s="571"/>
      <c r="BC169" s="571"/>
      <c r="BD169" s="571"/>
      <c r="BE169" s="571"/>
      <c r="BF169" s="571"/>
      <c r="BG169" s="571"/>
      <c r="BH169" s="571"/>
      <c r="BI169" s="571"/>
      <c r="BJ169" s="571"/>
      <c r="BK169" s="571"/>
      <c r="BL169" s="571"/>
      <c r="BM169" s="571"/>
      <c r="BN169" s="571"/>
      <c r="BO169" s="571"/>
      <c r="BP169" s="571"/>
      <c r="BQ169" s="571"/>
      <c r="BR169" s="571"/>
      <c r="BS169" s="571"/>
      <c r="BT169" s="571"/>
      <c r="BU169" s="571"/>
      <c r="BV169" s="571"/>
      <c r="BW169" s="571"/>
      <c r="BX169" s="571"/>
      <c r="BY169" s="571"/>
      <c r="BZ169" s="571"/>
      <c r="CA169" s="571"/>
      <c r="CB169" s="571"/>
      <c r="CC169" s="571"/>
      <c r="CD169" s="571"/>
      <c r="CE169" s="571"/>
      <c r="CF169" s="571"/>
      <c r="CG169" s="571"/>
      <c r="CH169" s="571"/>
      <c r="CI169" s="571"/>
      <c r="CJ169" s="571"/>
      <c r="CK169" s="571"/>
      <c r="CL169" s="571"/>
      <c r="CM169" s="571"/>
      <c r="CN169" s="571"/>
      <c r="CO169" s="571"/>
      <c r="CP169" s="571"/>
      <c r="CQ169" s="571"/>
      <c r="CR169" s="571"/>
      <c r="CS169" s="571"/>
      <c r="CT169" s="571"/>
      <c r="CU169" s="571"/>
      <c r="CV169" s="571"/>
      <c r="CW169" s="571"/>
      <c r="CX169" s="571"/>
      <c r="CY169" s="571"/>
      <c r="CZ169" s="571"/>
      <c r="DA169" s="571"/>
      <c r="DB169" s="571"/>
      <c r="DC169" s="571"/>
      <c r="DD169" s="571"/>
      <c r="DE169" s="571"/>
      <c r="DF169" s="571"/>
      <c r="DG169" s="571"/>
      <c r="DH169" s="571"/>
      <c r="DI169" s="571"/>
      <c r="DJ169" s="571"/>
      <c r="DK169" s="571"/>
      <c r="DL169" s="571"/>
      <c r="DM169" s="571"/>
      <c r="DN169" s="571"/>
      <c r="DO169" s="571"/>
      <c r="DP169" s="571"/>
      <c r="DQ169" s="571"/>
      <c r="DR169" s="571"/>
      <c r="DS169" s="571"/>
      <c r="DT169" s="571"/>
      <c r="DU169" s="571"/>
      <c r="DV169" s="571"/>
      <c r="DW169" s="571"/>
      <c r="DX169" s="571"/>
      <c r="DY169" s="571"/>
      <c r="DZ169" s="571"/>
      <c r="EA169" s="571"/>
      <c r="EB169" s="571"/>
      <c r="EC169" s="571"/>
      <c r="ED169" s="571"/>
      <c r="EE169" s="571"/>
      <c r="EF169" s="571"/>
      <c r="EG169" s="571"/>
      <c r="EH169" s="571"/>
      <c r="EI169" s="571"/>
      <c r="EJ169" s="571"/>
      <c r="EK169" s="571"/>
      <c r="EL169" s="571"/>
      <c r="EM169" s="571"/>
      <c r="EN169" s="571"/>
      <c r="EO169" s="571"/>
      <c r="EP169" s="571"/>
      <c r="EQ169" s="571"/>
      <c r="ER169" s="571"/>
      <c r="ES169" s="571"/>
      <c r="ET169" s="571"/>
      <c r="EU169" s="571"/>
      <c r="EV169" s="571"/>
      <c r="EW169" s="571"/>
      <c r="EX169" s="571"/>
      <c r="EY169" s="571"/>
      <c r="EZ169" s="571"/>
      <c r="FA169" s="571"/>
      <c r="FB169" s="571"/>
      <c r="FC169" s="571"/>
      <c r="FD169" s="571"/>
      <c r="FE169" s="571"/>
      <c r="FF169" s="571"/>
      <c r="FG169" s="571"/>
      <c r="FH169" s="571"/>
      <c r="FI169" s="571"/>
      <c r="FJ169" s="571"/>
      <c r="FK169" s="571"/>
      <c r="FL169" s="571"/>
      <c r="FM169" s="571"/>
      <c r="FN169" s="571"/>
      <c r="FO169" s="571"/>
      <c r="FP169" s="571"/>
      <c r="FQ169" s="571"/>
      <c r="FR169" s="571"/>
      <c r="FS169" s="571"/>
      <c r="FT169" s="571"/>
      <c r="FU169" s="571"/>
      <c r="FV169" s="571"/>
      <c r="FW169" s="571"/>
      <c r="FX169" s="571"/>
      <c r="FY169" s="571"/>
      <c r="FZ169" s="571"/>
      <c r="GA169" s="571"/>
      <c r="GB169" s="571"/>
      <c r="GC169" s="571"/>
      <c r="GD169" s="571"/>
      <c r="GE169" s="571"/>
      <c r="GF169" s="571"/>
      <c r="GG169" s="571"/>
      <c r="GH169" s="571"/>
      <c r="GI169" s="571"/>
      <c r="GJ169" s="571"/>
      <c r="GK169" s="571"/>
      <c r="GL169" s="571"/>
      <c r="GM169" s="571"/>
      <c r="GN169" s="571"/>
      <c r="GO169" s="571"/>
      <c r="GP169" s="571"/>
      <c r="GQ169" s="571"/>
      <c r="GR169" s="571"/>
      <c r="GS169" s="571"/>
      <c r="GT169" s="571"/>
      <c r="GU169" s="571"/>
      <c r="GV169" s="571"/>
      <c r="GW169" s="571"/>
      <c r="GX169" s="571"/>
      <c r="GY169" s="571"/>
      <c r="GZ169" s="571"/>
      <c r="HA169" s="571"/>
      <c r="HB169" s="571"/>
      <c r="HC169" s="571"/>
      <c r="HD169" s="571"/>
      <c r="HE169" s="571"/>
      <c r="HF169" s="571"/>
      <c r="HG169" s="571"/>
      <c r="HH169" s="571"/>
      <c r="HI169" s="571"/>
      <c r="HJ169" s="571"/>
      <c r="HK169" s="571"/>
      <c r="HL169" s="571"/>
      <c r="HM169" s="571"/>
      <c r="HN169" s="571"/>
      <c r="HO169" s="571"/>
      <c r="HP169" s="571"/>
      <c r="HQ169" s="571"/>
      <c r="HR169" s="571"/>
      <c r="HS169" s="571"/>
      <c r="HT169" s="571"/>
      <c r="HU169" s="571"/>
      <c r="HV169" s="571"/>
      <c r="HW169" s="571"/>
      <c r="HX169" s="571"/>
      <c r="HY169" s="571"/>
      <c r="HZ169" s="571"/>
      <c r="IA169" s="571"/>
      <c r="IB169" s="571"/>
      <c r="IC169" s="571"/>
      <c r="ID169" s="571"/>
      <c r="IE169" s="571"/>
      <c r="IF169" s="571"/>
      <c r="IG169" s="571"/>
      <c r="IH169" s="571"/>
      <c r="II169" s="571"/>
      <c r="IJ169" s="571"/>
      <c r="IK169" s="571"/>
      <c r="IL169" s="571"/>
      <c r="IM169" s="571"/>
      <c r="IN169" s="571"/>
      <c r="IO169" s="571"/>
    </row>
    <row r="170" spans="1:249" s="528" customFormat="1">
      <c r="A170" s="555"/>
      <c r="B170" s="555"/>
      <c r="C170" s="556"/>
      <c r="D170" s="557">
        <v>123.5</v>
      </c>
      <c r="E170" s="556"/>
      <c r="F170" s="559">
        <f>ROUND(639730/1.05,2)</f>
        <v>609266.67000000004</v>
      </c>
      <c r="G170" s="562">
        <v>42801</v>
      </c>
      <c r="H170" s="561">
        <f t="shared" si="13"/>
        <v>4933.3333603238871</v>
      </c>
      <c r="I170" s="564" t="s">
        <v>92</v>
      </c>
      <c r="J170" s="565">
        <v>105.14</v>
      </c>
      <c r="K170" s="566">
        <v>123.5</v>
      </c>
      <c r="L170" s="567">
        <f>F170</f>
        <v>609266.67000000004</v>
      </c>
      <c r="M170" s="561">
        <f t="shared" si="12"/>
        <v>123.5</v>
      </c>
      <c r="N170" s="561">
        <f t="shared" si="12"/>
        <v>609266.67000000004</v>
      </c>
      <c r="O170" s="568"/>
      <c r="P170" s="561">
        <f t="shared" si="11"/>
        <v>0</v>
      </c>
      <c r="Q170" s="569"/>
      <c r="R170" s="570" t="s">
        <v>93</v>
      </c>
      <c r="S170" s="571"/>
      <c r="T170" s="571"/>
      <c r="U170" s="571"/>
      <c r="V170" s="571"/>
      <c r="W170" s="571"/>
      <c r="X170" s="571"/>
      <c r="Y170" s="571"/>
      <c r="Z170" s="571"/>
      <c r="AA170" s="571"/>
      <c r="AB170" s="571"/>
      <c r="AC170" s="571"/>
      <c r="AD170" s="571"/>
      <c r="AE170" s="571"/>
      <c r="AF170" s="571"/>
      <c r="AG170" s="571"/>
      <c r="AH170" s="571"/>
      <c r="AI170" s="571"/>
      <c r="AJ170" s="571"/>
      <c r="AK170" s="571"/>
      <c r="AL170" s="571"/>
      <c r="AM170" s="571"/>
      <c r="AN170" s="571"/>
      <c r="AO170" s="571"/>
      <c r="AP170" s="571"/>
      <c r="AQ170" s="571"/>
      <c r="AR170" s="571"/>
      <c r="AS170" s="571"/>
      <c r="AT170" s="571"/>
      <c r="AU170" s="571"/>
      <c r="AV170" s="571"/>
      <c r="AW170" s="571"/>
      <c r="AX170" s="571"/>
      <c r="AY170" s="571"/>
      <c r="AZ170" s="571"/>
      <c r="BA170" s="571"/>
      <c r="BB170" s="571"/>
      <c r="BC170" s="571"/>
      <c r="BD170" s="571"/>
      <c r="BE170" s="571"/>
      <c r="BF170" s="571"/>
      <c r="BG170" s="571"/>
      <c r="BH170" s="571"/>
      <c r="BI170" s="571"/>
      <c r="BJ170" s="571"/>
      <c r="BK170" s="571"/>
      <c r="BL170" s="571"/>
      <c r="BM170" s="571"/>
      <c r="BN170" s="571"/>
      <c r="BO170" s="571"/>
      <c r="BP170" s="571"/>
      <c r="BQ170" s="571"/>
      <c r="BR170" s="571"/>
      <c r="BS170" s="571"/>
      <c r="BT170" s="571"/>
      <c r="BU170" s="571"/>
      <c r="BV170" s="571"/>
      <c r="BW170" s="571"/>
      <c r="BX170" s="571"/>
      <c r="BY170" s="571"/>
      <c r="BZ170" s="571"/>
      <c r="CA170" s="571"/>
      <c r="CB170" s="571"/>
      <c r="CC170" s="571"/>
      <c r="CD170" s="571"/>
      <c r="CE170" s="571"/>
      <c r="CF170" s="571"/>
      <c r="CG170" s="571"/>
      <c r="CH170" s="571"/>
      <c r="CI170" s="571"/>
      <c r="CJ170" s="571"/>
      <c r="CK170" s="571"/>
      <c r="CL170" s="571"/>
      <c r="CM170" s="571"/>
      <c r="CN170" s="571"/>
      <c r="CO170" s="571"/>
      <c r="CP170" s="571"/>
      <c r="CQ170" s="571"/>
      <c r="CR170" s="571"/>
      <c r="CS170" s="571"/>
      <c r="CT170" s="571"/>
      <c r="CU170" s="571"/>
      <c r="CV170" s="571"/>
      <c r="CW170" s="571"/>
      <c r="CX170" s="571"/>
      <c r="CY170" s="571"/>
      <c r="CZ170" s="571"/>
      <c r="DA170" s="571"/>
      <c r="DB170" s="571"/>
      <c r="DC170" s="571"/>
      <c r="DD170" s="571"/>
      <c r="DE170" s="571"/>
      <c r="DF170" s="571"/>
      <c r="DG170" s="571"/>
      <c r="DH170" s="571"/>
      <c r="DI170" s="571"/>
      <c r="DJ170" s="571"/>
      <c r="DK170" s="571"/>
      <c r="DL170" s="571"/>
      <c r="DM170" s="571"/>
      <c r="DN170" s="571"/>
      <c r="DO170" s="571"/>
      <c r="DP170" s="571"/>
      <c r="DQ170" s="571"/>
      <c r="DR170" s="571"/>
      <c r="DS170" s="571"/>
      <c r="DT170" s="571"/>
      <c r="DU170" s="571"/>
      <c r="DV170" s="571"/>
      <c r="DW170" s="571"/>
      <c r="DX170" s="571"/>
      <c r="DY170" s="571"/>
      <c r="DZ170" s="571"/>
      <c r="EA170" s="571"/>
      <c r="EB170" s="571"/>
      <c r="EC170" s="571"/>
      <c r="ED170" s="571"/>
      <c r="EE170" s="571"/>
      <c r="EF170" s="571"/>
      <c r="EG170" s="571"/>
      <c r="EH170" s="571"/>
      <c r="EI170" s="571"/>
      <c r="EJ170" s="571"/>
      <c r="EK170" s="571"/>
      <c r="EL170" s="571"/>
      <c r="EM170" s="571"/>
      <c r="EN170" s="571"/>
      <c r="EO170" s="571"/>
      <c r="EP170" s="571"/>
      <c r="EQ170" s="571"/>
      <c r="ER170" s="571"/>
      <c r="ES170" s="571"/>
      <c r="ET170" s="571"/>
      <c r="EU170" s="571"/>
      <c r="EV170" s="571"/>
      <c r="EW170" s="571"/>
      <c r="EX170" s="571"/>
      <c r="EY170" s="571"/>
      <c r="EZ170" s="571"/>
      <c r="FA170" s="571"/>
      <c r="FB170" s="571"/>
      <c r="FC170" s="571"/>
      <c r="FD170" s="571"/>
      <c r="FE170" s="571"/>
      <c r="FF170" s="571"/>
      <c r="FG170" s="571"/>
      <c r="FH170" s="571"/>
      <c r="FI170" s="571"/>
      <c r="FJ170" s="571"/>
      <c r="FK170" s="571"/>
      <c r="FL170" s="571"/>
      <c r="FM170" s="571"/>
      <c r="FN170" s="571"/>
      <c r="FO170" s="571"/>
      <c r="FP170" s="571"/>
      <c r="FQ170" s="571"/>
      <c r="FR170" s="571"/>
      <c r="FS170" s="571"/>
      <c r="FT170" s="571"/>
      <c r="FU170" s="571"/>
      <c r="FV170" s="571"/>
      <c r="FW170" s="571"/>
      <c r="FX170" s="571"/>
      <c r="FY170" s="571"/>
      <c r="FZ170" s="571"/>
      <c r="GA170" s="571"/>
      <c r="GB170" s="571"/>
      <c r="GC170" s="571"/>
      <c r="GD170" s="571"/>
      <c r="GE170" s="571"/>
      <c r="GF170" s="571"/>
      <c r="GG170" s="571"/>
      <c r="GH170" s="571"/>
      <c r="GI170" s="571"/>
      <c r="GJ170" s="571"/>
      <c r="GK170" s="571"/>
      <c r="GL170" s="571"/>
      <c r="GM170" s="571"/>
      <c r="GN170" s="571"/>
      <c r="GO170" s="571"/>
      <c r="GP170" s="571"/>
      <c r="GQ170" s="571"/>
      <c r="GR170" s="571"/>
      <c r="GS170" s="571"/>
      <c r="GT170" s="571"/>
      <c r="GU170" s="571"/>
      <c r="GV170" s="571"/>
      <c r="GW170" s="571"/>
      <c r="GX170" s="571"/>
      <c r="GY170" s="571"/>
      <c r="GZ170" s="571"/>
      <c r="HA170" s="571"/>
      <c r="HB170" s="571"/>
      <c r="HC170" s="571"/>
      <c r="HD170" s="571"/>
      <c r="HE170" s="571"/>
      <c r="HF170" s="571"/>
      <c r="HG170" s="571"/>
      <c r="HH170" s="571"/>
      <c r="HI170" s="571"/>
      <c r="HJ170" s="571"/>
      <c r="HK170" s="571"/>
      <c r="HL170" s="571"/>
      <c r="HM170" s="571"/>
      <c r="HN170" s="571"/>
      <c r="HO170" s="571"/>
      <c r="HP170" s="571"/>
      <c r="HQ170" s="571"/>
      <c r="HR170" s="571"/>
      <c r="HS170" s="571"/>
      <c r="HT170" s="571"/>
      <c r="HU170" s="571"/>
      <c r="HV170" s="571"/>
      <c r="HW170" s="571"/>
      <c r="HX170" s="571"/>
      <c r="HY170" s="571"/>
      <c r="HZ170" s="571"/>
      <c r="IA170" s="571"/>
      <c r="IB170" s="571"/>
      <c r="IC170" s="571"/>
      <c r="ID170" s="571"/>
      <c r="IE170" s="571"/>
      <c r="IF170" s="571"/>
      <c r="IG170" s="571"/>
      <c r="IH170" s="571"/>
      <c r="II170" s="571"/>
      <c r="IJ170" s="571"/>
      <c r="IK170" s="571"/>
      <c r="IL170" s="571"/>
      <c r="IM170" s="571"/>
      <c r="IN170" s="571"/>
      <c r="IO170" s="571"/>
    </row>
    <row r="171" spans="1:249">
      <c r="A171" s="520"/>
      <c r="B171" s="520"/>
      <c r="C171" s="238"/>
      <c r="D171" s="358">
        <v>122.88</v>
      </c>
      <c r="E171" s="238"/>
      <c r="F171" s="525">
        <v>424840</v>
      </c>
      <c r="G171" s="521">
        <v>40382</v>
      </c>
      <c r="H171" s="540">
        <f t="shared" si="13"/>
        <v>3440</v>
      </c>
      <c r="I171" s="260" t="s">
        <v>91</v>
      </c>
      <c r="J171" s="542">
        <v>105.14</v>
      </c>
      <c r="K171" s="526">
        <v>123.5</v>
      </c>
      <c r="L171" s="367">
        <v>424840</v>
      </c>
      <c r="M171" s="540">
        <f t="shared" si="12"/>
        <v>123.5</v>
      </c>
      <c r="N171" s="540">
        <f>F171</f>
        <v>424840</v>
      </c>
      <c r="O171" s="546"/>
      <c r="P171" s="540">
        <f t="shared" si="11"/>
        <v>0</v>
      </c>
      <c r="Q171" s="551">
        <f t="shared" si="15"/>
        <v>3440</v>
      </c>
      <c r="R171" s="283"/>
    </row>
    <row r="172" spans="1:249">
      <c r="A172" s="520"/>
      <c r="B172" s="520"/>
      <c r="C172" s="238"/>
      <c r="D172" s="358">
        <v>122.88</v>
      </c>
      <c r="E172" s="238"/>
      <c r="F172" s="525">
        <v>551304</v>
      </c>
      <c r="G172" s="521">
        <v>40400</v>
      </c>
      <c r="H172" s="540">
        <f t="shared" si="13"/>
        <v>4464</v>
      </c>
      <c r="I172" s="260" t="s">
        <v>92</v>
      </c>
      <c r="J172" s="542">
        <v>105.14</v>
      </c>
      <c r="K172" s="526">
        <v>123.5</v>
      </c>
      <c r="L172" s="367">
        <v>551304</v>
      </c>
      <c r="M172" s="540">
        <f t="shared" si="12"/>
        <v>123.5</v>
      </c>
      <c r="N172" s="540">
        <f t="shared" si="14"/>
        <v>551304</v>
      </c>
      <c r="O172" s="546"/>
      <c r="P172" s="540">
        <f t="shared" si="11"/>
        <v>0</v>
      </c>
      <c r="Q172" s="551">
        <f t="shared" si="15"/>
        <v>0</v>
      </c>
      <c r="R172" s="283"/>
    </row>
    <row r="173" spans="1:249">
      <c r="A173" s="520"/>
      <c r="B173" s="520"/>
      <c r="C173" s="238"/>
      <c r="D173" s="358">
        <v>122.88</v>
      </c>
      <c r="E173" s="238"/>
      <c r="F173" s="525">
        <v>573040</v>
      </c>
      <c r="G173" s="521">
        <v>40375</v>
      </c>
      <c r="H173" s="540">
        <f t="shared" si="13"/>
        <v>4640</v>
      </c>
      <c r="I173" s="260" t="s">
        <v>92</v>
      </c>
      <c r="J173" s="542">
        <v>105.14</v>
      </c>
      <c r="K173" s="526">
        <v>123.5</v>
      </c>
      <c r="L173" s="367">
        <v>573040</v>
      </c>
      <c r="M173" s="540">
        <f t="shared" si="12"/>
        <v>123.5</v>
      </c>
      <c r="N173" s="540">
        <f t="shared" si="14"/>
        <v>573040</v>
      </c>
      <c r="O173" s="546"/>
      <c r="P173" s="540">
        <f t="shared" si="11"/>
        <v>0</v>
      </c>
      <c r="Q173" s="551">
        <f t="shared" si="15"/>
        <v>0</v>
      </c>
      <c r="R173" s="283"/>
    </row>
    <row r="174" spans="1:249" s="528" customFormat="1">
      <c r="A174" s="555"/>
      <c r="B174" s="555"/>
      <c r="C174" s="556"/>
      <c r="D174" s="557">
        <v>123.5</v>
      </c>
      <c r="E174" s="556"/>
      <c r="F174" s="559">
        <f>ROUND(623675/1.05,2)</f>
        <v>593976.18999999994</v>
      </c>
      <c r="G174" s="562"/>
      <c r="H174" s="561">
        <f t="shared" si="13"/>
        <v>4809.5238056680155</v>
      </c>
      <c r="I174" s="260" t="s">
        <v>92</v>
      </c>
      <c r="J174" s="565">
        <v>105.14</v>
      </c>
      <c r="K174" s="566">
        <v>123.5</v>
      </c>
      <c r="L174" s="567"/>
      <c r="M174" s="561">
        <v>123.5</v>
      </c>
      <c r="N174" s="561">
        <f>F174</f>
        <v>593976.18999999994</v>
      </c>
      <c r="O174" s="568"/>
      <c r="P174" s="561">
        <f t="shared" si="11"/>
        <v>0</v>
      </c>
      <c r="Q174" s="569"/>
      <c r="R174" s="570" t="s">
        <v>93</v>
      </c>
      <c r="S174" s="571"/>
      <c r="T174" s="571"/>
      <c r="U174" s="571"/>
      <c r="V174" s="571"/>
      <c r="W174" s="571"/>
      <c r="X174" s="571"/>
      <c r="Y174" s="571"/>
      <c r="Z174" s="571"/>
      <c r="AA174" s="571"/>
      <c r="AB174" s="571"/>
      <c r="AC174" s="571"/>
      <c r="AD174" s="571"/>
      <c r="AE174" s="571"/>
      <c r="AF174" s="571"/>
      <c r="AG174" s="571"/>
      <c r="AH174" s="571"/>
      <c r="AI174" s="571"/>
      <c r="AJ174" s="571"/>
      <c r="AK174" s="571"/>
      <c r="AL174" s="571"/>
      <c r="AM174" s="571"/>
      <c r="AN174" s="571"/>
      <c r="AO174" s="571"/>
      <c r="AP174" s="571"/>
      <c r="AQ174" s="571"/>
      <c r="AR174" s="571"/>
      <c r="AS174" s="571"/>
      <c r="AT174" s="571"/>
      <c r="AU174" s="571"/>
      <c r="AV174" s="571"/>
      <c r="AW174" s="571"/>
      <c r="AX174" s="571"/>
      <c r="AY174" s="571"/>
      <c r="AZ174" s="571"/>
      <c r="BA174" s="571"/>
      <c r="BB174" s="571"/>
      <c r="BC174" s="571"/>
      <c r="BD174" s="571"/>
      <c r="BE174" s="571"/>
      <c r="BF174" s="571"/>
      <c r="BG174" s="571"/>
      <c r="BH174" s="571"/>
      <c r="BI174" s="571"/>
      <c r="BJ174" s="571"/>
      <c r="BK174" s="571"/>
      <c r="BL174" s="571"/>
      <c r="BM174" s="571"/>
      <c r="BN174" s="571"/>
      <c r="BO174" s="571"/>
      <c r="BP174" s="571"/>
      <c r="BQ174" s="571"/>
      <c r="BR174" s="571"/>
      <c r="BS174" s="571"/>
      <c r="BT174" s="571"/>
      <c r="BU174" s="571"/>
      <c r="BV174" s="571"/>
      <c r="BW174" s="571"/>
      <c r="BX174" s="571"/>
      <c r="BY174" s="571"/>
      <c r="BZ174" s="571"/>
      <c r="CA174" s="571"/>
      <c r="CB174" s="571"/>
      <c r="CC174" s="571"/>
      <c r="CD174" s="571"/>
      <c r="CE174" s="571"/>
      <c r="CF174" s="571"/>
      <c r="CG174" s="571"/>
      <c r="CH174" s="571"/>
      <c r="CI174" s="571"/>
      <c r="CJ174" s="571"/>
      <c r="CK174" s="571"/>
      <c r="CL174" s="571"/>
      <c r="CM174" s="571"/>
      <c r="CN174" s="571"/>
      <c r="CO174" s="571"/>
      <c r="CP174" s="571"/>
      <c r="CQ174" s="571"/>
      <c r="CR174" s="571"/>
      <c r="CS174" s="571"/>
      <c r="CT174" s="571"/>
      <c r="CU174" s="571"/>
      <c r="CV174" s="571"/>
      <c r="CW174" s="571"/>
      <c r="CX174" s="571"/>
      <c r="CY174" s="571"/>
      <c r="CZ174" s="571"/>
      <c r="DA174" s="571"/>
      <c r="DB174" s="571"/>
      <c r="DC174" s="571"/>
      <c r="DD174" s="571"/>
      <c r="DE174" s="571"/>
      <c r="DF174" s="571"/>
      <c r="DG174" s="571"/>
      <c r="DH174" s="571"/>
      <c r="DI174" s="571"/>
      <c r="DJ174" s="571"/>
      <c r="DK174" s="571"/>
      <c r="DL174" s="571"/>
      <c r="DM174" s="571"/>
      <c r="DN174" s="571"/>
      <c r="DO174" s="571"/>
      <c r="DP174" s="571"/>
      <c r="DQ174" s="571"/>
      <c r="DR174" s="571"/>
      <c r="DS174" s="571"/>
      <c r="DT174" s="571"/>
      <c r="DU174" s="571"/>
      <c r="DV174" s="571"/>
      <c r="DW174" s="571"/>
      <c r="DX174" s="571"/>
      <c r="DY174" s="571"/>
      <c r="DZ174" s="571"/>
      <c r="EA174" s="571"/>
      <c r="EB174" s="571"/>
      <c r="EC174" s="571"/>
      <c r="ED174" s="571"/>
      <c r="EE174" s="571"/>
      <c r="EF174" s="571"/>
      <c r="EG174" s="571"/>
      <c r="EH174" s="571"/>
      <c r="EI174" s="571"/>
      <c r="EJ174" s="571"/>
      <c r="EK174" s="571"/>
      <c r="EL174" s="571"/>
      <c r="EM174" s="571"/>
      <c r="EN174" s="571"/>
      <c r="EO174" s="571"/>
      <c r="EP174" s="571"/>
      <c r="EQ174" s="571"/>
      <c r="ER174" s="571"/>
      <c r="ES174" s="571"/>
      <c r="ET174" s="571"/>
      <c r="EU174" s="571"/>
      <c r="EV174" s="571"/>
      <c r="EW174" s="571"/>
      <c r="EX174" s="571"/>
      <c r="EY174" s="571"/>
      <c r="EZ174" s="571"/>
      <c r="FA174" s="571"/>
      <c r="FB174" s="571"/>
      <c r="FC174" s="571"/>
      <c r="FD174" s="571"/>
      <c r="FE174" s="571"/>
      <c r="FF174" s="571"/>
      <c r="FG174" s="571"/>
      <c r="FH174" s="571"/>
      <c r="FI174" s="571"/>
      <c r="FJ174" s="571"/>
      <c r="FK174" s="571"/>
      <c r="FL174" s="571"/>
      <c r="FM174" s="571"/>
      <c r="FN174" s="571"/>
      <c r="FO174" s="571"/>
      <c r="FP174" s="571"/>
      <c r="FQ174" s="571"/>
      <c r="FR174" s="571"/>
      <c r="FS174" s="571"/>
      <c r="FT174" s="571"/>
      <c r="FU174" s="571"/>
      <c r="FV174" s="571"/>
      <c r="FW174" s="571"/>
      <c r="FX174" s="571"/>
      <c r="FY174" s="571"/>
      <c r="FZ174" s="571"/>
      <c r="GA174" s="571"/>
      <c r="GB174" s="571"/>
      <c r="GC174" s="571"/>
      <c r="GD174" s="571"/>
      <c r="GE174" s="571"/>
      <c r="GF174" s="571"/>
      <c r="GG174" s="571"/>
      <c r="GH174" s="571"/>
      <c r="GI174" s="571"/>
      <c r="GJ174" s="571"/>
      <c r="GK174" s="571"/>
      <c r="GL174" s="571"/>
      <c r="GM174" s="571"/>
      <c r="GN174" s="571"/>
      <c r="GO174" s="571"/>
      <c r="GP174" s="571"/>
      <c r="GQ174" s="571"/>
      <c r="GR174" s="571"/>
      <c r="GS174" s="571"/>
      <c r="GT174" s="571"/>
      <c r="GU174" s="571"/>
      <c r="GV174" s="571"/>
      <c r="GW174" s="571"/>
      <c r="GX174" s="571"/>
      <c r="GY174" s="571"/>
      <c r="GZ174" s="571"/>
      <c r="HA174" s="571"/>
      <c r="HB174" s="571"/>
      <c r="HC174" s="571"/>
      <c r="HD174" s="571"/>
      <c r="HE174" s="571"/>
      <c r="HF174" s="571"/>
      <c r="HG174" s="571"/>
      <c r="HH174" s="571"/>
      <c r="HI174" s="571"/>
      <c r="HJ174" s="571"/>
      <c r="HK174" s="571"/>
      <c r="HL174" s="571"/>
      <c r="HM174" s="571"/>
      <c r="HN174" s="571"/>
      <c r="HO174" s="571"/>
      <c r="HP174" s="571"/>
      <c r="HQ174" s="571"/>
      <c r="HR174" s="571"/>
      <c r="HS174" s="571"/>
      <c r="HT174" s="571"/>
      <c r="HU174" s="571"/>
      <c r="HV174" s="571"/>
      <c r="HW174" s="571"/>
      <c r="HX174" s="571"/>
      <c r="HY174" s="571"/>
      <c r="HZ174" s="571"/>
      <c r="IA174" s="571"/>
      <c r="IB174" s="571"/>
      <c r="IC174" s="571"/>
      <c r="ID174" s="571"/>
      <c r="IE174" s="571"/>
      <c r="IF174" s="571"/>
      <c r="IG174" s="571"/>
      <c r="IH174" s="571"/>
      <c r="II174" s="571"/>
      <c r="IJ174" s="571"/>
      <c r="IK174" s="571"/>
      <c r="IL174" s="571"/>
      <c r="IM174" s="571"/>
      <c r="IN174" s="571"/>
      <c r="IO174" s="571"/>
    </row>
    <row r="175" spans="1:249">
      <c r="A175" s="520"/>
      <c r="B175" s="520"/>
      <c r="C175" s="238"/>
      <c r="D175" s="358">
        <v>122.88</v>
      </c>
      <c r="E175" s="238"/>
      <c r="F175" s="525">
        <v>442130</v>
      </c>
      <c r="G175" s="521">
        <v>40392</v>
      </c>
      <c r="H175" s="540">
        <f t="shared" si="13"/>
        <v>3580</v>
      </c>
      <c r="I175" s="260" t="s">
        <v>92</v>
      </c>
      <c r="J175" s="542">
        <v>105.14</v>
      </c>
      <c r="K175" s="526">
        <v>123.5</v>
      </c>
      <c r="L175" s="367">
        <v>442130</v>
      </c>
      <c r="M175" s="540">
        <f t="shared" si="12"/>
        <v>123.5</v>
      </c>
      <c r="N175" s="540">
        <f t="shared" si="14"/>
        <v>442130</v>
      </c>
      <c r="O175" s="546"/>
      <c r="P175" s="540">
        <f t="shared" si="11"/>
        <v>0</v>
      </c>
      <c r="Q175" s="551">
        <f t="shared" si="15"/>
        <v>0</v>
      </c>
      <c r="R175" s="283"/>
    </row>
    <row r="176" spans="1:249">
      <c r="A176" s="520"/>
      <c r="B176" s="520"/>
      <c r="C176" s="238"/>
      <c r="D176" s="358">
        <v>123.5</v>
      </c>
      <c r="E176" s="238"/>
      <c r="F176" s="525">
        <v>715930</v>
      </c>
      <c r="G176" s="521">
        <v>41652</v>
      </c>
      <c r="H176" s="540">
        <f t="shared" si="13"/>
        <v>5797.0040485829959</v>
      </c>
      <c r="I176" s="260" t="s">
        <v>92</v>
      </c>
      <c r="J176" s="542">
        <v>105.14</v>
      </c>
      <c r="K176" s="526">
        <v>123.5</v>
      </c>
      <c r="L176" s="367">
        <v>715930</v>
      </c>
      <c r="M176" s="540">
        <f t="shared" si="12"/>
        <v>123.5</v>
      </c>
      <c r="N176" s="540">
        <f t="shared" si="14"/>
        <v>715930</v>
      </c>
      <c r="O176" s="546"/>
      <c r="P176" s="540">
        <f t="shared" si="11"/>
        <v>0</v>
      </c>
      <c r="Q176" s="551">
        <f t="shared" si="15"/>
        <v>0</v>
      </c>
      <c r="R176" s="283"/>
    </row>
    <row r="177" spans="1:249">
      <c r="A177" s="520"/>
      <c r="B177" s="520"/>
      <c r="C177" s="238"/>
      <c r="D177" s="358">
        <v>123.5</v>
      </c>
      <c r="E177" s="238"/>
      <c r="F177" s="525">
        <v>714201</v>
      </c>
      <c r="G177" s="521">
        <v>41422</v>
      </c>
      <c r="H177" s="540">
        <f t="shared" si="13"/>
        <v>5783.0040485829959</v>
      </c>
      <c r="I177" s="260" t="s">
        <v>91</v>
      </c>
      <c r="J177" s="542">
        <v>105.14</v>
      </c>
      <c r="K177" s="526">
        <v>123.5</v>
      </c>
      <c r="L177" s="367">
        <v>714201</v>
      </c>
      <c r="M177" s="540">
        <f t="shared" si="12"/>
        <v>123.5</v>
      </c>
      <c r="N177" s="540">
        <f t="shared" si="14"/>
        <v>714201</v>
      </c>
      <c r="O177" s="546"/>
      <c r="P177" s="540">
        <f t="shared" si="11"/>
        <v>0</v>
      </c>
      <c r="Q177" s="551">
        <f t="shared" si="15"/>
        <v>0</v>
      </c>
      <c r="R177" s="283"/>
    </row>
    <row r="178" spans="1:249" s="528" customFormat="1">
      <c r="A178" s="555"/>
      <c r="B178" s="555"/>
      <c r="C178" s="556"/>
      <c r="D178" s="557">
        <v>122.88</v>
      </c>
      <c r="E178" s="556"/>
      <c r="F178" s="559">
        <v>849804</v>
      </c>
      <c r="G178" s="562">
        <v>40631</v>
      </c>
      <c r="H178" s="561">
        <f t="shared" si="13"/>
        <v>6881.0040485829959</v>
      </c>
      <c r="I178" s="564"/>
      <c r="J178" s="565">
        <v>105.14</v>
      </c>
      <c r="K178" s="566">
        <v>123.5</v>
      </c>
      <c r="L178" s="567">
        <v>849804</v>
      </c>
      <c r="M178" s="561">
        <f t="shared" si="12"/>
        <v>123.5</v>
      </c>
      <c r="N178" s="561">
        <f t="shared" si="14"/>
        <v>849804</v>
      </c>
      <c r="O178" s="568"/>
      <c r="P178" s="561">
        <f t="shared" si="11"/>
        <v>0</v>
      </c>
      <c r="Q178" s="569">
        <f t="shared" si="15"/>
        <v>0</v>
      </c>
      <c r="R178" s="572"/>
      <c r="S178" s="571"/>
      <c r="T178" s="571"/>
      <c r="U178" s="571"/>
      <c r="V178" s="571"/>
      <c r="W178" s="571"/>
      <c r="X178" s="571"/>
      <c r="Y178" s="571"/>
      <c r="Z178" s="571"/>
      <c r="AA178" s="571"/>
      <c r="AB178" s="571"/>
      <c r="AC178" s="571"/>
      <c r="AD178" s="571"/>
      <c r="AE178" s="571"/>
      <c r="AF178" s="571"/>
      <c r="AG178" s="571"/>
      <c r="AH178" s="571"/>
      <c r="AI178" s="571"/>
      <c r="AJ178" s="571"/>
      <c r="AK178" s="571"/>
      <c r="AL178" s="571"/>
      <c r="AM178" s="571"/>
      <c r="AN178" s="571"/>
      <c r="AO178" s="571"/>
      <c r="AP178" s="571"/>
      <c r="AQ178" s="571"/>
      <c r="AR178" s="571"/>
      <c r="AS178" s="571"/>
      <c r="AT178" s="571"/>
      <c r="AU178" s="571"/>
      <c r="AV178" s="571"/>
      <c r="AW178" s="571"/>
      <c r="AX178" s="571"/>
      <c r="AY178" s="571"/>
      <c r="AZ178" s="571"/>
      <c r="BA178" s="571"/>
      <c r="BB178" s="571"/>
      <c r="BC178" s="571"/>
      <c r="BD178" s="571"/>
      <c r="BE178" s="571"/>
      <c r="BF178" s="571"/>
      <c r="BG178" s="571"/>
      <c r="BH178" s="571"/>
      <c r="BI178" s="571"/>
      <c r="BJ178" s="571"/>
      <c r="BK178" s="571"/>
      <c r="BL178" s="571"/>
      <c r="BM178" s="571"/>
      <c r="BN178" s="571"/>
      <c r="BO178" s="571"/>
      <c r="BP178" s="571"/>
      <c r="BQ178" s="571"/>
      <c r="BR178" s="571"/>
      <c r="BS178" s="571"/>
      <c r="BT178" s="571"/>
      <c r="BU178" s="571"/>
      <c r="BV178" s="571"/>
      <c r="BW178" s="571"/>
      <c r="BX178" s="571"/>
      <c r="BY178" s="571"/>
      <c r="BZ178" s="571"/>
      <c r="CA178" s="571"/>
      <c r="CB178" s="571"/>
      <c r="CC178" s="571"/>
      <c r="CD178" s="571"/>
      <c r="CE178" s="571"/>
      <c r="CF178" s="571"/>
      <c r="CG178" s="571"/>
      <c r="CH178" s="571"/>
      <c r="CI178" s="571"/>
      <c r="CJ178" s="571"/>
      <c r="CK178" s="571"/>
      <c r="CL178" s="571"/>
      <c r="CM178" s="571"/>
      <c r="CN178" s="571"/>
      <c r="CO178" s="571"/>
      <c r="CP178" s="571"/>
      <c r="CQ178" s="571"/>
      <c r="CR178" s="571"/>
      <c r="CS178" s="571"/>
      <c r="CT178" s="571"/>
      <c r="CU178" s="571"/>
      <c r="CV178" s="571"/>
      <c r="CW178" s="571"/>
      <c r="CX178" s="571"/>
      <c r="CY178" s="571"/>
      <c r="CZ178" s="571"/>
      <c r="DA178" s="571"/>
      <c r="DB178" s="571"/>
      <c r="DC178" s="571"/>
      <c r="DD178" s="571"/>
      <c r="DE178" s="571"/>
      <c r="DF178" s="571"/>
      <c r="DG178" s="571"/>
      <c r="DH178" s="571"/>
      <c r="DI178" s="571"/>
      <c r="DJ178" s="571"/>
      <c r="DK178" s="571"/>
      <c r="DL178" s="571"/>
      <c r="DM178" s="571"/>
      <c r="DN178" s="571"/>
      <c r="DO178" s="571"/>
      <c r="DP178" s="571"/>
      <c r="DQ178" s="571"/>
      <c r="DR178" s="571"/>
      <c r="DS178" s="571"/>
      <c r="DT178" s="571"/>
      <c r="DU178" s="571"/>
      <c r="DV178" s="571"/>
      <c r="DW178" s="571"/>
      <c r="DX178" s="571"/>
      <c r="DY178" s="571"/>
      <c r="DZ178" s="571"/>
      <c r="EA178" s="571"/>
      <c r="EB178" s="571"/>
      <c r="EC178" s="571"/>
      <c r="ED178" s="571"/>
      <c r="EE178" s="571"/>
      <c r="EF178" s="571"/>
      <c r="EG178" s="571"/>
      <c r="EH178" s="571"/>
      <c r="EI178" s="571"/>
      <c r="EJ178" s="571"/>
      <c r="EK178" s="571"/>
      <c r="EL178" s="571"/>
      <c r="EM178" s="571"/>
      <c r="EN178" s="571"/>
      <c r="EO178" s="571"/>
      <c r="EP178" s="571"/>
      <c r="EQ178" s="571"/>
      <c r="ER178" s="571"/>
      <c r="ES178" s="571"/>
      <c r="ET178" s="571"/>
      <c r="EU178" s="571"/>
      <c r="EV178" s="571"/>
      <c r="EW178" s="571"/>
      <c r="EX178" s="571"/>
      <c r="EY178" s="571"/>
      <c r="EZ178" s="571"/>
      <c r="FA178" s="571"/>
      <c r="FB178" s="571"/>
      <c r="FC178" s="571"/>
      <c r="FD178" s="571"/>
      <c r="FE178" s="571"/>
      <c r="FF178" s="571"/>
      <c r="FG178" s="571"/>
      <c r="FH178" s="571"/>
      <c r="FI178" s="571"/>
      <c r="FJ178" s="571"/>
      <c r="FK178" s="571"/>
      <c r="FL178" s="571"/>
      <c r="FM178" s="571"/>
      <c r="FN178" s="571"/>
      <c r="FO178" s="571"/>
      <c r="FP178" s="571"/>
      <c r="FQ178" s="571"/>
      <c r="FR178" s="571"/>
      <c r="FS178" s="571"/>
      <c r="FT178" s="571"/>
      <c r="FU178" s="571"/>
      <c r="FV178" s="571"/>
      <c r="FW178" s="571"/>
      <c r="FX178" s="571"/>
      <c r="FY178" s="571"/>
      <c r="FZ178" s="571"/>
      <c r="GA178" s="571"/>
      <c r="GB178" s="571"/>
      <c r="GC178" s="571"/>
      <c r="GD178" s="571"/>
      <c r="GE178" s="571"/>
      <c r="GF178" s="571"/>
      <c r="GG178" s="571"/>
      <c r="GH178" s="571"/>
      <c r="GI178" s="571"/>
      <c r="GJ178" s="571"/>
      <c r="GK178" s="571"/>
      <c r="GL178" s="571"/>
      <c r="GM178" s="571"/>
      <c r="GN178" s="571"/>
      <c r="GO178" s="571"/>
      <c r="GP178" s="571"/>
      <c r="GQ178" s="571"/>
      <c r="GR178" s="571"/>
      <c r="GS178" s="571"/>
      <c r="GT178" s="571"/>
      <c r="GU178" s="571"/>
      <c r="GV178" s="571"/>
      <c r="GW178" s="571"/>
      <c r="GX178" s="571"/>
      <c r="GY178" s="571"/>
      <c r="GZ178" s="571"/>
      <c r="HA178" s="571"/>
      <c r="HB178" s="571"/>
      <c r="HC178" s="571"/>
      <c r="HD178" s="571"/>
      <c r="HE178" s="571"/>
      <c r="HF178" s="571"/>
      <c r="HG178" s="571"/>
      <c r="HH178" s="571"/>
      <c r="HI178" s="571"/>
      <c r="HJ178" s="571"/>
      <c r="HK178" s="571"/>
      <c r="HL178" s="571"/>
      <c r="HM178" s="571"/>
      <c r="HN178" s="571"/>
      <c r="HO178" s="571"/>
      <c r="HP178" s="571"/>
      <c r="HQ178" s="571"/>
      <c r="HR178" s="571"/>
      <c r="HS178" s="571"/>
      <c r="HT178" s="571"/>
      <c r="HU178" s="571"/>
      <c r="HV178" s="571"/>
      <c r="HW178" s="571"/>
      <c r="HX178" s="571"/>
      <c r="HY178" s="571"/>
      <c r="HZ178" s="571"/>
      <c r="IA178" s="571"/>
      <c r="IB178" s="571"/>
      <c r="IC178" s="571"/>
      <c r="ID178" s="571"/>
      <c r="IE178" s="571"/>
      <c r="IF178" s="571"/>
      <c r="IG178" s="571"/>
      <c r="IH178" s="571"/>
      <c r="II178" s="571"/>
      <c r="IJ178" s="571"/>
      <c r="IK178" s="571"/>
      <c r="IL178" s="571"/>
      <c r="IM178" s="571"/>
      <c r="IN178" s="571"/>
      <c r="IO178" s="571"/>
    </row>
    <row r="179" spans="1:249" s="528" customFormat="1" ht="24">
      <c r="A179" s="555"/>
      <c r="B179" s="555"/>
      <c r="C179" s="556"/>
      <c r="D179" s="557">
        <v>123.5</v>
      </c>
      <c r="E179" s="556"/>
      <c r="F179" s="559">
        <f>ROUND(699998/1.05,2)</f>
        <v>666664.76</v>
      </c>
      <c r="G179" s="562">
        <v>42792</v>
      </c>
      <c r="H179" s="561">
        <f t="shared" si="13"/>
        <v>5398.0952226720647</v>
      </c>
      <c r="I179" s="564" t="s">
        <v>90</v>
      </c>
      <c r="J179" s="565">
        <v>105.14</v>
      </c>
      <c r="K179" s="566">
        <v>123.5</v>
      </c>
      <c r="L179" s="567">
        <f>F179</f>
        <v>666664.76</v>
      </c>
      <c r="M179" s="561">
        <f t="shared" si="12"/>
        <v>123.5</v>
      </c>
      <c r="N179" s="561">
        <f t="shared" si="14"/>
        <v>666664.76</v>
      </c>
      <c r="O179" s="568"/>
      <c r="P179" s="561">
        <f t="shared" si="11"/>
        <v>0</v>
      </c>
      <c r="Q179" s="569"/>
      <c r="R179" s="570" t="s">
        <v>93</v>
      </c>
      <c r="S179" s="571"/>
      <c r="T179" s="571"/>
      <c r="U179" s="571"/>
      <c r="V179" s="571"/>
      <c r="W179" s="571"/>
      <c r="X179" s="571"/>
      <c r="Y179" s="571"/>
      <c r="Z179" s="571"/>
      <c r="AA179" s="571"/>
      <c r="AB179" s="571"/>
      <c r="AC179" s="571"/>
      <c r="AD179" s="571"/>
      <c r="AE179" s="571"/>
      <c r="AF179" s="571"/>
      <c r="AG179" s="571"/>
      <c r="AH179" s="571"/>
      <c r="AI179" s="571"/>
      <c r="AJ179" s="571"/>
      <c r="AK179" s="571"/>
      <c r="AL179" s="571"/>
      <c r="AM179" s="571"/>
      <c r="AN179" s="571"/>
      <c r="AO179" s="571"/>
      <c r="AP179" s="571"/>
      <c r="AQ179" s="571"/>
      <c r="AR179" s="571"/>
      <c r="AS179" s="571"/>
      <c r="AT179" s="571"/>
      <c r="AU179" s="571"/>
      <c r="AV179" s="571"/>
      <c r="AW179" s="571"/>
      <c r="AX179" s="571"/>
      <c r="AY179" s="571"/>
      <c r="AZ179" s="571"/>
      <c r="BA179" s="571"/>
      <c r="BB179" s="571"/>
      <c r="BC179" s="571"/>
      <c r="BD179" s="571"/>
      <c r="BE179" s="571"/>
      <c r="BF179" s="571"/>
      <c r="BG179" s="571"/>
      <c r="BH179" s="571"/>
      <c r="BI179" s="571"/>
      <c r="BJ179" s="571"/>
      <c r="BK179" s="571"/>
      <c r="BL179" s="571"/>
      <c r="BM179" s="571"/>
      <c r="BN179" s="571"/>
      <c r="BO179" s="571"/>
      <c r="BP179" s="571"/>
      <c r="BQ179" s="571"/>
      <c r="BR179" s="571"/>
      <c r="BS179" s="571"/>
      <c r="BT179" s="571"/>
      <c r="BU179" s="571"/>
      <c r="BV179" s="571"/>
      <c r="BW179" s="571"/>
      <c r="BX179" s="571"/>
      <c r="BY179" s="571"/>
      <c r="BZ179" s="571"/>
      <c r="CA179" s="571"/>
      <c r="CB179" s="571"/>
      <c r="CC179" s="571"/>
      <c r="CD179" s="571"/>
      <c r="CE179" s="571"/>
      <c r="CF179" s="571"/>
      <c r="CG179" s="571"/>
      <c r="CH179" s="571"/>
      <c r="CI179" s="571"/>
      <c r="CJ179" s="571"/>
      <c r="CK179" s="571"/>
      <c r="CL179" s="571"/>
      <c r="CM179" s="571"/>
      <c r="CN179" s="571"/>
      <c r="CO179" s="571"/>
      <c r="CP179" s="571"/>
      <c r="CQ179" s="571"/>
      <c r="CR179" s="571"/>
      <c r="CS179" s="571"/>
      <c r="CT179" s="571"/>
      <c r="CU179" s="571"/>
      <c r="CV179" s="571"/>
      <c r="CW179" s="571"/>
      <c r="CX179" s="571"/>
      <c r="CY179" s="571"/>
      <c r="CZ179" s="571"/>
      <c r="DA179" s="571"/>
      <c r="DB179" s="571"/>
      <c r="DC179" s="571"/>
      <c r="DD179" s="571"/>
      <c r="DE179" s="571"/>
      <c r="DF179" s="571"/>
      <c r="DG179" s="571"/>
      <c r="DH179" s="571"/>
      <c r="DI179" s="571"/>
      <c r="DJ179" s="571"/>
      <c r="DK179" s="571"/>
      <c r="DL179" s="571"/>
      <c r="DM179" s="571"/>
      <c r="DN179" s="571"/>
      <c r="DO179" s="571"/>
      <c r="DP179" s="571"/>
      <c r="DQ179" s="571"/>
      <c r="DR179" s="571"/>
      <c r="DS179" s="571"/>
      <c r="DT179" s="571"/>
      <c r="DU179" s="571"/>
      <c r="DV179" s="571"/>
      <c r="DW179" s="571"/>
      <c r="DX179" s="571"/>
      <c r="DY179" s="571"/>
      <c r="DZ179" s="571"/>
      <c r="EA179" s="571"/>
      <c r="EB179" s="571"/>
      <c r="EC179" s="571"/>
      <c r="ED179" s="571"/>
      <c r="EE179" s="571"/>
      <c r="EF179" s="571"/>
      <c r="EG179" s="571"/>
      <c r="EH179" s="571"/>
      <c r="EI179" s="571"/>
      <c r="EJ179" s="571"/>
      <c r="EK179" s="571"/>
      <c r="EL179" s="571"/>
      <c r="EM179" s="571"/>
      <c r="EN179" s="571"/>
      <c r="EO179" s="571"/>
      <c r="EP179" s="571"/>
      <c r="EQ179" s="571"/>
      <c r="ER179" s="571"/>
      <c r="ES179" s="571"/>
      <c r="ET179" s="571"/>
      <c r="EU179" s="571"/>
      <c r="EV179" s="571"/>
      <c r="EW179" s="571"/>
      <c r="EX179" s="571"/>
      <c r="EY179" s="571"/>
      <c r="EZ179" s="571"/>
      <c r="FA179" s="571"/>
      <c r="FB179" s="571"/>
      <c r="FC179" s="571"/>
      <c r="FD179" s="571"/>
      <c r="FE179" s="571"/>
      <c r="FF179" s="571"/>
      <c r="FG179" s="571"/>
      <c r="FH179" s="571"/>
      <c r="FI179" s="571"/>
      <c r="FJ179" s="571"/>
      <c r="FK179" s="571"/>
      <c r="FL179" s="571"/>
      <c r="FM179" s="571"/>
      <c r="FN179" s="571"/>
      <c r="FO179" s="571"/>
      <c r="FP179" s="571"/>
      <c r="FQ179" s="571"/>
      <c r="FR179" s="571"/>
      <c r="FS179" s="571"/>
      <c r="FT179" s="571"/>
      <c r="FU179" s="571"/>
      <c r="FV179" s="571"/>
      <c r="FW179" s="571"/>
      <c r="FX179" s="571"/>
      <c r="FY179" s="571"/>
      <c r="FZ179" s="571"/>
      <c r="GA179" s="571"/>
      <c r="GB179" s="571"/>
      <c r="GC179" s="571"/>
      <c r="GD179" s="571"/>
      <c r="GE179" s="571"/>
      <c r="GF179" s="571"/>
      <c r="GG179" s="571"/>
      <c r="GH179" s="571"/>
      <c r="GI179" s="571"/>
      <c r="GJ179" s="571"/>
      <c r="GK179" s="571"/>
      <c r="GL179" s="571"/>
      <c r="GM179" s="571"/>
      <c r="GN179" s="571"/>
      <c r="GO179" s="571"/>
      <c r="GP179" s="571"/>
      <c r="GQ179" s="571"/>
      <c r="GR179" s="571"/>
      <c r="GS179" s="571"/>
      <c r="GT179" s="571"/>
      <c r="GU179" s="571"/>
      <c r="GV179" s="571"/>
      <c r="GW179" s="571"/>
      <c r="GX179" s="571"/>
      <c r="GY179" s="571"/>
      <c r="GZ179" s="571"/>
      <c r="HA179" s="571"/>
      <c r="HB179" s="571"/>
      <c r="HC179" s="571"/>
      <c r="HD179" s="571"/>
      <c r="HE179" s="571"/>
      <c r="HF179" s="571"/>
      <c r="HG179" s="571"/>
      <c r="HH179" s="571"/>
      <c r="HI179" s="571"/>
      <c r="HJ179" s="571"/>
      <c r="HK179" s="571"/>
      <c r="HL179" s="571"/>
      <c r="HM179" s="571"/>
      <c r="HN179" s="571"/>
      <c r="HO179" s="571"/>
      <c r="HP179" s="571"/>
      <c r="HQ179" s="571"/>
      <c r="HR179" s="571"/>
      <c r="HS179" s="571"/>
      <c r="HT179" s="571"/>
      <c r="HU179" s="571"/>
      <c r="HV179" s="571"/>
      <c r="HW179" s="571"/>
      <c r="HX179" s="571"/>
      <c r="HY179" s="571"/>
      <c r="HZ179" s="571"/>
      <c r="IA179" s="571"/>
      <c r="IB179" s="571"/>
      <c r="IC179" s="571"/>
      <c r="ID179" s="571"/>
      <c r="IE179" s="571"/>
      <c r="IF179" s="571"/>
      <c r="IG179" s="571"/>
      <c r="IH179" s="571"/>
      <c r="II179" s="571"/>
      <c r="IJ179" s="571"/>
      <c r="IK179" s="571"/>
      <c r="IL179" s="571"/>
      <c r="IM179" s="571"/>
      <c r="IN179" s="571"/>
      <c r="IO179" s="571"/>
    </row>
    <row r="180" spans="1:249" ht="24">
      <c r="A180" s="520"/>
      <c r="B180" s="520"/>
      <c r="C180" s="238"/>
      <c r="D180" s="358">
        <v>91.15</v>
      </c>
      <c r="E180" s="238"/>
      <c r="F180" s="525">
        <v>399538</v>
      </c>
      <c r="G180" s="521">
        <v>40434</v>
      </c>
      <c r="H180" s="540">
        <f t="shared" si="13"/>
        <v>4280</v>
      </c>
      <c r="I180" s="260" t="s">
        <v>90</v>
      </c>
      <c r="J180" s="542">
        <v>78.599999999999994</v>
      </c>
      <c r="K180" s="526">
        <v>93.35</v>
      </c>
      <c r="L180" s="367">
        <v>399538</v>
      </c>
      <c r="M180" s="540">
        <f t="shared" si="12"/>
        <v>93.35</v>
      </c>
      <c r="N180" s="540">
        <f t="shared" si="14"/>
        <v>399538</v>
      </c>
      <c r="O180" s="546"/>
      <c r="P180" s="540">
        <f t="shared" ref="P180:P249" si="16">N180-F180</f>
        <v>0</v>
      </c>
      <c r="Q180" s="551">
        <f t="shared" si="15"/>
        <v>0</v>
      </c>
      <c r="R180" s="283"/>
    </row>
    <row r="181" spans="1:249" ht="24">
      <c r="A181" s="520"/>
      <c r="B181" s="520"/>
      <c r="C181" s="238"/>
      <c r="D181" s="358">
        <v>93.35</v>
      </c>
      <c r="E181" s="238"/>
      <c r="F181" s="525">
        <v>494755</v>
      </c>
      <c r="G181" s="521">
        <v>41237</v>
      </c>
      <c r="H181" s="540">
        <f t="shared" si="13"/>
        <v>5300</v>
      </c>
      <c r="I181" s="260" t="s">
        <v>90</v>
      </c>
      <c r="J181" s="542">
        <v>78.599999999999994</v>
      </c>
      <c r="K181" s="526">
        <v>93.35</v>
      </c>
      <c r="L181" s="367">
        <v>494755</v>
      </c>
      <c r="M181" s="540">
        <f t="shared" si="12"/>
        <v>93.35</v>
      </c>
      <c r="N181" s="540">
        <f t="shared" si="14"/>
        <v>494755</v>
      </c>
      <c r="O181" s="546"/>
      <c r="P181" s="540">
        <f t="shared" si="16"/>
        <v>0</v>
      </c>
      <c r="Q181" s="551">
        <f t="shared" si="15"/>
        <v>0</v>
      </c>
      <c r="R181" s="283"/>
    </row>
    <row r="182" spans="1:249">
      <c r="A182" s="520"/>
      <c r="B182" s="520"/>
      <c r="C182" s="238"/>
      <c r="D182" s="358">
        <v>93.35</v>
      </c>
      <c r="E182" s="238"/>
      <c r="F182" s="525">
        <v>537043</v>
      </c>
      <c r="G182" s="521">
        <v>40756</v>
      </c>
      <c r="H182" s="540">
        <f t="shared" si="13"/>
        <v>5753.0048205677558</v>
      </c>
      <c r="I182" s="260"/>
      <c r="J182" s="542">
        <v>78.599999999999994</v>
      </c>
      <c r="K182" s="526">
        <v>93.35</v>
      </c>
      <c r="L182" s="367">
        <v>537043</v>
      </c>
      <c r="M182" s="540">
        <f t="shared" si="12"/>
        <v>93.35</v>
      </c>
      <c r="N182" s="540">
        <f t="shared" si="14"/>
        <v>537043</v>
      </c>
      <c r="O182" s="546"/>
      <c r="P182" s="540">
        <f t="shared" si="16"/>
        <v>0</v>
      </c>
      <c r="Q182" s="551">
        <f t="shared" si="15"/>
        <v>0</v>
      </c>
      <c r="R182" s="283"/>
    </row>
    <row r="183" spans="1:249" ht="24">
      <c r="A183" s="520"/>
      <c r="B183" s="520"/>
      <c r="C183" s="238"/>
      <c r="D183" s="358">
        <v>91.15</v>
      </c>
      <c r="E183" s="238"/>
      <c r="F183" s="525">
        <v>350063</v>
      </c>
      <c r="G183" s="521">
        <v>40548</v>
      </c>
      <c r="H183" s="540">
        <f t="shared" si="13"/>
        <v>3750.0053561863956</v>
      </c>
      <c r="I183" s="260" t="s">
        <v>90</v>
      </c>
      <c r="J183" s="542">
        <v>78.599999999999994</v>
      </c>
      <c r="K183" s="526">
        <v>93.35</v>
      </c>
      <c r="L183" s="367">
        <v>350063</v>
      </c>
      <c r="M183" s="540">
        <f t="shared" si="12"/>
        <v>93.35</v>
      </c>
      <c r="N183" s="540">
        <f t="shared" si="14"/>
        <v>350063</v>
      </c>
      <c r="O183" s="546"/>
      <c r="P183" s="540">
        <f t="shared" si="16"/>
        <v>0</v>
      </c>
      <c r="Q183" s="551">
        <f t="shared" si="15"/>
        <v>0</v>
      </c>
      <c r="R183" s="283"/>
    </row>
    <row r="184" spans="1:249">
      <c r="A184" s="520"/>
      <c r="B184" s="520"/>
      <c r="C184" s="238"/>
      <c r="D184" s="358">
        <v>91.15</v>
      </c>
      <c r="E184" s="238"/>
      <c r="F184" s="525">
        <v>375640</v>
      </c>
      <c r="G184" s="521">
        <v>40373</v>
      </c>
      <c r="H184" s="540">
        <f t="shared" si="13"/>
        <v>4023.995715050884</v>
      </c>
      <c r="I184" s="260" t="s">
        <v>92</v>
      </c>
      <c r="J184" s="542">
        <v>78.599999999999994</v>
      </c>
      <c r="K184" s="526">
        <v>93.35</v>
      </c>
      <c r="L184" s="367">
        <v>375640</v>
      </c>
      <c r="M184" s="540">
        <f t="shared" si="12"/>
        <v>93.35</v>
      </c>
      <c r="N184" s="540">
        <f t="shared" si="14"/>
        <v>375640</v>
      </c>
      <c r="O184" s="546"/>
      <c r="P184" s="540">
        <f t="shared" si="16"/>
        <v>0</v>
      </c>
      <c r="Q184" s="551">
        <f t="shared" si="15"/>
        <v>0</v>
      </c>
      <c r="R184" s="283"/>
    </row>
    <row r="185" spans="1:249">
      <c r="A185" s="520"/>
      <c r="B185" s="520"/>
      <c r="C185" s="238"/>
      <c r="D185" s="358">
        <v>91.15</v>
      </c>
      <c r="E185" s="238"/>
      <c r="F185" s="525">
        <v>242710</v>
      </c>
      <c r="G185" s="521">
        <v>40652</v>
      </c>
      <c r="H185" s="540">
        <f t="shared" si="13"/>
        <v>2600</v>
      </c>
      <c r="I185" s="260" t="s">
        <v>92</v>
      </c>
      <c r="J185" s="542">
        <v>78.599999999999994</v>
      </c>
      <c r="K185" s="526">
        <v>93.35</v>
      </c>
      <c r="L185" s="367">
        <v>242710</v>
      </c>
      <c r="M185" s="540">
        <f t="shared" si="12"/>
        <v>93.35</v>
      </c>
      <c r="N185" s="540">
        <f>F185</f>
        <v>242710</v>
      </c>
      <c r="O185" s="546"/>
      <c r="P185" s="540">
        <f t="shared" si="16"/>
        <v>0</v>
      </c>
      <c r="Q185" s="551">
        <f t="shared" si="15"/>
        <v>2600</v>
      </c>
      <c r="R185" s="283"/>
    </row>
    <row r="186" spans="1:249">
      <c r="A186" s="520"/>
      <c r="B186" s="520"/>
      <c r="C186" s="238"/>
      <c r="D186" s="358">
        <v>91.15</v>
      </c>
      <c r="E186" s="238"/>
      <c r="F186" s="525">
        <v>369013</v>
      </c>
      <c r="G186" s="521">
        <v>40389</v>
      </c>
      <c r="H186" s="540">
        <f t="shared" si="13"/>
        <v>3953.0048205677558</v>
      </c>
      <c r="I186" s="260" t="s">
        <v>92</v>
      </c>
      <c r="J186" s="542">
        <v>78.599999999999994</v>
      </c>
      <c r="K186" s="526">
        <v>93.35</v>
      </c>
      <c r="L186" s="367">
        <v>369013</v>
      </c>
      <c r="M186" s="540">
        <f t="shared" si="12"/>
        <v>93.35</v>
      </c>
      <c r="N186" s="540">
        <f t="shared" si="14"/>
        <v>369013</v>
      </c>
      <c r="O186" s="546"/>
      <c r="P186" s="540">
        <f t="shared" si="16"/>
        <v>0</v>
      </c>
      <c r="Q186" s="551">
        <f t="shared" si="15"/>
        <v>0</v>
      </c>
      <c r="R186" s="283"/>
    </row>
    <row r="187" spans="1:249">
      <c r="A187" s="520"/>
      <c r="B187" s="520"/>
      <c r="C187" s="238"/>
      <c r="D187" s="358">
        <v>91.15</v>
      </c>
      <c r="E187" s="238"/>
      <c r="F187" s="525">
        <v>257646</v>
      </c>
      <c r="G187" s="521">
        <v>40655</v>
      </c>
      <c r="H187" s="540">
        <f t="shared" si="13"/>
        <v>2760</v>
      </c>
      <c r="I187" s="260" t="s">
        <v>92</v>
      </c>
      <c r="J187" s="542">
        <v>78.599999999999994</v>
      </c>
      <c r="K187" s="526">
        <v>93.35</v>
      </c>
      <c r="L187" s="367">
        <v>257646</v>
      </c>
      <c r="M187" s="540">
        <f t="shared" si="12"/>
        <v>93.35</v>
      </c>
      <c r="N187" s="540">
        <f>F187</f>
        <v>257646</v>
      </c>
      <c r="O187" s="546"/>
      <c r="P187" s="540">
        <f t="shared" si="16"/>
        <v>0</v>
      </c>
      <c r="Q187" s="551">
        <f t="shared" si="15"/>
        <v>2760</v>
      </c>
      <c r="R187" s="283"/>
    </row>
    <row r="188" spans="1:249">
      <c r="A188" s="520"/>
      <c r="B188" s="520"/>
      <c r="C188" s="238"/>
      <c r="D188" s="358">
        <v>90.15</v>
      </c>
      <c r="E188" s="238"/>
      <c r="F188" s="525">
        <v>365932</v>
      </c>
      <c r="G188" s="521">
        <v>40389</v>
      </c>
      <c r="H188" s="540">
        <f t="shared" si="13"/>
        <v>3920.0000000000005</v>
      </c>
      <c r="I188" s="260" t="s">
        <v>91</v>
      </c>
      <c r="J188" s="542">
        <v>78.599999999999994</v>
      </c>
      <c r="K188" s="526">
        <v>93.35</v>
      </c>
      <c r="L188" s="367">
        <v>365932</v>
      </c>
      <c r="M188" s="540">
        <f t="shared" ref="M188:M257" si="17">K188</f>
        <v>93.35</v>
      </c>
      <c r="N188" s="540">
        <f t="shared" si="14"/>
        <v>365932</v>
      </c>
      <c r="O188" s="546"/>
      <c r="P188" s="540">
        <f t="shared" si="16"/>
        <v>0</v>
      </c>
      <c r="Q188" s="551">
        <f t="shared" si="15"/>
        <v>0</v>
      </c>
      <c r="R188" s="283"/>
    </row>
    <row r="189" spans="1:249">
      <c r="A189" s="520"/>
      <c r="B189" s="520"/>
      <c r="C189" s="238"/>
      <c r="D189" s="358">
        <v>91.15</v>
      </c>
      <c r="E189" s="238"/>
      <c r="F189" s="525">
        <v>373400</v>
      </c>
      <c r="G189" s="521">
        <v>40386</v>
      </c>
      <c r="H189" s="540">
        <f t="shared" si="13"/>
        <v>4000.0000000000005</v>
      </c>
      <c r="I189" s="260" t="s">
        <v>91</v>
      </c>
      <c r="J189" s="542">
        <v>78.599999999999994</v>
      </c>
      <c r="K189" s="526">
        <v>93.35</v>
      </c>
      <c r="L189" s="367">
        <v>373400</v>
      </c>
      <c r="M189" s="540">
        <f t="shared" si="17"/>
        <v>93.35</v>
      </c>
      <c r="N189" s="540">
        <f t="shared" si="14"/>
        <v>373400</v>
      </c>
      <c r="O189" s="546"/>
      <c r="P189" s="540">
        <f t="shared" si="16"/>
        <v>0</v>
      </c>
      <c r="Q189" s="551">
        <f t="shared" si="15"/>
        <v>0</v>
      </c>
      <c r="R189" s="283"/>
    </row>
    <row r="190" spans="1:249">
      <c r="A190" s="520"/>
      <c r="B190" s="520"/>
      <c r="C190" s="238"/>
      <c r="D190" s="358">
        <v>93.35</v>
      </c>
      <c r="E190" s="238"/>
      <c r="F190" s="525">
        <v>543670</v>
      </c>
      <c r="G190" s="521">
        <v>40735</v>
      </c>
      <c r="H190" s="540">
        <f t="shared" si="13"/>
        <v>5823.9957150508844</v>
      </c>
      <c r="I190" s="260" t="s">
        <v>92</v>
      </c>
      <c r="J190" s="542">
        <v>78.599999999999994</v>
      </c>
      <c r="K190" s="526">
        <v>93.35</v>
      </c>
      <c r="L190" s="367">
        <v>543670</v>
      </c>
      <c r="M190" s="540">
        <f t="shared" si="17"/>
        <v>93.35</v>
      </c>
      <c r="N190" s="540">
        <f t="shared" si="14"/>
        <v>543670</v>
      </c>
      <c r="O190" s="546"/>
      <c r="P190" s="540">
        <f t="shared" si="16"/>
        <v>0</v>
      </c>
      <c r="Q190" s="551">
        <f t="shared" si="15"/>
        <v>0</v>
      </c>
      <c r="R190" s="283"/>
    </row>
    <row r="191" spans="1:249" s="528" customFormat="1">
      <c r="A191" s="555"/>
      <c r="B191" s="555"/>
      <c r="C191" s="556"/>
      <c r="D191" s="557">
        <v>93.35</v>
      </c>
      <c r="E191" s="556"/>
      <c r="F191" s="559">
        <f>ROUND(464883/1.05,2)</f>
        <v>442745.71</v>
      </c>
      <c r="G191" s="562">
        <v>42770</v>
      </c>
      <c r="H191" s="561">
        <f t="shared" si="13"/>
        <v>4742.8570969469747</v>
      </c>
      <c r="I191" s="564" t="s">
        <v>92</v>
      </c>
      <c r="J191" s="565">
        <v>78.599999999999994</v>
      </c>
      <c r="K191" s="566">
        <v>93.35</v>
      </c>
      <c r="L191" s="567">
        <f>F191</f>
        <v>442745.71</v>
      </c>
      <c r="M191" s="561">
        <v>93.35</v>
      </c>
      <c r="N191" s="561">
        <f t="shared" si="14"/>
        <v>442745.71</v>
      </c>
      <c r="O191" s="568"/>
      <c r="P191" s="561">
        <f t="shared" si="16"/>
        <v>0</v>
      </c>
      <c r="Q191" s="569"/>
      <c r="R191" s="570" t="s">
        <v>93</v>
      </c>
      <c r="S191" s="571"/>
      <c r="T191" s="571"/>
      <c r="U191" s="571"/>
      <c r="V191" s="571"/>
      <c r="W191" s="571"/>
      <c r="X191" s="571"/>
      <c r="Y191" s="571"/>
      <c r="Z191" s="571"/>
      <c r="AA191" s="571"/>
      <c r="AB191" s="571"/>
      <c r="AC191" s="571"/>
      <c r="AD191" s="571"/>
      <c r="AE191" s="571"/>
      <c r="AF191" s="571"/>
      <c r="AG191" s="571"/>
      <c r="AH191" s="571"/>
      <c r="AI191" s="571"/>
      <c r="AJ191" s="571"/>
      <c r="AK191" s="571"/>
      <c r="AL191" s="571"/>
      <c r="AM191" s="571"/>
      <c r="AN191" s="571"/>
      <c r="AO191" s="571"/>
      <c r="AP191" s="571"/>
      <c r="AQ191" s="571"/>
      <c r="AR191" s="571"/>
      <c r="AS191" s="571"/>
      <c r="AT191" s="571"/>
      <c r="AU191" s="571"/>
      <c r="AV191" s="571"/>
      <c r="AW191" s="571"/>
      <c r="AX191" s="571"/>
      <c r="AY191" s="571"/>
      <c r="AZ191" s="571"/>
      <c r="BA191" s="571"/>
      <c r="BB191" s="571"/>
      <c r="BC191" s="571"/>
      <c r="BD191" s="571"/>
      <c r="BE191" s="571"/>
      <c r="BF191" s="571"/>
      <c r="BG191" s="571"/>
      <c r="BH191" s="571"/>
      <c r="BI191" s="571"/>
      <c r="BJ191" s="571"/>
      <c r="BK191" s="571"/>
      <c r="BL191" s="571"/>
      <c r="BM191" s="571"/>
      <c r="BN191" s="571"/>
      <c r="BO191" s="571"/>
      <c r="BP191" s="571"/>
      <c r="BQ191" s="571"/>
      <c r="BR191" s="571"/>
      <c r="BS191" s="571"/>
      <c r="BT191" s="571"/>
      <c r="BU191" s="571"/>
      <c r="BV191" s="571"/>
      <c r="BW191" s="571"/>
      <c r="BX191" s="571"/>
      <c r="BY191" s="571"/>
      <c r="BZ191" s="571"/>
      <c r="CA191" s="571"/>
      <c r="CB191" s="571"/>
      <c r="CC191" s="571"/>
      <c r="CD191" s="571"/>
      <c r="CE191" s="571"/>
      <c r="CF191" s="571"/>
      <c r="CG191" s="571"/>
      <c r="CH191" s="571"/>
      <c r="CI191" s="571"/>
      <c r="CJ191" s="571"/>
      <c r="CK191" s="571"/>
      <c r="CL191" s="571"/>
      <c r="CM191" s="571"/>
      <c r="CN191" s="571"/>
      <c r="CO191" s="571"/>
      <c r="CP191" s="571"/>
      <c r="CQ191" s="571"/>
      <c r="CR191" s="571"/>
      <c r="CS191" s="571"/>
      <c r="CT191" s="571"/>
      <c r="CU191" s="571"/>
      <c r="CV191" s="571"/>
      <c r="CW191" s="571"/>
      <c r="CX191" s="571"/>
      <c r="CY191" s="571"/>
      <c r="CZ191" s="571"/>
      <c r="DA191" s="571"/>
      <c r="DB191" s="571"/>
      <c r="DC191" s="571"/>
      <c r="DD191" s="571"/>
      <c r="DE191" s="571"/>
      <c r="DF191" s="571"/>
      <c r="DG191" s="571"/>
      <c r="DH191" s="571"/>
      <c r="DI191" s="571"/>
      <c r="DJ191" s="571"/>
      <c r="DK191" s="571"/>
      <c r="DL191" s="571"/>
      <c r="DM191" s="571"/>
      <c r="DN191" s="571"/>
      <c r="DO191" s="571"/>
      <c r="DP191" s="571"/>
      <c r="DQ191" s="571"/>
      <c r="DR191" s="571"/>
      <c r="DS191" s="571"/>
      <c r="DT191" s="571"/>
      <c r="DU191" s="571"/>
      <c r="DV191" s="571"/>
      <c r="DW191" s="571"/>
      <c r="DX191" s="571"/>
      <c r="DY191" s="571"/>
      <c r="DZ191" s="571"/>
      <c r="EA191" s="571"/>
      <c r="EB191" s="571"/>
      <c r="EC191" s="571"/>
      <c r="ED191" s="571"/>
      <c r="EE191" s="571"/>
      <c r="EF191" s="571"/>
      <c r="EG191" s="571"/>
      <c r="EH191" s="571"/>
      <c r="EI191" s="571"/>
      <c r="EJ191" s="571"/>
      <c r="EK191" s="571"/>
      <c r="EL191" s="571"/>
      <c r="EM191" s="571"/>
      <c r="EN191" s="571"/>
      <c r="EO191" s="571"/>
      <c r="EP191" s="571"/>
      <c r="EQ191" s="571"/>
      <c r="ER191" s="571"/>
      <c r="ES191" s="571"/>
      <c r="ET191" s="571"/>
      <c r="EU191" s="571"/>
      <c r="EV191" s="571"/>
      <c r="EW191" s="571"/>
      <c r="EX191" s="571"/>
      <c r="EY191" s="571"/>
      <c r="EZ191" s="571"/>
      <c r="FA191" s="571"/>
      <c r="FB191" s="571"/>
      <c r="FC191" s="571"/>
      <c r="FD191" s="571"/>
      <c r="FE191" s="571"/>
      <c r="FF191" s="571"/>
      <c r="FG191" s="571"/>
      <c r="FH191" s="571"/>
      <c r="FI191" s="571"/>
      <c r="FJ191" s="571"/>
      <c r="FK191" s="571"/>
      <c r="FL191" s="571"/>
      <c r="FM191" s="571"/>
      <c r="FN191" s="571"/>
      <c r="FO191" s="571"/>
      <c r="FP191" s="571"/>
      <c r="FQ191" s="571"/>
      <c r="FR191" s="571"/>
      <c r="FS191" s="571"/>
      <c r="FT191" s="571"/>
      <c r="FU191" s="571"/>
      <c r="FV191" s="571"/>
      <c r="FW191" s="571"/>
      <c r="FX191" s="571"/>
      <c r="FY191" s="571"/>
      <c r="FZ191" s="571"/>
      <c r="GA191" s="571"/>
      <c r="GB191" s="571"/>
      <c r="GC191" s="571"/>
      <c r="GD191" s="571"/>
      <c r="GE191" s="571"/>
      <c r="GF191" s="571"/>
      <c r="GG191" s="571"/>
      <c r="GH191" s="571"/>
      <c r="GI191" s="571"/>
      <c r="GJ191" s="571"/>
      <c r="GK191" s="571"/>
      <c r="GL191" s="571"/>
      <c r="GM191" s="571"/>
      <c r="GN191" s="571"/>
      <c r="GO191" s="571"/>
      <c r="GP191" s="571"/>
      <c r="GQ191" s="571"/>
      <c r="GR191" s="571"/>
      <c r="GS191" s="571"/>
      <c r="GT191" s="571"/>
      <c r="GU191" s="571"/>
      <c r="GV191" s="571"/>
      <c r="GW191" s="571"/>
      <c r="GX191" s="571"/>
      <c r="GY191" s="571"/>
      <c r="GZ191" s="571"/>
      <c r="HA191" s="571"/>
      <c r="HB191" s="571"/>
      <c r="HC191" s="571"/>
      <c r="HD191" s="571"/>
      <c r="HE191" s="571"/>
      <c r="HF191" s="571"/>
      <c r="HG191" s="571"/>
      <c r="HH191" s="571"/>
      <c r="HI191" s="571"/>
      <c r="HJ191" s="571"/>
      <c r="HK191" s="571"/>
      <c r="HL191" s="571"/>
      <c r="HM191" s="571"/>
      <c r="HN191" s="571"/>
      <c r="HO191" s="571"/>
      <c r="HP191" s="571"/>
      <c r="HQ191" s="571"/>
      <c r="HR191" s="571"/>
      <c r="HS191" s="571"/>
      <c r="HT191" s="571"/>
      <c r="HU191" s="571"/>
      <c r="HV191" s="571"/>
      <c r="HW191" s="571"/>
      <c r="HX191" s="571"/>
      <c r="HY191" s="571"/>
      <c r="HZ191" s="571"/>
      <c r="IA191" s="571"/>
      <c r="IB191" s="571"/>
      <c r="IC191" s="571"/>
      <c r="ID191" s="571"/>
      <c r="IE191" s="571"/>
      <c r="IF191" s="571"/>
      <c r="IG191" s="571"/>
      <c r="IH191" s="571"/>
      <c r="II191" s="571"/>
      <c r="IJ191" s="571"/>
      <c r="IK191" s="571"/>
      <c r="IL191" s="571"/>
      <c r="IM191" s="571"/>
      <c r="IN191" s="571"/>
      <c r="IO191" s="571"/>
    </row>
    <row r="192" spans="1:249">
      <c r="A192" s="520"/>
      <c r="B192" s="520"/>
      <c r="C192" s="238"/>
      <c r="D192" s="358">
        <v>91.15</v>
      </c>
      <c r="E192" s="238"/>
      <c r="F192" s="525">
        <v>342221</v>
      </c>
      <c r="G192" s="521">
        <v>40382</v>
      </c>
      <c r="H192" s="540">
        <f t="shared" si="13"/>
        <v>3665.9989287627213</v>
      </c>
      <c r="I192" s="260" t="s">
        <v>92</v>
      </c>
      <c r="J192" s="542">
        <v>78.599999999999994</v>
      </c>
      <c r="K192" s="526">
        <v>93.35</v>
      </c>
      <c r="L192" s="367">
        <v>342221</v>
      </c>
      <c r="M192" s="540">
        <f t="shared" si="17"/>
        <v>93.35</v>
      </c>
      <c r="N192" s="540">
        <f t="shared" si="14"/>
        <v>342221</v>
      </c>
      <c r="O192" s="546"/>
      <c r="P192" s="540">
        <f t="shared" si="16"/>
        <v>0</v>
      </c>
      <c r="Q192" s="551">
        <f t="shared" si="15"/>
        <v>0</v>
      </c>
      <c r="R192" s="283"/>
    </row>
    <row r="193" spans="1:249">
      <c r="A193" s="520"/>
      <c r="B193" s="520"/>
      <c r="C193" s="238"/>
      <c r="D193" s="358">
        <v>91.15</v>
      </c>
      <c r="E193" s="238"/>
      <c r="F193" s="525">
        <v>256153</v>
      </c>
      <c r="G193" s="521">
        <v>40376</v>
      </c>
      <c r="H193" s="540">
        <f t="shared" si="13"/>
        <v>2744.0064274236747</v>
      </c>
      <c r="I193" s="260" t="s">
        <v>91</v>
      </c>
      <c r="J193" s="542">
        <v>78.599999999999994</v>
      </c>
      <c r="K193" s="526">
        <v>93.35</v>
      </c>
      <c r="L193" s="367">
        <v>256153</v>
      </c>
      <c r="M193" s="540">
        <f t="shared" si="17"/>
        <v>93.35</v>
      </c>
      <c r="N193" s="540">
        <f>F193</f>
        <v>256153</v>
      </c>
      <c r="O193" s="546"/>
      <c r="P193" s="540">
        <f t="shared" si="16"/>
        <v>0</v>
      </c>
      <c r="Q193" s="551">
        <f t="shared" si="15"/>
        <v>2744.0064274236747</v>
      </c>
      <c r="R193" s="283"/>
    </row>
    <row r="194" spans="1:249">
      <c r="A194" s="520"/>
      <c r="B194" s="520"/>
      <c r="C194" s="238"/>
      <c r="D194" s="358">
        <v>93.35</v>
      </c>
      <c r="E194" s="238"/>
      <c r="F194" s="525">
        <v>473285</v>
      </c>
      <c r="G194" s="521">
        <v>41085</v>
      </c>
      <c r="H194" s="540">
        <f t="shared" si="13"/>
        <v>5070.0053561863951</v>
      </c>
      <c r="I194" s="260" t="s">
        <v>92</v>
      </c>
      <c r="J194" s="542">
        <v>78.599999999999994</v>
      </c>
      <c r="K194" s="526">
        <v>93.35</v>
      </c>
      <c r="L194" s="367">
        <v>473285</v>
      </c>
      <c r="M194" s="540">
        <f t="shared" si="17"/>
        <v>93.35</v>
      </c>
      <c r="N194" s="540">
        <f t="shared" si="14"/>
        <v>473285</v>
      </c>
      <c r="O194" s="546"/>
      <c r="P194" s="540">
        <f t="shared" si="16"/>
        <v>0</v>
      </c>
      <c r="Q194" s="551">
        <f t="shared" si="15"/>
        <v>0</v>
      </c>
      <c r="R194" s="283"/>
    </row>
    <row r="195" spans="1:249" ht="18" customHeight="1">
      <c r="A195" s="520"/>
      <c r="B195" s="520"/>
      <c r="C195" s="238"/>
      <c r="D195" s="358">
        <v>91.15</v>
      </c>
      <c r="E195" s="238"/>
      <c r="F195" s="525">
        <v>227774</v>
      </c>
      <c r="G195" s="521">
        <v>40471</v>
      </c>
      <c r="H195" s="540">
        <f t="shared" si="13"/>
        <v>2440</v>
      </c>
      <c r="I195" s="260" t="s">
        <v>92</v>
      </c>
      <c r="J195" s="542">
        <v>78.599999999999994</v>
      </c>
      <c r="K195" s="526">
        <v>93.35</v>
      </c>
      <c r="L195" s="367">
        <v>227774</v>
      </c>
      <c r="M195" s="540">
        <f t="shared" si="17"/>
        <v>93.35</v>
      </c>
      <c r="N195" s="540">
        <f>F195</f>
        <v>227774</v>
      </c>
      <c r="O195" s="546"/>
      <c r="P195" s="540">
        <f t="shared" si="16"/>
        <v>0</v>
      </c>
      <c r="Q195" s="551">
        <f t="shared" si="15"/>
        <v>2440</v>
      </c>
      <c r="R195" s="283"/>
    </row>
    <row r="196" spans="1:249">
      <c r="A196" s="520"/>
      <c r="B196" s="520"/>
      <c r="C196" s="238"/>
      <c r="D196" s="358">
        <v>91.15</v>
      </c>
      <c r="E196" s="238"/>
      <c r="F196" s="525">
        <v>355477</v>
      </c>
      <c r="G196" s="521">
        <v>40389</v>
      </c>
      <c r="H196" s="540">
        <f t="shared" si="13"/>
        <v>3808.0021424745582</v>
      </c>
      <c r="I196" s="260" t="s">
        <v>92</v>
      </c>
      <c r="J196" s="542">
        <v>78.599999999999994</v>
      </c>
      <c r="K196" s="526">
        <v>93.35</v>
      </c>
      <c r="L196" s="367">
        <v>355477</v>
      </c>
      <c r="M196" s="540">
        <f t="shared" si="17"/>
        <v>93.35</v>
      </c>
      <c r="N196" s="540">
        <f t="shared" si="14"/>
        <v>355477</v>
      </c>
      <c r="O196" s="546"/>
      <c r="P196" s="540">
        <f t="shared" si="16"/>
        <v>0</v>
      </c>
      <c r="Q196" s="551">
        <f t="shared" si="15"/>
        <v>0</v>
      </c>
      <c r="R196" s="283"/>
    </row>
    <row r="197" spans="1:249">
      <c r="A197" s="520"/>
      <c r="B197" s="520"/>
      <c r="C197" s="238"/>
      <c r="D197" s="358">
        <v>91.15</v>
      </c>
      <c r="E197" s="238"/>
      <c r="F197" s="525">
        <v>357810</v>
      </c>
      <c r="G197" s="521">
        <v>40389</v>
      </c>
      <c r="H197" s="540">
        <f t="shared" si="13"/>
        <v>3832.9941081949655</v>
      </c>
      <c r="I197" s="260" t="s">
        <v>92</v>
      </c>
      <c r="J197" s="542">
        <v>78.599999999999994</v>
      </c>
      <c r="K197" s="526">
        <v>93.35</v>
      </c>
      <c r="L197" s="367">
        <v>357810</v>
      </c>
      <c r="M197" s="540">
        <f t="shared" si="17"/>
        <v>93.35</v>
      </c>
      <c r="N197" s="540">
        <f t="shared" si="14"/>
        <v>357810</v>
      </c>
      <c r="O197" s="546"/>
      <c r="P197" s="540">
        <f t="shared" si="16"/>
        <v>0</v>
      </c>
      <c r="Q197" s="551">
        <f t="shared" si="15"/>
        <v>0</v>
      </c>
      <c r="R197" s="283"/>
    </row>
    <row r="198" spans="1:249">
      <c r="A198" s="520"/>
      <c r="B198" s="520"/>
      <c r="C198" s="238"/>
      <c r="D198" s="358">
        <v>91.15</v>
      </c>
      <c r="E198" s="238"/>
      <c r="F198" s="525">
        <v>375827</v>
      </c>
      <c r="G198" s="521">
        <v>40389</v>
      </c>
      <c r="H198" s="540">
        <f t="shared" si="13"/>
        <v>4025.9989287627213</v>
      </c>
      <c r="I198" s="260" t="s">
        <v>92</v>
      </c>
      <c r="J198" s="542">
        <v>78.599999999999994</v>
      </c>
      <c r="K198" s="526">
        <v>93.35</v>
      </c>
      <c r="L198" s="367">
        <v>375827</v>
      </c>
      <c r="M198" s="540">
        <f t="shared" si="17"/>
        <v>93.35</v>
      </c>
      <c r="N198" s="540">
        <f t="shared" si="14"/>
        <v>375827</v>
      </c>
      <c r="O198" s="546"/>
      <c r="P198" s="540">
        <f t="shared" si="16"/>
        <v>0</v>
      </c>
      <c r="Q198" s="551">
        <f t="shared" si="15"/>
        <v>0</v>
      </c>
      <c r="R198" s="283"/>
    </row>
    <row r="199" spans="1:249">
      <c r="A199" s="520"/>
      <c r="B199" s="520"/>
      <c r="C199" s="238"/>
      <c r="D199" s="358">
        <v>91.15</v>
      </c>
      <c r="E199" s="238"/>
      <c r="F199" s="525">
        <v>388336</v>
      </c>
      <c r="G199" s="521">
        <v>40383</v>
      </c>
      <c r="H199" s="540">
        <f t="shared" si="13"/>
        <v>4160</v>
      </c>
      <c r="I199" s="260" t="s">
        <v>91</v>
      </c>
      <c r="J199" s="542">
        <v>78.599999999999994</v>
      </c>
      <c r="K199" s="526">
        <v>93.35</v>
      </c>
      <c r="L199" s="367">
        <v>388336</v>
      </c>
      <c r="M199" s="540">
        <f t="shared" si="17"/>
        <v>93.35</v>
      </c>
      <c r="N199" s="540">
        <f t="shared" si="14"/>
        <v>388336</v>
      </c>
      <c r="O199" s="546"/>
      <c r="P199" s="540">
        <f t="shared" si="16"/>
        <v>0</v>
      </c>
      <c r="Q199" s="551">
        <f t="shared" si="15"/>
        <v>0</v>
      </c>
      <c r="R199" s="283"/>
    </row>
    <row r="200" spans="1:249">
      <c r="A200" s="520"/>
      <c r="B200" s="520"/>
      <c r="C200" s="238"/>
      <c r="D200" s="358">
        <v>93.35</v>
      </c>
      <c r="E200" s="238"/>
      <c r="F200" s="525">
        <v>550578</v>
      </c>
      <c r="G200" s="521">
        <v>41350</v>
      </c>
      <c r="H200" s="540">
        <f t="shared" si="13"/>
        <v>5897.9967862881631</v>
      </c>
      <c r="I200" s="260" t="s">
        <v>92</v>
      </c>
      <c r="J200" s="542">
        <v>78.599999999999994</v>
      </c>
      <c r="K200" s="526">
        <v>93.35</v>
      </c>
      <c r="L200" s="367">
        <v>550578</v>
      </c>
      <c r="M200" s="540">
        <f t="shared" si="17"/>
        <v>93.35</v>
      </c>
      <c r="N200" s="540">
        <f t="shared" si="14"/>
        <v>550578</v>
      </c>
      <c r="O200" s="546"/>
      <c r="P200" s="540">
        <f t="shared" si="16"/>
        <v>0</v>
      </c>
      <c r="Q200" s="551">
        <f t="shared" si="15"/>
        <v>0</v>
      </c>
      <c r="R200" s="283"/>
    </row>
    <row r="201" spans="1:249" s="528" customFormat="1" ht="24">
      <c r="A201" s="555"/>
      <c r="B201" s="555"/>
      <c r="C201" s="556"/>
      <c r="D201" s="557">
        <v>93.35</v>
      </c>
      <c r="E201" s="556"/>
      <c r="F201" s="559">
        <f>ROUND(554406/1.05,2)</f>
        <v>528005.71</v>
      </c>
      <c r="G201" s="562">
        <v>42704</v>
      </c>
      <c r="H201" s="561">
        <f t="shared" si="13"/>
        <v>5656.1940010712369</v>
      </c>
      <c r="I201" s="564" t="s">
        <v>90</v>
      </c>
      <c r="J201" s="565">
        <v>78.599999999999994</v>
      </c>
      <c r="K201" s="566">
        <v>93.35</v>
      </c>
      <c r="L201" s="567">
        <f>F201</f>
        <v>528005.71</v>
      </c>
      <c r="M201" s="561">
        <v>93.35</v>
      </c>
      <c r="N201" s="561">
        <f t="shared" si="14"/>
        <v>528005.71</v>
      </c>
      <c r="O201" s="568"/>
      <c r="P201" s="561">
        <f t="shared" si="16"/>
        <v>0</v>
      </c>
      <c r="Q201" s="569"/>
      <c r="R201" s="570" t="s">
        <v>93</v>
      </c>
      <c r="S201" s="571"/>
      <c r="T201" s="571"/>
      <c r="U201" s="571"/>
      <c r="V201" s="571"/>
      <c r="W201" s="571"/>
      <c r="X201" s="571"/>
      <c r="Y201" s="571"/>
      <c r="Z201" s="571"/>
      <c r="AA201" s="571"/>
      <c r="AB201" s="571"/>
      <c r="AC201" s="571"/>
      <c r="AD201" s="571"/>
      <c r="AE201" s="571"/>
      <c r="AF201" s="571"/>
      <c r="AG201" s="571"/>
      <c r="AH201" s="571"/>
      <c r="AI201" s="571"/>
      <c r="AJ201" s="571"/>
      <c r="AK201" s="571"/>
      <c r="AL201" s="571"/>
      <c r="AM201" s="571"/>
      <c r="AN201" s="571"/>
      <c r="AO201" s="571"/>
      <c r="AP201" s="571"/>
      <c r="AQ201" s="571"/>
      <c r="AR201" s="571"/>
      <c r="AS201" s="571"/>
      <c r="AT201" s="571"/>
      <c r="AU201" s="571"/>
      <c r="AV201" s="571"/>
      <c r="AW201" s="571"/>
      <c r="AX201" s="571"/>
      <c r="AY201" s="571"/>
      <c r="AZ201" s="571"/>
      <c r="BA201" s="571"/>
      <c r="BB201" s="571"/>
      <c r="BC201" s="571"/>
      <c r="BD201" s="571"/>
      <c r="BE201" s="571"/>
      <c r="BF201" s="571"/>
      <c r="BG201" s="571"/>
      <c r="BH201" s="571"/>
      <c r="BI201" s="571"/>
      <c r="BJ201" s="571"/>
      <c r="BK201" s="571"/>
      <c r="BL201" s="571"/>
      <c r="BM201" s="571"/>
      <c r="BN201" s="571"/>
      <c r="BO201" s="571"/>
      <c r="BP201" s="571"/>
      <c r="BQ201" s="571"/>
      <c r="BR201" s="571"/>
      <c r="BS201" s="571"/>
      <c r="BT201" s="571"/>
      <c r="BU201" s="571"/>
      <c r="BV201" s="571"/>
      <c r="BW201" s="571"/>
      <c r="BX201" s="571"/>
      <c r="BY201" s="571"/>
      <c r="BZ201" s="571"/>
      <c r="CA201" s="571"/>
      <c r="CB201" s="571"/>
      <c r="CC201" s="571"/>
      <c r="CD201" s="571"/>
      <c r="CE201" s="571"/>
      <c r="CF201" s="571"/>
      <c r="CG201" s="571"/>
      <c r="CH201" s="571"/>
      <c r="CI201" s="571"/>
      <c r="CJ201" s="571"/>
      <c r="CK201" s="571"/>
      <c r="CL201" s="571"/>
      <c r="CM201" s="571"/>
      <c r="CN201" s="571"/>
      <c r="CO201" s="571"/>
      <c r="CP201" s="571"/>
      <c r="CQ201" s="571"/>
      <c r="CR201" s="571"/>
      <c r="CS201" s="571"/>
      <c r="CT201" s="571"/>
      <c r="CU201" s="571"/>
      <c r="CV201" s="571"/>
      <c r="CW201" s="571"/>
      <c r="CX201" s="571"/>
      <c r="CY201" s="571"/>
      <c r="CZ201" s="571"/>
      <c r="DA201" s="571"/>
      <c r="DB201" s="571"/>
      <c r="DC201" s="571"/>
      <c r="DD201" s="571"/>
      <c r="DE201" s="571"/>
      <c r="DF201" s="571"/>
      <c r="DG201" s="571"/>
      <c r="DH201" s="571"/>
      <c r="DI201" s="571"/>
      <c r="DJ201" s="571"/>
      <c r="DK201" s="571"/>
      <c r="DL201" s="571"/>
      <c r="DM201" s="571"/>
      <c r="DN201" s="571"/>
      <c r="DO201" s="571"/>
      <c r="DP201" s="571"/>
      <c r="DQ201" s="571"/>
      <c r="DR201" s="571"/>
      <c r="DS201" s="571"/>
      <c r="DT201" s="571"/>
      <c r="DU201" s="571"/>
      <c r="DV201" s="571"/>
      <c r="DW201" s="571"/>
      <c r="DX201" s="571"/>
      <c r="DY201" s="571"/>
      <c r="DZ201" s="571"/>
      <c r="EA201" s="571"/>
      <c r="EB201" s="571"/>
      <c r="EC201" s="571"/>
      <c r="ED201" s="571"/>
      <c r="EE201" s="571"/>
      <c r="EF201" s="571"/>
      <c r="EG201" s="571"/>
      <c r="EH201" s="571"/>
      <c r="EI201" s="571"/>
      <c r="EJ201" s="571"/>
      <c r="EK201" s="571"/>
      <c r="EL201" s="571"/>
      <c r="EM201" s="571"/>
      <c r="EN201" s="571"/>
      <c r="EO201" s="571"/>
      <c r="EP201" s="571"/>
      <c r="EQ201" s="571"/>
      <c r="ER201" s="571"/>
      <c r="ES201" s="571"/>
      <c r="ET201" s="571"/>
      <c r="EU201" s="571"/>
      <c r="EV201" s="571"/>
      <c r="EW201" s="571"/>
      <c r="EX201" s="571"/>
      <c r="EY201" s="571"/>
      <c r="EZ201" s="571"/>
      <c r="FA201" s="571"/>
      <c r="FB201" s="571"/>
      <c r="FC201" s="571"/>
      <c r="FD201" s="571"/>
      <c r="FE201" s="571"/>
      <c r="FF201" s="571"/>
      <c r="FG201" s="571"/>
      <c r="FH201" s="571"/>
      <c r="FI201" s="571"/>
      <c r="FJ201" s="571"/>
      <c r="FK201" s="571"/>
      <c r="FL201" s="571"/>
      <c r="FM201" s="571"/>
      <c r="FN201" s="571"/>
      <c r="FO201" s="571"/>
      <c r="FP201" s="571"/>
      <c r="FQ201" s="571"/>
      <c r="FR201" s="571"/>
      <c r="FS201" s="571"/>
      <c r="FT201" s="571"/>
      <c r="FU201" s="571"/>
      <c r="FV201" s="571"/>
      <c r="FW201" s="571"/>
      <c r="FX201" s="571"/>
      <c r="FY201" s="571"/>
      <c r="FZ201" s="571"/>
      <c r="GA201" s="571"/>
      <c r="GB201" s="571"/>
      <c r="GC201" s="571"/>
      <c r="GD201" s="571"/>
      <c r="GE201" s="571"/>
      <c r="GF201" s="571"/>
      <c r="GG201" s="571"/>
      <c r="GH201" s="571"/>
      <c r="GI201" s="571"/>
      <c r="GJ201" s="571"/>
      <c r="GK201" s="571"/>
      <c r="GL201" s="571"/>
      <c r="GM201" s="571"/>
      <c r="GN201" s="571"/>
      <c r="GO201" s="571"/>
      <c r="GP201" s="571"/>
      <c r="GQ201" s="571"/>
      <c r="GR201" s="571"/>
      <c r="GS201" s="571"/>
      <c r="GT201" s="571"/>
      <c r="GU201" s="571"/>
      <c r="GV201" s="571"/>
      <c r="GW201" s="571"/>
      <c r="GX201" s="571"/>
      <c r="GY201" s="571"/>
      <c r="GZ201" s="571"/>
      <c r="HA201" s="571"/>
      <c r="HB201" s="571"/>
      <c r="HC201" s="571"/>
      <c r="HD201" s="571"/>
      <c r="HE201" s="571"/>
      <c r="HF201" s="571"/>
      <c r="HG201" s="571"/>
      <c r="HH201" s="571"/>
      <c r="HI201" s="571"/>
      <c r="HJ201" s="571"/>
      <c r="HK201" s="571"/>
      <c r="HL201" s="571"/>
      <c r="HM201" s="571"/>
      <c r="HN201" s="571"/>
      <c r="HO201" s="571"/>
      <c r="HP201" s="571"/>
      <c r="HQ201" s="571"/>
      <c r="HR201" s="571"/>
      <c r="HS201" s="571"/>
      <c r="HT201" s="571"/>
      <c r="HU201" s="571"/>
      <c r="HV201" s="571"/>
      <c r="HW201" s="571"/>
      <c r="HX201" s="571"/>
      <c r="HY201" s="571"/>
      <c r="HZ201" s="571"/>
      <c r="IA201" s="571"/>
      <c r="IB201" s="571"/>
      <c r="IC201" s="571"/>
      <c r="ID201" s="571"/>
      <c r="IE201" s="571"/>
      <c r="IF201" s="571"/>
      <c r="IG201" s="571"/>
      <c r="IH201" s="571"/>
      <c r="II201" s="571"/>
      <c r="IJ201" s="571"/>
      <c r="IK201" s="571"/>
      <c r="IL201" s="571"/>
      <c r="IM201" s="571"/>
      <c r="IN201" s="571"/>
      <c r="IO201" s="571"/>
    </row>
    <row r="202" spans="1:249">
      <c r="A202" s="520"/>
      <c r="B202" s="520"/>
      <c r="C202" s="238"/>
      <c r="D202" s="358">
        <v>77.53</v>
      </c>
      <c r="E202" s="238"/>
      <c r="F202" s="525">
        <v>286341</v>
      </c>
      <c r="G202" s="521">
        <v>40375</v>
      </c>
      <c r="H202" s="540">
        <f t="shared" si="13"/>
        <v>3680.0025703637066</v>
      </c>
      <c r="I202" s="260" t="s">
        <v>92</v>
      </c>
      <c r="J202" s="542">
        <v>65.510000000000005</v>
      </c>
      <c r="K202" s="526">
        <v>77.81</v>
      </c>
      <c r="L202" s="367">
        <v>286341</v>
      </c>
      <c r="M202" s="540">
        <f t="shared" si="17"/>
        <v>77.81</v>
      </c>
      <c r="N202" s="540">
        <f t="shared" si="14"/>
        <v>286341</v>
      </c>
      <c r="O202" s="546"/>
      <c r="P202" s="540">
        <f t="shared" si="16"/>
        <v>0</v>
      </c>
      <c r="Q202" s="551">
        <f t="shared" si="15"/>
        <v>0</v>
      </c>
      <c r="R202" s="283"/>
    </row>
    <row r="203" spans="1:249" ht="24">
      <c r="A203" s="520"/>
      <c r="B203" s="520"/>
      <c r="C203" s="238"/>
      <c r="D203" s="358">
        <v>77.81</v>
      </c>
      <c r="E203" s="238"/>
      <c r="F203" s="525">
        <v>414572</v>
      </c>
      <c r="G203" s="521">
        <v>41059</v>
      </c>
      <c r="H203" s="540">
        <f t="shared" si="13"/>
        <v>5328.0041125819298</v>
      </c>
      <c r="I203" s="260" t="s">
        <v>90</v>
      </c>
      <c r="J203" s="542">
        <v>65.510000000000005</v>
      </c>
      <c r="K203" s="526">
        <v>77.81</v>
      </c>
      <c r="L203" s="367">
        <v>320000</v>
      </c>
      <c r="M203" s="540">
        <f t="shared" si="17"/>
        <v>77.81</v>
      </c>
      <c r="N203" s="540">
        <v>414572</v>
      </c>
      <c r="O203" s="546"/>
      <c r="P203" s="540">
        <f t="shared" si="16"/>
        <v>0</v>
      </c>
      <c r="Q203" s="551">
        <f t="shared" si="15"/>
        <v>0</v>
      </c>
      <c r="R203" s="283"/>
    </row>
    <row r="204" spans="1:249" ht="24">
      <c r="A204" s="520"/>
      <c r="B204" s="520"/>
      <c r="C204" s="238"/>
      <c r="D204" s="358">
        <v>77.81</v>
      </c>
      <c r="E204" s="238"/>
      <c r="F204" s="525">
        <v>415350</v>
      </c>
      <c r="G204" s="521">
        <v>41027</v>
      </c>
      <c r="H204" s="540">
        <f t="shared" si="13"/>
        <v>5338.002827400077</v>
      </c>
      <c r="I204" s="260" t="s">
        <v>90</v>
      </c>
      <c r="J204" s="542">
        <v>65.510000000000005</v>
      </c>
      <c r="K204" s="526">
        <v>77.81</v>
      </c>
      <c r="L204" s="367">
        <v>415350</v>
      </c>
      <c r="M204" s="540">
        <f t="shared" si="17"/>
        <v>77.81</v>
      </c>
      <c r="N204" s="540">
        <f t="shared" si="14"/>
        <v>415350</v>
      </c>
      <c r="O204" s="546"/>
      <c r="P204" s="540">
        <f t="shared" si="16"/>
        <v>0</v>
      </c>
      <c r="Q204" s="551">
        <f t="shared" si="15"/>
        <v>0</v>
      </c>
      <c r="R204" s="283"/>
    </row>
    <row r="205" spans="1:249">
      <c r="A205" s="520"/>
      <c r="B205" s="520"/>
      <c r="C205" s="238"/>
      <c r="D205" s="358">
        <v>77.81</v>
      </c>
      <c r="E205" s="238"/>
      <c r="F205" s="525">
        <v>456356</v>
      </c>
      <c r="G205" s="521">
        <v>41577</v>
      </c>
      <c r="H205" s="540">
        <f t="shared" si="13"/>
        <v>5865.0044981364863</v>
      </c>
      <c r="I205" s="260" t="s">
        <v>92</v>
      </c>
      <c r="J205" s="542">
        <v>65.510000000000005</v>
      </c>
      <c r="K205" s="526">
        <v>77.81</v>
      </c>
      <c r="L205" s="367">
        <v>456356</v>
      </c>
      <c r="M205" s="540">
        <f t="shared" si="17"/>
        <v>77.81</v>
      </c>
      <c r="N205" s="540">
        <f t="shared" si="14"/>
        <v>456356</v>
      </c>
      <c r="O205" s="546"/>
      <c r="P205" s="540">
        <f t="shared" si="16"/>
        <v>0</v>
      </c>
      <c r="Q205" s="551">
        <f t="shared" si="15"/>
        <v>0</v>
      </c>
      <c r="R205" s="283"/>
    </row>
    <row r="206" spans="1:249">
      <c r="A206" s="520"/>
      <c r="B206" s="520"/>
      <c r="C206" s="238"/>
      <c r="D206" s="358">
        <v>77.53</v>
      </c>
      <c r="E206" s="238"/>
      <c r="F206" s="525">
        <v>364151</v>
      </c>
      <c r="G206" s="521">
        <v>40386</v>
      </c>
      <c r="H206" s="540">
        <f t="shared" si="13"/>
        <v>4680.0025703637066</v>
      </c>
      <c r="I206" s="260" t="s">
        <v>92</v>
      </c>
      <c r="J206" s="542">
        <v>65.510000000000005</v>
      </c>
      <c r="K206" s="526">
        <v>77.81</v>
      </c>
      <c r="L206" s="367">
        <v>364151</v>
      </c>
      <c r="M206" s="540">
        <f t="shared" si="17"/>
        <v>77.81</v>
      </c>
      <c r="N206" s="540">
        <f t="shared" si="14"/>
        <v>364151</v>
      </c>
      <c r="O206" s="546"/>
      <c r="P206" s="540">
        <f t="shared" si="16"/>
        <v>0</v>
      </c>
      <c r="Q206" s="551">
        <f t="shared" si="15"/>
        <v>0</v>
      </c>
      <c r="R206" s="283"/>
    </row>
    <row r="207" spans="1:249">
      <c r="A207" s="520"/>
      <c r="B207" s="520"/>
      <c r="C207" s="238"/>
      <c r="D207" s="358">
        <v>77.81</v>
      </c>
      <c r="E207" s="238"/>
      <c r="F207" s="525">
        <v>481644</v>
      </c>
      <c r="G207" s="521">
        <v>40787</v>
      </c>
      <c r="H207" s="540">
        <f t="shared" si="13"/>
        <v>6190.0012851818528</v>
      </c>
      <c r="I207" s="260"/>
      <c r="J207" s="542">
        <v>65.510000000000005</v>
      </c>
      <c r="K207" s="526">
        <v>77.81</v>
      </c>
      <c r="L207" s="367">
        <v>481644</v>
      </c>
      <c r="M207" s="540">
        <f t="shared" si="17"/>
        <v>77.81</v>
      </c>
      <c r="N207" s="540">
        <f t="shared" si="14"/>
        <v>481644</v>
      </c>
      <c r="O207" s="546"/>
      <c r="P207" s="540">
        <f t="shared" si="16"/>
        <v>0</v>
      </c>
      <c r="Q207" s="551">
        <f t="shared" si="15"/>
        <v>0</v>
      </c>
      <c r="R207" s="283"/>
    </row>
    <row r="208" spans="1:249">
      <c r="A208" s="520"/>
      <c r="B208" s="520"/>
      <c r="C208" s="238"/>
      <c r="D208" s="358">
        <v>77.53</v>
      </c>
      <c r="E208" s="238"/>
      <c r="F208" s="525">
        <v>311240</v>
      </c>
      <c r="G208" s="521">
        <v>40392</v>
      </c>
      <c r="H208" s="540">
        <f t="shared" si="13"/>
        <v>4000</v>
      </c>
      <c r="I208" s="260" t="s">
        <v>92</v>
      </c>
      <c r="J208" s="542">
        <v>65.510000000000005</v>
      </c>
      <c r="K208" s="526">
        <v>77.81</v>
      </c>
      <c r="L208" s="367">
        <v>311240</v>
      </c>
      <c r="M208" s="540">
        <f t="shared" si="17"/>
        <v>77.81</v>
      </c>
      <c r="N208" s="540">
        <f t="shared" si="14"/>
        <v>311240</v>
      </c>
      <c r="O208" s="546"/>
      <c r="P208" s="540">
        <f t="shared" si="16"/>
        <v>0</v>
      </c>
      <c r="Q208" s="551">
        <f t="shared" si="15"/>
        <v>0</v>
      </c>
      <c r="R208" s="283"/>
    </row>
    <row r="209" spans="1:249">
      <c r="A209" s="520"/>
      <c r="B209" s="520"/>
      <c r="C209" s="238"/>
      <c r="D209" s="358">
        <v>77.81</v>
      </c>
      <c r="E209" s="238"/>
      <c r="F209" s="525">
        <v>478765</v>
      </c>
      <c r="G209" s="521">
        <v>40686</v>
      </c>
      <c r="H209" s="540">
        <f t="shared" si="13"/>
        <v>6153.0008996272973</v>
      </c>
      <c r="I209" s="260" t="s">
        <v>92</v>
      </c>
      <c r="J209" s="542">
        <v>65.510000000000005</v>
      </c>
      <c r="K209" s="526">
        <v>77.81</v>
      </c>
      <c r="L209" s="367">
        <v>478765</v>
      </c>
      <c r="M209" s="540">
        <f t="shared" si="17"/>
        <v>77.81</v>
      </c>
      <c r="N209" s="540">
        <f t="shared" si="14"/>
        <v>478765</v>
      </c>
      <c r="O209" s="546"/>
      <c r="P209" s="540">
        <f t="shared" si="16"/>
        <v>0</v>
      </c>
      <c r="Q209" s="551">
        <f t="shared" si="15"/>
        <v>0</v>
      </c>
      <c r="R209" s="283"/>
    </row>
    <row r="210" spans="1:249">
      <c r="A210" s="520"/>
      <c r="B210" s="520"/>
      <c r="C210" s="238"/>
      <c r="D210" s="358">
        <v>77.81</v>
      </c>
      <c r="E210" s="238"/>
      <c r="F210" s="525">
        <v>449431</v>
      </c>
      <c r="G210" s="521">
        <v>41181</v>
      </c>
      <c r="H210" s="540">
        <f t="shared" ref="H210:H279" si="18">F210/K210</f>
        <v>5776.0056548001539</v>
      </c>
      <c r="I210" s="260" t="s">
        <v>92</v>
      </c>
      <c r="J210" s="542">
        <v>65.510000000000005</v>
      </c>
      <c r="K210" s="526">
        <v>77.81</v>
      </c>
      <c r="L210" s="367">
        <v>449431</v>
      </c>
      <c r="M210" s="540">
        <f t="shared" si="17"/>
        <v>77.81</v>
      </c>
      <c r="N210" s="540">
        <f t="shared" ref="N210:N279" si="19">L210</f>
        <v>449431</v>
      </c>
      <c r="O210" s="546"/>
      <c r="P210" s="540">
        <f t="shared" si="16"/>
        <v>0</v>
      </c>
      <c r="Q210" s="551">
        <f t="shared" ref="Q210:Q279" si="20">IF(H210-3544.48&lt;0,H210,0)</f>
        <v>0</v>
      </c>
      <c r="R210" s="283"/>
    </row>
    <row r="211" spans="1:249" ht="24">
      <c r="A211" s="520"/>
      <c r="B211" s="520"/>
      <c r="C211" s="238"/>
      <c r="D211" s="358">
        <v>77.81</v>
      </c>
      <c r="E211" s="238"/>
      <c r="F211" s="525">
        <v>454410</v>
      </c>
      <c r="G211" s="521">
        <v>41298</v>
      </c>
      <c r="H211" s="540">
        <f t="shared" si="18"/>
        <v>5839.9948592725868</v>
      </c>
      <c r="I211" s="260" t="s">
        <v>90</v>
      </c>
      <c r="J211" s="542">
        <v>65.510000000000005</v>
      </c>
      <c r="K211" s="526">
        <v>77.81</v>
      </c>
      <c r="L211" s="367">
        <v>454410</v>
      </c>
      <c r="M211" s="540">
        <f t="shared" si="17"/>
        <v>77.81</v>
      </c>
      <c r="N211" s="540">
        <f t="shared" si="19"/>
        <v>454410</v>
      </c>
      <c r="O211" s="546"/>
      <c r="P211" s="540">
        <f t="shared" si="16"/>
        <v>0</v>
      </c>
      <c r="Q211" s="551">
        <f t="shared" si="20"/>
        <v>0</v>
      </c>
      <c r="R211" s="283"/>
    </row>
    <row r="212" spans="1:249" ht="24">
      <c r="A212" s="520"/>
      <c r="B212" s="520"/>
      <c r="C212" s="238"/>
      <c r="D212" s="358">
        <v>77.81</v>
      </c>
      <c r="E212" s="238"/>
      <c r="F212" s="525">
        <v>414727</v>
      </c>
      <c r="G212" s="521">
        <v>41549</v>
      </c>
      <c r="H212" s="540">
        <f t="shared" si="18"/>
        <v>5329.9961444544406</v>
      </c>
      <c r="I212" s="260" t="s">
        <v>90</v>
      </c>
      <c r="J212" s="542">
        <v>65.510000000000005</v>
      </c>
      <c r="K212" s="526">
        <v>77.81</v>
      </c>
      <c r="L212" s="367">
        <v>414727</v>
      </c>
      <c r="M212" s="540">
        <f t="shared" si="17"/>
        <v>77.81</v>
      </c>
      <c r="N212" s="540">
        <f t="shared" si="19"/>
        <v>414727</v>
      </c>
      <c r="O212" s="546"/>
      <c r="P212" s="540">
        <f t="shared" si="16"/>
        <v>0</v>
      </c>
      <c r="Q212" s="551">
        <f t="shared" si="20"/>
        <v>0</v>
      </c>
      <c r="R212" s="283"/>
    </row>
    <row r="213" spans="1:249" ht="24">
      <c r="A213" s="520"/>
      <c r="B213" s="520"/>
      <c r="C213" s="238"/>
      <c r="D213" s="358">
        <v>77.53</v>
      </c>
      <c r="E213" s="238"/>
      <c r="F213" s="525">
        <v>286341</v>
      </c>
      <c r="G213" s="521">
        <v>40415</v>
      </c>
      <c r="H213" s="540">
        <f t="shared" si="18"/>
        <v>3680.0025703637066</v>
      </c>
      <c r="I213" s="260" t="s">
        <v>90</v>
      </c>
      <c r="J213" s="542">
        <v>65.510000000000005</v>
      </c>
      <c r="K213" s="526">
        <v>77.81</v>
      </c>
      <c r="L213" s="367">
        <v>286341</v>
      </c>
      <c r="M213" s="540">
        <f t="shared" si="17"/>
        <v>77.81</v>
      </c>
      <c r="N213" s="540">
        <f t="shared" si="19"/>
        <v>286341</v>
      </c>
      <c r="O213" s="546"/>
      <c r="P213" s="540">
        <f t="shared" si="16"/>
        <v>0</v>
      </c>
      <c r="Q213" s="551">
        <f t="shared" si="20"/>
        <v>0</v>
      </c>
      <c r="R213" s="283"/>
    </row>
    <row r="214" spans="1:249">
      <c r="A214" s="520"/>
      <c r="B214" s="520"/>
      <c r="C214" s="238"/>
      <c r="D214" s="358">
        <v>77.53</v>
      </c>
      <c r="E214" s="238"/>
      <c r="F214" s="525">
        <v>291009</v>
      </c>
      <c r="G214" s="521">
        <v>40374</v>
      </c>
      <c r="H214" s="540">
        <f t="shared" si="18"/>
        <v>3739.9948592725868</v>
      </c>
      <c r="I214" s="260" t="s">
        <v>91</v>
      </c>
      <c r="J214" s="542">
        <v>65.510000000000005</v>
      </c>
      <c r="K214" s="526">
        <v>77.81</v>
      </c>
      <c r="L214" s="367">
        <v>291009</v>
      </c>
      <c r="M214" s="540">
        <f t="shared" si="17"/>
        <v>77.81</v>
      </c>
      <c r="N214" s="540">
        <f t="shared" si="19"/>
        <v>291009</v>
      </c>
      <c r="O214" s="546"/>
      <c r="P214" s="540">
        <f t="shared" si="16"/>
        <v>0</v>
      </c>
      <c r="Q214" s="551">
        <f t="shared" si="20"/>
        <v>0</v>
      </c>
      <c r="R214" s="283"/>
    </row>
    <row r="215" spans="1:249">
      <c r="A215" s="520"/>
      <c r="B215" s="520"/>
      <c r="C215" s="238"/>
      <c r="D215" s="358">
        <v>77.53</v>
      </c>
      <c r="E215" s="238"/>
      <c r="F215" s="525">
        <v>289920</v>
      </c>
      <c r="G215" s="521">
        <v>40375</v>
      </c>
      <c r="H215" s="540">
        <f t="shared" si="18"/>
        <v>3725.9992288908879</v>
      </c>
      <c r="I215" s="260" t="s">
        <v>92</v>
      </c>
      <c r="J215" s="542">
        <v>65.510000000000005</v>
      </c>
      <c r="K215" s="526">
        <v>77.81</v>
      </c>
      <c r="L215" s="367">
        <v>289920</v>
      </c>
      <c r="M215" s="540">
        <f t="shared" si="17"/>
        <v>77.81</v>
      </c>
      <c r="N215" s="540">
        <f t="shared" si="19"/>
        <v>289920</v>
      </c>
      <c r="O215" s="546"/>
      <c r="P215" s="540">
        <f t="shared" si="16"/>
        <v>0</v>
      </c>
      <c r="Q215" s="551">
        <f t="shared" si="20"/>
        <v>0</v>
      </c>
      <c r="R215" s="283"/>
    </row>
    <row r="216" spans="1:249">
      <c r="A216" s="520"/>
      <c r="B216" s="520"/>
      <c r="C216" s="238"/>
      <c r="D216" s="358">
        <v>77.81</v>
      </c>
      <c r="E216" s="238"/>
      <c r="F216" s="525">
        <v>424531</v>
      </c>
      <c r="G216" s="521">
        <v>41061</v>
      </c>
      <c r="H216" s="540">
        <f t="shared" si="18"/>
        <v>5455.9953733453285</v>
      </c>
      <c r="I216" s="260" t="s">
        <v>92</v>
      </c>
      <c r="J216" s="542">
        <v>65.510000000000005</v>
      </c>
      <c r="K216" s="526">
        <v>77.81</v>
      </c>
      <c r="L216" s="367">
        <v>424531</v>
      </c>
      <c r="M216" s="540">
        <f t="shared" si="17"/>
        <v>77.81</v>
      </c>
      <c r="N216" s="540">
        <f t="shared" si="19"/>
        <v>424531</v>
      </c>
      <c r="O216" s="546"/>
      <c r="P216" s="540">
        <f t="shared" si="16"/>
        <v>0</v>
      </c>
      <c r="Q216" s="551">
        <f t="shared" si="20"/>
        <v>0</v>
      </c>
      <c r="R216" s="283"/>
    </row>
    <row r="217" spans="1:249">
      <c r="A217" s="520"/>
      <c r="B217" s="520"/>
      <c r="C217" s="238"/>
      <c r="D217" s="358">
        <v>77.81</v>
      </c>
      <c r="E217" s="238"/>
      <c r="F217" s="525">
        <v>428967</v>
      </c>
      <c r="G217" s="521">
        <v>41197</v>
      </c>
      <c r="H217" s="540">
        <f t="shared" si="18"/>
        <v>5513.0060403547104</v>
      </c>
      <c r="I217" s="260" t="s">
        <v>92</v>
      </c>
      <c r="J217" s="542">
        <v>65.510000000000005</v>
      </c>
      <c r="K217" s="526">
        <v>77.81</v>
      </c>
      <c r="L217" s="367">
        <v>428967</v>
      </c>
      <c r="M217" s="540">
        <f t="shared" si="17"/>
        <v>77.81</v>
      </c>
      <c r="N217" s="540">
        <f t="shared" si="19"/>
        <v>428967</v>
      </c>
      <c r="O217" s="546"/>
      <c r="P217" s="540">
        <f t="shared" si="16"/>
        <v>0</v>
      </c>
      <c r="Q217" s="551">
        <f t="shared" si="20"/>
        <v>0</v>
      </c>
      <c r="R217" s="283"/>
    </row>
    <row r="218" spans="1:249">
      <c r="A218" s="520"/>
      <c r="B218" s="520"/>
      <c r="C218" s="238"/>
      <c r="D218" s="358">
        <v>77.81</v>
      </c>
      <c r="E218" s="238"/>
      <c r="F218" s="525">
        <v>416906</v>
      </c>
      <c r="G218" s="521">
        <v>41234</v>
      </c>
      <c r="H218" s="540">
        <f t="shared" si="18"/>
        <v>5358.0002570363704</v>
      </c>
      <c r="I218" s="260" t="s">
        <v>92</v>
      </c>
      <c r="J218" s="542">
        <v>65.510000000000005</v>
      </c>
      <c r="K218" s="526">
        <v>77.81</v>
      </c>
      <c r="L218" s="367">
        <v>416906</v>
      </c>
      <c r="M218" s="540">
        <f t="shared" si="17"/>
        <v>77.81</v>
      </c>
      <c r="N218" s="540">
        <f t="shared" si="19"/>
        <v>416906</v>
      </c>
      <c r="O218" s="546"/>
      <c r="P218" s="540">
        <f t="shared" si="16"/>
        <v>0</v>
      </c>
      <c r="Q218" s="551">
        <f t="shared" si="20"/>
        <v>0</v>
      </c>
      <c r="R218" s="283"/>
    </row>
    <row r="219" spans="1:249">
      <c r="A219" s="520"/>
      <c r="B219" s="520"/>
      <c r="C219" s="238"/>
      <c r="D219" s="358">
        <v>77.81</v>
      </c>
      <c r="E219" s="238"/>
      <c r="F219" s="525">
        <v>423131</v>
      </c>
      <c r="G219" s="521">
        <v>41234</v>
      </c>
      <c r="H219" s="540">
        <f t="shared" si="18"/>
        <v>5438.002827400077</v>
      </c>
      <c r="I219" s="260" t="s">
        <v>92</v>
      </c>
      <c r="J219" s="542">
        <v>65.510000000000005</v>
      </c>
      <c r="K219" s="526">
        <v>77.81</v>
      </c>
      <c r="L219" s="367">
        <v>423131</v>
      </c>
      <c r="M219" s="540">
        <f t="shared" si="17"/>
        <v>77.81</v>
      </c>
      <c r="N219" s="540">
        <f t="shared" si="19"/>
        <v>423131</v>
      </c>
      <c r="O219" s="546"/>
      <c r="P219" s="540">
        <f t="shared" si="16"/>
        <v>0</v>
      </c>
      <c r="Q219" s="551">
        <f t="shared" si="20"/>
        <v>0</v>
      </c>
      <c r="R219" s="283"/>
    </row>
    <row r="220" spans="1:249" ht="24">
      <c r="A220" s="520"/>
      <c r="B220" s="520"/>
      <c r="C220" s="238"/>
      <c r="D220" s="358">
        <v>77.81</v>
      </c>
      <c r="E220" s="238"/>
      <c r="F220" s="525">
        <v>424065</v>
      </c>
      <c r="G220" s="521">
        <v>41287</v>
      </c>
      <c r="H220" s="540">
        <f t="shared" si="18"/>
        <v>5450.006425909266</v>
      </c>
      <c r="I220" s="260" t="s">
        <v>90</v>
      </c>
      <c r="J220" s="542">
        <v>65.510000000000005</v>
      </c>
      <c r="K220" s="526">
        <v>77.81</v>
      </c>
      <c r="L220" s="367">
        <v>424065</v>
      </c>
      <c r="M220" s="540">
        <f t="shared" si="17"/>
        <v>77.81</v>
      </c>
      <c r="N220" s="540">
        <f t="shared" si="19"/>
        <v>424065</v>
      </c>
      <c r="O220" s="546"/>
      <c r="P220" s="540">
        <f t="shared" si="16"/>
        <v>0</v>
      </c>
      <c r="Q220" s="551">
        <f t="shared" si="20"/>
        <v>0</v>
      </c>
      <c r="R220" s="283"/>
    </row>
    <row r="221" spans="1:249">
      <c r="A221" s="520"/>
      <c r="B221" s="520"/>
      <c r="C221" s="238"/>
      <c r="D221" s="358">
        <v>77.81</v>
      </c>
      <c r="E221" s="238"/>
      <c r="F221" s="525">
        <v>448964</v>
      </c>
      <c r="G221" s="521">
        <v>41234</v>
      </c>
      <c r="H221" s="540">
        <f t="shared" si="18"/>
        <v>5770.0038555455594</v>
      </c>
      <c r="I221" s="260" t="s">
        <v>92</v>
      </c>
      <c r="J221" s="542">
        <v>65.510000000000005</v>
      </c>
      <c r="K221" s="526">
        <v>77.81</v>
      </c>
      <c r="L221" s="367">
        <v>448964</v>
      </c>
      <c r="M221" s="540">
        <f t="shared" si="17"/>
        <v>77.81</v>
      </c>
      <c r="N221" s="540">
        <f t="shared" si="19"/>
        <v>448964</v>
      </c>
      <c r="O221" s="546"/>
      <c r="P221" s="540">
        <f t="shared" si="16"/>
        <v>0</v>
      </c>
      <c r="Q221" s="551">
        <f t="shared" si="20"/>
        <v>0</v>
      </c>
      <c r="R221" s="283"/>
    </row>
    <row r="222" spans="1:249">
      <c r="A222" s="520"/>
      <c r="B222" s="520"/>
      <c r="C222" s="238"/>
      <c r="D222" s="358">
        <v>77.81</v>
      </c>
      <c r="E222" s="238"/>
      <c r="F222" s="525">
        <v>422508</v>
      </c>
      <c r="G222" s="521">
        <v>41098</v>
      </c>
      <c r="H222" s="540">
        <f t="shared" si="18"/>
        <v>5429.9961444544406</v>
      </c>
      <c r="I222" s="260" t="s">
        <v>92</v>
      </c>
      <c r="J222" s="542">
        <v>65.510000000000005</v>
      </c>
      <c r="K222" s="526">
        <v>77.81</v>
      </c>
      <c r="L222" s="367">
        <v>422508</v>
      </c>
      <c r="M222" s="540">
        <f t="shared" si="17"/>
        <v>77.81</v>
      </c>
      <c r="N222" s="540">
        <f t="shared" si="19"/>
        <v>422508</v>
      </c>
      <c r="O222" s="546"/>
      <c r="P222" s="540">
        <f t="shared" si="16"/>
        <v>0</v>
      </c>
      <c r="Q222" s="551">
        <f t="shared" si="20"/>
        <v>0</v>
      </c>
      <c r="R222" s="283"/>
    </row>
    <row r="223" spans="1:249">
      <c r="A223" s="520"/>
      <c r="B223" s="520"/>
      <c r="C223" s="238"/>
      <c r="D223" s="358">
        <v>77.81</v>
      </c>
      <c r="E223" s="238"/>
      <c r="F223" s="525">
        <v>455578</v>
      </c>
      <c r="G223" s="521">
        <v>41345</v>
      </c>
      <c r="H223" s="540">
        <f t="shared" si="18"/>
        <v>5855.0057833183391</v>
      </c>
      <c r="I223" s="260" t="s">
        <v>92</v>
      </c>
      <c r="J223" s="542">
        <v>65.510000000000005</v>
      </c>
      <c r="K223" s="526">
        <v>77.81</v>
      </c>
      <c r="L223" s="367">
        <v>455578</v>
      </c>
      <c r="M223" s="540">
        <f t="shared" si="17"/>
        <v>77.81</v>
      </c>
      <c r="N223" s="540">
        <f t="shared" si="19"/>
        <v>455578</v>
      </c>
      <c r="O223" s="546"/>
      <c r="P223" s="540">
        <f t="shared" si="16"/>
        <v>0</v>
      </c>
      <c r="Q223" s="551">
        <f t="shared" si="20"/>
        <v>0</v>
      </c>
      <c r="R223" s="283"/>
    </row>
    <row r="224" spans="1:249" s="528" customFormat="1">
      <c r="A224" s="555"/>
      <c r="B224" s="555"/>
      <c r="C224" s="556"/>
      <c r="D224" s="557">
        <v>93.35</v>
      </c>
      <c r="E224" s="556"/>
      <c r="F224" s="559">
        <f>ROUND(492888/1.05,2)</f>
        <v>469417.14</v>
      </c>
      <c r="G224" s="562">
        <v>42792</v>
      </c>
      <c r="H224" s="561">
        <f t="shared" si="18"/>
        <v>5028.5713979646498</v>
      </c>
      <c r="I224" s="564" t="s">
        <v>91</v>
      </c>
      <c r="J224" s="565">
        <v>78.599999999999994</v>
      </c>
      <c r="K224" s="566">
        <v>93.35</v>
      </c>
      <c r="L224" s="567">
        <f>F224</f>
        <v>469417.14</v>
      </c>
      <c r="M224" s="561">
        <f t="shared" si="17"/>
        <v>93.35</v>
      </c>
      <c r="N224" s="561">
        <f t="shared" si="19"/>
        <v>469417.14</v>
      </c>
      <c r="O224" s="568"/>
      <c r="P224" s="561">
        <f t="shared" si="16"/>
        <v>0</v>
      </c>
      <c r="Q224" s="569"/>
      <c r="R224" s="570" t="s">
        <v>93</v>
      </c>
      <c r="S224" s="571"/>
      <c r="T224" s="571"/>
      <c r="U224" s="571"/>
      <c r="V224" s="571"/>
      <c r="W224" s="571"/>
      <c r="X224" s="571"/>
      <c r="Y224" s="571"/>
      <c r="Z224" s="571"/>
      <c r="AA224" s="571"/>
      <c r="AB224" s="571"/>
      <c r="AC224" s="571"/>
      <c r="AD224" s="571"/>
      <c r="AE224" s="571"/>
      <c r="AF224" s="571"/>
      <c r="AG224" s="571"/>
      <c r="AH224" s="571"/>
      <c r="AI224" s="571"/>
      <c r="AJ224" s="571"/>
      <c r="AK224" s="571"/>
      <c r="AL224" s="571"/>
      <c r="AM224" s="571"/>
      <c r="AN224" s="571"/>
      <c r="AO224" s="571"/>
      <c r="AP224" s="571"/>
      <c r="AQ224" s="571"/>
      <c r="AR224" s="571"/>
      <c r="AS224" s="571"/>
      <c r="AT224" s="571"/>
      <c r="AU224" s="571"/>
      <c r="AV224" s="571"/>
      <c r="AW224" s="571"/>
      <c r="AX224" s="571"/>
      <c r="AY224" s="571"/>
      <c r="AZ224" s="571"/>
      <c r="BA224" s="571"/>
      <c r="BB224" s="571"/>
      <c r="BC224" s="571"/>
      <c r="BD224" s="571"/>
      <c r="BE224" s="571"/>
      <c r="BF224" s="571"/>
      <c r="BG224" s="571"/>
      <c r="BH224" s="571"/>
      <c r="BI224" s="571"/>
      <c r="BJ224" s="571"/>
      <c r="BK224" s="571"/>
      <c r="BL224" s="571"/>
      <c r="BM224" s="571"/>
      <c r="BN224" s="571"/>
      <c r="BO224" s="571"/>
      <c r="BP224" s="571"/>
      <c r="BQ224" s="571"/>
      <c r="BR224" s="571"/>
      <c r="BS224" s="571"/>
      <c r="BT224" s="571"/>
      <c r="BU224" s="571"/>
      <c r="BV224" s="571"/>
      <c r="BW224" s="571"/>
      <c r="BX224" s="571"/>
      <c r="BY224" s="571"/>
      <c r="BZ224" s="571"/>
      <c r="CA224" s="571"/>
      <c r="CB224" s="571"/>
      <c r="CC224" s="571"/>
      <c r="CD224" s="571"/>
      <c r="CE224" s="571"/>
      <c r="CF224" s="571"/>
      <c r="CG224" s="571"/>
      <c r="CH224" s="571"/>
      <c r="CI224" s="571"/>
      <c r="CJ224" s="571"/>
      <c r="CK224" s="571"/>
      <c r="CL224" s="571"/>
      <c r="CM224" s="571"/>
      <c r="CN224" s="571"/>
      <c r="CO224" s="571"/>
      <c r="CP224" s="571"/>
      <c r="CQ224" s="571"/>
      <c r="CR224" s="571"/>
      <c r="CS224" s="571"/>
      <c r="CT224" s="571"/>
      <c r="CU224" s="571"/>
      <c r="CV224" s="571"/>
      <c r="CW224" s="571"/>
      <c r="CX224" s="571"/>
      <c r="CY224" s="571"/>
      <c r="CZ224" s="571"/>
      <c r="DA224" s="571"/>
      <c r="DB224" s="571"/>
      <c r="DC224" s="571"/>
      <c r="DD224" s="571"/>
      <c r="DE224" s="571"/>
      <c r="DF224" s="571"/>
      <c r="DG224" s="571"/>
      <c r="DH224" s="571"/>
      <c r="DI224" s="571"/>
      <c r="DJ224" s="571"/>
      <c r="DK224" s="571"/>
      <c r="DL224" s="571"/>
      <c r="DM224" s="571"/>
      <c r="DN224" s="571"/>
      <c r="DO224" s="571"/>
      <c r="DP224" s="571"/>
      <c r="DQ224" s="571"/>
      <c r="DR224" s="571"/>
      <c r="DS224" s="571"/>
      <c r="DT224" s="571"/>
      <c r="DU224" s="571"/>
      <c r="DV224" s="571"/>
      <c r="DW224" s="571"/>
      <c r="DX224" s="571"/>
      <c r="DY224" s="571"/>
      <c r="DZ224" s="571"/>
      <c r="EA224" s="571"/>
      <c r="EB224" s="571"/>
      <c r="EC224" s="571"/>
      <c r="ED224" s="571"/>
      <c r="EE224" s="571"/>
      <c r="EF224" s="571"/>
      <c r="EG224" s="571"/>
      <c r="EH224" s="571"/>
      <c r="EI224" s="571"/>
      <c r="EJ224" s="571"/>
      <c r="EK224" s="571"/>
      <c r="EL224" s="571"/>
      <c r="EM224" s="571"/>
      <c r="EN224" s="571"/>
      <c r="EO224" s="571"/>
      <c r="EP224" s="571"/>
      <c r="EQ224" s="571"/>
      <c r="ER224" s="571"/>
      <c r="ES224" s="571"/>
      <c r="ET224" s="571"/>
      <c r="EU224" s="571"/>
      <c r="EV224" s="571"/>
      <c r="EW224" s="571"/>
      <c r="EX224" s="571"/>
      <c r="EY224" s="571"/>
      <c r="EZ224" s="571"/>
      <c r="FA224" s="571"/>
      <c r="FB224" s="571"/>
      <c r="FC224" s="571"/>
      <c r="FD224" s="571"/>
      <c r="FE224" s="571"/>
      <c r="FF224" s="571"/>
      <c r="FG224" s="571"/>
      <c r="FH224" s="571"/>
      <c r="FI224" s="571"/>
      <c r="FJ224" s="571"/>
      <c r="FK224" s="571"/>
      <c r="FL224" s="571"/>
      <c r="FM224" s="571"/>
      <c r="FN224" s="571"/>
      <c r="FO224" s="571"/>
      <c r="FP224" s="571"/>
      <c r="FQ224" s="571"/>
      <c r="FR224" s="571"/>
      <c r="FS224" s="571"/>
      <c r="FT224" s="571"/>
      <c r="FU224" s="571"/>
      <c r="FV224" s="571"/>
      <c r="FW224" s="571"/>
      <c r="FX224" s="571"/>
      <c r="FY224" s="571"/>
      <c r="FZ224" s="571"/>
      <c r="GA224" s="571"/>
      <c r="GB224" s="571"/>
      <c r="GC224" s="571"/>
      <c r="GD224" s="571"/>
      <c r="GE224" s="571"/>
      <c r="GF224" s="571"/>
      <c r="GG224" s="571"/>
      <c r="GH224" s="571"/>
      <c r="GI224" s="571"/>
      <c r="GJ224" s="571"/>
      <c r="GK224" s="571"/>
      <c r="GL224" s="571"/>
      <c r="GM224" s="571"/>
      <c r="GN224" s="571"/>
      <c r="GO224" s="571"/>
      <c r="GP224" s="571"/>
      <c r="GQ224" s="571"/>
      <c r="GR224" s="571"/>
      <c r="GS224" s="571"/>
      <c r="GT224" s="571"/>
      <c r="GU224" s="571"/>
      <c r="GV224" s="571"/>
      <c r="GW224" s="571"/>
      <c r="GX224" s="571"/>
      <c r="GY224" s="571"/>
      <c r="GZ224" s="571"/>
      <c r="HA224" s="571"/>
      <c r="HB224" s="571"/>
      <c r="HC224" s="571"/>
      <c r="HD224" s="571"/>
      <c r="HE224" s="571"/>
      <c r="HF224" s="571"/>
      <c r="HG224" s="571"/>
      <c r="HH224" s="571"/>
      <c r="HI224" s="571"/>
      <c r="HJ224" s="571"/>
      <c r="HK224" s="571"/>
      <c r="HL224" s="571"/>
      <c r="HM224" s="571"/>
      <c r="HN224" s="571"/>
      <c r="HO224" s="571"/>
      <c r="HP224" s="571"/>
      <c r="HQ224" s="571"/>
      <c r="HR224" s="571"/>
      <c r="HS224" s="571"/>
      <c r="HT224" s="571"/>
      <c r="HU224" s="571"/>
      <c r="HV224" s="571"/>
      <c r="HW224" s="571"/>
      <c r="HX224" s="571"/>
      <c r="HY224" s="571"/>
      <c r="HZ224" s="571"/>
      <c r="IA224" s="571"/>
      <c r="IB224" s="571"/>
      <c r="IC224" s="571"/>
      <c r="ID224" s="571"/>
      <c r="IE224" s="571"/>
      <c r="IF224" s="571"/>
      <c r="IG224" s="571"/>
      <c r="IH224" s="571"/>
      <c r="II224" s="571"/>
      <c r="IJ224" s="571"/>
      <c r="IK224" s="571"/>
      <c r="IL224" s="571"/>
      <c r="IM224" s="571"/>
      <c r="IN224" s="571"/>
      <c r="IO224" s="571"/>
    </row>
    <row r="225" spans="1:249" ht="24">
      <c r="A225" s="520"/>
      <c r="B225" s="520"/>
      <c r="C225" s="238"/>
      <c r="D225" s="358">
        <v>93.35</v>
      </c>
      <c r="E225" s="238"/>
      <c r="F225" s="525">
        <v>547965</v>
      </c>
      <c r="G225" s="521">
        <v>40681</v>
      </c>
      <c r="H225" s="540">
        <f t="shared" si="18"/>
        <v>5870.0053561863961</v>
      </c>
      <c r="I225" s="260" t="s">
        <v>90</v>
      </c>
      <c r="J225" s="542">
        <v>78.599999999999994</v>
      </c>
      <c r="K225" s="526">
        <v>93.35</v>
      </c>
      <c r="L225" s="367">
        <v>547965</v>
      </c>
      <c r="M225" s="540">
        <f t="shared" si="17"/>
        <v>93.35</v>
      </c>
      <c r="N225" s="540">
        <f t="shared" si="19"/>
        <v>547965</v>
      </c>
      <c r="O225" s="546"/>
      <c r="P225" s="540">
        <f t="shared" si="16"/>
        <v>0</v>
      </c>
      <c r="Q225" s="551">
        <f t="shared" si="20"/>
        <v>0</v>
      </c>
      <c r="R225" s="283"/>
    </row>
    <row r="226" spans="1:249">
      <c r="A226" s="520"/>
      <c r="B226" s="520"/>
      <c r="C226" s="238"/>
      <c r="D226" s="358">
        <v>93.35</v>
      </c>
      <c r="E226" s="238"/>
      <c r="F226" s="525">
        <v>499983</v>
      </c>
      <c r="G226" s="521">
        <v>41182</v>
      </c>
      <c r="H226" s="540">
        <f t="shared" si="18"/>
        <v>5356.0042849491165</v>
      </c>
      <c r="I226" s="260" t="s">
        <v>91</v>
      </c>
      <c r="J226" s="542">
        <v>78.599999999999994</v>
      </c>
      <c r="K226" s="526">
        <v>93.35</v>
      </c>
      <c r="L226" s="367">
        <v>499983</v>
      </c>
      <c r="M226" s="540">
        <f t="shared" si="17"/>
        <v>93.35</v>
      </c>
      <c r="N226" s="540">
        <f t="shared" si="19"/>
        <v>499983</v>
      </c>
      <c r="O226" s="546"/>
      <c r="P226" s="540">
        <f t="shared" si="16"/>
        <v>0</v>
      </c>
      <c r="Q226" s="551">
        <f t="shared" si="20"/>
        <v>0</v>
      </c>
      <c r="R226" s="283"/>
    </row>
    <row r="227" spans="1:249" ht="24">
      <c r="A227" s="520"/>
      <c r="B227" s="520"/>
      <c r="C227" s="238"/>
      <c r="D227" s="358">
        <v>93.35</v>
      </c>
      <c r="E227" s="238"/>
      <c r="F227" s="525">
        <v>522013</v>
      </c>
      <c r="G227" s="521">
        <v>41585</v>
      </c>
      <c r="H227" s="540">
        <f t="shared" si="18"/>
        <v>5591.9978575254427</v>
      </c>
      <c r="I227" s="260" t="s">
        <v>90</v>
      </c>
      <c r="J227" s="542">
        <v>78.599999999999994</v>
      </c>
      <c r="K227" s="526">
        <v>93.35</v>
      </c>
      <c r="L227" s="367">
        <v>522013</v>
      </c>
      <c r="M227" s="540">
        <f t="shared" si="17"/>
        <v>93.35</v>
      </c>
      <c r="N227" s="540">
        <f t="shared" si="19"/>
        <v>522013</v>
      </c>
      <c r="O227" s="546"/>
      <c r="P227" s="540">
        <f t="shared" si="16"/>
        <v>0</v>
      </c>
      <c r="Q227" s="551">
        <f t="shared" si="20"/>
        <v>0</v>
      </c>
      <c r="R227" s="283"/>
    </row>
    <row r="228" spans="1:249">
      <c r="A228" s="520"/>
      <c r="B228" s="520"/>
      <c r="C228" s="238"/>
      <c r="D228" s="358">
        <v>93.35</v>
      </c>
      <c r="E228" s="238"/>
      <c r="F228" s="525">
        <v>490088</v>
      </c>
      <c r="G228" s="521">
        <v>41289</v>
      </c>
      <c r="H228" s="540">
        <f t="shared" si="18"/>
        <v>5250.0053561863961</v>
      </c>
      <c r="I228" s="260" t="s">
        <v>91</v>
      </c>
      <c r="J228" s="542">
        <v>78.599999999999994</v>
      </c>
      <c r="K228" s="526">
        <v>93.35</v>
      </c>
      <c r="L228" s="367">
        <v>490088</v>
      </c>
      <c r="M228" s="540">
        <f t="shared" si="17"/>
        <v>93.35</v>
      </c>
      <c r="N228" s="540">
        <f t="shared" si="19"/>
        <v>490088</v>
      </c>
      <c r="O228" s="546"/>
      <c r="P228" s="540">
        <f t="shared" si="16"/>
        <v>0</v>
      </c>
      <c r="Q228" s="551">
        <f t="shared" si="20"/>
        <v>0</v>
      </c>
      <c r="R228" s="283"/>
    </row>
    <row r="229" spans="1:249" ht="24">
      <c r="A229" s="520"/>
      <c r="B229" s="520"/>
      <c r="C229" s="238"/>
      <c r="D229" s="358">
        <v>93.35</v>
      </c>
      <c r="E229" s="238"/>
      <c r="F229" s="525">
        <v>499423</v>
      </c>
      <c r="G229" s="521">
        <v>41264</v>
      </c>
      <c r="H229" s="540">
        <f t="shared" si="18"/>
        <v>5350.0053561863961</v>
      </c>
      <c r="I229" s="260" t="s">
        <v>90</v>
      </c>
      <c r="J229" s="542">
        <v>78.599999999999994</v>
      </c>
      <c r="K229" s="526">
        <v>93.35</v>
      </c>
      <c r="L229" s="367">
        <v>499423</v>
      </c>
      <c r="M229" s="540">
        <f t="shared" si="17"/>
        <v>93.35</v>
      </c>
      <c r="N229" s="540">
        <f t="shared" si="19"/>
        <v>499423</v>
      </c>
      <c r="O229" s="546"/>
      <c r="P229" s="540">
        <f t="shared" si="16"/>
        <v>0</v>
      </c>
      <c r="Q229" s="551">
        <f t="shared" si="20"/>
        <v>0</v>
      </c>
      <c r="R229" s="283"/>
    </row>
    <row r="230" spans="1:249">
      <c r="A230" s="520"/>
      <c r="B230" s="520"/>
      <c r="C230" s="238"/>
      <c r="D230" s="358">
        <v>93.35</v>
      </c>
      <c r="E230" s="238"/>
      <c r="F230" s="525">
        <v>540403</v>
      </c>
      <c r="G230" s="521">
        <v>41287</v>
      </c>
      <c r="H230" s="540">
        <f t="shared" si="18"/>
        <v>5788.998393144082</v>
      </c>
      <c r="I230" s="260" t="s">
        <v>91</v>
      </c>
      <c r="J230" s="542">
        <v>78.599999999999994</v>
      </c>
      <c r="K230" s="526">
        <v>93.35</v>
      </c>
      <c r="L230" s="367">
        <v>540403</v>
      </c>
      <c r="M230" s="540">
        <f t="shared" si="17"/>
        <v>93.35</v>
      </c>
      <c r="N230" s="540">
        <f t="shared" si="19"/>
        <v>540403</v>
      </c>
      <c r="O230" s="546"/>
      <c r="P230" s="540">
        <f t="shared" si="16"/>
        <v>0</v>
      </c>
      <c r="Q230" s="551">
        <f t="shared" si="20"/>
        <v>0</v>
      </c>
      <c r="R230" s="283"/>
    </row>
    <row r="231" spans="1:249">
      <c r="A231" s="520"/>
      <c r="B231" s="520"/>
      <c r="C231" s="238"/>
      <c r="D231" s="358">
        <v>93.35</v>
      </c>
      <c r="E231" s="238"/>
      <c r="F231" s="525">
        <v>533215</v>
      </c>
      <c r="G231" s="521">
        <v>41511</v>
      </c>
      <c r="H231" s="540">
        <f t="shared" si="18"/>
        <v>5711.9978575254427</v>
      </c>
      <c r="I231" s="260" t="s">
        <v>92</v>
      </c>
      <c r="J231" s="542">
        <v>78.599999999999994</v>
      </c>
      <c r="K231" s="526">
        <v>93.35</v>
      </c>
      <c r="L231" s="367">
        <v>533215</v>
      </c>
      <c r="M231" s="540">
        <f t="shared" si="17"/>
        <v>93.35</v>
      </c>
      <c r="N231" s="540">
        <f t="shared" si="19"/>
        <v>533215</v>
      </c>
      <c r="O231" s="546"/>
      <c r="P231" s="540">
        <f t="shared" si="16"/>
        <v>0</v>
      </c>
      <c r="Q231" s="551">
        <f t="shared" si="20"/>
        <v>0</v>
      </c>
      <c r="R231" s="283"/>
    </row>
    <row r="232" spans="1:249" ht="24">
      <c r="A232" s="520"/>
      <c r="B232" s="520"/>
      <c r="C232" s="238"/>
      <c r="D232" s="358">
        <v>93.35</v>
      </c>
      <c r="E232" s="238"/>
      <c r="F232" s="525">
        <v>532095</v>
      </c>
      <c r="G232" s="521">
        <v>41343</v>
      </c>
      <c r="H232" s="540">
        <f t="shared" si="18"/>
        <v>5700</v>
      </c>
      <c r="I232" s="260" t="s">
        <v>90</v>
      </c>
      <c r="J232" s="542">
        <v>78.599999999999994</v>
      </c>
      <c r="K232" s="526">
        <v>93.35</v>
      </c>
      <c r="L232" s="367">
        <v>532095</v>
      </c>
      <c r="M232" s="540">
        <f t="shared" si="17"/>
        <v>93.35</v>
      </c>
      <c r="N232" s="540">
        <f t="shared" si="19"/>
        <v>532095</v>
      </c>
      <c r="O232" s="546"/>
      <c r="P232" s="540">
        <f t="shared" si="16"/>
        <v>0</v>
      </c>
      <c r="Q232" s="551">
        <f t="shared" si="20"/>
        <v>0</v>
      </c>
      <c r="R232" s="283"/>
    </row>
    <row r="233" spans="1:249" s="528" customFormat="1" ht="24">
      <c r="A233" s="555"/>
      <c r="B233" s="555"/>
      <c r="C233" s="556"/>
      <c r="D233" s="557">
        <v>93.35</v>
      </c>
      <c r="E233" s="556"/>
      <c r="F233" s="559">
        <f>ROUND(516226/1.05,2)</f>
        <v>491643.81</v>
      </c>
      <c r="G233" s="562">
        <v>42473</v>
      </c>
      <c r="H233" s="561">
        <f t="shared" si="18"/>
        <v>5266.6717728976973</v>
      </c>
      <c r="I233" s="564" t="s">
        <v>90</v>
      </c>
      <c r="J233" s="565">
        <v>78.599999999999994</v>
      </c>
      <c r="K233" s="566">
        <v>93.35</v>
      </c>
      <c r="L233" s="567">
        <f>F233</f>
        <v>491643.81</v>
      </c>
      <c r="M233" s="561">
        <f t="shared" si="17"/>
        <v>93.35</v>
      </c>
      <c r="N233" s="561">
        <f t="shared" si="19"/>
        <v>491643.81</v>
      </c>
      <c r="O233" s="568"/>
      <c r="P233" s="561">
        <f t="shared" si="16"/>
        <v>0</v>
      </c>
      <c r="Q233" s="569"/>
      <c r="R233" s="570" t="s">
        <v>93</v>
      </c>
      <c r="S233" s="571"/>
      <c r="T233" s="571"/>
      <c r="U233" s="571"/>
      <c r="V233" s="571"/>
      <c r="W233" s="571"/>
      <c r="X233" s="571"/>
      <c r="Y233" s="571"/>
      <c r="Z233" s="571"/>
      <c r="AA233" s="571"/>
      <c r="AB233" s="571"/>
      <c r="AC233" s="571"/>
      <c r="AD233" s="571"/>
      <c r="AE233" s="571"/>
      <c r="AF233" s="571"/>
      <c r="AG233" s="571"/>
      <c r="AH233" s="571"/>
      <c r="AI233" s="571"/>
      <c r="AJ233" s="571"/>
      <c r="AK233" s="571"/>
      <c r="AL233" s="571"/>
      <c r="AM233" s="571"/>
      <c r="AN233" s="571"/>
      <c r="AO233" s="571"/>
      <c r="AP233" s="571"/>
      <c r="AQ233" s="571"/>
      <c r="AR233" s="571"/>
      <c r="AS233" s="571"/>
      <c r="AT233" s="571"/>
      <c r="AU233" s="571"/>
      <c r="AV233" s="571"/>
      <c r="AW233" s="571"/>
      <c r="AX233" s="571"/>
      <c r="AY233" s="571"/>
      <c r="AZ233" s="571"/>
      <c r="BA233" s="571"/>
      <c r="BB233" s="571"/>
      <c r="BC233" s="571"/>
      <c r="BD233" s="571"/>
      <c r="BE233" s="571"/>
      <c r="BF233" s="571"/>
      <c r="BG233" s="571"/>
      <c r="BH233" s="571"/>
      <c r="BI233" s="571"/>
      <c r="BJ233" s="571"/>
      <c r="BK233" s="571"/>
      <c r="BL233" s="571"/>
      <c r="BM233" s="571"/>
      <c r="BN233" s="571"/>
      <c r="BO233" s="571"/>
      <c r="BP233" s="571"/>
      <c r="BQ233" s="571"/>
      <c r="BR233" s="571"/>
      <c r="BS233" s="571"/>
      <c r="BT233" s="571"/>
      <c r="BU233" s="571"/>
      <c r="BV233" s="571"/>
      <c r="BW233" s="571"/>
      <c r="BX233" s="571"/>
      <c r="BY233" s="571"/>
      <c r="BZ233" s="571"/>
      <c r="CA233" s="571"/>
      <c r="CB233" s="571"/>
      <c r="CC233" s="571"/>
      <c r="CD233" s="571"/>
      <c r="CE233" s="571"/>
      <c r="CF233" s="571"/>
      <c r="CG233" s="571"/>
      <c r="CH233" s="571"/>
      <c r="CI233" s="571"/>
      <c r="CJ233" s="571"/>
      <c r="CK233" s="571"/>
      <c r="CL233" s="571"/>
      <c r="CM233" s="571"/>
      <c r="CN233" s="571"/>
      <c r="CO233" s="571"/>
      <c r="CP233" s="571"/>
      <c r="CQ233" s="571"/>
      <c r="CR233" s="571"/>
      <c r="CS233" s="571"/>
      <c r="CT233" s="571"/>
      <c r="CU233" s="571"/>
      <c r="CV233" s="571"/>
      <c r="CW233" s="571"/>
      <c r="CX233" s="571"/>
      <c r="CY233" s="571"/>
      <c r="CZ233" s="571"/>
      <c r="DA233" s="571"/>
      <c r="DB233" s="571"/>
      <c r="DC233" s="571"/>
      <c r="DD233" s="571"/>
      <c r="DE233" s="571"/>
      <c r="DF233" s="571"/>
      <c r="DG233" s="571"/>
      <c r="DH233" s="571"/>
      <c r="DI233" s="571"/>
      <c r="DJ233" s="571"/>
      <c r="DK233" s="571"/>
      <c r="DL233" s="571"/>
      <c r="DM233" s="571"/>
      <c r="DN233" s="571"/>
      <c r="DO233" s="571"/>
      <c r="DP233" s="571"/>
      <c r="DQ233" s="571"/>
      <c r="DR233" s="571"/>
      <c r="DS233" s="571"/>
      <c r="DT233" s="571"/>
      <c r="DU233" s="571"/>
      <c r="DV233" s="571"/>
      <c r="DW233" s="571"/>
      <c r="DX233" s="571"/>
      <c r="DY233" s="571"/>
      <c r="DZ233" s="571"/>
      <c r="EA233" s="571"/>
      <c r="EB233" s="571"/>
      <c r="EC233" s="571"/>
      <c r="ED233" s="571"/>
      <c r="EE233" s="571"/>
      <c r="EF233" s="571"/>
      <c r="EG233" s="571"/>
      <c r="EH233" s="571"/>
      <c r="EI233" s="571"/>
      <c r="EJ233" s="571"/>
      <c r="EK233" s="571"/>
      <c r="EL233" s="571"/>
      <c r="EM233" s="571"/>
      <c r="EN233" s="571"/>
      <c r="EO233" s="571"/>
      <c r="EP233" s="571"/>
      <c r="EQ233" s="571"/>
      <c r="ER233" s="571"/>
      <c r="ES233" s="571"/>
      <c r="ET233" s="571"/>
      <c r="EU233" s="571"/>
      <c r="EV233" s="571"/>
      <c r="EW233" s="571"/>
      <c r="EX233" s="571"/>
      <c r="EY233" s="571"/>
      <c r="EZ233" s="571"/>
      <c r="FA233" s="571"/>
      <c r="FB233" s="571"/>
      <c r="FC233" s="571"/>
      <c r="FD233" s="571"/>
      <c r="FE233" s="571"/>
      <c r="FF233" s="571"/>
      <c r="FG233" s="571"/>
      <c r="FH233" s="571"/>
      <c r="FI233" s="571"/>
      <c r="FJ233" s="571"/>
      <c r="FK233" s="571"/>
      <c r="FL233" s="571"/>
      <c r="FM233" s="571"/>
      <c r="FN233" s="571"/>
      <c r="FO233" s="571"/>
      <c r="FP233" s="571"/>
      <c r="FQ233" s="571"/>
      <c r="FR233" s="571"/>
      <c r="FS233" s="571"/>
      <c r="FT233" s="571"/>
      <c r="FU233" s="571"/>
      <c r="FV233" s="571"/>
      <c r="FW233" s="571"/>
      <c r="FX233" s="571"/>
      <c r="FY233" s="571"/>
      <c r="FZ233" s="571"/>
      <c r="GA233" s="571"/>
      <c r="GB233" s="571"/>
      <c r="GC233" s="571"/>
      <c r="GD233" s="571"/>
      <c r="GE233" s="571"/>
      <c r="GF233" s="571"/>
      <c r="GG233" s="571"/>
      <c r="GH233" s="571"/>
      <c r="GI233" s="571"/>
      <c r="GJ233" s="571"/>
      <c r="GK233" s="571"/>
      <c r="GL233" s="571"/>
      <c r="GM233" s="571"/>
      <c r="GN233" s="571"/>
      <c r="GO233" s="571"/>
      <c r="GP233" s="571"/>
      <c r="GQ233" s="571"/>
      <c r="GR233" s="571"/>
      <c r="GS233" s="571"/>
      <c r="GT233" s="571"/>
      <c r="GU233" s="571"/>
      <c r="GV233" s="571"/>
      <c r="GW233" s="571"/>
      <c r="GX233" s="571"/>
      <c r="GY233" s="571"/>
      <c r="GZ233" s="571"/>
      <c r="HA233" s="571"/>
      <c r="HB233" s="571"/>
      <c r="HC233" s="571"/>
      <c r="HD233" s="571"/>
      <c r="HE233" s="571"/>
      <c r="HF233" s="571"/>
      <c r="HG233" s="571"/>
      <c r="HH233" s="571"/>
      <c r="HI233" s="571"/>
      <c r="HJ233" s="571"/>
      <c r="HK233" s="571"/>
      <c r="HL233" s="571"/>
      <c r="HM233" s="571"/>
      <c r="HN233" s="571"/>
      <c r="HO233" s="571"/>
      <c r="HP233" s="571"/>
      <c r="HQ233" s="571"/>
      <c r="HR233" s="571"/>
      <c r="HS233" s="571"/>
      <c r="HT233" s="571"/>
      <c r="HU233" s="571"/>
      <c r="HV233" s="571"/>
      <c r="HW233" s="571"/>
      <c r="HX233" s="571"/>
      <c r="HY233" s="571"/>
      <c r="HZ233" s="571"/>
      <c r="IA233" s="571"/>
      <c r="IB233" s="571"/>
      <c r="IC233" s="571"/>
      <c r="ID233" s="571"/>
      <c r="IE233" s="571"/>
      <c r="IF233" s="571"/>
      <c r="IG233" s="571"/>
      <c r="IH233" s="571"/>
      <c r="II233" s="571"/>
      <c r="IJ233" s="571"/>
      <c r="IK233" s="571"/>
      <c r="IL233" s="571"/>
      <c r="IM233" s="571"/>
      <c r="IN233" s="571"/>
      <c r="IO233" s="571"/>
    </row>
    <row r="234" spans="1:249" s="528" customFormat="1">
      <c r="A234" s="555"/>
      <c r="B234" s="555"/>
      <c r="C234" s="556"/>
      <c r="D234" s="557">
        <v>93.35</v>
      </c>
      <c r="E234" s="556"/>
      <c r="F234" s="559">
        <f>ROUND(474218/1.05,2)</f>
        <v>451636.19</v>
      </c>
      <c r="G234" s="562">
        <v>42673</v>
      </c>
      <c r="H234" s="561">
        <f t="shared" si="18"/>
        <v>4838.0952329941083</v>
      </c>
      <c r="I234" s="564" t="s">
        <v>92</v>
      </c>
      <c r="J234" s="565">
        <v>78.599999999999994</v>
      </c>
      <c r="K234" s="566">
        <v>93.35</v>
      </c>
      <c r="L234" s="567">
        <f>F234</f>
        <v>451636.19</v>
      </c>
      <c r="M234" s="561">
        <f t="shared" si="17"/>
        <v>93.35</v>
      </c>
      <c r="N234" s="561">
        <f t="shared" si="19"/>
        <v>451636.19</v>
      </c>
      <c r="O234" s="568"/>
      <c r="P234" s="561">
        <f t="shared" si="16"/>
        <v>0</v>
      </c>
      <c r="Q234" s="569"/>
      <c r="R234" s="570" t="s">
        <v>93</v>
      </c>
      <c r="S234" s="571"/>
      <c r="T234" s="571"/>
      <c r="U234" s="571"/>
      <c r="V234" s="571"/>
      <c r="W234" s="571"/>
      <c r="X234" s="571"/>
      <c r="Y234" s="571"/>
      <c r="Z234" s="571"/>
      <c r="AA234" s="571"/>
      <c r="AB234" s="571"/>
      <c r="AC234" s="571"/>
      <c r="AD234" s="571"/>
      <c r="AE234" s="571"/>
      <c r="AF234" s="571"/>
      <c r="AG234" s="571"/>
      <c r="AH234" s="571"/>
      <c r="AI234" s="571"/>
      <c r="AJ234" s="571"/>
      <c r="AK234" s="571"/>
      <c r="AL234" s="571"/>
      <c r="AM234" s="571"/>
      <c r="AN234" s="571"/>
      <c r="AO234" s="571"/>
      <c r="AP234" s="571"/>
      <c r="AQ234" s="571"/>
      <c r="AR234" s="571"/>
      <c r="AS234" s="571"/>
      <c r="AT234" s="571"/>
      <c r="AU234" s="571"/>
      <c r="AV234" s="571"/>
      <c r="AW234" s="571"/>
      <c r="AX234" s="571"/>
      <c r="AY234" s="571"/>
      <c r="AZ234" s="571"/>
      <c r="BA234" s="571"/>
      <c r="BB234" s="571"/>
      <c r="BC234" s="571"/>
      <c r="BD234" s="571"/>
      <c r="BE234" s="571"/>
      <c r="BF234" s="571"/>
      <c r="BG234" s="571"/>
      <c r="BH234" s="571"/>
      <c r="BI234" s="571"/>
      <c r="BJ234" s="571"/>
      <c r="BK234" s="571"/>
      <c r="BL234" s="571"/>
      <c r="BM234" s="571"/>
      <c r="BN234" s="571"/>
      <c r="BO234" s="571"/>
      <c r="BP234" s="571"/>
      <c r="BQ234" s="571"/>
      <c r="BR234" s="571"/>
      <c r="BS234" s="571"/>
      <c r="BT234" s="571"/>
      <c r="BU234" s="571"/>
      <c r="BV234" s="571"/>
      <c r="BW234" s="571"/>
      <c r="BX234" s="571"/>
      <c r="BY234" s="571"/>
      <c r="BZ234" s="571"/>
      <c r="CA234" s="571"/>
      <c r="CB234" s="571"/>
      <c r="CC234" s="571"/>
      <c r="CD234" s="571"/>
      <c r="CE234" s="571"/>
      <c r="CF234" s="571"/>
      <c r="CG234" s="571"/>
      <c r="CH234" s="571"/>
      <c r="CI234" s="571"/>
      <c r="CJ234" s="571"/>
      <c r="CK234" s="571"/>
      <c r="CL234" s="571"/>
      <c r="CM234" s="571"/>
      <c r="CN234" s="571"/>
      <c r="CO234" s="571"/>
      <c r="CP234" s="571"/>
      <c r="CQ234" s="571"/>
      <c r="CR234" s="571"/>
      <c r="CS234" s="571"/>
      <c r="CT234" s="571"/>
      <c r="CU234" s="571"/>
      <c r="CV234" s="571"/>
      <c r="CW234" s="571"/>
      <c r="CX234" s="571"/>
      <c r="CY234" s="571"/>
      <c r="CZ234" s="571"/>
      <c r="DA234" s="571"/>
      <c r="DB234" s="571"/>
      <c r="DC234" s="571"/>
      <c r="DD234" s="571"/>
      <c r="DE234" s="571"/>
      <c r="DF234" s="571"/>
      <c r="DG234" s="571"/>
      <c r="DH234" s="571"/>
      <c r="DI234" s="571"/>
      <c r="DJ234" s="571"/>
      <c r="DK234" s="571"/>
      <c r="DL234" s="571"/>
      <c r="DM234" s="571"/>
      <c r="DN234" s="571"/>
      <c r="DO234" s="571"/>
      <c r="DP234" s="571"/>
      <c r="DQ234" s="571"/>
      <c r="DR234" s="571"/>
      <c r="DS234" s="571"/>
      <c r="DT234" s="571"/>
      <c r="DU234" s="571"/>
      <c r="DV234" s="571"/>
      <c r="DW234" s="571"/>
      <c r="DX234" s="571"/>
      <c r="DY234" s="571"/>
      <c r="DZ234" s="571"/>
      <c r="EA234" s="571"/>
      <c r="EB234" s="571"/>
      <c r="EC234" s="571"/>
      <c r="ED234" s="571"/>
      <c r="EE234" s="571"/>
      <c r="EF234" s="571"/>
      <c r="EG234" s="571"/>
      <c r="EH234" s="571"/>
      <c r="EI234" s="571"/>
      <c r="EJ234" s="571"/>
      <c r="EK234" s="571"/>
      <c r="EL234" s="571"/>
      <c r="EM234" s="571"/>
      <c r="EN234" s="571"/>
      <c r="EO234" s="571"/>
      <c r="EP234" s="571"/>
      <c r="EQ234" s="571"/>
      <c r="ER234" s="571"/>
      <c r="ES234" s="571"/>
      <c r="ET234" s="571"/>
      <c r="EU234" s="571"/>
      <c r="EV234" s="571"/>
      <c r="EW234" s="571"/>
      <c r="EX234" s="571"/>
      <c r="EY234" s="571"/>
      <c r="EZ234" s="571"/>
      <c r="FA234" s="571"/>
      <c r="FB234" s="571"/>
      <c r="FC234" s="571"/>
      <c r="FD234" s="571"/>
      <c r="FE234" s="571"/>
      <c r="FF234" s="571"/>
      <c r="FG234" s="571"/>
      <c r="FH234" s="571"/>
      <c r="FI234" s="571"/>
      <c r="FJ234" s="571"/>
      <c r="FK234" s="571"/>
      <c r="FL234" s="571"/>
      <c r="FM234" s="571"/>
      <c r="FN234" s="571"/>
      <c r="FO234" s="571"/>
      <c r="FP234" s="571"/>
      <c r="FQ234" s="571"/>
      <c r="FR234" s="571"/>
      <c r="FS234" s="571"/>
      <c r="FT234" s="571"/>
      <c r="FU234" s="571"/>
      <c r="FV234" s="571"/>
      <c r="FW234" s="571"/>
      <c r="FX234" s="571"/>
      <c r="FY234" s="571"/>
      <c r="FZ234" s="571"/>
      <c r="GA234" s="571"/>
      <c r="GB234" s="571"/>
      <c r="GC234" s="571"/>
      <c r="GD234" s="571"/>
      <c r="GE234" s="571"/>
      <c r="GF234" s="571"/>
      <c r="GG234" s="571"/>
      <c r="GH234" s="571"/>
      <c r="GI234" s="571"/>
      <c r="GJ234" s="571"/>
      <c r="GK234" s="571"/>
      <c r="GL234" s="571"/>
      <c r="GM234" s="571"/>
      <c r="GN234" s="571"/>
      <c r="GO234" s="571"/>
      <c r="GP234" s="571"/>
      <c r="GQ234" s="571"/>
      <c r="GR234" s="571"/>
      <c r="GS234" s="571"/>
      <c r="GT234" s="571"/>
      <c r="GU234" s="571"/>
      <c r="GV234" s="571"/>
      <c r="GW234" s="571"/>
      <c r="GX234" s="571"/>
      <c r="GY234" s="571"/>
      <c r="GZ234" s="571"/>
      <c r="HA234" s="571"/>
      <c r="HB234" s="571"/>
      <c r="HC234" s="571"/>
      <c r="HD234" s="571"/>
      <c r="HE234" s="571"/>
      <c r="HF234" s="571"/>
      <c r="HG234" s="571"/>
      <c r="HH234" s="571"/>
      <c r="HI234" s="571"/>
      <c r="HJ234" s="571"/>
      <c r="HK234" s="571"/>
      <c r="HL234" s="571"/>
      <c r="HM234" s="571"/>
      <c r="HN234" s="571"/>
      <c r="HO234" s="571"/>
      <c r="HP234" s="571"/>
      <c r="HQ234" s="571"/>
      <c r="HR234" s="571"/>
      <c r="HS234" s="571"/>
      <c r="HT234" s="571"/>
      <c r="HU234" s="571"/>
      <c r="HV234" s="571"/>
      <c r="HW234" s="571"/>
      <c r="HX234" s="571"/>
      <c r="HY234" s="571"/>
      <c r="HZ234" s="571"/>
      <c r="IA234" s="571"/>
      <c r="IB234" s="571"/>
      <c r="IC234" s="571"/>
      <c r="ID234" s="571"/>
      <c r="IE234" s="571"/>
      <c r="IF234" s="571"/>
      <c r="IG234" s="571"/>
      <c r="IH234" s="571"/>
      <c r="II234" s="571"/>
      <c r="IJ234" s="571"/>
      <c r="IK234" s="571"/>
      <c r="IL234" s="571"/>
      <c r="IM234" s="571"/>
      <c r="IN234" s="571"/>
      <c r="IO234" s="571"/>
    </row>
    <row r="235" spans="1:249" ht="24">
      <c r="A235" s="520"/>
      <c r="B235" s="520"/>
      <c r="C235" s="238"/>
      <c r="D235" s="358">
        <v>91.15</v>
      </c>
      <c r="E235" s="238"/>
      <c r="F235" s="525">
        <v>343528</v>
      </c>
      <c r="G235" s="521">
        <v>40382</v>
      </c>
      <c r="H235" s="540">
        <f t="shared" si="18"/>
        <v>3680</v>
      </c>
      <c r="I235" s="260" t="s">
        <v>90</v>
      </c>
      <c r="J235" s="542">
        <v>78.599999999999994</v>
      </c>
      <c r="K235" s="526">
        <v>93.35</v>
      </c>
      <c r="L235" s="367">
        <v>343528</v>
      </c>
      <c r="M235" s="540">
        <f t="shared" si="17"/>
        <v>93.35</v>
      </c>
      <c r="N235" s="540">
        <f t="shared" si="19"/>
        <v>343528</v>
      </c>
      <c r="O235" s="546"/>
      <c r="P235" s="540">
        <f t="shared" si="16"/>
        <v>0</v>
      </c>
      <c r="Q235" s="551">
        <f t="shared" si="20"/>
        <v>0</v>
      </c>
      <c r="R235" s="283"/>
    </row>
    <row r="236" spans="1:249">
      <c r="A236" s="520"/>
      <c r="B236" s="520"/>
      <c r="C236" s="238"/>
      <c r="D236" s="358">
        <v>91.15</v>
      </c>
      <c r="E236" s="238"/>
      <c r="F236" s="525">
        <v>342221</v>
      </c>
      <c r="G236" s="521">
        <v>40383</v>
      </c>
      <c r="H236" s="540">
        <f t="shared" si="18"/>
        <v>3665.9989287627213</v>
      </c>
      <c r="I236" s="260" t="s">
        <v>92</v>
      </c>
      <c r="J236" s="542">
        <v>78.599999999999994</v>
      </c>
      <c r="K236" s="526">
        <v>93.35</v>
      </c>
      <c r="L236" s="367">
        <v>342221</v>
      </c>
      <c r="M236" s="540">
        <f t="shared" si="17"/>
        <v>93.35</v>
      </c>
      <c r="N236" s="540">
        <f t="shared" si="19"/>
        <v>342221</v>
      </c>
      <c r="O236" s="546"/>
      <c r="P236" s="540">
        <f t="shared" si="16"/>
        <v>0</v>
      </c>
      <c r="Q236" s="551">
        <f t="shared" si="20"/>
        <v>0</v>
      </c>
      <c r="R236" s="283"/>
    </row>
    <row r="237" spans="1:249">
      <c r="A237" s="520"/>
      <c r="B237" s="520"/>
      <c r="C237" s="238"/>
      <c r="D237" s="358">
        <v>93.35</v>
      </c>
      <c r="E237" s="238"/>
      <c r="F237" s="525">
        <v>503343</v>
      </c>
      <c r="G237" s="521">
        <v>41404</v>
      </c>
      <c r="H237" s="540">
        <f t="shared" si="18"/>
        <v>5391.9978575254418</v>
      </c>
      <c r="I237" s="260" t="s">
        <v>92</v>
      </c>
      <c r="J237" s="542">
        <v>78.599999999999994</v>
      </c>
      <c r="K237" s="526">
        <v>93.35</v>
      </c>
      <c r="L237" s="367">
        <v>503343</v>
      </c>
      <c r="M237" s="540">
        <f t="shared" si="17"/>
        <v>93.35</v>
      </c>
      <c r="N237" s="540">
        <f t="shared" si="19"/>
        <v>503343</v>
      </c>
      <c r="O237" s="546"/>
      <c r="P237" s="540">
        <f t="shared" si="16"/>
        <v>0</v>
      </c>
      <c r="Q237" s="551">
        <f t="shared" si="20"/>
        <v>0</v>
      </c>
      <c r="R237" s="283"/>
    </row>
    <row r="238" spans="1:249" ht="24">
      <c r="A238" s="520"/>
      <c r="B238" s="520"/>
      <c r="C238" s="238"/>
      <c r="D238" s="358">
        <v>93.35</v>
      </c>
      <c r="E238" s="238"/>
      <c r="F238" s="525">
        <v>509318</v>
      </c>
      <c r="G238" s="521">
        <v>41347</v>
      </c>
      <c r="H238" s="540">
        <f t="shared" si="18"/>
        <v>5456.0042849491165</v>
      </c>
      <c r="I238" s="260" t="s">
        <v>90</v>
      </c>
      <c r="J238" s="542">
        <v>78.599999999999994</v>
      </c>
      <c r="K238" s="526">
        <v>93.35</v>
      </c>
      <c r="L238" s="367">
        <v>509318</v>
      </c>
      <c r="M238" s="540">
        <f t="shared" si="17"/>
        <v>93.35</v>
      </c>
      <c r="N238" s="540">
        <f t="shared" si="19"/>
        <v>509318</v>
      </c>
      <c r="O238" s="546"/>
      <c r="P238" s="540">
        <f t="shared" si="16"/>
        <v>0</v>
      </c>
      <c r="Q238" s="551">
        <f t="shared" si="20"/>
        <v>0</v>
      </c>
      <c r="R238" s="283"/>
    </row>
    <row r="239" spans="1:249">
      <c r="A239" s="520"/>
      <c r="B239" s="520"/>
      <c r="C239" s="238"/>
      <c r="D239" s="358">
        <v>91.15</v>
      </c>
      <c r="E239" s="238"/>
      <c r="F239" s="525">
        <v>375267</v>
      </c>
      <c r="G239" s="521">
        <v>40440</v>
      </c>
      <c r="H239" s="540">
        <f t="shared" si="18"/>
        <v>4020.0000000000005</v>
      </c>
      <c r="I239" s="260" t="s">
        <v>91</v>
      </c>
      <c r="J239" s="542">
        <v>78.599999999999994</v>
      </c>
      <c r="K239" s="526">
        <v>93.35</v>
      </c>
      <c r="L239" s="367">
        <v>375267</v>
      </c>
      <c r="M239" s="540">
        <f t="shared" si="17"/>
        <v>93.35</v>
      </c>
      <c r="N239" s="540">
        <f t="shared" si="19"/>
        <v>375267</v>
      </c>
      <c r="O239" s="546"/>
      <c r="P239" s="540">
        <f t="shared" si="16"/>
        <v>0</v>
      </c>
      <c r="Q239" s="551">
        <f t="shared" si="20"/>
        <v>0</v>
      </c>
      <c r="R239" s="283"/>
    </row>
    <row r="240" spans="1:249">
      <c r="A240" s="520"/>
      <c r="B240" s="520"/>
      <c r="C240" s="238"/>
      <c r="D240" s="358">
        <v>91.15</v>
      </c>
      <c r="E240" s="238"/>
      <c r="F240" s="525">
        <v>380868</v>
      </c>
      <c r="G240" s="521">
        <v>40388</v>
      </c>
      <c r="H240" s="540">
        <f t="shared" si="18"/>
        <v>4080.0000000000005</v>
      </c>
      <c r="I240" s="260" t="s">
        <v>91</v>
      </c>
      <c r="J240" s="542">
        <v>78.599999999999994</v>
      </c>
      <c r="K240" s="526">
        <v>93.35</v>
      </c>
      <c r="L240" s="367">
        <v>380868</v>
      </c>
      <c r="M240" s="540">
        <f t="shared" si="17"/>
        <v>93.35</v>
      </c>
      <c r="N240" s="540">
        <f t="shared" si="19"/>
        <v>380868</v>
      </c>
      <c r="O240" s="546"/>
      <c r="P240" s="540">
        <f t="shared" si="16"/>
        <v>0</v>
      </c>
      <c r="Q240" s="551">
        <f t="shared" si="20"/>
        <v>0</v>
      </c>
      <c r="R240" s="283"/>
    </row>
    <row r="241" spans="1:249">
      <c r="A241" s="520"/>
      <c r="B241" s="520"/>
      <c r="C241" s="238"/>
      <c r="D241" s="358">
        <v>91.15</v>
      </c>
      <c r="E241" s="238"/>
      <c r="F241" s="525">
        <v>386469</v>
      </c>
      <c r="G241" s="521">
        <v>40382</v>
      </c>
      <c r="H241" s="540">
        <f t="shared" si="18"/>
        <v>4140</v>
      </c>
      <c r="I241" s="260" t="s">
        <v>91</v>
      </c>
      <c r="J241" s="542">
        <v>78.599999999999994</v>
      </c>
      <c r="K241" s="526">
        <v>93.35</v>
      </c>
      <c r="L241" s="367">
        <v>386469</v>
      </c>
      <c r="M241" s="540">
        <f t="shared" si="17"/>
        <v>93.35</v>
      </c>
      <c r="N241" s="540">
        <f t="shared" si="19"/>
        <v>386469</v>
      </c>
      <c r="O241" s="546"/>
      <c r="P241" s="540">
        <f t="shared" si="16"/>
        <v>0</v>
      </c>
      <c r="Q241" s="551">
        <f t="shared" si="20"/>
        <v>0</v>
      </c>
      <c r="R241" s="283"/>
    </row>
    <row r="242" spans="1:249">
      <c r="A242" s="520"/>
      <c r="B242" s="520"/>
      <c r="C242" s="238"/>
      <c r="D242" s="358">
        <v>91.15</v>
      </c>
      <c r="E242" s="238"/>
      <c r="F242" s="525">
        <v>392070</v>
      </c>
      <c r="G242" s="521">
        <v>40392</v>
      </c>
      <c r="H242" s="540">
        <f t="shared" si="18"/>
        <v>4200</v>
      </c>
      <c r="I242" s="260" t="s">
        <v>92</v>
      </c>
      <c r="J242" s="542">
        <v>78.599999999999994</v>
      </c>
      <c r="K242" s="526">
        <v>93.35</v>
      </c>
      <c r="L242" s="367">
        <v>392070</v>
      </c>
      <c r="M242" s="540">
        <f t="shared" si="17"/>
        <v>93.35</v>
      </c>
      <c r="N242" s="540">
        <f t="shared" si="19"/>
        <v>392070</v>
      </c>
      <c r="O242" s="546"/>
      <c r="P242" s="540">
        <f t="shared" si="16"/>
        <v>0</v>
      </c>
      <c r="Q242" s="551">
        <f t="shared" si="20"/>
        <v>0</v>
      </c>
      <c r="R242" s="283"/>
    </row>
    <row r="243" spans="1:249">
      <c r="A243" s="520"/>
      <c r="B243" s="520"/>
      <c r="C243" s="238"/>
      <c r="D243" s="358">
        <v>91.15</v>
      </c>
      <c r="E243" s="238"/>
      <c r="F243" s="525">
        <v>397671</v>
      </c>
      <c r="G243" s="521">
        <v>40413</v>
      </c>
      <c r="H243" s="540">
        <f t="shared" si="18"/>
        <v>4260</v>
      </c>
      <c r="I243" s="260" t="s">
        <v>91</v>
      </c>
      <c r="J243" s="542">
        <v>78.599999999999994</v>
      </c>
      <c r="K243" s="526">
        <v>93.35</v>
      </c>
      <c r="L243" s="367">
        <v>397671</v>
      </c>
      <c r="M243" s="540">
        <f t="shared" si="17"/>
        <v>93.35</v>
      </c>
      <c r="N243" s="540">
        <f t="shared" si="19"/>
        <v>397671</v>
      </c>
      <c r="O243" s="546"/>
      <c r="P243" s="540">
        <f t="shared" si="16"/>
        <v>0</v>
      </c>
      <c r="Q243" s="551">
        <f t="shared" si="20"/>
        <v>0</v>
      </c>
      <c r="R243" s="283"/>
    </row>
    <row r="244" spans="1:249">
      <c r="A244" s="520"/>
      <c r="B244" s="520"/>
      <c r="C244" s="238"/>
      <c r="D244" s="358">
        <v>91.15</v>
      </c>
      <c r="E244" s="238"/>
      <c r="F244" s="525">
        <v>403272</v>
      </c>
      <c r="G244" s="521">
        <v>40390</v>
      </c>
      <c r="H244" s="540">
        <f t="shared" si="18"/>
        <v>4320</v>
      </c>
      <c r="I244" s="260" t="s">
        <v>91</v>
      </c>
      <c r="J244" s="542">
        <v>78.599999999999994</v>
      </c>
      <c r="K244" s="526">
        <v>93.35</v>
      </c>
      <c r="L244" s="367">
        <v>403272</v>
      </c>
      <c r="M244" s="540">
        <f t="shared" si="17"/>
        <v>93.35</v>
      </c>
      <c r="N244" s="540">
        <f t="shared" si="19"/>
        <v>403272</v>
      </c>
      <c r="O244" s="546"/>
      <c r="P244" s="540">
        <f t="shared" si="16"/>
        <v>0</v>
      </c>
      <c r="Q244" s="551">
        <f t="shared" si="20"/>
        <v>0</v>
      </c>
      <c r="R244" s="283"/>
    </row>
    <row r="245" spans="1:249" s="528" customFormat="1">
      <c r="A245" s="555"/>
      <c r="B245" s="555"/>
      <c r="C245" s="556"/>
      <c r="D245" s="557">
        <v>93.35</v>
      </c>
      <c r="E245" s="556"/>
      <c r="F245" s="559">
        <f>ROUND(470017/1.05,2)</f>
        <v>447635.24</v>
      </c>
      <c r="G245" s="562">
        <v>42653</v>
      </c>
      <c r="H245" s="561">
        <f t="shared" si="18"/>
        <v>4795.2355650776653</v>
      </c>
      <c r="I245" s="564" t="s">
        <v>91</v>
      </c>
      <c r="J245" s="565">
        <v>78.599999999999994</v>
      </c>
      <c r="K245" s="566">
        <v>93.35</v>
      </c>
      <c r="L245" s="567">
        <f>F245</f>
        <v>447635.24</v>
      </c>
      <c r="M245" s="561">
        <v>93.35</v>
      </c>
      <c r="N245" s="561">
        <f t="shared" si="19"/>
        <v>447635.24</v>
      </c>
      <c r="O245" s="568"/>
      <c r="P245" s="561">
        <f t="shared" si="16"/>
        <v>0</v>
      </c>
      <c r="Q245" s="569"/>
      <c r="R245" s="570" t="s">
        <v>93</v>
      </c>
      <c r="S245" s="571"/>
      <c r="T245" s="571"/>
      <c r="U245" s="571"/>
      <c r="V245" s="571"/>
      <c r="W245" s="571"/>
      <c r="X245" s="571"/>
      <c r="Y245" s="571"/>
      <c r="Z245" s="571"/>
      <c r="AA245" s="571"/>
      <c r="AB245" s="571"/>
      <c r="AC245" s="571"/>
      <c r="AD245" s="571"/>
      <c r="AE245" s="571"/>
      <c r="AF245" s="571"/>
      <c r="AG245" s="571"/>
      <c r="AH245" s="571"/>
      <c r="AI245" s="571"/>
      <c r="AJ245" s="571"/>
      <c r="AK245" s="571"/>
      <c r="AL245" s="571"/>
      <c r="AM245" s="571"/>
      <c r="AN245" s="571"/>
      <c r="AO245" s="571"/>
      <c r="AP245" s="571"/>
      <c r="AQ245" s="571"/>
      <c r="AR245" s="571"/>
      <c r="AS245" s="571"/>
      <c r="AT245" s="571"/>
      <c r="AU245" s="571"/>
      <c r="AV245" s="571"/>
      <c r="AW245" s="571"/>
      <c r="AX245" s="571"/>
      <c r="AY245" s="571"/>
      <c r="AZ245" s="571"/>
      <c r="BA245" s="571"/>
      <c r="BB245" s="571"/>
      <c r="BC245" s="571"/>
      <c r="BD245" s="571"/>
      <c r="BE245" s="571"/>
      <c r="BF245" s="571"/>
      <c r="BG245" s="571"/>
      <c r="BH245" s="571"/>
      <c r="BI245" s="571"/>
      <c r="BJ245" s="571"/>
      <c r="BK245" s="571"/>
      <c r="BL245" s="571"/>
      <c r="BM245" s="571"/>
      <c r="BN245" s="571"/>
      <c r="BO245" s="571"/>
      <c r="BP245" s="571"/>
      <c r="BQ245" s="571"/>
      <c r="BR245" s="571"/>
      <c r="BS245" s="571"/>
      <c r="BT245" s="571"/>
      <c r="BU245" s="571"/>
      <c r="BV245" s="571"/>
      <c r="BW245" s="571"/>
      <c r="BX245" s="571"/>
      <c r="BY245" s="571"/>
      <c r="BZ245" s="571"/>
      <c r="CA245" s="571"/>
      <c r="CB245" s="571"/>
      <c r="CC245" s="571"/>
      <c r="CD245" s="571"/>
      <c r="CE245" s="571"/>
      <c r="CF245" s="571"/>
      <c r="CG245" s="571"/>
      <c r="CH245" s="571"/>
      <c r="CI245" s="571"/>
      <c r="CJ245" s="571"/>
      <c r="CK245" s="571"/>
      <c r="CL245" s="571"/>
      <c r="CM245" s="571"/>
      <c r="CN245" s="571"/>
      <c r="CO245" s="571"/>
      <c r="CP245" s="571"/>
      <c r="CQ245" s="571"/>
      <c r="CR245" s="571"/>
      <c r="CS245" s="571"/>
      <c r="CT245" s="571"/>
      <c r="CU245" s="571"/>
      <c r="CV245" s="571"/>
      <c r="CW245" s="571"/>
      <c r="CX245" s="571"/>
      <c r="CY245" s="571"/>
      <c r="CZ245" s="571"/>
      <c r="DA245" s="571"/>
      <c r="DB245" s="571"/>
      <c r="DC245" s="571"/>
      <c r="DD245" s="571"/>
      <c r="DE245" s="571"/>
      <c r="DF245" s="571"/>
      <c r="DG245" s="571"/>
      <c r="DH245" s="571"/>
      <c r="DI245" s="571"/>
      <c r="DJ245" s="571"/>
      <c r="DK245" s="571"/>
      <c r="DL245" s="571"/>
      <c r="DM245" s="571"/>
      <c r="DN245" s="571"/>
      <c r="DO245" s="571"/>
      <c r="DP245" s="571"/>
      <c r="DQ245" s="571"/>
      <c r="DR245" s="571"/>
      <c r="DS245" s="571"/>
      <c r="DT245" s="571"/>
      <c r="DU245" s="571"/>
      <c r="DV245" s="571"/>
      <c r="DW245" s="571"/>
      <c r="DX245" s="571"/>
      <c r="DY245" s="571"/>
      <c r="DZ245" s="571"/>
      <c r="EA245" s="571"/>
      <c r="EB245" s="571"/>
      <c r="EC245" s="571"/>
      <c r="ED245" s="571"/>
      <c r="EE245" s="571"/>
      <c r="EF245" s="571"/>
      <c r="EG245" s="571"/>
      <c r="EH245" s="571"/>
      <c r="EI245" s="571"/>
      <c r="EJ245" s="571"/>
      <c r="EK245" s="571"/>
      <c r="EL245" s="571"/>
      <c r="EM245" s="571"/>
      <c r="EN245" s="571"/>
      <c r="EO245" s="571"/>
      <c r="EP245" s="571"/>
      <c r="EQ245" s="571"/>
      <c r="ER245" s="571"/>
      <c r="ES245" s="571"/>
      <c r="ET245" s="571"/>
      <c r="EU245" s="571"/>
      <c r="EV245" s="571"/>
      <c r="EW245" s="571"/>
      <c r="EX245" s="571"/>
      <c r="EY245" s="571"/>
      <c r="EZ245" s="571"/>
      <c r="FA245" s="571"/>
      <c r="FB245" s="571"/>
      <c r="FC245" s="571"/>
      <c r="FD245" s="571"/>
      <c r="FE245" s="571"/>
      <c r="FF245" s="571"/>
      <c r="FG245" s="571"/>
      <c r="FH245" s="571"/>
      <c r="FI245" s="571"/>
      <c r="FJ245" s="571"/>
      <c r="FK245" s="571"/>
      <c r="FL245" s="571"/>
      <c r="FM245" s="571"/>
      <c r="FN245" s="571"/>
      <c r="FO245" s="571"/>
      <c r="FP245" s="571"/>
      <c r="FQ245" s="571"/>
      <c r="FR245" s="571"/>
      <c r="FS245" s="571"/>
      <c r="FT245" s="571"/>
      <c r="FU245" s="571"/>
      <c r="FV245" s="571"/>
      <c r="FW245" s="571"/>
      <c r="FX245" s="571"/>
      <c r="FY245" s="571"/>
      <c r="FZ245" s="571"/>
      <c r="GA245" s="571"/>
      <c r="GB245" s="571"/>
      <c r="GC245" s="571"/>
      <c r="GD245" s="571"/>
      <c r="GE245" s="571"/>
      <c r="GF245" s="571"/>
      <c r="GG245" s="571"/>
      <c r="GH245" s="571"/>
      <c r="GI245" s="571"/>
      <c r="GJ245" s="571"/>
      <c r="GK245" s="571"/>
      <c r="GL245" s="571"/>
      <c r="GM245" s="571"/>
      <c r="GN245" s="571"/>
      <c r="GO245" s="571"/>
      <c r="GP245" s="571"/>
      <c r="GQ245" s="571"/>
      <c r="GR245" s="571"/>
      <c r="GS245" s="571"/>
      <c r="GT245" s="571"/>
      <c r="GU245" s="571"/>
      <c r="GV245" s="571"/>
      <c r="GW245" s="571"/>
      <c r="GX245" s="571"/>
      <c r="GY245" s="571"/>
      <c r="GZ245" s="571"/>
      <c r="HA245" s="571"/>
      <c r="HB245" s="571"/>
      <c r="HC245" s="571"/>
      <c r="HD245" s="571"/>
      <c r="HE245" s="571"/>
      <c r="HF245" s="571"/>
      <c r="HG245" s="571"/>
      <c r="HH245" s="571"/>
      <c r="HI245" s="571"/>
      <c r="HJ245" s="571"/>
      <c r="HK245" s="571"/>
      <c r="HL245" s="571"/>
      <c r="HM245" s="571"/>
      <c r="HN245" s="571"/>
      <c r="HO245" s="571"/>
      <c r="HP245" s="571"/>
      <c r="HQ245" s="571"/>
      <c r="HR245" s="571"/>
      <c r="HS245" s="571"/>
      <c r="HT245" s="571"/>
      <c r="HU245" s="571"/>
      <c r="HV245" s="571"/>
      <c r="HW245" s="571"/>
      <c r="HX245" s="571"/>
      <c r="HY245" s="571"/>
      <c r="HZ245" s="571"/>
      <c r="IA245" s="571"/>
      <c r="IB245" s="571"/>
      <c r="IC245" s="571"/>
      <c r="ID245" s="571"/>
      <c r="IE245" s="571"/>
      <c r="IF245" s="571"/>
      <c r="IG245" s="571"/>
      <c r="IH245" s="571"/>
      <c r="II245" s="571"/>
      <c r="IJ245" s="571"/>
      <c r="IK245" s="571"/>
      <c r="IL245" s="571"/>
      <c r="IM245" s="571"/>
      <c r="IN245" s="571"/>
      <c r="IO245" s="571"/>
    </row>
    <row r="246" spans="1:249" ht="24">
      <c r="A246" s="520"/>
      <c r="B246" s="520"/>
      <c r="C246" s="238"/>
      <c r="D246" s="358">
        <v>77.81</v>
      </c>
      <c r="E246" s="238"/>
      <c r="F246" s="525">
        <v>387494</v>
      </c>
      <c r="G246" s="521">
        <v>41308</v>
      </c>
      <c r="H246" s="540">
        <f t="shared" si="18"/>
        <v>4980.0025703637066</v>
      </c>
      <c r="I246" s="260" t="s">
        <v>90</v>
      </c>
      <c r="J246" s="542">
        <v>65.510000000000005</v>
      </c>
      <c r="K246" s="526">
        <v>77.81</v>
      </c>
      <c r="L246" s="367">
        <v>387494</v>
      </c>
      <c r="M246" s="540">
        <f t="shared" si="17"/>
        <v>77.81</v>
      </c>
      <c r="N246" s="540">
        <f t="shared" si="19"/>
        <v>387494</v>
      </c>
      <c r="O246" s="546"/>
      <c r="P246" s="540">
        <f t="shared" si="16"/>
        <v>0</v>
      </c>
      <c r="Q246" s="551">
        <f t="shared" si="20"/>
        <v>0</v>
      </c>
      <c r="R246" s="283"/>
    </row>
    <row r="247" spans="1:249">
      <c r="A247" s="520"/>
      <c r="B247" s="520"/>
      <c r="C247" s="238"/>
      <c r="D247" s="358">
        <v>77.53</v>
      </c>
      <c r="E247" s="238"/>
      <c r="F247" s="525">
        <v>456646</v>
      </c>
      <c r="G247" s="521">
        <v>40665</v>
      </c>
      <c r="H247" s="540">
        <f t="shared" si="18"/>
        <v>5868.7315255108597</v>
      </c>
      <c r="I247" s="260" t="s">
        <v>91</v>
      </c>
      <c r="J247" s="542">
        <v>65.510000000000005</v>
      </c>
      <c r="K247" s="526">
        <v>77.81</v>
      </c>
      <c r="L247" s="367">
        <v>456646</v>
      </c>
      <c r="M247" s="540">
        <f t="shared" si="17"/>
        <v>77.81</v>
      </c>
      <c r="N247" s="540">
        <f t="shared" si="19"/>
        <v>456646</v>
      </c>
      <c r="O247" s="546"/>
      <c r="P247" s="540">
        <f t="shared" si="16"/>
        <v>0</v>
      </c>
      <c r="Q247" s="551">
        <f t="shared" si="20"/>
        <v>0</v>
      </c>
      <c r="R247" s="283"/>
    </row>
    <row r="248" spans="1:249">
      <c r="A248" s="520"/>
      <c r="B248" s="520"/>
      <c r="C248" s="238"/>
      <c r="D248" s="358">
        <v>77.53</v>
      </c>
      <c r="E248" s="238"/>
      <c r="F248" s="525">
        <v>267666</v>
      </c>
      <c r="G248" s="521">
        <v>40387</v>
      </c>
      <c r="H248" s="540">
        <f t="shared" si="18"/>
        <v>3439.9948592725868</v>
      </c>
      <c r="I248" s="260" t="s">
        <v>91</v>
      </c>
      <c r="J248" s="542">
        <v>65.510000000000005</v>
      </c>
      <c r="K248" s="526">
        <v>77.81</v>
      </c>
      <c r="L248" s="367">
        <v>267666</v>
      </c>
      <c r="M248" s="540">
        <f t="shared" si="17"/>
        <v>77.81</v>
      </c>
      <c r="N248" s="540">
        <f>F248</f>
        <v>267666</v>
      </c>
      <c r="O248" s="546"/>
      <c r="P248" s="540">
        <f t="shared" si="16"/>
        <v>0</v>
      </c>
      <c r="Q248" s="551">
        <f t="shared" si="20"/>
        <v>3439.9948592725868</v>
      </c>
      <c r="R248" s="283"/>
    </row>
    <row r="249" spans="1:249">
      <c r="A249" s="520"/>
      <c r="B249" s="520"/>
      <c r="C249" s="238"/>
      <c r="D249" s="358">
        <v>77.53</v>
      </c>
      <c r="E249" s="238"/>
      <c r="F249" s="525">
        <v>301903</v>
      </c>
      <c r="G249" s="521">
        <v>40364</v>
      </c>
      <c r="H249" s="540">
        <f t="shared" si="18"/>
        <v>3880.0025703637061</v>
      </c>
      <c r="I249" s="260" t="s">
        <v>91</v>
      </c>
      <c r="J249" s="542">
        <v>65.510000000000005</v>
      </c>
      <c r="K249" s="526">
        <v>77.81</v>
      </c>
      <c r="L249" s="367">
        <v>301903</v>
      </c>
      <c r="M249" s="540">
        <f t="shared" si="17"/>
        <v>77.81</v>
      </c>
      <c r="N249" s="540">
        <f t="shared" si="19"/>
        <v>301903</v>
      </c>
      <c r="O249" s="546"/>
      <c r="P249" s="540">
        <f t="shared" si="16"/>
        <v>0</v>
      </c>
      <c r="Q249" s="551">
        <f t="shared" si="20"/>
        <v>0</v>
      </c>
      <c r="R249" s="283"/>
    </row>
    <row r="250" spans="1:249">
      <c r="A250" s="520"/>
      <c r="B250" s="520"/>
      <c r="C250" s="238"/>
      <c r="D250" s="358">
        <v>77.81</v>
      </c>
      <c r="E250" s="238"/>
      <c r="F250" s="525">
        <v>440249</v>
      </c>
      <c r="G250" s="521">
        <v>41015</v>
      </c>
      <c r="H250" s="540">
        <f t="shared" si="18"/>
        <v>5658.0002570363704</v>
      </c>
      <c r="I250" s="260" t="s">
        <v>92</v>
      </c>
      <c r="J250" s="542">
        <v>65.510000000000005</v>
      </c>
      <c r="K250" s="526">
        <v>77.81</v>
      </c>
      <c r="L250" s="367">
        <v>440249</v>
      </c>
      <c r="M250" s="540">
        <f t="shared" si="17"/>
        <v>77.81</v>
      </c>
      <c r="N250" s="540">
        <f t="shared" si="19"/>
        <v>440249</v>
      </c>
      <c r="O250" s="546"/>
      <c r="P250" s="540">
        <f t="shared" ref="P250:P316" si="21">N250-F250</f>
        <v>0</v>
      </c>
      <c r="Q250" s="551">
        <f t="shared" si="20"/>
        <v>0</v>
      </c>
      <c r="R250" s="283"/>
    </row>
    <row r="251" spans="1:249">
      <c r="A251" s="520"/>
      <c r="B251" s="520"/>
      <c r="C251" s="238"/>
      <c r="D251" s="358">
        <v>77.81</v>
      </c>
      <c r="E251" s="238"/>
      <c r="F251" s="525">
        <v>445384</v>
      </c>
      <c r="G251" s="521">
        <v>41025</v>
      </c>
      <c r="H251" s="540">
        <f t="shared" si="18"/>
        <v>5723.9943451998452</v>
      </c>
      <c r="I251" s="260" t="s">
        <v>91</v>
      </c>
      <c r="J251" s="542">
        <v>65.510000000000005</v>
      </c>
      <c r="K251" s="526">
        <v>77.81</v>
      </c>
      <c r="L251" s="367">
        <v>445384</v>
      </c>
      <c r="M251" s="540">
        <f t="shared" si="17"/>
        <v>77.81</v>
      </c>
      <c r="N251" s="540">
        <f t="shared" si="19"/>
        <v>445384</v>
      </c>
      <c r="O251" s="546"/>
      <c r="P251" s="540">
        <f t="shared" si="21"/>
        <v>0</v>
      </c>
      <c r="Q251" s="551">
        <f t="shared" si="20"/>
        <v>0</v>
      </c>
      <c r="R251" s="283"/>
    </row>
    <row r="252" spans="1:249">
      <c r="A252" s="520"/>
      <c r="B252" s="520"/>
      <c r="C252" s="238"/>
      <c r="D252" s="358">
        <v>77.81</v>
      </c>
      <c r="E252" s="238"/>
      <c r="F252" s="525">
        <v>420174</v>
      </c>
      <c r="G252" s="521">
        <v>41014</v>
      </c>
      <c r="H252" s="540">
        <f t="shared" si="18"/>
        <v>5400</v>
      </c>
      <c r="I252" s="260" t="s">
        <v>92</v>
      </c>
      <c r="J252" s="542">
        <v>65.510000000000005</v>
      </c>
      <c r="K252" s="526">
        <v>77.81</v>
      </c>
      <c r="L252" s="367">
        <v>420174</v>
      </c>
      <c r="M252" s="540">
        <f t="shared" si="17"/>
        <v>77.81</v>
      </c>
      <c r="N252" s="540">
        <f t="shared" si="19"/>
        <v>420174</v>
      </c>
      <c r="O252" s="546"/>
      <c r="P252" s="540">
        <f t="shared" si="21"/>
        <v>0</v>
      </c>
      <c r="Q252" s="551">
        <f t="shared" si="20"/>
        <v>0</v>
      </c>
      <c r="R252" s="283"/>
    </row>
    <row r="253" spans="1:249" ht="24">
      <c r="A253" s="520"/>
      <c r="B253" s="520"/>
      <c r="C253" s="238"/>
      <c r="D253" s="358">
        <v>77.81</v>
      </c>
      <c r="E253" s="238"/>
      <c r="F253" s="525">
        <v>422508</v>
      </c>
      <c r="G253" s="521">
        <v>41029</v>
      </c>
      <c r="H253" s="540">
        <f t="shared" si="18"/>
        <v>5429.9961444544406</v>
      </c>
      <c r="I253" s="260" t="s">
        <v>90</v>
      </c>
      <c r="J253" s="542">
        <v>65.510000000000005</v>
      </c>
      <c r="K253" s="526">
        <v>77.81</v>
      </c>
      <c r="L253" s="367">
        <v>422508</v>
      </c>
      <c r="M253" s="540">
        <f t="shared" si="17"/>
        <v>77.81</v>
      </c>
      <c r="N253" s="540">
        <f t="shared" si="19"/>
        <v>422508</v>
      </c>
      <c r="O253" s="546"/>
      <c r="P253" s="540">
        <f t="shared" si="21"/>
        <v>0</v>
      </c>
      <c r="Q253" s="551">
        <f t="shared" si="20"/>
        <v>0</v>
      </c>
      <c r="R253" s="283"/>
    </row>
    <row r="254" spans="1:249">
      <c r="A254" s="520"/>
      <c r="B254" s="520"/>
      <c r="C254" s="238"/>
      <c r="D254" s="358">
        <v>77.81</v>
      </c>
      <c r="E254" s="238"/>
      <c r="F254" s="525">
        <v>449430</v>
      </c>
      <c r="G254" s="521">
        <v>40948</v>
      </c>
      <c r="H254" s="540">
        <f t="shared" si="18"/>
        <v>5775.9928029816219</v>
      </c>
      <c r="I254" s="260"/>
      <c r="J254" s="542">
        <v>65.510000000000005</v>
      </c>
      <c r="K254" s="526">
        <v>77.81</v>
      </c>
      <c r="L254" s="367">
        <v>449430</v>
      </c>
      <c r="M254" s="540">
        <f t="shared" si="17"/>
        <v>77.81</v>
      </c>
      <c r="N254" s="540">
        <f t="shared" si="19"/>
        <v>449430</v>
      </c>
      <c r="O254" s="546"/>
      <c r="P254" s="540">
        <f t="shared" si="21"/>
        <v>0</v>
      </c>
      <c r="Q254" s="551">
        <f t="shared" si="20"/>
        <v>0</v>
      </c>
      <c r="R254" s="283"/>
    </row>
    <row r="255" spans="1:249" ht="24">
      <c r="A255" s="520"/>
      <c r="B255" s="520"/>
      <c r="C255" s="238"/>
      <c r="D255" s="358">
        <v>77.81</v>
      </c>
      <c r="E255" s="238"/>
      <c r="F255" s="525">
        <v>373488</v>
      </c>
      <c r="G255" s="521">
        <v>41057</v>
      </c>
      <c r="H255" s="540">
        <f t="shared" si="18"/>
        <v>4800</v>
      </c>
      <c r="I255" s="260" t="s">
        <v>90</v>
      </c>
      <c r="J255" s="542">
        <v>65.510000000000005</v>
      </c>
      <c r="K255" s="526">
        <v>77.81</v>
      </c>
      <c r="L255" s="367">
        <v>373488</v>
      </c>
      <c r="M255" s="540">
        <f t="shared" si="17"/>
        <v>77.81</v>
      </c>
      <c r="N255" s="540">
        <f t="shared" si="19"/>
        <v>373488</v>
      </c>
      <c r="O255" s="546"/>
      <c r="P255" s="540">
        <f t="shared" si="21"/>
        <v>0</v>
      </c>
      <c r="Q255" s="551">
        <f t="shared" si="20"/>
        <v>0</v>
      </c>
      <c r="R255" s="283"/>
    </row>
    <row r="256" spans="1:249">
      <c r="A256" s="520"/>
      <c r="B256" s="520"/>
      <c r="C256" s="238"/>
      <c r="D256" s="358">
        <v>77.81</v>
      </c>
      <c r="E256" s="238"/>
      <c r="F256" s="525">
        <v>395275</v>
      </c>
      <c r="G256" s="521">
        <v>41222</v>
      </c>
      <c r="H256" s="540">
        <f t="shared" si="18"/>
        <v>5080.0025703637066</v>
      </c>
      <c r="I256" s="260" t="s">
        <v>92</v>
      </c>
      <c r="J256" s="542">
        <v>65.510000000000005</v>
      </c>
      <c r="K256" s="526">
        <v>77.81</v>
      </c>
      <c r="L256" s="367">
        <v>395275</v>
      </c>
      <c r="M256" s="540">
        <f t="shared" si="17"/>
        <v>77.81</v>
      </c>
      <c r="N256" s="540">
        <f t="shared" si="19"/>
        <v>395275</v>
      </c>
      <c r="O256" s="546"/>
      <c r="P256" s="540">
        <f t="shared" si="21"/>
        <v>0</v>
      </c>
      <c r="Q256" s="551">
        <f t="shared" si="20"/>
        <v>0</v>
      </c>
      <c r="R256" s="283"/>
    </row>
    <row r="257" spans="1:249">
      <c r="A257" s="520"/>
      <c r="B257" s="520"/>
      <c r="C257" s="238"/>
      <c r="D257" s="358">
        <v>77.53</v>
      </c>
      <c r="E257" s="238"/>
      <c r="F257" s="525">
        <v>286340</v>
      </c>
      <c r="G257" s="521">
        <v>40382</v>
      </c>
      <c r="H257" s="540">
        <f t="shared" si="18"/>
        <v>3679.9897185451741</v>
      </c>
      <c r="I257" s="260" t="s">
        <v>92</v>
      </c>
      <c r="J257" s="542">
        <v>65.510000000000005</v>
      </c>
      <c r="K257" s="526">
        <v>77.81</v>
      </c>
      <c r="L257" s="367">
        <v>286340</v>
      </c>
      <c r="M257" s="540">
        <f t="shared" si="17"/>
        <v>77.81</v>
      </c>
      <c r="N257" s="540">
        <f t="shared" si="19"/>
        <v>286340</v>
      </c>
      <c r="O257" s="546"/>
      <c r="P257" s="540">
        <f t="shared" si="21"/>
        <v>0</v>
      </c>
      <c r="Q257" s="551">
        <f t="shared" si="20"/>
        <v>0</v>
      </c>
      <c r="R257" s="283"/>
    </row>
    <row r="258" spans="1:249">
      <c r="A258" s="520"/>
      <c r="B258" s="520"/>
      <c r="C258" s="238"/>
      <c r="D258" s="358">
        <v>77.53</v>
      </c>
      <c r="E258" s="238"/>
      <c r="F258" s="525">
        <v>291009</v>
      </c>
      <c r="G258" s="521">
        <v>40383</v>
      </c>
      <c r="H258" s="540">
        <f t="shared" si="18"/>
        <v>3739.9948592725868</v>
      </c>
      <c r="I258" s="260" t="s">
        <v>91</v>
      </c>
      <c r="J258" s="542">
        <v>65.510000000000005</v>
      </c>
      <c r="K258" s="526">
        <v>77.81</v>
      </c>
      <c r="L258" s="367">
        <v>291009</v>
      </c>
      <c r="M258" s="540">
        <f t="shared" ref="M258:M324" si="22">K258</f>
        <v>77.81</v>
      </c>
      <c r="N258" s="540">
        <f t="shared" si="19"/>
        <v>291009</v>
      </c>
      <c r="O258" s="546"/>
      <c r="P258" s="540">
        <f t="shared" si="21"/>
        <v>0</v>
      </c>
      <c r="Q258" s="551">
        <f t="shared" si="20"/>
        <v>0</v>
      </c>
      <c r="R258" s="283"/>
    </row>
    <row r="259" spans="1:249">
      <c r="A259" s="520"/>
      <c r="B259" s="520"/>
      <c r="C259" s="238"/>
      <c r="D259" s="358">
        <v>77.53</v>
      </c>
      <c r="E259" s="238"/>
      <c r="F259" s="525">
        <v>295678</v>
      </c>
      <c r="G259" s="521">
        <v>40385</v>
      </c>
      <c r="H259" s="540">
        <f t="shared" si="18"/>
        <v>3800</v>
      </c>
      <c r="I259" s="260" t="s">
        <v>91</v>
      </c>
      <c r="J259" s="542">
        <v>65.510000000000005</v>
      </c>
      <c r="K259" s="526">
        <v>77.81</v>
      </c>
      <c r="L259" s="367">
        <v>295678</v>
      </c>
      <c r="M259" s="540">
        <f t="shared" si="22"/>
        <v>77.81</v>
      </c>
      <c r="N259" s="540">
        <f t="shared" si="19"/>
        <v>295678</v>
      </c>
      <c r="O259" s="546"/>
      <c r="P259" s="540">
        <f t="shared" si="21"/>
        <v>0</v>
      </c>
      <c r="Q259" s="551">
        <f t="shared" si="20"/>
        <v>0</v>
      </c>
      <c r="R259" s="283"/>
    </row>
    <row r="260" spans="1:249">
      <c r="A260" s="520"/>
      <c r="B260" s="520"/>
      <c r="C260" s="238"/>
      <c r="D260" s="358">
        <v>77.53</v>
      </c>
      <c r="E260" s="238"/>
      <c r="F260" s="525">
        <v>294589</v>
      </c>
      <c r="G260" s="521">
        <v>40375</v>
      </c>
      <c r="H260" s="540">
        <f t="shared" si="18"/>
        <v>3786.0043696183011</v>
      </c>
      <c r="I260" s="260" t="s">
        <v>92</v>
      </c>
      <c r="J260" s="542">
        <v>65.510000000000005</v>
      </c>
      <c r="K260" s="526">
        <v>77.81</v>
      </c>
      <c r="L260" s="367">
        <v>294589</v>
      </c>
      <c r="M260" s="540">
        <f t="shared" si="22"/>
        <v>77.81</v>
      </c>
      <c r="N260" s="540">
        <f t="shared" si="19"/>
        <v>294589</v>
      </c>
      <c r="O260" s="546"/>
      <c r="P260" s="540">
        <f t="shared" si="21"/>
        <v>0</v>
      </c>
      <c r="Q260" s="551">
        <f t="shared" si="20"/>
        <v>0</v>
      </c>
      <c r="R260" s="283"/>
    </row>
    <row r="261" spans="1:249">
      <c r="A261" s="520"/>
      <c r="B261" s="520"/>
      <c r="C261" s="238"/>
      <c r="D261" s="358">
        <v>77.81</v>
      </c>
      <c r="E261" s="238"/>
      <c r="F261" s="525">
        <v>470361</v>
      </c>
      <c r="G261" s="521">
        <v>40686</v>
      </c>
      <c r="H261" s="540">
        <f t="shared" si="18"/>
        <v>6044.99421668166</v>
      </c>
      <c r="I261" s="260" t="s">
        <v>92</v>
      </c>
      <c r="J261" s="542">
        <v>65.510000000000005</v>
      </c>
      <c r="K261" s="526">
        <v>77.81</v>
      </c>
      <c r="L261" s="367">
        <v>470361</v>
      </c>
      <c r="M261" s="540">
        <f t="shared" si="22"/>
        <v>77.81</v>
      </c>
      <c r="N261" s="540">
        <f t="shared" si="19"/>
        <v>470361</v>
      </c>
      <c r="O261" s="546"/>
      <c r="P261" s="540">
        <f t="shared" si="21"/>
        <v>0</v>
      </c>
      <c r="Q261" s="551">
        <f t="shared" si="20"/>
        <v>0</v>
      </c>
      <c r="R261" s="283"/>
    </row>
    <row r="262" spans="1:249">
      <c r="A262" s="520"/>
      <c r="B262" s="520"/>
      <c r="C262" s="238"/>
      <c r="D262" s="358">
        <v>77.53</v>
      </c>
      <c r="E262" s="238"/>
      <c r="F262" s="525">
        <v>303926</v>
      </c>
      <c r="G262" s="521">
        <v>40378</v>
      </c>
      <c r="H262" s="540">
        <f t="shared" si="18"/>
        <v>3906.0017992545945</v>
      </c>
      <c r="I262" s="260" t="s">
        <v>92</v>
      </c>
      <c r="J262" s="542">
        <v>65.510000000000005</v>
      </c>
      <c r="K262" s="526">
        <v>77.81</v>
      </c>
      <c r="L262" s="367">
        <v>303926</v>
      </c>
      <c r="M262" s="540">
        <f t="shared" si="22"/>
        <v>77.81</v>
      </c>
      <c r="N262" s="540">
        <f t="shared" si="19"/>
        <v>303926</v>
      </c>
      <c r="O262" s="546"/>
      <c r="P262" s="540">
        <f t="shared" si="21"/>
        <v>0</v>
      </c>
      <c r="Q262" s="551">
        <f t="shared" si="20"/>
        <v>0</v>
      </c>
      <c r="R262" s="283"/>
    </row>
    <row r="263" spans="1:249">
      <c r="A263" s="520"/>
      <c r="B263" s="520"/>
      <c r="C263" s="238"/>
      <c r="D263" s="358">
        <v>77.53</v>
      </c>
      <c r="E263" s="238"/>
      <c r="F263" s="525">
        <v>316220</v>
      </c>
      <c r="G263" s="521">
        <v>40378</v>
      </c>
      <c r="H263" s="540">
        <f t="shared" si="18"/>
        <v>4064.0020562909649</v>
      </c>
      <c r="I263" s="260" t="s">
        <v>92</v>
      </c>
      <c r="J263" s="542">
        <v>65.510000000000005</v>
      </c>
      <c r="K263" s="526">
        <v>77.81</v>
      </c>
      <c r="L263" s="367">
        <v>316220</v>
      </c>
      <c r="M263" s="540">
        <f t="shared" si="22"/>
        <v>77.81</v>
      </c>
      <c r="N263" s="540">
        <f t="shared" si="19"/>
        <v>316220</v>
      </c>
      <c r="O263" s="546"/>
      <c r="P263" s="540">
        <f t="shared" si="21"/>
        <v>0</v>
      </c>
      <c r="Q263" s="551">
        <f t="shared" si="20"/>
        <v>0</v>
      </c>
      <c r="R263" s="283"/>
    </row>
    <row r="264" spans="1:249">
      <c r="A264" s="520"/>
      <c r="B264" s="520"/>
      <c r="C264" s="238"/>
      <c r="D264" s="358">
        <v>77.53</v>
      </c>
      <c r="E264" s="238"/>
      <c r="F264" s="525">
        <v>320888</v>
      </c>
      <c r="G264" s="521">
        <v>40385</v>
      </c>
      <c r="H264" s="540">
        <f t="shared" si="18"/>
        <v>4123.9943451998461</v>
      </c>
      <c r="I264" s="260" t="s">
        <v>92</v>
      </c>
      <c r="J264" s="542">
        <v>65.510000000000005</v>
      </c>
      <c r="K264" s="526">
        <v>77.81</v>
      </c>
      <c r="L264" s="367">
        <v>320888</v>
      </c>
      <c r="M264" s="540">
        <f t="shared" si="22"/>
        <v>77.81</v>
      </c>
      <c r="N264" s="540">
        <f t="shared" si="19"/>
        <v>320888</v>
      </c>
      <c r="O264" s="546"/>
      <c r="P264" s="540">
        <f t="shared" si="21"/>
        <v>0</v>
      </c>
      <c r="Q264" s="551">
        <f t="shared" si="20"/>
        <v>0</v>
      </c>
      <c r="R264" s="283"/>
    </row>
    <row r="265" spans="1:249">
      <c r="A265" s="520"/>
      <c r="B265" s="520"/>
      <c r="C265" s="238"/>
      <c r="D265" s="358">
        <v>77.81</v>
      </c>
      <c r="E265" s="238"/>
      <c r="F265" s="525">
        <v>427955</v>
      </c>
      <c r="G265" s="521">
        <v>41090</v>
      </c>
      <c r="H265" s="540">
        <f t="shared" si="18"/>
        <v>5500</v>
      </c>
      <c r="I265" s="260" t="s">
        <v>91</v>
      </c>
      <c r="J265" s="542">
        <v>65.510000000000005</v>
      </c>
      <c r="K265" s="526">
        <v>77.81</v>
      </c>
      <c r="L265" s="367">
        <v>427955</v>
      </c>
      <c r="M265" s="540">
        <f t="shared" si="22"/>
        <v>77.81</v>
      </c>
      <c r="N265" s="540">
        <f t="shared" si="19"/>
        <v>427955</v>
      </c>
      <c r="O265" s="546"/>
      <c r="P265" s="540">
        <f t="shared" si="21"/>
        <v>0</v>
      </c>
      <c r="Q265" s="551">
        <f t="shared" si="20"/>
        <v>0</v>
      </c>
      <c r="R265" s="283"/>
    </row>
    <row r="266" spans="1:249" ht="24">
      <c r="A266" s="520"/>
      <c r="B266" s="520"/>
      <c r="C266" s="238"/>
      <c r="D266" s="358">
        <v>77.81</v>
      </c>
      <c r="E266" s="238"/>
      <c r="F266" s="525">
        <v>373488</v>
      </c>
      <c r="G266" s="521">
        <v>41075</v>
      </c>
      <c r="H266" s="540">
        <f t="shared" si="18"/>
        <v>4800</v>
      </c>
      <c r="I266" s="260" t="s">
        <v>90</v>
      </c>
      <c r="J266" s="542">
        <v>65.510000000000005</v>
      </c>
      <c r="K266" s="526">
        <v>77.81</v>
      </c>
      <c r="L266" s="367">
        <v>373488</v>
      </c>
      <c r="M266" s="540">
        <f t="shared" si="22"/>
        <v>77.81</v>
      </c>
      <c r="N266" s="540">
        <f t="shared" si="19"/>
        <v>373488</v>
      </c>
      <c r="O266" s="546"/>
      <c r="P266" s="540">
        <f t="shared" si="21"/>
        <v>0</v>
      </c>
      <c r="Q266" s="551">
        <f t="shared" si="20"/>
        <v>0</v>
      </c>
      <c r="R266" s="283"/>
    </row>
    <row r="267" spans="1:249">
      <c r="A267" s="520"/>
      <c r="B267" s="520"/>
      <c r="C267" s="238"/>
      <c r="D267" s="358">
        <v>77.81</v>
      </c>
      <c r="E267" s="238"/>
      <c r="F267" s="525">
        <v>395275</v>
      </c>
      <c r="G267" s="521">
        <v>41226</v>
      </c>
      <c r="H267" s="540">
        <f t="shared" si="18"/>
        <v>5080.0025703637066</v>
      </c>
      <c r="I267" s="260" t="s">
        <v>91</v>
      </c>
      <c r="J267" s="542">
        <v>65.510000000000005</v>
      </c>
      <c r="K267" s="526">
        <v>77.81</v>
      </c>
      <c r="L267" s="367">
        <v>395275</v>
      </c>
      <c r="M267" s="540">
        <f t="shared" si="22"/>
        <v>77.81</v>
      </c>
      <c r="N267" s="540">
        <f t="shared" si="19"/>
        <v>395275</v>
      </c>
      <c r="O267" s="546"/>
      <c r="P267" s="540">
        <f t="shared" si="21"/>
        <v>0</v>
      </c>
      <c r="Q267" s="551">
        <f t="shared" si="20"/>
        <v>0</v>
      </c>
      <c r="R267" s="283"/>
    </row>
    <row r="268" spans="1:249" ht="24">
      <c r="A268" s="520"/>
      <c r="B268" s="520"/>
      <c r="C268" s="238"/>
      <c r="D268" s="358">
        <v>91.15</v>
      </c>
      <c r="E268" s="238"/>
      <c r="F268" s="525">
        <v>336620</v>
      </c>
      <c r="G268" s="521">
        <v>40399</v>
      </c>
      <c r="H268" s="540">
        <f t="shared" si="18"/>
        <v>3605.9989287627213</v>
      </c>
      <c r="I268" s="260" t="s">
        <v>90</v>
      </c>
      <c r="J268" s="542">
        <v>78.599999999999994</v>
      </c>
      <c r="K268" s="526">
        <v>93.35</v>
      </c>
      <c r="L268" s="367">
        <v>336620</v>
      </c>
      <c r="M268" s="540">
        <f t="shared" si="22"/>
        <v>93.35</v>
      </c>
      <c r="N268" s="540">
        <f t="shared" si="19"/>
        <v>336620</v>
      </c>
      <c r="O268" s="546"/>
      <c r="P268" s="540">
        <f t="shared" si="21"/>
        <v>0</v>
      </c>
      <c r="Q268" s="551">
        <f t="shared" si="20"/>
        <v>0</v>
      </c>
      <c r="R268" s="283"/>
    </row>
    <row r="269" spans="1:249" s="528" customFormat="1" ht="24">
      <c r="A269" s="555"/>
      <c r="B269" s="555"/>
      <c r="C269" s="556"/>
      <c r="D269" s="557">
        <v>93.35</v>
      </c>
      <c r="E269" s="556"/>
      <c r="F269" s="559">
        <f>ROUND(438745/1.05,2)</f>
        <v>417852.38</v>
      </c>
      <c r="G269" s="562">
        <v>42641</v>
      </c>
      <c r="H269" s="561">
        <f t="shared" si="18"/>
        <v>4476.1904659882166</v>
      </c>
      <c r="I269" s="564" t="s">
        <v>90</v>
      </c>
      <c r="J269" s="565">
        <v>78.599999999999994</v>
      </c>
      <c r="K269" s="566">
        <v>93.35</v>
      </c>
      <c r="L269" s="567">
        <f>F269</f>
        <v>417852.38</v>
      </c>
      <c r="M269" s="561">
        <v>93.35</v>
      </c>
      <c r="N269" s="561">
        <f t="shared" si="19"/>
        <v>417852.38</v>
      </c>
      <c r="O269" s="568"/>
      <c r="P269" s="561">
        <f t="shared" si="21"/>
        <v>0</v>
      </c>
      <c r="Q269" s="569"/>
      <c r="R269" s="570" t="s">
        <v>93</v>
      </c>
      <c r="S269" s="571"/>
      <c r="T269" s="571"/>
      <c r="U269" s="571"/>
      <c r="V269" s="571"/>
      <c r="W269" s="571"/>
      <c r="X269" s="571"/>
      <c r="Y269" s="571"/>
      <c r="Z269" s="571"/>
      <c r="AA269" s="571"/>
      <c r="AB269" s="571"/>
      <c r="AC269" s="571"/>
      <c r="AD269" s="571"/>
      <c r="AE269" s="571"/>
      <c r="AF269" s="571"/>
      <c r="AG269" s="571"/>
      <c r="AH269" s="571"/>
      <c r="AI269" s="571"/>
      <c r="AJ269" s="571"/>
      <c r="AK269" s="571"/>
      <c r="AL269" s="571"/>
      <c r="AM269" s="571"/>
      <c r="AN269" s="571"/>
      <c r="AO269" s="571"/>
      <c r="AP269" s="571"/>
      <c r="AQ269" s="571"/>
      <c r="AR269" s="571"/>
      <c r="AS269" s="571"/>
      <c r="AT269" s="571"/>
      <c r="AU269" s="571"/>
      <c r="AV269" s="571"/>
      <c r="AW269" s="571"/>
      <c r="AX269" s="571"/>
      <c r="AY269" s="571"/>
      <c r="AZ269" s="571"/>
      <c r="BA269" s="571"/>
      <c r="BB269" s="571"/>
      <c r="BC269" s="571"/>
      <c r="BD269" s="571"/>
      <c r="BE269" s="571"/>
      <c r="BF269" s="571"/>
      <c r="BG269" s="571"/>
      <c r="BH269" s="571"/>
      <c r="BI269" s="571"/>
      <c r="BJ269" s="571"/>
      <c r="BK269" s="571"/>
      <c r="BL269" s="571"/>
      <c r="BM269" s="571"/>
      <c r="BN269" s="571"/>
      <c r="BO269" s="571"/>
      <c r="BP269" s="571"/>
      <c r="BQ269" s="571"/>
      <c r="BR269" s="571"/>
      <c r="BS269" s="571"/>
      <c r="BT269" s="571"/>
      <c r="BU269" s="571"/>
      <c r="BV269" s="571"/>
      <c r="BW269" s="571"/>
      <c r="BX269" s="571"/>
      <c r="BY269" s="571"/>
      <c r="BZ269" s="571"/>
      <c r="CA269" s="571"/>
      <c r="CB269" s="571"/>
      <c r="CC269" s="571"/>
      <c r="CD269" s="571"/>
      <c r="CE269" s="571"/>
      <c r="CF269" s="571"/>
      <c r="CG269" s="571"/>
      <c r="CH269" s="571"/>
      <c r="CI269" s="571"/>
      <c r="CJ269" s="571"/>
      <c r="CK269" s="571"/>
      <c r="CL269" s="571"/>
      <c r="CM269" s="571"/>
      <c r="CN269" s="571"/>
      <c r="CO269" s="571"/>
      <c r="CP269" s="571"/>
      <c r="CQ269" s="571"/>
      <c r="CR269" s="571"/>
      <c r="CS269" s="571"/>
      <c r="CT269" s="571"/>
      <c r="CU269" s="571"/>
      <c r="CV269" s="571"/>
      <c r="CW269" s="571"/>
      <c r="CX269" s="571"/>
      <c r="CY269" s="571"/>
      <c r="CZ269" s="571"/>
      <c r="DA269" s="571"/>
      <c r="DB269" s="571"/>
      <c r="DC269" s="571"/>
      <c r="DD269" s="571"/>
      <c r="DE269" s="571"/>
      <c r="DF269" s="571"/>
      <c r="DG269" s="571"/>
      <c r="DH269" s="571"/>
      <c r="DI269" s="571"/>
      <c r="DJ269" s="571"/>
      <c r="DK269" s="571"/>
      <c r="DL269" s="571"/>
      <c r="DM269" s="571"/>
      <c r="DN269" s="571"/>
      <c r="DO269" s="571"/>
      <c r="DP269" s="571"/>
      <c r="DQ269" s="571"/>
      <c r="DR269" s="571"/>
      <c r="DS269" s="571"/>
      <c r="DT269" s="571"/>
      <c r="DU269" s="571"/>
      <c r="DV269" s="571"/>
      <c r="DW269" s="571"/>
      <c r="DX269" s="571"/>
      <c r="DY269" s="571"/>
      <c r="DZ269" s="571"/>
      <c r="EA269" s="571"/>
      <c r="EB269" s="571"/>
      <c r="EC269" s="571"/>
      <c r="ED269" s="571"/>
      <c r="EE269" s="571"/>
      <c r="EF269" s="571"/>
      <c r="EG269" s="571"/>
      <c r="EH269" s="571"/>
      <c r="EI269" s="571"/>
      <c r="EJ269" s="571"/>
      <c r="EK269" s="571"/>
      <c r="EL269" s="571"/>
      <c r="EM269" s="571"/>
      <c r="EN269" s="571"/>
      <c r="EO269" s="571"/>
      <c r="EP269" s="571"/>
      <c r="EQ269" s="571"/>
      <c r="ER269" s="571"/>
      <c r="ES269" s="571"/>
      <c r="ET269" s="571"/>
      <c r="EU269" s="571"/>
      <c r="EV269" s="571"/>
      <c r="EW269" s="571"/>
      <c r="EX269" s="571"/>
      <c r="EY269" s="571"/>
      <c r="EZ269" s="571"/>
      <c r="FA269" s="571"/>
      <c r="FB269" s="571"/>
      <c r="FC269" s="571"/>
      <c r="FD269" s="571"/>
      <c r="FE269" s="571"/>
      <c r="FF269" s="571"/>
      <c r="FG269" s="571"/>
      <c r="FH269" s="571"/>
      <c r="FI269" s="571"/>
      <c r="FJ269" s="571"/>
      <c r="FK269" s="571"/>
      <c r="FL269" s="571"/>
      <c r="FM269" s="571"/>
      <c r="FN269" s="571"/>
      <c r="FO269" s="571"/>
      <c r="FP269" s="571"/>
      <c r="FQ269" s="571"/>
      <c r="FR269" s="571"/>
      <c r="FS269" s="571"/>
      <c r="FT269" s="571"/>
      <c r="FU269" s="571"/>
      <c r="FV269" s="571"/>
      <c r="FW269" s="571"/>
      <c r="FX269" s="571"/>
      <c r="FY269" s="571"/>
      <c r="FZ269" s="571"/>
      <c r="GA269" s="571"/>
      <c r="GB269" s="571"/>
      <c r="GC269" s="571"/>
      <c r="GD269" s="571"/>
      <c r="GE269" s="571"/>
      <c r="GF269" s="571"/>
      <c r="GG269" s="571"/>
      <c r="GH269" s="571"/>
      <c r="GI269" s="571"/>
      <c r="GJ269" s="571"/>
      <c r="GK269" s="571"/>
      <c r="GL269" s="571"/>
      <c r="GM269" s="571"/>
      <c r="GN269" s="571"/>
      <c r="GO269" s="571"/>
      <c r="GP269" s="571"/>
      <c r="GQ269" s="571"/>
      <c r="GR269" s="571"/>
      <c r="GS269" s="571"/>
      <c r="GT269" s="571"/>
      <c r="GU269" s="571"/>
      <c r="GV269" s="571"/>
      <c r="GW269" s="571"/>
      <c r="GX269" s="571"/>
      <c r="GY269" s="571"/>
      <c r="GZ269" s="571"/>
      <c r="HA269" s="571"/>
      <c r="HB269" s="571"/>
      <c r="HC269" s="571"/>
      <c r="HD269" s="571"/>
      <c r="HE269" s="571"/>
      <c r="HF269" s="571"/>
      <c r="HG269" s="571"/>
      <c r="HH269" s="571"/>
      <c r="HI269" s="571"/>
      <c r="HJ269" s="571"/>
      <c r="HK269" s="571"/>
      <c r="HL269" s="571"/>
      <c r="HM269" s="571"/>
      <c r="HN269" s="571"/>
      <c r="HO269" s="571"/>
      <c r="HP269" s="571"/>
      <c r="HQ269" s="571"/>
      <c r="HR269" s="571"/>
      <c r="HS269" s="571"/>
      <c r="HT269" s="571"/>
      <c r="HU269" s="571"/>
      <c r="HV269" s="571"/>
      <c r="HW269" s="571"/>
      <c r="HX269" s="571"/>
      <c r="HY269" s="571"/>
      <c r="HZ269" s="571"/>
      <c r="IA269" s="571"/>
      <c r="IB269" s="571"/>
      <c r="IC269" s="571"/>
      <c r="ID269" s="571"/>
      <c r="IE269" s="571"/>
      <c r="IF269" s="571"/>
      <c r="IG269" s="571"/>
      <c r="IH269" s="571"/>
      <c r="II269" s="571"/>
      <c r="IJ269" s="571"/>
      <c r="IK269" s="571"/>
      <c r="IL269" s="571"/>
      <c r="IM269" s="571"/>
      <c r="IN269" s="571"/>
      <c r="IO269" s="571"/>
    </row>
    <row r="270" spans="1:249">
      <c r="A270" s="520"/>
      <c r="B270" s="520"/>
      <c r="C270" s="238"/>
      <c r="D270" s="358">
        <v>91.15</v>
      </c>
      <c r="E270" s="238"/>
      <c r="F270" s="525">
        <v>364065</v>
      </c>
      <c r="G270" s="521">
        <v>40382</v>
      </c>
      <c r="H270" s="540">
        <f t="shared" si="18"/>
        <v>3900.0000000000005</v>
      </c>
      <c r="I270" s="260" t="s">
        <v>91</v>
      </c>
      <c r="J270" s="542">
        <v>78.599999999999994</v>
      </c>
      <c r="K270" s="526">
        <v>93.35</v>
      </c>
      <c r="L270" s="367">
        <v>364065</v>
      </c>
      <c r="M270" s="540">
        <f t="shared" si="22"/>
        <v>93.35</v>
      </c>
      <c r="N270" s="540">
        <f t="shared" si="19"/>
        <v>364065</v>
      </c>
      <c r="O270" s="546"/>
      <c r="P270" s="540">
        <f t="shared" si="21"/>
        <v>0</v>
      </c>
      <c r="Q270" s="551">
        <f t="shared" si="20"/>
        <v>0</v>
      </c>
      <c r="R270" s="283"/>
    </row>
    <row r="271" spans="1:249" ht="24">
      <c r="A271" s="520"/>
      <c r="B271" s="520"/>
      <c r="C271" s="238"/>
      <c r="D271" s="358">
        <v>93.35</v>
      </c>
      <c r="E271" s="238"/>
      <c r="F271" s="525">
        <v>509318</v>
      </c>
      <c r="G271" s="521">
        <v>41616</v>
      </c>
      <c r="H271" s="540">
        <f t="shared" si="18"/>
        <v>5456.0042849491165</v>
      </c>
      <c r="I271" s="260" t="s">
        <v>90</v>
      </c>
      <c r="J271" s="542">
        <v>78.599999999999994</v>
      </c>
      <c r="K271" s="526">
        <v>93.35</v>
      </c>
      <c r="L271" s="367">
        <v>509318</v>
      </c>
      <c r="M271" s="540">
        <f t="shared" si="22"/>
        <v>93.35</v>
      </c>
      <c r="N271" s="540">
        <f t="shared" si="19"/>
        <v>509318</v>
      </c>
      <c r="O271" s="546"/>
      <c r="P271" s="540">
        <f t="shared" si="21"/>
        <v>0</v>
      </c>
      <c r="Q271" s="551">
        <f t="shared" si="20"/>
        <v>0</v>
      </c>
      <c r="R271" s="283"/>
    </row>
    <row r="272" spans="1:249" ht="24">
      <c r="A272" s="520"/>
      <c r="B272" s="520"/>
      <c r="C272" s="238"/>
      <c r="D272" s="358">
        <v>93.35</v>
      </c>
      <c r="E272" s="238"/>
      <c r="F272" s="525">
        <v>515292</v>
      </c>
      <c r="G272" s="521">
        <v>41343</v>
      </c>
      <c r="H272" s="540">
        <f t="shared" si="18"/>
        <v>5520</v>
      </c>
      <c r="I272" s="260" t="s">
        <v>90</v>
      </c>
      <c r="J272" s="542">
        <v>78.599999999999994</v>
      </c>
      <c r="K272" s="526">
        <v>93.35</v>
      </c>
      <c r="L272" s="367">
        <v>515292</v>
      </c>
      <c r="M272" s="540">
        <f t="shared" si="22"/>
        <v>93.35</v>
      </c>
      <c r="N272" s="540">
        <f t="shared" si="19"/>
        <v>515292</v>
      </c>
      <c r="O272" s="546"/>
      <c r="P272" s="540">
        <f t="shared" si="21"/>
        <v>0</v>
      </c>
      <c r="Q272" s="551">
        <f t="shared" si="20"/>
        <v>0</v>
      </c>
      <c r="R272" s="283"/>
    </row>
    <row r="273" spans="1:249">
      <c r="A273" s="520"/>
      <c r="B273" s="520"/>
      <c r="C273" s="238"/>
      <c r="D273" s="358">
        <v>93.35</v>
      </c>
      <c r="E273" s="238"/>
      <c r="F273" s="525">
        <v>540777</v>
      </c>
      <c r="G273" s="521">
        <v>41339</v>
      </c>
      <c r="H273" s="540">
        <f t="shared" si="18"/>
        <v>5793.0048205677558</v>
      </c>
      <c r="I273" s="260" t="s">
        <v>91</v>
      </c>
      <c r="J273" s="542">
        <v>78.599999999999994</v>
      </c>
      <c r="K273" s="526">
        <v>93.35</v>
      </c>
      <c r="L273" s="367">
        <v>540777</v>
      </c>
      <c r="M273" s="540">
        <f t="shared" si="22"/>
        <v>93.35</v>
      </c>
      <c r="N273" s="540">
        <f t="shared" si="19"/>
        <v>540777</v>
      </c>
      <c r="O273" s="546"/>
      <c r="P273" s="540">
        <f t="shared" si="21"/>
        <v>0</v>
      </c>
      <c r="Q273" s="551">
        <f t="shared" si="20"/>
        <v>0</v>
      </c>
      <c r="R273" s="283"/>
    </row>
    <row r="274" spans="1:249" ht="24">
      <c r="A274" s="520"/>
      <c r="B274" s="520"/>
      <c r="C274" s="238"/>
      <c r="D274" s="358">
        <v>93.35</v>
      </c>
      <c r="E274" s="238"/>
      <c r="F274" s="525">
        <v>527241</v>
      </c>
      <c r="G274" s="521">
        <v>41342</v>
      </c>
      <c r="H274" s="540">
        <f t="shared" si="18"/>
        <v>5648.0021424745582</v>
      </c>
      <c r="I274" s="260" t="s">
        <v>90</v>
      </c>
      <c r="J274" s="542">
        <v>78.599999999999994</v>
      </c>
      <c r="K274" s="526">
        <v>93.35</v>
      </c>
      <c r="L274" s="367">
        <v>527241</v>
      </c>
      <c r="M274" s="540">
        <f t="shared" si="22"/>
        <v>93.35</v>
      </c>
      <c r="N274" s="540">
        <f t="shared" si="19"/>
        <v>527241</v>
      </c>
      <c r="O274" s="546"/>
      <c r="P274" s="540">
        <f t="shared" si="21"/>
        <v>0</v>
      </c>
      <c r="Q274" s="551">
        <f t="shared" si="20"/>
        <v>0</v>
      </c>
      <c r="R274" s="283"/>
    </row>
    <row r="275" spans="1:249">
      <c r="A275" s="520"/>
      <c r="B275" s="520"/>
      <c r="C275" s="238"/>
      <c r="D275" s="358">
        <v>93.35</v>
      </c>
      <c r="E275" s="238"/>
      <c r="F275" s="525">
        <v>533215</v>
      </c>
      <c r="G275" s="521">
        <v>41443</v>
      </c>
      <c r="H275" s="540">
        <f t="shared" si="18"/>
        <v>5711.9978575254427</v>
      </c>
      <c r="I275" s="260" t="s">
        <v>91</v>
      </c>
      <c r="J275" s="542">
        <v>78.599999999999994</v>
      </c>
      <c r="K275" s="526">
        <v>93.35</v>
      </c>
      <c r="L275" s="367">
        <v>533215</v>
      </c>
      <c r="M275" s="540">
        <f t="shared" si="22"/>
        <v>93.35</v>
      </c>
      <c r="N275" s="540">
        <f t="shared" si="19"/>
        <v>533215</v>
      </c>
      <c r="O275" s="546"/>
      <c r="P275" s="540">
        <f t="shared" si="21"/>
        <v>0</v>
      </c>
      <c r="Q275" s="551">
        <f t="shared" si="20"/>
        <v>0</v>
      </c>
      <c r="R275" s="283"/>
    </row>
    <row r="276" spans="1:249" ht="24">
      <c r="A276" s="520"/>
      <c r="B276" s="520"/>
      <c r="C276" s="238"/>
      <c r="D276" s="358">
        <v>93.35</v>
      </c>
      <c r="E276" s="238"/>
      <c r="F276" s="525">
        <v>539190</v>
      </c>
      <c r="G276" s="521">
        <v>41575</v>
      </c>
      <c r="H276" s="540">
        <f t="shared" si="18"/>
        <v>5776.0042849491165</v>
      </c>
      <c r="I276" s="260" t="s">
        <v>90</v>
      </c>
      <c r="J276" s="542">
        <v>78.599999999999994</v>
      </c>
      <c r="K276" s="526">
        <v>93.35</v>
      </c>
      <c r="L276" s="367">
        <v>539190</v>
      </c>
      <c r="M276" s="540">
        <f t="shared" si="22"/>
        <v>93.35</v>
      </c>
      <c r="N276" s="540">
        <f t="shared" si="19"/>
        <v>539190</v>
      </c>
      <c r="O276" s="546"/>
      <c r="P276" s="540">
        <f t="shared" si="21"/>
        <v>0</v>
      </c>
      <c r="Q276" s="551">
        <f t="shared" si="20"/>
        <v>0</v>
      </c>
      <c r="R276" s="283"/>
    </row>
    <row r="277" spans="1:249">
      <c r="A277" s="520"/>
      <c r="B277" s="520"/>
      <c r="C277" s="238"/>
      <c r="D277" s="358">
        <v>93.35</v>
      </c>
      <c r="E277" s="238"/>
      <c r="F277" s="525">
        <v>541430</v>
      </c>
      <c r="G277" s="521">
        <v>41120</v>
      </c>
      <c r="H277" s="540">
        <f t="shared" si="18"/>
        <v>5800</v>
      </c>
      <c r="I277" s="260" t="s">
        <v>92</v>
      </c>
      <c r="J277" s="542">
        <v>78.599999999999994</v>
      </c>
      <c r="K277" s="526">
        <v>93.35</v>
      </c>
      <c r="L277" s="367">
        <v>541430</v>
      </c>
      <c r="M277" s="540">
        <f t="shared" si="22"/>
        <v>93.35</v>
      </c>
      <c r="N277" s="540">
        <f t="shared" si="19"/>
        <v>541430</v>
      </c>
      <c r="O277" s="546"/>
      <c r="P277" s="540">
        <f t="shared" si="21"/>
        <v>0</v>
      </c>
      <c r="Q277" s="551">
        <f t="shared" si="20"/>
        <v>0</v>
      </c>
      <c r="R277" s="283"/>
    </row>
    <row r="278" spans="1:249" s="528" customFormat="1">
      <c r="A278" s="555"/>
      <c r="B278" s="555"/>
      <c r="C278" s="556"/>
      <c r="D278" s="557">
        <v>93.35</v>
      </c>
      <c r="E278" s="556"/>
      <c r="F278" s="559">
        <f>ROUND(464043/1.05,2)</f>
        <v>441945.71</v>
      </c>
      <c r="G278" s="562">
        <v>42657</v>
      </c>
      <c r="H278" s="561">
        <f t="shared" si="18"/>
        <v>4734.2871987145154</v>
      </c>
      <c r="I278" s="564" t="s">
        <v>91</v>
      </c>
      <c r="J278" s="565">
        <v>78.599999999999994</v>
      </c>
      <c r="K278" s="566">
        <v>93.35</v>
      </c>
      <c r="L278" s="567">
        <f>F278</f>
        <v>441945.71</v>
      </c>
      <c r="M278" s="566">
        <v>93.35</v>
      </c>
      <c r="N278" s="561">
        <f>L278</f>
        <v>441945.71</v>
      </c>
      <c r="O278" s="568"/>
      <c r="P278" s="561">
        <f t="shared" si="21"/>
        <v>0</v>
      </c>
      <c r="Q278" s="569"/>
      <c r="R278" s="570" t="s">
        <v>93</v>
      </c>
      <c r="S278" s="571"/>
      <c r="T278" s="571"/>
      <c r="U278" s="571"/>
      <c r="V278" s="571"/>
      <c r="W278" s="571"/>
      <c r="X278" s="571"/>
      <c r="Y278" s="571"/>
      <c r="Z278" s="571"/>
      <c r="AA278" s="571"/>
      <c r="AB278" s="571"/>
      <c r="AC278" s="571"/>
      <c r="AD278" s="571"/>
      <c r="AE278" s="571"/>
      <c r="AF278" s="571"/>
      <c r="AG278" s="571"/>
      <c r="AH278" s="571"/>
      <c r="AI278" s="571"/>
      <c r="AJ278" s="571"/>
      <c r="AK278" s="571"/>
      <c r="AL278" s="571"/>
      <c r="AM278" s="571"/>
      <c r="AN278" s="571"/>
      <c r="AO278" s="571"/>
      <c r="AP278" s="571"/>
      <c r="AQ278" s="571"/>
      <c r="AR278" s="571"/>
      <c r="AS278" s="571"/>
      <c r="AT278" s="571"/>
      <c r="AU278" s="571"/>
      <c r="AV278" s="571"/>
      <c r="AW278" s="571"/>
      <c r="AX278" s="571"/>
      <c r="AY278" s="571"/>
      <c r="AZ278" s="571"/>
      <c r="BA278" s="571"/>
      <c r="BB278" s="571"/>
      <c r="BC278" s="571"/>
      <c r="BD278" s="571"/>
      <c r="BE278" s="571"/>
      <c r="BF278" s="571"/>
      <c r="BG278" s="571"/>
      <c r="BH278" s="571"/>
      <c r="BI278" s="571"/>
      <c r="BJ278" s="571"/>
      <c r="BK278" s="571"/>
      <c r="BL278" s="571"/>
      <c r="BM278" s="571"/>
      <c r="BN278" s="571"/>
      <c r="BO278" s="571"/>
      <c r="BP278" s="571"/>
      <c r="BQ278" s="571"/>
      <c r="BR278" s="571"/>
      <c r="BS278" s="571"/>
      <c r="BT278" s="571"/>
      <c r="BU278" s="571"/>
      <c r="BV278" s="571"/>
      <c r="BW278" s="571"/>
      <c r="BX278" s="571"/>
      <c r="BY278" s="571"/>
      <c r="BZ278" s="571"/>
      <c r="CA278" s="571"/>
      <c r="CB278" s="571"/>
      <c r="CC278" s="571"/>
      <c r="CD278" s="571"/>
      <c r="CE278" s="571"/>
      <c r="CF278" s="571"/>
      <c r="CG278" s="571"/>
      <c r="CH278" s="571"/>
      <c r="CI278" s="571"/>
      <c r="CJ278" s="571"/>
      <c r="CK278" s="571"/>
      <c r="CL278" s="571"/>
      <c r="CM278" s="571"/>
      <c r="CN278" s="571"/>
      <c r="CO278" s="571"/>
      <c r="CP278" s="571"/>
      <c r="CQ278" s="571"/>
      <c r="CR278" s="571"/>
      <c r="CS278" s="571"/>
      <c r="CT278" s="571"/>
      <c r="CU278" s="571"/>
      <c r="CV278" s="571"/>
      <c r="CW278" s="571"/>
      <c r="CX278" s="571"/>
      <c r="CY278" s="571"/>
      <c r="CZ278" s="571"/>
      <c r="DA278" s="571"/>
      <c r="DB278" s="571"/>
      <c r="DC278" s="571"/>
      <c r="DD278" s="571"/>
      <c r="DE278" s="571"/>
      <c r="DF278" s="571"/>
      <c r="DG278" s="571"/>
      <c r="DH278" s="571"/>
      <c r="DI278" s="571"/>
      <c r="DJ278" s="571"/>
      <c r="DK278" s="571"/>
      <c r="DL278" s="571"/>
      <c r="DM278" s="571"/>
      <c r="DN278" s="571"/>
      <c r="DO278" s="571"/>
      <c r="DP278" s="571"/>
      <c r="DQ278" s="571"/>
      <c r="DR278" s="571"/>
      <c r="DS278" s="571"/>
      <c r="DT278" s="571"/>
      <c r="DU278" s="571"/>
      <c r="DV278" s="571"/>
      <c r="DW278" s="571"/>
      <c r="DX278" s="571"/>
      <c r="DY278" s="571"/>
      <c r="DZ278" s="571"/>
      <c r="EA278" s="571"/>
      <c r="EB278" s="571"/>
      <c r="EC278" s="571"/>
      <c r="ED278" s="571"/>
      <c r="EE278" s="571"/>
      <c r="EF278" s="571"/>
      <c r="EG278" s="571"/>
      <c r="EH278" s="571"/>
      <c r="EI278" s="571"/>
      <c r="EJ278" s="571"/>
      <c r="EK278" s="571"/>
      <c r="EL278" s="571"/>
      <c r="EM278" s="571"/>
      <c r="EN278" s="571"/>
      <c r="EO278" s="571"/>
      <c r="EP278" s="571"/>
      <c r="EQ278" s="571"/>
      <c r="ER278" s="571"/>
      <c r="ES278" s="571"/>
      <c r="ET278" s="571"/>
      <c r="EU278" s="571"/>
      <c r="EV278" s="571"/>
      <c r="EW278" s="571"/>
      <c r="EX278" s="571"/>
      <c r="EY278" s="571"/>
      <c r="EZ278" s="571"/>
      <c r="FA278" s="571"/>
      <c r="FB278" s="571"/>
      <c r="FC278" s="571"/>
      <c r="FD278" s="571"/>
      <c r="FE278" s="571"/>
      <c r="FF278" s="571"/>
      <c r="FG278" s="571"/>
      <c r="FH278" s="571"/>
      <c r="FI278" s="571"/>
      <c r="FJ278" s="571"/>
      <c r="FK278" s="571"/>
      <c r="FL278" s="571"/>
      <c r="FM278" s="571"/>
      <c r="FN278" s="571"/>
      <c r="FO278" s="571"/>
      <c r="FP278" s="571"/>
      <c r="FQ278" s="571"/>
      <c r="FR278" s="571"/>
      <c r="FS278" s="571"/>
      <c r="FT278" s="571"/>
      <c r="FU278" s="571"/>
      <c r="FV278" s="571"/>
      <c r="FW278" s="571"/>
      <c r="FX278" s="571"/>
      <c r="FY278" s="571"/>
      <c r="FZ278" s="571"/>
      <c r="GA278" s="571"/>
      <c r="GB278" s="571"/>
      <c r="GC278" s="571"/>
      <c r="GD278" s="571"/>
      <c r="GE278" s="571"/>
      <c r="GF278" s="571"/>
      <c r="GG278" s="571"/>
      <c r="GH278" s="571"/>
      <c r="GI278" s="571"/>
      <c r="GJ278" s="571"/>
      <c r="GK278" s="571"/>
      <c r="GL278" s="571"/>
      <c r="GM278" s="571"/>
      <c r="GN278" s="571"/>
      <c r="GO278" s="571"/>
      <c r="GP278" s="571"/>
      <c r="GQ278" s="571"/>
      <c r="GR278" s="571"/>
      <c r="GS278" s="571"/>
      <c r="GT278" s="571"/>
      <c r="GU278" s="571"/>
      <c r="GV278" s="571"/>
      <c r="GW278" s="571"/>
      <c r="GX278" s="571"/>
      <c r="GY278" s="571"/>
      <c r="GZ278" s="571"/>
      <c r="HA278" s="571"/>
      <c r="HB278" s="571"/>
      <c r="HC278" s="571"/>
      <c r="HD278" s="571"/>
      <c r="HE278" s="571"/>
      <c r="HF278" s="571"/>
      <c r="HG278" s="571"/>
      <c r="HH278" s="571"/>
      <c r="HI278" s="571"/>
      <c r="HJ278" s="571"/>
      <c r="HK278" s="571"/>
      <c r="HL278" s="571"/>
      <c r="HM278" s="571"/>
      <c r="HN278" s="571"/>
      <c r="HO278" s="571"/>
      <c r="HP278" s="571"/>
      <c r="HQ278" s="571"/>
      <c r="HR278" s="571"/>
      <c r="HS278" s="571"/>
      <c r="HT278" s="571"/>
      <c r="HU278" s="571"/>
      <c r="HV278" s="571"/>
      <c r="HW278" s="571"/>
      <c r="HX278" s="571"/>
      <c r="HY278" s="571"/>
      <c r="HZ278" s="571"/>
      <c r="IA278" s="571"/>
      <c r="IB278" s="571"/>
      <c r="IC278" s="571"/>
      <c r="ID278" s="571"/>
      <c r="IE278" s="571"/>
      <c r="IF278" s="571"/>
      <c r="IG278" s="571"/>
      <c r="IH278" s="571"/>
      <c r="II278" s="571"/>
      <c r="IJ278" s="571"/>
      <c r="IK278" s="571"/>
      <c r="IL278" s="571"/>
      <c r="IM278" s="571"/>
      <c r="IN278" s="571"/>
      <c r="IO278" s="571"/>
    </row>
    <row r="279" spans="1:249">
      <c r="A279" s="520"/>
      <c r="B279" s="520"/>
      <c r="C279" s="238"/>
      <c r="D279" s="358">
        <v>91.15</v>
      </c>
      <c r="E279" s="238"/>
      <c r="F279" s="525">
        <v>352863</v>
      </c>
      <c r="G279" s="521">
        <v>40380</v>
      </c>
      <c r="H279" s="540">
        <f t="shared" si="18"/>
        <v>3780.0000000000005</v>
      </c>
      <c r="I279" s="260" t="s">
        <v>91</v>
      </c>
      <c r="J279" s="542">
        <v>78.599999999999994</v>
      </c>
      <c r="K279" s="526">
        <v>93.35</v>
      </c>
      <c r="L279" s="367">
        <v>352863</v>
      </c>
      <c r="M279" s="540">
        <f t="shared" si="22"/>
        <v>93.35</v>
      </c>
      <c r="N279" s="540">
        <f t="shared" si="19"/>
        <v>352863</v>
      </c>
      <c r="O279" s="546"/>
      <c r="P279" s="540">
        <f t="shared" si="21"/>
        <v>0</v>
      </c>
      <c r="Q279" s="551">
        <f t="shared" si="20"/>
        <v>0</v>
      </c>
      <c r="R279" s="283"/>
    </row>
    <row r="280" spans="1:249">
      <c r="A280" s="520"/>
      <c r="B280" s="520"/>
      <c r="C280" s="238"/>
      <c r="D280" s="358">
        <v>91.15</v>
      </c>
      <c r="E280" s="238"/>
      <c r="F280" s="525">
        <v>339514</v>
      </c>
      <c r="G280" s="521">
        <v>40433</v>
      </c>
      <c r="H280" s="540">
        <f t="shared" ref="H280:H345" si="23">F280/K280</f>
        <v>3637.0005356186398</v>
      </c>
      <c r="I280" s="260" t="s">
        <v>92</v>
      </c>
      <c r="J280" s="542">
        <v>78.599999999999994</v>
      </c>
      <c r="K280" s="526">
        <v>93.35</v>
      </c>
      <c r="L280" s="367">
        <v>339514</v>
      </c>
      <c r="M280" s="540">
        <f t="shared" si="22"/>
        <v>93.35</v>
      </c>
      <c r="N280" s="540">
        <f t="shared" ref="N280:N345" si="24">L280</f>
        <v>339514</v>
      </c>
      <c r="O280" s="546"/>
      <c r="P280" s="540">
        <f t="shared" si="21"/>
        <v>0</v>
      </c>
      <c r="Q280" s="551">
        <f t="shared" ref="Q280:Q345" si="25">IF(H280-3544.48&lt;0,H280,0)</f>
        <v>0</v>
      </c>
      <c r="R280" s="283"/>
    </row>
    <row r="281" spans="1:249" ht="24">
      <c r="A281" s="520"/>
      <c r="B281" s="520"/>
      <c r="C281" s="238"/>
      <c r="D281" s="358">
        <v>93.35</v>
      </c>
      <c r="E281" s="238"/>
      <c r="F281" s="525">
        <v>522200</v>
      </c>
      <c r="G281" s="521">
        <v>41350</v>
      </c>
      <c r="H281" s="540">
        <f t="shared" si="23"/>
        <v>5594.0010712372796</v>
      </c>
      <c r="I281" s="260" t="s">
        <v>90</v>
      </c>
      <c r="J281" s="542">
        <v>78.599999999999994</v>
      </c>
      <c r="K281" s="526">
        <v>93.35</v>
      </c>
      <c r="L281" s="367">
        <v>522200</v>
      </c>
      <c r="M281" s="540">
        <f t="shared" si="22"/>
        <v>93.35</v>
      </c>
      <c r="N281" s="540">
        <f t="shared" si="24"/>
        <v>522200</v>
      </c>
      <c r="O281" s="546"/>
      <c r="P281" s="540">
        <f t="shared" si="21"/>
        <v>0</v>
      </c>
      <c r="Q281" s="551">
        <f t="shared" si="25"/>
        <v>0</v>
      </c>
      <c r="R281" s="283"/>
    </row>
    <row r="282" spans="1:249">
      <c r="A282" s="520"/>
      <c r="B282" s="520"/>
      <c r="C282" s="238"/>
      <c r="D282" s="358">
        <v>91.15</v>
      </c>
      <c r="E282" s="238"/>
      <c r="F282" s="525">
        <v>366866</v>
      </c>
      <c r="G282" s="521">
        <v>40384</v>
      </c>
      <c r="H282" s="540">
        <f t="shared" si="23"/>
        <v>3930.0053561863956</v>
      </c>
      <c r="I282" s="260" t="s">
        <v>91</v>
      </c>
      <c r="J282" s="542">
        <v>78.599999999999994</v>
      </c>
      <c r="K282" s="526">
        <v>93.35</v>
      </c>
      <c r="L282" s="367">
        <v>366866</v>
      </c>
      <c r="M282" s="540">
        <f t="shared" si="22"/>
        <v>93.35</v>
      </c>
      <c r="N282" s="540">
        <f t="shared" si="24"/>
        <v>366866</v>
      </c>
      <c r="O282" s="546"/>
      <c r="P282" s="540">
        <f t="shared" si="21"/>
        <v>0</v>
      </c>
      <c r="Q282" s="551">
        <f t="shared" si="25"/>
        <v>0</v>
      </c>
      <c r="R282" s="283"/>
    </row>
    <row r="283" spans="1:249">
      <c r="A283" s="520"/>
      <c r="B283" s="520"/>
      <c r="C283" s="238"/>
      <c r="D283" s="358">
        <v>93.35</v>
      </c>
      <c r="E283" s="238"/>
      <c r="F283" s="525">
        <v>534615</v>
      </c>
      <c r="G283" s="521">
        <v>41341</v>
      </c>
      <c r="H283" s="540">
        <f t="shared" si="23"/>
        <v>5726.9951794322442</v>
      </c>
      <c r="I283" s="260" t="s">
        <v>92</v>
      </c>
      <c r="J283" s="542">
        <v>78.599999999999994</v>
      </c>
      <c r="K283" s="526">
        <v>93.35</v>
      </c>
      <c r="L283" s="367">
        <v>534615</v>
      </c>
      <c r="M283" s="540">
        <f t="shared" si="22"/>
        <v>93.35</v>
      </c>
      <c r="N283" s="540">
        <f t="shared" si="24"/>
        <v>534615</v>
      </c>
      <c r="O283" s="546"/>
      <c r="P283" s="540">
        <f t="shared" si="21"/>
        <v>0</v>
      </c>
      <c r="Q283" s="551">
        <f t="shared" si="25"/>
        <v>0</v>
      </c>
      <c r="R283" s="283"/>
    </row>
    <row r="284" spans="1:249" ht="24">
      <c r="A284" s="520"/>
      <c r="B284" s="520"/>
      <c r="C284" s="238"/>
      <c r="D284" s="358">
        <v>93.35</v>
      </c>
      <c r="E284" s="238"/>
      <c r="F284" s="525">
        <v>521266</v>
      </c>
      <c r="G284" s="521">
        <v>41425</v>
      </c>
      <c r="H284" s="540">
        <f t="shared" si="23"/>
        <v>5583.9957150508844</v>
      </c>
      <c r="I284" s="260" t="s">
        <v>90</v>
      </c>
      <c r="J284" s="542">
        <v>78.599999999999994</v>
      </c>
      <c r="K284" s="526">
        <v>93.35</v>
      </c>
      <c r="L284" s="367">
        <v>521266</v>
      </c>
      <c r="M284" s="540">
        <f t="shared" si="22"/>
        <v>93.35</v>
      </c>
      <c r="N284" s="540">
        <f t="shared" si="24"/>
        <v>521266</v>
      </c>
      <c r="O284" s="546"/>
      <c r="P284" s="540">
        <f t="shared" si="21"/>
        <v>0</v>
      </c>
      <c r="Q284" s="551">
        <f t="shared" si="25"/>
        <v>0</v>
      </c>
      <c r="R284" s="283"/>
    </row>
    <row r="285" spans="1:249" ht="24">
      <c r="A285" s="520"/>
      <c r="B285" s="520"/>
      <c r="C285" s="238"/>
      <c r="D285" s="358">
        <v>93.35</v>
      </c>
      <c r="E285" s="238"/>
      <c r="F285" s="525">
        <v>527241</v>
      </c>
      <c r="G285" s="521">
        <v>41620</v>
      </c>
      <c r="H285" s="540">
        <f t="shared" si="23"/>
        <v>5648.0021424745582</v>
      </c>
      <c r="I285" s="260" t="s">
        <v>90</v>
      </c>
      <c r="J285" s="542">
        <v>78.599999999999994</v>
      </c>
      <c r="K285" s="526">
        <v>93.35</v>
      </c>
      <c r="L285" s="367">
        <v>527241</v>
      </c>
      <c r="M285" s="540">
        <f t="shared" si="22"/>
        <v>93.35</v>
      </c>
      <c r="N285" s="540">
        <f t="shared" si="24"/>
        <v>527241</v>
      </c>
      <c r="O285" s="546"/>
      <c r="P285" s="540">
        <f t="shared" si="21"/>
        <v>0</v>
      </c>
      <c r="Q285" s="551">
        <f t="shared" si="25"/>
        <v>0</v>
      </c>
      <c r="R285" s="283"/>
    </row>
    <row r="286" spans="1:249">
      <c r="A286" s="520"/>
      <c r="B286" s="520"/>
      <c r="C286" s="238"/>
      <c r="D286" s="358">
        <v>93.35</v>
      </c>
      <c r="E286" s="238"/>
      <c r="F286" s="525">
        <v>553192</v>
      </c>
      <c r="G286" s="521">
        <v>41616</v>
      </c>
      <c r="H286" s="540">
        <f t="shared" si="23"/>
        <v>5925.9989287627213</v>
      </c>
      <c r="I286" s="260" t="s">
        <v>92</v>
      </c>
      <c r="J286" s="542">
        <v>78.599999999999994</v>
      </c>
      <c r="K286" s="526">
        <v>93.35</v>
      </c>
      <c r="L286" s="367">
        <v>553192</v>
      </c>
      <c r="M286" s="540">
        <f t="shared" si="22"/>
        <v>93.35</v>
      </c>
      <c r="N286" s="540">
        <f t="shared" si="24"/>
        <v>553192</v>
      </c>
      <c r="O286" s="546"/>
      <c r="P286" s="540">
        <f t="shared" si="21"/>
        <v>0</v>
      </c>
      <c r="Q286" s="551">
        <f t="shared" si="25"/>
        <v>0</v>
      </c>
      <c r="R286" s="283"/>
    </row>
    <row r="287" spans="1:249">
      <c r="A287" s="520"/>
      <c r="B287" s="520"/>
      <c r="C287" s="238"/>
      <c r="D287" s="358">
        <v>93.35</v>
      </c>
      <c r="E287" s="238"/>
      <c r="F287" s="525">
        <v>545911</v>
      </c>
      <c r="G287" s="521">
        <v>41365</v>
      </c>
      <c r="H287" s="540">
        <f t="shared" si="23"/>
        <v>5848.0021424745582</v>
      </c>
      <c r="I287" s="260" t="s">
        <v>91</v>
      </c>
      <c r="J287" s="542">
        <v>78.599999999999994</v>
      </c>
      <c r="K287" s="526">
        <v>93.35</v>
      </c>
      <c r="L287" s="367">
        <v>545911</v>
      </c>
      <c r="M287" s="540">
        <f t="shared" si="22"/>
        <v>93.35</v>
      </c>
      <c r="N287" s="540">
        <f t="shared" si="24"/>
        <v>545911</v>
      </c>
      <c r="O287" s="546"/>
      <c r="P287" s="540">
        <f t="shared" si="21"/>
        <v>0</v>
      </c>
      <c r="Q287" s="551">
        <f t="shared" si="25"/>
        <v>0</v>
      </c>
      <c r="R287" s="283"/>
    </row>
    <row r="288" spans="1:249">
      <c r="A288" s="520"/>
      <c r="B288" s="520"/>
      <c r="C288" s="238"/>
      <c r="D288" s="358">
        <v>91.15</v>
      </c>
      <c r="E288" s="238"/>
      <c r="F288" s="525">
        <v>620030</v>
      </c>
      <c r="G288" s="521">
        <v>40568</v>
      </c>
      <c r="H288" s="540">
        <f t="shared" si="23"/>
        <v>6641.9925013390466</v>
      </c>
      <c r="I288" s="260" t="s">
        <v>92</v>
      </c>
      <c r="J288" s="542">
        <v>78.599999999999994</v>
      </c>
      <c r="K288" s="526">
        <v>93.35</v>
      </c>
      <c r="L288" s="367">
        <v>345674</v>
      </c>
      <c r="M288" s="540">
        <f t="shared" si="22"/>
        <v>93.35</v>
      </c>
      <c r="N288" s="540">
        <v>620030</v>
      </c>
      <c r="O288" s="546"/>
      <c r="P288" s="540">
        <f t="shared" si="21"/>
        <v>0</v>
      </c>
      <c r="Q288" s="551">
        <f t="shared" si="25"/>
        <v>0</v>
      </c>
      <c r="R288" s="283"/>
    </row>
    <row r="289" spans="1:249" s="528" customFormat="1" ht="24">
      <c r="A289" s="555"/>
      <c r="B289" s="555"/>
      <c r="C289" s="556"/>
      <c r="D289" s="557">
        <v>93.35</v>
      </c>
      <c r="E289" s="556"/>
      <c r="F289" s="559">
        <f>ROUND(464883/1.05,2)</f>
        <v>442745.71</v>
      </c>
      <c r="G289" s="562">
        <v>42694</v>
      </c>
      <c r="H289" s="561">
        <f t="shared" si="23"/>
        <v>4742.8570969469747</v>
      </c>
      <c r="I289" s="564" t="s">
        <v>90</v>
      </c>
      <c r="J289" s="565">
        <v>78.599999999999994</v>
      </c>
      <c r="K289" s="566">
        <v>93.35</v>
      </c>
      <c r="L289" s="567">
        <f>F289</f>
        <v>442745.71</v>
      </c>
      <c r="M289" s="561">
        <v>93.35</v>
      </c>
      <c r="N289" s="561">
        <f t="shared" si="24"/>
        <v>442745.71</v>
      </c>
      <c r="O289" s="568"/>
      <c r="P289" s="561">
        <f t="shared" si="21"/>
        <v>0</v>
      </c>
      <c r="Q289" s="569"/>
      <c r="R289" s="570" t="s">
        <v>93</v>
      </c>
      <c r="S289" s="571"/>
      <c r="T289" s="571"/>
      <c r="U289" s="571"/>
      <c r="V289" s="571"/>
      <c r="W289" s="571"/>
      <c r="X289" s="571"/>
      <c r="Y289" s="571"/>
      <c r="Z289" s="571"/>
      <c r="AA289" s="571"/>
      <c r="AB289" s="571"/>
      <c r="AC289" s="571"/>
      <c r="AD289" s="571"/>
      <c r="AE289" s="571"/>
      <c r="AF289" s="571"/>
      <c r="AG289" s="571"/>
      <c r="AH289" s="571"/>
      <c r="AI289" s="571"/>
      <c r="AJ289" s="571"/>
      <c r="AK289" s="571"/>
      <c r="AL289" s="571"/>
      <c r="AM289" s="571"/>
      <c r="AN289" s="571"/>
      <c r="AO289" s="571"/>
      <c r="AP289" s="571"/>
      <c r="AQ289" s="571"/>
      <c r="AR289" s="571"/>
      <c r="AS289" s="571"/>
      <c r="AT289" s="571"/>
      <c r="AU289" s="571"/>
      <c r="AV289" s="571"/>
      <c r="AW289" s="571"/>
      <c r="AX289" s="571"/>
      <c r="AY289" s="571"/>
      <c r="AZ289" s="571"/>
      <c r="BA289" s="571"/>
      <c r="BB289" s="571"/>
      <c r="BC289" s="571"/>
      <c r="BD289" s="571"/>
      <c r="BE289" s="571"/>
      <c r="BF289" s="571"/>
      <c r="BG289" s="571"/>
      <c r="BH289" s="571"/>
      <c r="BI289" s="571"/>
      <c r="BJ289" s="571"/>
      <c r="BK289" s="571"/>
      <c r="BL289" s="571"/>
      <c r="BM289" s="571"/>
      <c r="BN289" s="571"/>
      <c r="BO289" s="571"/>
      <c r="BP289" s="571"/>
      <c r="BQ289" s="571"/>
      <c r="BR289" s="571"/>
      <c r="BS289" s="571"/>
      <c r="BT289" s="571"/>
      <c r="BU289" s="571"/>
      <c r="BV289" s="571"/>
      <c r="BW289" s="571"/>
      <c r="BX289" s="571"/>
      <c r="BY289" s="571"/>
      <c r="BZ289" s="571"/>
      <c r="CA289" s="571"/>
      <c r="CB289" s="571"/>
      <c r="CC289" s="571"/>
      <c r="CD289" s="571"/>
      <c r="CE289" s="571"/>
      <c r="CF289" s="571"/>
      <c r="CG289" s="571"/>
      <c r="CH289" s="571"/>
      <c r="CI289" s="571"/>
      <c r="CJ289" s="571"/>
      <c r="CK289" s="571"/>
      <c r="CL289" s="571"/>
      <c r="CM289" s="571"/>
      <c r="CN289" s="571"/>
      <c r="CO289" s="571"/>
      <c r="CP289" s="571"/>
      <c r="CQ289" s="571"/>
      <c r="CR289" s="571"/>
      <c r="CS289" s="571"/>
      <c r="CT289" s="571"/>
      <c r="CU289" s="571"/>
      <c r="CV289" s="571"/>
      <c r="CW289" s="571"/>
      <c r="CX289" s="571"/>
      <c r="CY289" s="571"/>
      <c r="CZ289" s="571"/>
      <c r="DA289" s="571"/>
      <c r="DB289" s="571"/>
      <c r="DC289" s="571"/>
      <c r="DD289" s="571"/>
      <c r="DE289" s="571"/>
      <c r="DF289" s="571"/>
      <c r="DG289" s="571"/>
      <c r="DH289" s="571"/>
      <c r="DI289" s="571"/>
      <c r="DJ289" s="571"/>
      <c r="DK289" s="571"/>
      <c r="DL289" s="571"/>
      <c r="DM289" s="571"/>
      <c r="DN289" s="571"/>
      <c r="DO289" s="571"/>
      <c r="DP289" s="571"/>
      <c r="DQ289" s="571"/>
      <c r="DR289" s="571"/>
      <c r="DS289" s="571"/>
      <c r="DT289" s="571"/>
      <c r="DU289" s="571"/>
      <c r="DV289" s="571"/>
      <c r="DW289" s="571"/>
      <c r="DX289" s="571"/>
      <c r="DY289" s="571"/>
      <c r="DZ289" s="571"/>
      <c r="EA289" s="571"/>
      <c r="EB289" s="571"/>
      <c r="EC289" s="571"/>
      <c r="ED289" s="571"/>
      <c r="EE289" s="571"/>
      <c r="EF289" s="571"/>
      <c r="EG289" s="571"/>
      <c r="EH289" s="571"/>
      <c r="EI289" s="571"/>
      <c r="EJ289" s="571"/>
      <c r="EK289" s="571"/>
      <c r="EL289" s="571"/>
      <c r="EM289" s="571"/>
      <c r="EN289" s="571"/>
      <c r="EO289" s="571"/>
      <c r="EP289" s="571"/>
      <c r="EQ289" s="571"/>
      <c r="ER289" s="571"/>
      <c r="ES289" s="571"/>
      <c r="ET289" s="571"/>
      <c r="EU289" s="571"/>
      <c r="EV289" s="571"/>
      <c r="EW289" s="571"/>
      <c r="EX289" s="571"/>
      <c r="EY289" s="571"/>
      <c r="EZ289" s="571"/>
      <c r="FA289" s="571"/>
      <c r="FB289" s="571"/>
      <c r="FC289" s="571"/>
      <c r="FD289" s="571"/>
      <c r="FE289" s="571"/>
      <c r="FF289" s="571"/>
      <c r="FG289" s="571"/>
      <c r="FH289" s="571"/>
      <c r="FI289" s="571"/>
      <c r="FJ289" s="571"/>
      <c r="FK289" s="571"/>
      <c r="FL289" s="571"/>
      <c r="FM289" s="571"/>
      <c r="FN289" s="571"/>
      <c r="FO289" s="571"/>
      <c r="FP289" s="571"/>
      <c r="FQ289" s="571"/>
      <c r="FR289" s="571"/>
      <c r="FS289" s="571"/>
      <c r="FT289" s="571"/>
      <c r="FU289" s="571"/>
      <c r="FV289" s="571"/>
      <c r="FW289" s="571"/>
      <c r="FX289" s="571"/>
      <c r="FY289" s="571"/>
      <c r="FZ289" s="571"/>
      <c r="GA289" s="571"/>
      <c r="GB289" s="571"/>
      <c r="GC289" s="571"/>
      <c r="GD289" s="571"/>
      <c r="GE289" s="571"/>
      <c r="GF289" s="571"/>
      <c r="GG289" s="571"/>
      <c r="GH289" s="571"/>
      <c r="GI289" s="571"/>
      <c r="GJ289" s="571"/>
      <c r="GK289" s="571"/>
      <c r="GL289" s="571"/>
      <c r="GM289" s="571"/>
      <c r="GN289" s="571"/>
      <c r="GO289" s="571"/>
      <c r="GP289" s="571"/>
      <c r="GQ289" s="571"/>
      <c r="GR289" s="571"/>
      <c r="GS289" s="571"/>
      <c r="GT289" s="571"/>
      <c r="GU289" s="571"/>
      <c r="GV289" s="571"/>
      <c r="GW289" s="571"/>
      <c r="GX289" s="571"/>
      <c r="GY289" s="571"/>
      <c r="GZ289" s="571"/>
      <c r="HA289" s="571"/>
      <c r="HB289" s="571"/>
      <c r="HC289" s="571"/>
      <c r="HD289" s="571"/>
      <c r="HE289" s="571"/>
      <c r="HF289" s="571"/>
      <c r="HG289" s="571"/>
      <c r="HH289" s="571"/>
      <c r="HI289" s="571"/>
      <c r="HJ289" s="571"/>
      <c r="HK289" s="571"/>
      <c r="HL289" s="571"/>
      <c r="HM289" s="571"/>
      <c r="HN289" s="571"/>
      <c r="HO289" s="571"/>
      <c r="HP289" s="571"/>
      <c r="HQ289" s="571"/>
      <c r="HR289" s="571"/>
      <c r="HS289" s="571"/>
      <c r="HT289" s="571"/>
      <c r="HU289" s="571"/>
      <c r="HV289" s="571"/>
      <c r="HW289" s="571"/>
      <c r="HX289" s="571"/>
      <c r="HY289" s="571"/>
      <c r="HZ289" s="571"/>
      <c r="IA289" s="571"/>
      <c r="IB289" s="571"/>
      <c r="IC289" s="571"/>
      <c r="ID289" s="571"/>
      <c r="IE289" s="571"/>
      <c r="IF289" s="571"/>
      <c r="IG289" s="571"/>
      <c r="IH289" s="571"/>
      <c r="II289" s="571"/>
      <c r="IJ289" s="571"/>
      <c r="IK289" s="571"/>
      <c r="IL289" s="571"/>
      <c r="IM289" s="571"/>
      <c r="IN289" s="571"/>
      <c r="IO289" s="571"/>
    </row>
    <row r="290" spans="1:249">
      <c r="A290" s="520"/>
      <c r="B290" s="520"/>
      <c r="C290" s="238"/>
      <c r="D290" s="358">
        <v>77.81</v>
      </c>
      <c r="E290" s="238"/>
      <c r="F290" s="525">
        <v>231874</v>
      </c>
      <c r="G290" s="521">
        <v>40724</v>
      </c>
      <c r="H290" s="540">
        <f t="shared" si="23"/>
        <v>2980.0025703637066</v>
      </c>
      <c r="I290" s="260" t="s">
        <v>92</v>
      </c>
      <c r="J290" s="542">
        <v>65.510000000000005</v>
      </c>
      <c r="K290" s="526">
        <v>77.81</v>
      </c>
      <c r="L290" s="367">
        <v>231874</v>
      </c>
      <c r="M290" s="540">
        <f t="shared" si="22"/>
        <v>77.81</v>
      </c>
      <c r="N290" s="540">
        <f>F290</f>
        <v>231874</v>
      </c>
      <c r="O290" s="546"/>
      <c r="P290" s="540">
        <f t="shared" si="21"/>
        <v>0</v>
      </c>
      <c r="Q290" s="551">
        <f t="shared" si="25"/>
        <v>2980.0025703637066</v>
      </c>
      <c r="R290" s="283"/>
    </row>
    <row r="291" spans="1:249">
      <c r="A291" s="520"/>
      <c r="B291" s="520"/>
      <c r="C291" s="238"/>
      <c r="D291" s="358">
        <v>77.81</v>
      </c>
      <c r="E291" s="238"/>
      <c r="F291" s="525">
        <v>449975</v>
      </c>
      <c r="G291" s="521">
        <v>41335</v>
      </c>
      <c r="H291" s="540">
        <f t="shared" si="23"/>
        <v>5782.9970440817378</v>
      </c>
      <c r="I291" s="260" t="s">
        <v>91</v>
      </c>
      <c r="J291" s="542">
        <v>65.510000000000005</v>
      </c>
      <c r="K291" s="526">
        <v>77.81</v>
      </c>
      <c r="L291" s="367">
        <v>449975</v>
      </c>
      <c r="M291" s="540">
        <f t="shared" si="22"/>
        <v>77.81</v>
      </c>
      <c r="N291" s="540">
        <f t="shared" si="24"/>
        <v>449975</v>
      </c>
      <c r="O291" s="546"/>
      <c r="P291" s="540">
        <f t="shared" si="21"/>
        <v>0</v>
      </c>
      <c r="Q291" s="551">
        <f t="shared" si="25"/>
        <v>0</v>
      </c>
      <c r="R291" s="283"/>
    </row>
    <row r="292" spans="1:249">
      <c r="A292" s="520"/>
      <c r="B292" s="520"/>
      <c r="C292" s="238"/>
      <c r="D292" s="358">
        <v>77.53</v>
      </c>
      <c r="E292" s="238"/>
      <c r="F292" s="525">
        <v>300347</v>
      </c>
      <c r="G292" s="521">
        <v>40378</v>
      </c>
      <c r="H292" s="540">
        <f t="shared" si="23"/>
        <v>3860.0051407274127</v>
      </c>
      <c r="I292" s="260" t="s">
        <v>91</v>
      </c>
      <c r="J292" s="542">
        <v>65.510000000000005</v>
      </c>
      <c r="K292" s="526">
        <v>77.81</v>
      </c>
      <c r="L292" s="367">
        <v>300347</v>
      </c>
      <c r="M292" s="540">
        <f t="shared" si="22"/>
        <v>77.81</v>
      </c>
      <c r="N292" s="540">
        <f t="shared" si="24"/>
        <v>300347</v>
      </c>
      <c r="O292" s="546"/>
      <c r="P292" s="540">
        <f t="shared" si="21"/>
        <v>0</v>
      </c>
      <c r="Q292" s="551">
        <f t="shared" si="25"/>
        <v>0</v>
      </c>
      <c r="R292" s="283"/>
    </row>
    <row r="293" spans="1:249">
      <c r="A293" s="520"/>
      <c r="B293" s="520"/>
      <c r="C293" s="238"/>
      <c r="D293" s="358">
        <v>77.81</v>
      </c>
      <c r="E293" s="238"/>
      <c r="F293" s="525">
        <v>419552</v>
      </c>
      <c r="G293" s="521">
        <v>41229</v>
      </c>
      <c r="H293" s="540">
        <f t="shared" si="23"/>
        <v>5392.0061688728956</v>
      </c>
      <c r="I293" s="260" t="s">
        <v>92</v>
      </c>
      <c r="J293" s="542">
        <v>65.510000000000005</v>
      </c>
      <c r="K293" s="526">
        <v>77.81</v>
      </c>
      <c r="L293" s="367">
        <v>419552</v>
      </c>
      <c r="M293" s="540">
        <f t="shared" si="22"/>
        <v>77.81</v>
      </c>
      <c r="N293" s="540">
        <f t="shared" si="24"/>
        <v>419552</v>
      </c>
      <c r="O293" s="546"/>
      <c r="P293" s="540">
        <f t="shared" si="21"/>
        <v>0</v>
      </c>
      <c r="Q293" s="551">
        <f t="shared" si="25"/>
        <v>0</v>
      </c>
      <c r="R293" s="283"/>
    </row>
    <row r="294" spans="1:249">
      <c r="A294" s="520"/>
      <c r="B294" s="520"/>
      <c r="C294" s="238"/>
      <c r="D294" s="358">
        <v>77.81</v>
      </c>
      <c r="E294" s="238"/>
      <c r="F294" s="525">
        <v>429822</v>
      </c>
      <c r="G294" s="521">
        <v>41242</v>
      </c>
      <c r="H294" s="540">
        <f t="shared" si="23"/>
        <v>5523.9943451998461</v>
      </c>
      <c r="I294" s="260" t="s">
        <v>92</v>
      </c>
      <c r="J294" s="542">
        <v>65.510000000000005</v>
      </c>
      <c r="K294" s="526">
        <v>77.81</v>
      </c>
      <c r="L294" s="367">
        <v>429822</v>
      </c>
      <c r="M294" s="540">
        <f t="shared" si="22"/>
        <v>77.81</v>
      </c>
      <c r="N294" s="540">
        <f t="shared" si="24"/>
        <v>429822</v>
      </c>
      <c r="O294" s="546"/>
      <c r="P294" s="540">
        <f t="shared" si="21"/>
        <v>0</v>
      </c>
      <c r="Q294" s="551">
        <f t="shared" si="25"/>
        <v>0</v>
      </c>
      <c r="R294" s="283"/>
    </row>
    <row r="295" spans="1:249">
      <c r="A295" s="520"/>
      <c r="B295" s="520"/>
      <c r="C295" s="238"/>
      <c r="D295" s="358">
        <v>77.81</v>
      </c>
      <c r="E295" s="238"/>
      <c r="F295" s="525">
        <v>440249</v>
      </c>
      <c r="G295" s="521">
        <v>41127</v>
      </c>
      <c r="H295" s="540">
        <f t="shared" si="23"/>
        <v>5658.0002570363704</v>
      </c>
      <c r="I295" s="260" t="s">
        <v>92</v>
      </c>
      <c r="J295" s="542">
        <v>65.510000000000005</v>
      </c>
      <c r="K295" s="526">
        <v>77.81</v>
      </c>
      <c r="L295" s="367">
        <v>440249</v>
      </c>
      <c r="M295" s="540">
        <f t="shared" si="22"/>
        <v>77.81</v>
      </c>
      <c r="N295" s="540">
        <f t="shared" si="24"/>
        <v>440249</v>
      </c>
      <c r="O295" s="546"/>
      <c r="P295" s="540">
        <f t="shared" si="21"/>
        <v>0</v>
      </c>
      <c r="Q295" s="551">
        <f t="shared" si="25"/>
        <v>0</v>
      </c>
      <c r="R295" s="283"/>
    </row>
    <row r="296" spans="1:249">
      <c r="A296" s="520"/>
      <c r="B296" s="520"/>
      <c r="C296" s="238"/>
      <c r="D296" s="358">
        <v>77.81</v>
      </c>
      <c r="E296" s="238"/>
      <c r="F296" s="525">
        <v>317465</v>
      </c>
      <c r="G296" s="521">
        <v>40392</v>
      </c>
      <c r="H296" s="540">
        <f t="shared" si="23"/>
        <v>4080.0025703637061</v>
      </c>
      <c r="I296" s="260" t="s">
        <v>92</v>
      </c>
      <c r="J296" s="542">
        <v>65.510000000000005</v>
      </c>
      <c r="K296" s="526">
        <v>77.81</v>
      </c>
      <c r="L296" s="367">
        <v>317465</v>
      </c>
      <c r="M296" s="540">
        <f t="shared" si="22"/>
        <v>77.81</v>
      </c>
      <c r="N296" s="540">
        <f t="shared" si="24"/>
        <v>317465</v>
      </c>
      <c r="O296" s="546"/>
      <c r="P296" s="540">
        <f t="shared" si="21"/>
        <v>0</v>
      </c>
      <c r="Q296" s="551">
        <f t="shared" si="25"/>
        <v>0</v>
      </c>
      <c r="R296" s="283"/>
    </row>
    <row r="297" spans="1:249">
      <c r="A297" s="520"/>
      <c r="B297" s="520"/>
      <c r="C297" s="238"/>
      <c r="D297" s="358">
        <v>77.53</v>
      </c>
      <c r="E297" s="238"/>
      <c r="F297" s="525">
        <v>420174</v>
      </c>
      <c r="G297" s="521">
        <v>41061</v>
      </c>
      <c r="H297" s="540">
        <f t="shared" si="23"/>
        <v>5400</v>
      </c>
      <c r="I297" s="260" t="s">
        <v>92</v>
      </c>
      <c r="J297" s="542">
        <v>65.510000000000005</v>
      </c>
      <c r="K297" s="526">
        <v>77.81</v>
      </c>
      <c r="L297" s="367">
        <v>420174</v>
      </c>
      <c r="M297" s="540">
        <f t="shared" si="22"/>
        <v>77.81</v>
      </c>
      <c r="N297" s="540">
        <f t="shared" si="24"/>
        <v>420174</v>
      </c>
      <c r="O297" s="546"/>
      <c r="P297" s="540">
        <f t="shared" si="21"/>
        <v>0</v>
      </c>
      <c r="Q297" s="551">
        <f t="shared" si="25"/>
        <v>0</v>
      </c>
      <c r="R297" s="283"/>
    </row>
    <row r="298" spans="1:249">
      <c r="A298" s="520"/>
      <c r="B298" s="520"/>
      <c r="C298" s="238"/>
      <c r="D298" s="358">
        <v>77.81</v>
      </c>
      <c r="E298" s="238"/>
      <c r="F298" s="525">
        <v>424065</v>
      </c>
      <c r="G298" s="521">
        <v>41061</v>
      </c>
      <c r="H298" s="540">
        <f t="shared" si="23"/>
        <v>5450.006425909266</v>
      </c>
      <c r="I298" s="260" t="s">
        <v>92</v>
      </c>
      <c r="J298" s="542">
        <v>65.510000000000005</v>
      </c>
      <c r="K298" s="526">
        <v>77.81</v>
      </c>
      <c r="L298" s="367">
        <v>424065</v>
      </c>
      <c r="M298" s="540">
        <f t="shared" si="22"/>
        <v>77.81</v>
      </c>
      <c r="N298" s="540">
        <f t="shared" si="24"/>
        <v>424065</v>
      </c>
      <c r="O298" s="546"/>
      <c r="P298" s="540">
        <f t="shared" si="21"/>
        <v>0</v>
      </c>
      <c r="Q298" s="551">
        <f t="shared" si="25"/>
        <v>0</v>
      </c>
      <c r="R298" s="283"/>
    </row>
    <row r="299" spans="1:249" ht="24">
      <c r="A299" s="520"/>
      <c r="B299" s="520"/>
      <c r="C299" s="238"/>
      <c r="D299" s="358">
        <v>77.81</v>
      </c>
      <c r="E299" s="238"/>
      <c r="F299" s="525">
        <v>449431</v>
      </c>
      <c r="G299" s="521">
        <v>41104</v>
      </c>
      <c r="H299" s="540">
        <f t="shared" si="23"/>
        <v>5776.0056548001539</v>
      </c>
      <c r="I299" s="260" t="s">
        <v>90</v>
      </c>
      <c r="J299" s="542">
        <v>65.510000000000005</v>
      </c>
      <c r="K299" s="526">
        <v>77.81</v>
      </c>
      <c r="L299" s="367">
        <v>449431</v>
      </c>
      <c r="M299" s="540">
        <f t="shared" si="22"/>
        <v>77.81</v>
      </c>
      <c r="N299" s="540">
        <f t="shared" si="24"/>
        <v>449431</v>
      </c>
      <c r="O299" s="546"/>
      <c r="P299" s="540">
        <f t="shared" si="21"/>
        <v>0</v>
      </c>
      <c r="Q299" s="551">
        <f t="shared" si="25"/>
        <v>0</v>
      </c>
      <c r="R299" s="283"/>
    </row>
    <row r="300" spans="1:249">
      <c r="A300" s="520"/>
      <c r="B300" s="520"/>
      <c r="C300" s="238"/>
      <c r="D300" s="358">
        <v>77.81</v>
      </c>
      <c r="E300" s="238"/>
      <c r="F300" s="525">
        <v>451298</v>
      </c>
      <c r="G300" s="521">
        <v>41054</v>
      </c>
      <c r="H300" s="540">
        <f t="shared" si="23"/>
        <v>5800</v>
      </c>
      <c r="I300" s="260" t="s">
        <v>91</v>
      </c>
      <c r="J300" s="542">
        <v>65.510000000000005</v>
      </c>
      <c r="K300" s="526">
        <v>77.81</v>
      </c>
      <c r="L300" s="367">
        <v>451298</v>
      </c>
      <c r="M300" s="540">
        <f t="shared" si="22"/>
        <v>77.81</v>
      </c>
      <c r="N300" s="540">
        <f t="shared" si="24"/>
        <v>451298</v>
      </c>
      <c r="O300" s="546"/>
      <c r="P300" s="540">
        <f t="shared" si="21"/>
        <v>0</v>
      </c>
      <c r="Q300" s="551">
        <f t="shared" si="25"/>
        <v>0</v>
      </c>
      <c r="R300" s="283"/>
    </row>
    <row r="301" spans="1:249">
      <c r="A301" s="520"/>
      <c r="B301" s="520"/>
      <c r="C301" s="238"/>
      <c r="D301" s="358">
        <v>77.53</v>
      </c>
      <c r="E301" s="238"/>
      <c r="F301" s="525">
        <v>231874</v>
      </c>
      <c r="G301" s="521">
        <v>40381</v>
      </c>
      <c r="H301" s="540">
        <f t="shared" si="23"/>
        <v>2980.0025703637066</v>
      </c>
      <c r="I301" s="260" t="s">
        <v>91</v>
      </c>
      <c r="J301" s="542">
        <v>65.510000000000005</v>
      </c>
      <c r="K301" s="526">
        <v>77.81</v>
      </c>
      <c r="L301" s="367">
        <v>231874</v>
      </c>
      <c r="M301" s="540">
        <f t="shared" si="22"/>
        <v>77.81</v>
      </c>
      <c r="N301" s="540">
        <f>F301</f>
        <v>231874</v>
      </c>
      <c r="O301" s="546"/>
      <c r="P301" s="540">
        <f t="shared" si="21"/>
        <v>0</v>
      </c>
      <c r="Q301" s="551">
        <f t="shared" si="25"/>
        <v>2980.0025703637066</v>
      </c>
      <c r="R301" s="283"/>
    </row>
    <row r="302" spans="1:249" ht="24">
      <c r="A302" s="520"/>
      <c r="B302" s="520"/>
      <c r="C302" s="238"/>
      <c r="D302" s="358">
        <v>77.53</v>
      </c>
      <c r="E302" s="238"/>
      <c r="F302" s="525">
        <v>288675</v>
      </c>
      <c r="G302" s="521">
        <v>40382</v>
      </c>
      <c r="H302" s="540">
        <f t="shared" si="23"/>
        <v>3709.9987148181467</v>
      </c>
      <c r="I302" s="260" t="s">
        <v>90</v>
      </c>
      <c r="J302" s="542">
        <v>65.510000000000005</v>
      </c>
      <c r="K302" s="526">
        <v>77.81</v>
      </c>
      <c r="L302" s="367">
        <v>288675</v>
      </c>
      <c r="M302" s="540">
        <f t="shared" si="22"/>
        <v>77.81</v>
      </c>
      <c r="N302" s="540">
        <f t="shared" si="24"/>
        <v>288675</v>
      </c>
      <c r="O302" s="546"/>
      <c r="P302" s="540">
        <f t="shared" si="21"/>
        <v>0</v>
      </c>
      <c r="Q302" s="551">
        <f t="shared" si="25"/>
        <v>0</v>
      </c>
      <c r="R302" s="283"/>
    </row>
    <row r="303" spans="1:249" ht="24">
      <c r="A303" s="520"/>
      <c r="B303" s="520"/>
      <c r="C303" s="238"/>
      <c r="D303" s="358">
        <v>77.53</v>
      </c>
      <c r="E303" s="238"/>
      <c r="F303" s="525">
        <v>294122</v>
      </c>
      <c r="G303" s="521">
        <v>40412</v>
      </c>
      <c r="H303" s="540">
        <f t="shared" si="23"/>
        <v>3780.0025703637061</v>
      </c>
      <c r="I303" s="260" t="s">
        <v>90</v>
      </c>
      <c r="J303" s="542">
        <v>65.510000000000005</v>
      </c>
      <c r="K303" s="526">
        <v>77.81</v>
      </c>
      <c r="L303" s="367">
        <v>294122</v>
      </c>
      <c r="M303" s="540">
        <f t="shared" si="22"/>
        <v>77.81</v>
      </c>
      <c r="N303" s="540">
        <f t="shared" si="24"/>
        <v>294122</v>
      </c>
      <c r="O303" s="546"/>
      <c r="P303" s="540">
        <f t="shared" si="21"/>
        <v>0</v>
      </c>
      <c r="Q303" s="551">
        <f t="shared" si="25"/>
        <v>0</v>
      </c>
      <c r="R303" s="283"/>
    </row>
    <row r="304" spans="1:249">
      <c r="A304" s="520"/>
      <c r="B304" s="520"/>
      <c r="C304" s="238"/>
      <c r="D304" s="358">
        <v>77.53</v>
      </c>
      <c r="E304" s="238"/>
      <c r="F304" s="525">
        <v>305793</v>
      </c>
      <c r="G304" s="521">
        <v>40382</v>
      </c>
      <c r="H304" s="540">
        <f t="shared" si="23"/>
        <v>3929.9961444544401</v>
      </c>
      <c r="I304" s="260" t="s">
        <v>91</v>
      </c>
      <c r="J304" s="542">
        <v>65.510000000000005</v>
      </c>
      <c r="K304" s="526">
        <v>77.81</v>
      </c>
      <c r="L304" s="367">
        <v>305793</v>
      </c>
      <c r="M304" s="540">
        <f t="shared" si="22"/>
        <v>77.81</v>
      </c>
      <c r="N304" s="540">
        <f t="shared" si="24"/>
        <v>305793</v>
      </c>
      <c r="O304" s="546"/>
      <c r="P304" s="540">
        <f t="shared" si="21"/>
        <v>0</v>
      </c>
      <c r="Q304" s="551">
        <f t="shared" si="25"/>
        <v>0</v>
      </c>
      <c r="R304" s="283"/>
    </row>
    <row r="305" spans="1:18">
      <c r="A305" s="520"/>
      <c r="B305" s="520"/>
      <c r="C305" s="238"/>
      <c r="D305" s="358">
        <v>77.53</v>
      </c>
      <c r="E305" s="238"/>
      <c r="F305" s="525">
        <v>295678</v>
      </c>
      <c r="G305" s="521">
        <v>40381</v>
      </c>
      <c r="H305" s="540">
        <f t="shared" si="23"/>
        <v>3800</v>
      </c>
      <c r="I305" s="260" t="s">
        <v>91</v>
      </c>
      <c r="J305" s="542">
        <v>65.510000000000005</v>
      </c>
      <c r="K305" s="526">
        <v>77.81</v>
      </c>
      <c r="L305" s="367">
        <v>295678</v>
      </c>
      <c r="M305" s="540">
        <f t="shared" si="22"/>
        <v>77.81</v>
      </c>
      <c r="N305" s="540">
        <f t="shared" si="24"/>
        <v>295678</v>
      </c>
      <c r="O305" s="546"/>
      <c r="P305" s="540">
        <f t="shared" si="21"/>
        <v>0</v>
      </c>
      <c r="Q305" s="551">
        <f t="shared" si="25"/>
        <v>0</v>
      </c>
      <c r="R305" s="283"/>
    </row>
    <row r="306" spans="1:18">
      <c r="A306" s="520"/>
      <c r="B306" s="520"/>
      <c r="C306" s="238"/>
      <c r="D306" s="358">
        <v>77.81</v>
      </c>
      <c r="E306" s="238"/>
      <c r="F306" s="525">
        <v>466315</v>
      </c>
      <c r="G306" s="521">
        <v>40764</v>
      </c>
      <c r="H306" s="540">
        <f t="shared" si="23"/>
        <v>5992.9957588998841</v>
      </c>
      <c r="I306" s="260" t="s">
        <v>92</v>
      </c>
      <c r="J306" s="542">
        <v>65.510000000000005</v>
      </c>
      <c r="K306" s="526">
        <v>77.81</v>
      </c>
      <c r="L306" s="367">
        <v>466315</v>
      </c>
      <c r="M306" s="540">
        <f t="shared" si="22"/>
        <v>77.81</v>
      </c>
      <c r="N306" s="540">
        <f t="shared" si="24"/>
        <v>466315</v>
      </c>
      <c r="O306" s="546"/>
      <c r="P306" s="540">
        <f t="shared" si="21"/>
        <v>0</v>
      </c>
      <c r="Q306" s="551">
        <f t="shared" si="25"/>
        <v>0</v>
      </c>
      <c r="R306" s="283"/>
    </row>
    <row r="307" spans="1:18">
      <c r="A307" s="520"/>
      <c r="B307" s="520"/>
      <c r="C307" s="238"/>
      <c r="D307" s="358">
        <v>77.81</v>
      </c>
      <c r="E307" s="238"/>
      <c r="F307" s="525">
        <v>472540</v>
      </c>
      <c r="G307" s="521">
        <v>40764</v>
      </c>
      <c r="H307" s="540">
        <f t="shared" si="23"/>
        <v>6072.9983292635907</v>
      </c>
      <c r="I307" s="260" t="s">
        <v>92</v>
      </c>
      <c r="J307" s="542">
        <v>65.510000000000005</v>
      </c>
      <c r="K307" s="526">
        <v>77.81</v>
      </c>
      <c r="L307" s="367">
        <v>472540</v>
      </c>
      <c r="M307" s="540">
        <f t="shared" si="22"/>
        <v>77.81</v>
      </c>
      <c r="N307" s="540">
        <f t="shared" si="24"/>
        <v>472540</v>
      </c>
      <c r="O307" s="546"/>
      <c r="P307" s="540">
        <f t="shared" si="21"/>
        <v>0</v>
      </c>
      <c r="Q307" s="551">
        <f t="shared" si="25"/>
        <v>0</v>
      </c>
      <c r="R307" s="283"/>
    </row>
    <row r="308" spans="1:18">
      <c r="A308" s="520"/>
      <c r="B308" s="520"/>
      <c r="C308" s="238"/>
      <c r="D308" s="358">
        <v>77.81</v>
      </c>
      <c r="E308" s="238"/>
      <c r="F308" s="525">
        <v>494094</v>
      </c>
      <c r="G308" s="521">
        <v>40775</v>
      </c>
      <c r="H308" s="540">
        <f t="shared" si="23"/>
        <v>6350.006425909266</v>
      </c>
      <c r="I308" s="260" t="s">
        <v>92</v>
      </c>
      <c r="J308" s="542">
        <v>65.510000000000005</v>
      </c>
      <c r="K308" s="526">
        <v>77.81</v>
      </c>
      <c r="L308" s="367">
        <v>494094</v>
      </c>
      <c r="M308" s="540">
        <f t="shared" si="22"/>
        <v>77.81</v>
      </c>
      <c r="N308" s="540">
        <f t="shared" si="24"/>
        <v>494094</v>
      </c>
      <c r="O308" s="546"/>
      <c r="P308" s="540">
        <f t="shared" si="21"/>
        <v>0</v>
      </c>
      <c r="Q308" s="551">
        <f t="shared" si="25"/>
        <v>0</v>
      </c>
      <c r="R308" s="283"/>
    </row>
    <row r="309" spans="1:18">
      <c r="A309" s="520"/>
      <c r="B309" s="520"/>
      <c r="C309" s="238"/>
      <c r="D309" s="358">
        <v>77.81</v>
      </c>
      <c r="E309" s="238"/>
      <c r="F309" s="525">
        <v>477520</v>
      </c>
      <c r="G309" s="521">
        <v>40983</v>
      </c>
      <c r="H309" s="540">
        <f t="shared" si="23"/>
        <v>6137.0003855545556</v>
      </c>
      <c r="I309" s="260"/>
      <c r="J309" s="542">
        <v>65.510000000000005</v>
      </c>
      <c r="K309" s="526">
        <v>77.81</v>
      </c>
      <c r="L309" s="367">
        <v>477520</v>
      </c>
      <c r="M309" s="540">
        <f t="shared" si="22"/>
        <v>77.81</v>
      </c>
      <c r="N309" s="540">
        <f t="shared" si="24"/>
        <v>477520</v>
      </c>
      <c r="O309" s="546"/>
      <c r="P309" s="540">
        <f t="shared" si="21"/>
        <v>0</v>
      </c>
      <c r="Q309" s="551">
        <f t="shared" si="25"/>
        <v>0</v>
      </c>
      <c r="R309" s="283"/>
    </row>
    <row r="310" spans="1:18">
      <c r="A310" s="520"/>
      <c r="B310" s="520"/>
      <c r="C310" s="238"/>
      <c r="D310" s="358">
        <v>77.81</v>
      </c>
      <c r="E310" s="238"/>
      <c r="F310" s="525">
        <v>454410</v>
      </c>
      <c r="G310" s="521">
        <v>41350</v>
      </c>
      <c r="H310" s="540">
        <f t="shared" si="23"/>
        <v>5839.9948592725868</v>
      </c>
      <c r="I310" s="260" t="s">
        <v>92</v>
      </c>
      <c r="J310" s="542">
        <v>65.510000000000005</v>
      </c>
      <c r="K310" s="526">
        <v>77.81</v>
      </c>
      <c r="L310" s="367">
        <v>454410</v>
      </c>
      <c r="M310" s="540">
        <f t="shared" si="22"/>
        <v>77.81</v>
      </c>
      <c r="N310" s="540">
        <f t="shared" si="24"/>
        <v>454410</v>
      </c>
      <c r="O310" s="546"/>
      <c r="P310" s="540">
        <f t="shared" si="21"/>
        <v>0</v>
      </c>
      <c r="Q310" s="551">
        <f t="shared" si="25"/>
        <v>0</v>
      </c>
      <c r="R310" s="283"/>
    </row>
    <row r="311" spans="1:18">
      <c r="A311" s="520"/>
      <c r="B311" s="520"/>
      <c r="C311" s="238"/>
      <c r="D311" s="358">
        <v>77.81</v>
      </c>
      <c r="E311" s="238"/>
      <c r="F311" s="525">
        <v>414727</v>
      </c>
      <c r="G311" s="521">
        <v>41028</v>
      </c>
      <c r="H311" s="540">
        <f t="shared" si="23"/>
        <v>5329.9961444544406</v>
      </c>
      <c r="I311" s="260"/>
      <c r="J311" s="542">
        <v>65.510000000000005</v>
      </c>
      <c r="K311" s="526">
        <v>77.81</v>
      </c>
      <c r="L311" s="367">
        <v>414727</v>
      </c>
      <c r="M311" s="540">
        <f t="shared" si="22"/>
        <v>77.81</v>
      </c>
      <c r="N311" s="540">
        <f t="shared" si="24"/>
        <v>414727</v>
      </c>
      <c r="O311" s="546"/>
      <c r="P311" s="540">
        <f t="shared" si="21"/>
        <v>0</v>
      </c>
      <c r="Q311" s="551">
        <f t="shared" si="25"/>
        <v>0</v>
      </c>
      <c r="R311" s="283"/>
    </row>
    <row r="312" spans="1:18">
      <c r="A312" s="520"/>
      <c r="B312" s="520"/>
      <c r="C312" s="238"/>
      <c r="D312" s="358">
        <v>91.15</v>
      </c>
      <c r="E312" s="238"/>
      <c r="F312" s="525">
        <v>398853</v>
      </c>
      <c r="G312" s="521">
        <v>40431</v>
      </c>
      <c r="H312" s="540">
        <f t="shared" si="23"/>
        <v>4279.9978538469795</v>
      </c>
      <c r="I312" s="260" t="s">
        <v>91</v>
      </c>
      <c r="J312" s="542">
        <v>78.599999999999994</v>
      </c>
      <c r="K312" s="526">
        <v>93.19</v>
      </c>
      <c r="L312" s="367">
        <v>398853</v>
      </c>
      <c r="M312" s="540">
        <f t="shared" si="22"/>
        <v>93.19</v>
      </c>
      <c r="N312" s="540">
        <f t="shared" si="24"/>
        <v>398853</v>
      </c>
      <c r="O312" s="546"/>
      <c r="P312" s="540">
        <f t="shared" si="21"/>
        <v>0</v>
      </c>
      <c r="Q312" s="551">
        <f t="shared" si="25"/>
        <v>0</v>
      </c>
      <c r="R312" s="283"/>
    </row>
    <row r="313" spans="1:18">
      <c r="A313" s="520"/>
      <c r="B313" s="520"/>
      <c r="C313" s="238"/>
      <c r="D313" s="358">
        <v>91.15</v>
      </c>
      <c r="E313" s="238"/>
      <c r="F313" s="525">
        <v>408172</v>
      </c>
      <c r="G313" s="521">
        <v>40381</v>
      </c>
      <c r="H313" s="540">
        <f t="shared" si="23"/>
        <v>4379.9978538469795</v>
      </c>
      <c r="I313" s="260" t="s">
        <v>91</v>
      </c>
      <c r="J313" s="542">
        <v>78.599999999999994</v>
      </c>
      <c r="K313" s="526">
        <v>93.19</v>
      </c>
      <c r="L313" s="367">
        <v>302073</v>
      </c>
      <c r="M313" s="540">
        <f t="shared" si="22"/>
        <v>93.19</v>
      </c>
      <c r="N313" s="540">
        <v>408172</v>
      </c>
      <c r="O313" s="546"/>
      <c r="P313" s="540">
        <f t="shared" si="21"/>
        <v>0</v>
      </c>
      <c r="Q313" s="551">
        <f t="shared" si="25"/>
        <v>0</v>
      </c>
      <c r="R313" s="283"/>
    </row>
    <row r="314" spans="1:18" ht="24">
      <c r="A314" s="520"/>
      <c r="B314" s="520"/>
      <c r="C314" s="238"/>
      <c r="D314" s="358">
        <v>93.19</v>
      </c>
      <c r="E314" s="238"/>
      <c r="F314" s="525">
        <v>499964</v>
      </c>
      <c r="G314" s="521">
        <v>41151</v>
      </c>
      <c r="H314" s="540">
        <f t="shared" si="23"/>
        <v>5364.9962442322139</v>
      </c>
      <c r="I314" s="260" t="s">
        <v>90</v>
      </c>
      <c r="J314" s="542">
        <v>78.599999999999994</v>
      </c>
      <c r="K314" s="526">
        <v>93.19</v>
      </c>
      <c r="L314" s="367">
        <v>499964</v>
      </c>
      <c r="M314" s="540">
        <f t="shared" si="22"/>
        <v>93.19</v>
      </c>
      <c r="N314" s="540">
        <f t="shared" si="24"/>
        <v>499964</v>
      </c>
      <c r="O314" s="546"/>
      <c r="P314" s="540">
        <f t="shared" si="21"/>
        <v>0</v>
      </c>
      <c r="Q314" s="551">
        <f t="shared" si="25"/>
        <v>0</v>
      </c>
      <c r="R314" s="283"/>
    </row>
    <row r="315" spans="1:18" ht="24">
      <c r="A315" s="520"/>
      <c r="B315" s="520"/>
      <c r="C315" s="238"/>
      <c r="D315" s="358">
        <v>93.19</v>
      </c>
      <c r="E315" s="238"/>
      <c r="F315" s="525">
        <v>498194</v>
      </c>
      <c r="G315" s="521">
        <v>41268</v>
      </c>
      <c r="H315" s="540">
        <f t="shared" si="23"/>
        <v>5346.0027899989273</v>
      </c>
      <c r="I315" s="260" t="s">
        <v>90</v>
      </c>
      <c r="J315" s="542">
        <v>78.599999999999994</v>
      </c>
      <c r="K315" s="526">
        <v>93.19</v>
      </c>
      <c r="L315" s="367">
        <v>498194</v>
      </c>
      <c r="M315" s="540">
        <f t="shared" si="22"/>
        <v>93.19</v>
      </c>
      <c r="N315" s="540">
        <f t="shared" si="24"/>
        <v>498194</v>
      </c>
      <c r="O315" s="546"/>
      <c r="P315" s="540">
        <f t="shared" si="21"/>
        <v>0</v>
      </c>
      <c r="Q315" s="551">
        <f t="shared" si="25"/>
        <v>0</v>
      </c>
      <c r="R315" s="283"/>
    </row>
    <row r="316" spans="1:18">
      <c r="A316" s="520"/>
      <c r="B316" s="520"/>
      <c r="C316" s="238"/>
      <c r="D316" s="358">
        <v>91.15</v>
      </c>
      <c r="E316" s="238"/>
      <c r="F316" s="525">
        <v>432402</v>
      </c>
      <c r="G316" s="521">
        <v>40512</v>
      </c>
      <c r="H316" s="540">
        <f t="shared" si="23"/>
        <v>4640.0042923060419</v>
      </c>
      <c r="I316" s="260" t="s">
        <v>92</v>
      </c>
      <c r="J316" s="542">
        <v>78.599999999999994</v>
      </c>
      <c r="K316" s="526">
        <v>93.19</v>
      </c>
      <c r="L316" s="367">
        <v>432402</v>
      </c>
      <c r="M316" s="540">
        <f t="shared" si="22"/>
        <v>93.19</v>
      </c>
      <c r="N316" s="540">
        <f t="shared" si="24"/>
        <v>432402</v>
      </c>
      <c r="O316" s="546"/>
      <c r="P316" s="540">
        <f t="shared" si="21"/>
        <v>0</v>
      </c>
      <c r="Q316" s="551">
        <f t="shared" si="25"/>
        <v>0</v>
      </c>
      <c r="R316" s="283"/>
    </row>
    <row r="317" spans="1:18">
      <c r="A317" s="520"/>
      <c r="B317" s="520"/>
      <c r="C317" s="238"/>
      <c r="D317" s="358">
        <v>91.15</v>
      </c>
      <c r="E317" s="238"/>
      <c r="F317" s="525">
        <v>444703</v>
      </c>
      <c r="G317" s="521">
        <v>40389</v>
      </c>
      <c r="H317" s="540">
        <f t="shared" si="23"/>
        <v>4772.0034338448331</v>
      </c>
      <c r="I317" s="260" t="s">
        <v>91</v>
      </c>
      <c r="J317" s="542">
        <v>78.599999999999994</v>
      </c>
      <c r="K317" s="526">
        <v>93.19</v>
      </c>
      <c r="L317" s="367">
        <v>444703</v>
      </c>
      <c r="M317" s="540">
        <f t="shared" si="22"/>
        <v>93.19</v>
      </c>
      <c r="N317" s="540">
        <f t="shared" si="24"/>
        <v>444703</v>
      </c>
      <c r="O317" s="546"/>
      <c r="P317" s="540">
        <f t="shared" ref="P317:P383" si="26">N317-F317</f>
        <v>0</v>
      </c>
      <c r="Q317" s="551">
        <f t="shared" si="25"/>
        <v>0</v>
      </c>
      <c r="R317" s="283"/>
    </row>
    <row r="318" spans="1:18">
      <c r="A318" s="520"/>
      <c r="B318" s="520"/>
      <c r="C318" s="238"/>
      <c r="D318" s="358">
        <v>91.15</v>
      </c>
      <c r="E318" s="238"/>
      <c r="F318" s="525">
        <v>350394</v>
      </c>
      <c r="G318" s="521">
        <v>40392</v>
      </c>
      <c r="H318" s="540">
        <f t="shared" si="23"/>
        <v>3759.9957076939586</v>
      </c>
      <c r="I318" s="260" t="s">
        <v>92</v>
      </c>
      <c r="J318" s="542">
        <v>78.599999999999994</v>
      </c>
      <c r="K318" s="526">
        <v>93.19</v>
      </c>
      <c r="L318" s="367">
        <v>350394</v>
      </c>
      <c r="M318" s="540">
        <f t="shared" si="22"/>
        <v>93.19</v>
      </c>
      <c r="N318" s="540">
        <f t="shared" si="24"/>
        <v>350394</v>
      </c>
      <c r="O318" s="546"/>
      <c r="P318" s="540">
        <f t="shared" si="26"/>
        <v>0</v>
      </c>
      <c r="Q318" s="551">
        <f t="shared" si="25"/>
        <v>0</v>
      </c>
      <c r="R318" s="283"/>
    </row>
    <row r="319" spans="1:18">
      <c r="A319" s="520"/>
      <c r="B319" s="520"/>
      <c r="C319" s="238"/>
      <c r="D319" s="358">
        <v>91.15</v>
      </c>
      <c r="E319" s="238"/>
      <c r="F319" s="525">
        <v>257204</v>
      </c>
      <c r="G319" s="521">
        <v>40389</v>
      </c>
      <c r="H319" s="540">
        <f t="shared" si="23"/>
        <v>2759.9957076939586</v>
      </c>
      <c r="I319" s="260" t="s">
        <v>92</v>
      </c>
      <c r="J319" s="542">
        <v>78.599999999999994</v>
      </c>
      <c r="K319" s="526">
        <v>93.19</v>
      </c>
      <c r="L319" s="367">
        <v>257204</v>
      </c>
      <c r="M319" s="540">
        <f t="shared" si="22"/>
        <v>93.19</v>
      </c>
      <c r="N319" s="540">
        <f>F319</f>
        <v>257204</v>
      </c>
      <c r="O319" s="546"/>
      <c r="P319" s="540">
        <f t="shared" si="26"/>
        <v>0</v>
      </c>
      <c r="Q319" s="551">
        <f t="shared" si="25"/>
        <v>2759.9957076939586</v>
      </c>
      <c r="R319" s="283"/>
    </row>
    <row r="320" spans="1:18">
      <c r="A320" s="520"/>
      <c r="B320" s="520"/>
      <c r="C320" s="238"/>
      <c r="D320" s="358">
        <v>91.15</v>
      </c>
      <c r="E320" s="238"/>
      <c r="F320" s="525">
        <v>365305</v>
      </c>
      <c r="G320" s="521">
        <v>40652</v>
      </c>
      <c r="H320" s="540">
        <f t="shared" si="23"/>
        <v>3920.0021461530209</v>
      </c>
      <c r="I320" s="260" t="s">
        <v>92</v>
      </c>
      <c r="J320" s="542">
        <v>78.599999999999994</v>
      </c>
      <c r="K320" s="526">
        <v>93.19</v>
      </c>
      <c r="L320" s="367">
        <v>365305</v>
      </c>
      <c r="M320" s="540">
        <f t="shared" si="22"/>
        <v>93.19</v>
      </c>
      <c r="N320" s="540">
        <f t="shared" si="24"/>
        <v>365305</v>
      </c>
      <c r="O320" s="546"/>
      <c r="P320" s="540">
        <f t="shared" si="26"/>
        <v>0</v>
      </c>
      <c r="Q320" s="551">
        <f t="shared" si="25"/>
        <v>0</v>
      </c>
      <c r="R320" s="283"/>
    </row>
    <row r="321" spans="1:249">
      <c r="A321" s="520"/>
      <c r="B321" s="520"/>
      <c r="C321" s="238"/>
      <c r="D321" s="358">
        <v>91.15</v>
      </c>
      <c r="E321" s="238"/>
      <c r="F321" s="525">
        <v>272115</v>
      </c>
      <c r="G321" s="521">
        <v>40392</v>
      </c>
      <c r="H321" s="540">
        <f t="shared" si="23"/>
        <v>2920.0021461530209</v>
      </c>
      <c r="I321" s="260" t="s">
        <v>92</v>
      </c>
      <c r="J321" s="542">
        <v>78.599999999999994</v>
      </c>
      <c r="K321" s="526">
        <v>93.19</v>
      </c>
      <c r="L321" s="367">
        <v>272115</v>
      </c>
      <c r="M321" s="540">
        <f t="shared" si="22"/>
        <v>93.19</v>
      </c>
      <c r="N321" s="540">
        <f>F321</f>
        <v>272115</v>
      </c>
      <c r="O321" s="546"/>
      <c r="P321" s="540">
        <f t="shared" si="26"/>
        <v>0</v>
      </c>
      <c r="Q321" s="551">
        <f t="shared" si="25"/>
        <v>2920.0021461530209</v>
      </c>
      <c r="R321" s="283"/>
    </row>
    <row r="322" spans="1:249">
      <c r="A322" s="520"/>
      <c r="B322" s="520"/>
      <c r="C322" s="238"/>
      <c r="D322" s="358">
        <v>93.19</v>
      </c>
      <c r="E322" s="238"/>
      <c r="F322" s="525">
        <v>552244</v>
      </c>
      <c r="G322" s="521">
        <v>41422</v>
      </c>
      <c r="H322" s="540">
        <f t="shared" si="23"/>
        <v>5926.0006438459068</v>
      </c>
      <c r="I322" s="260" t="s">
        <v>92</v>
      </c>
      <c r="J322" s="542">
        <v>78.599999999999994</v>
      </c>
      <c r="K322" s="526">
        <v>93.19</v>
      </c>
      <c r="L322" s="367">
        <v>552244</v>
      </c>
      <c r="M322" s="540">
        <f t="shared" si="22"/>
        <v>93.19</v>
      </c>
      <c r="N322" s="540">
        <f t="shared" si="24"/>
        <v>552244</v>
      </c>
      <c r="O322" s="546"/>
      <c r="P322" s="540">
        <f t="shared" si="26"/>
        <v>0</v>
      </c>
      <c r="Q322" s="551">
        <f t="shared" si="25"/>
        <v>0</v>
      </c>
      <c r="R322" s="283"/>
    </row>
    <row r="323" spans="1:249">
      <c r="A323" s="520"/>
      <c r="B323" s="520"/>
      <c r="C323" s="238"/>
      <c r="D323" s="358">
        <v>91.15</v>
      </c>
      <c r="E323" s="238"/>
      <c r="F323" s="525">
        <v>336043</v>
      </c>
      <c r="G323" s="521">
        <v>40380</v>
      </c>
      <c r="H323" s="540">
        <f t="shared" si="23"/>
        <v>3605.9984976928854</v>
      </c>
      <c r="I323" s="260" t="s">
        <v>92</v>
      </c>
      <c r="J323" s="542">
        <v>78.599999999999994</v>
      </c>
      <c r="K323" s="526">
        <v>93.19</v>
      </c>
      <c r="L323" s="367">
        <v>336043</v>
      </c>
      <c r="M323" s="540">
        <f t="shared" si="22"/>
        <v>93.19</v>
      </c>
      <c r="N323" s="540">
        <f t="shared" si="24"/>
        <v>336043</v>
      </c>
      <c r="O323" s="546"/>
      <c r="P323" s="540">
        <f t="shared" si="26"/>
        <v>0</v>
      </c>
      <c r="Q323" s="551">
        <f t="shared" si="25"/>
        <v>0</v>
      </c>
      <c r="R323" s="283"/>
    </row>
    <row r="324" spans="1:249">
      <c r="A324" s="520"/>
      <c r="B324" s="520"/>
      <c r="C324" s="238"/>
      <c r="D324" s="358">
        <v>91.15</v>
      </c>
      <c r="E324" s="238"/>
      <c r="F324" s="525">
        <v>407240</v>
      </c>
      <c r="G324" s="521">
        <v>40409</v>
      </c>
      <c r="H324" s="540">
        <f t="shared" si="23"/>
        <v>4369.9967807704688</v>
      </c>
      <c r="I324" s="260" t="s">
        <v>91</v>
      </c>
      <c r="J324" s="542">
        <v>78.599999999999994</v>
      </c>
      <c r="K324" s="526">
        <v>93.19</v>
      </c>
      <c r="L324" s="367">
        <v>407240</v>
      </c>
      <c r="M324" s="540">
        <f t="shared" si="22"/>
        <v>93.19</v>
      </c>
      <c r="N324" s="540">
        <f t="shared" si="24"/>
        <v>407240</v>
      </c>
      <c r="O324" s="546"/>
      <c r="P324" s="540">
        <f t="shared" si="26"/>
        <v>0</v>
      </c>
      <c r="Q324" s="551">
        <f t="shared" si="25"/>
        <v>0</v>
      </c>
      <c r="R324" s="283"/>
    </row>
    <row r="325" spans="1:249">
      <c r="A325" s="520"/>
      <c r="B325" s="520"/>
      <c r="C325" s="238"/>
      <c r="D325" s="358">
        <v>91.15</v>
      </c>
      <c r="E325" s="238"/>
      <c r="F325" s="525">
        <v>415627</v>
      </c>
      <c r="G325" s="521">
        <v>40409</v>
      </c>
      <c r="H325" s="540">
        <f t="shared" si="23"/>
        <v>4459.995707693959</v>
      </c>
      <c r="I325" s="260" t="s">
        <v>91</v>
      </c>
      <c r="J325" s="542">
        <v>78.599999999999994</v>
      </c>
      <c r="K325" s="526">
        <v>93.19</v>
      </c>
      <c r="L325" s="367">
        <v>415627</v>
      </c>
      <c r="M325" s="540">
        <f t="shared" ref="M325:M391" si="27">K325</f>
        <v>93.19</v>
      </c>
      <c r="N325" s="540">
        <f t="shared" si="24"/>
        <v>415627</v>
      </c>
      <c r="O325" s="546"/>
      <c r="P325" s="540">
        <f t="shared" si="26"/>
        <v>0</v>
      </c>
      <c r="Q325" s="551">
        <f t="shared" si="25"/>
        <v>0</v>
      </c>
      <c r="R325" s="283"/>
    </row>
    <row r="326" spans="1:249" ht="24">
      <c r="A326" s="520"/>
      <c r="B326" s="520"/>
      <c r="C326" s="238"/>
      <c r="D326" s="358">
        <v>91.15</v>
      </c>
      <c r="E326" s="238"/>
      <c r="F326" s="525">
        <v>424015</v>
      </c>
      <c r="G326" s="521">
        <v>40421</v>
      </c>
      <c r="H326" s="540">
        <f t="shared" si="23"/>
        <v>4550.0053653825516</v>
      </c>
      <c r="I326" s="260" t="s">
        <v>90</v>
      </c>
      <c r="J326" s="542">
        <v>78.599999999999994</v>
      </c>
      <c r="K326" s="526">
        <v>93.19</v>
      </c>
      <c r="L326" s="367">
        <v>424015</v>
      </c>
      <c r="M326" s="540">
        <f t="shared" si="27"/>
        <v>93.19</v>
      </c>
      <c r="N326" s="540">
        <f t="shared" si="24"/>
        <v>424015</v>
      </c>
      <c r="O326" s="546"/>
      <c r="P326" s="540">
        <f t="shared" si="26"/>
        <v>0</v>
      </c>
      <c r="Q326" s="551">
        <f t="shared" si="25"/>
        <v>0</v>
      </c>
      <c r="R326" s="283"/>
    </row>
    <row r="327" spans="1:249">
      <c r="A327" s="520"/>
      <c r="B327" s="520"/>
      <c r="C327" s="238"/>
      <c r="D327" s="358">
        <v>91.15</v>
      </c>
      <c r="E327" s="238"/>
      <c r="F327" s="525">
        <v>362136</v>
      </c>
      <c r="G327" s="521">
        <v>40382</v>
      </c>
      <c r="H327" s="540">
        <f t="shared" si="23"/>
        <v>3885.9963515398649</v>
      </c>
      <c r="I327" s="260" t="s">
        <v>92</v>
      </c>
      <c r="J327" s="542">
        <v>78.599999999999994</v>
      </c>
      <c r="K327" s="526">
        <v>93.19</v>
      </c>
      <c r="L327" s="367">
        <v>362136</v>
      </c>
      <c r="M327" s="540">
        <f t="shared" si="27"/>
        <v>93.19</v>
      </c>
      <c r="N327" s="540">
        <f t="shared" si="24"/>
        <v>362136</v>
      </c>
      <c r="O327" s="546"/>
      <c r="P327" s="540">
        <f t="shared" si="26"/>
        <v>0</v>
      </c>
      <c r="Q327" s="551">
        <f t="shared" si="25"/>
        <v>0</v>
      </c>
      <c r="R327" s="283"/>
    </row>
    <row r="328" spans="1:249">
      <c r="A328" s="520"/>
      <c r="B328" s="520"/>
      <c r="C328" s="238"/>
      <c r="D328" s="358">
        <v>93.19</v>
      </c>
      <c r="E328" s="238"/>
      <c r="F328" s="525">
        <v>520373</v>
      </c>
      <c r="G328" s="521">
        <v>41665</v>
      </c>
      <c r="H328" s="540">
        <f t="shared" si="23"/>
        <v>5584.0004292306039</v>
      </c>
      <c r="I328" s="260" t="s">
        <v>92</v>
      </c>
      <c r="J328" s="542">
        <v>78.599999999999994</v>
      </c>
      <c r="K328" s="526">
        <v>93.19</v>
      </c>
      <c r="L328" s="367">
        <v>520373</v>
      </c>
      <c r="M328" s="540">
        <f t="shared" si="27"/>
        <v>93.19</v>
      </c>
      <c r="N328" s="540">
        <f t="shared" si="24"/>
        <v>520373</v>
      </c>
      <c r="O328" s="546"/>
      <c r="P328" s="540">
        <f t="shared" si="26"/>
        <v>0</v>
      </c>
      <c r="Q328" s="551">
        <f t="shared" si="25"/>
        <v>0</v>
      </c>
      <c r="R328" s="283"/>
    </row>
    <row r="329" spans="1:249">
      <c r="A329" s="520"/>
      <c r="B329" s="520"/>
      <c r="C329" s="238"/>
      <c r="D329" s="358">
        <v>93.19</v>
      </c>
      <c r="E329" s="238"/>
      <c r="F329" s="525">
        <v>565850</v>
      </c>
      <c r="G329" s="521">
        <v>41873</v>
      </c>
      <c r="H329" s="540">
        <f t="shared" si="23"/>
        <v>6072.0034338448331</v>
      </c>
      <c r="I329" s="260" t="s">
        <v>92</v>
      </c>
      <c r="J329" s="542">
        <v>78.599999999999994</v>
      </c>
      <c r="K329" s="526">
        <v>93.19</v>
      </c>
      <c r="L329" s="367">
        <v>565850</v>
      </c>
      <c r="M329" s="540">
        <f t="shared" si="27"/>
        <v>93.19</v>
      </c>
      <c r="N329" s="540">
        <f t="shared" si="24"/>
        <v>565850</v>
      </c>
      <c r="O329" s="546"/>
      <c r="P329" s="540">
        <f t="shared" si="26"/>
        <v>0</v>
      </c>
      <c r="Q329" s="551">
        <f t="shared" si="25"/>
        <v>0</v>
      </c>
      <c r="R329" s="283"/>
    </row>
    <row r="330" spans="1:249">
      <c r="A330" s="520"/>
      <c r="B330" s="520"/>
      <c r="C330" s="238"/>
      <c r="D330" s="358">
        <v>93.19</v>
      </c>
      <c r="E330" s="238"/>
      <c r="F330" s="525">
        <v>532301</v>
      </c>
      <c r="G330" s="521">
        <v>41954</v>
      </c>
      <c r="H330" s="540">
        <f t="shared" si="23"/>
        <v>5711.9969953857708</v>
      </c>
      <c r="I330" s="260" t="s">
        <v>92</v>
      </c>
      <c r="J330" s="542">
        <v>78.599999999999994</v>
      </c>
      <c r="K330" s="526">
        <v>93.19</v>
      </c>
      <c r="L330" s="367">
        <v>532301</v>
      </c>
      <c r="M330" s="540">
        <f t="shared" si="27"/>
        <v>93.19</v>
      </c>
      <c r="N330" s="540">
        <f t="shared" si="24"/>
        <v>532301</v>
      </c>
      <c r="O330" s="546"/>
      <c r="P330" s="540">
        <f t="shared" si="26"/>
        <v>0</v>
      </c>
      <c r="Q330" s="551">
        <f t="shared" si="25"/>
        <v>0</v>
      </c>
      <c r="R330" s="283"/>
    </row>
    <row r="331" spans="1:249">
      <c r="A331" s="520"/>
      <c r="B331" s="520"/>
      <c r="C331" s="238"/>
      <c r="D331" s="358">
        <v>91.15</v>
      </c>
      <c r="E331" s="238"/>
      <c r="F331" s="525">
        <v>473405</v>
      </c>
      <c r="G331" s="521">
        <v>40522</v>
      </c>
      <c r="H331" s="540">
        <f t="shared" si="23"/>
        <v>5079.9978538469795</v>
      </c>
      <c r="I331" s="260" t="s">
        <v>92</v>
      </c>
      <c r="J331" s="542">
        <v>78.599999999999994</v>
      </c>
      <c r="K331" s="526">
        <v>93.19</v>
      </c>
      <c r="L331" s="367">
        <v>473405</v>
      </c>
      <c r="M331" s="540">
        <f t="shared" si="27"/>
        <v>93.19</v>
      </c>
      <c r="N331" s="540">
        <f t="shared" si="24"/>
        <v>473405</v>
      </c>
      <c r="O331" s="546"/>
      <c r="P331" s="540">
        <f t="shared" si="26"/>
        <v>0</v>
      </c>
      <c r="Q331" s="551">
        <f t="shared" si="25"/>
        <v>0</v>
      </c>
      <c r="R331" s="283"/>
    </row>
    <row r="332" spans="1:249" ht="24">
      <c r="A332" s="520"/>
      <c r="B332" s="520"/>
      <c r="C332" s="238"/>
      <c r="D332" s="358">
        <v>91.15</v>
      </c>
      <c r="E332" s="238"/>
      <c r="F332" s="525">
        <v>495025</v>
      </c>
      <c r="G332" s="521">
        <v>42308</v>
      </c>
      <c r="H332" s="540">
        <f t="shared" si="23"/>
        <v>5311.9969953857708</v>
      </c>
      <c r="I332" s="260" t="s">
        <v>90</v>
      </c>
      <c r="J332" s="542">
        <v>78.599999999999994</v>
      </c>
      <c r="K332" s="526">
        <v>93.19</v>
      </c>
      <c r="L332" s="367">
        <v>295025</v>
      </c>
      <c r="M332" s="540">
        <f t="shared" si="27"/>
        <v>93.19</v>
      </c>
      <c r="N332" s="540">
        <v>495025</v>
      </c>
      <c r="O332" s="546"/>
      <c r="P332" s="540">
        <f t="shared" si="26"/>
        <v>0</v>
      </c>
      <c r="Q332" s="551">
        <f t="shared" si="25"/>
        <v>0</v>
      </c>
      <c r="R332" s="283"/>
    </row>
    <row r="333" spans="1:249" s="528" customFormat="1" ht="24">
      <c r="A333" s="555"/>
      <c r="B333" s="555"/>
      <c r="C333" s="556"/>
      <c r="D333" s="557">
        <v>93.19</v>
      </c>
      <c r="E333" s="556"/>
      <c r="F333" s="559">
        <f>ROUND(553455/1.05,2)</f>
        <v>527100</v>
      </c>
      <c r="G333" s="562">
        <v>42717</v>
      </c>
      <c r="H333" s="561">
        <f t="shared" si="23"/>
        <v>5656.1862860821975</v>
      </c>
      <c r="I333" s="564" t="s">
        <v>90</v>
      </c>
      <c r="J333" s="565">
        <v>78.599999999999994</v>
      </c>
      <c r="K333" s="566">
        <v>93.19</v>
      </c>
      <c r="L333" s="567">
        <f>F333</f>
        <v>527100</v>
      </c>
      <c r="M333" s="561">
        <f t="shared" si="27"/>
        <v>93.19</v>
      </c>
      <c r="N333" s="561">
        <f t="shared" si="24"/>
        <v>527100</v>
      </c>
      <c r="O333" s="568"/>
      <c r="P333" s="561">
        <f t="shared" si="26"/>
        <v>0</v>
      </c>
      <c r="Q333" s="569"/>
      <c r="R333" s="570" t="s">
        <v>93</v>
      </c>
      <c r="S333" s="571"/>
      <c r="T333" s="571"/>
      <c r="U333" s="571"/>
      <c r="V333" s="571"/>
      <c r="W333" s="571"/>
      <c r="X333" s="571"/>
      <c r="Y333" s="571"/>
      <c r="Z333" s="571"/>
      <c r="AA333" s="571"/>
      <c r="AB333" s="571"/>
      <c r="AC333" s="571"/>
      <c r="AD333" s="571"/>
      <c r="AE333" s="571"/>
      <c r="AF333" s="571"/>
      <c r="AG333" s="571"/>
      <c r="AH333" s="571"/>
      <c r="AI333" s="571"/>
      <c r="AJ333" s="571"/>
      <c r="AK333" s="571"/>
      <c r="AL333" s="571"/>
      <c r="AM333" s="571"/>
      <c r="AN333" s="571"/>
      <c r="AO333" s="571"/>
      <c r="AP333" s="571"/>
      <c r="AQ333" s="571"/>
      <c r="AR333" s="571"/>
      <c r="AS333" s="571"/>
      <c r="AT333" s="571"/>
      <c r="AU333" s="571"/>
      <c r="AV333" s="571"/>
      <c r="AW333" s="571"/>
      <c r="AX333" s="571"/>
      <c r="AY333" s="571"/>
      <c r="AZ333" s="571"/>
      <c r="BA333" s="571"/>
      <c r="BB333" s="571"/>
      <c r="BC333" s="571"/>
      <c r="BD333" s="571"/>
      <c r="BE333" s="571"/>
      <c r="BF333" s="571"/>
      <c r="BG333" s="571"/>
      <c r="BH333" s="571"/>
      <c r="BI333" s="571"/>
      <c r="BJ333" s="571"/>
      <c r="BK333" s="571"/>
      <c r="BL333" s="571"/>
      <c r="BM333" s="571"/>
      <c r="BN333" s="571"/>
      <c r="BO333" s="571"/>
      <c r="BP333" s="571"/>
      <c r="BQ333" s="571"/>
      <c r="BR333" s="571"/>
      <c r="BS333" s="571"/>
      <c r="BT333" s="571"/>
      <c r="BU333" s="571"/>
      <c r="BV333" s="571"/>
      <c r="BW333" s="571"/>
      <c r="BX333" s="571"/>
      <c r="BY333" s="571"/>
      <c r="BZ333" s="571"/>
      <c r="CA333" s="571"/>
      <c r="CB333" s="571"/>
      <c r="CC333" s="571"/>
      <c r="CD333" s="571"/>
      <c r="CE333" s="571"/>
      <c r="CF333" s="571"/>
      <c r="CG333" s="571"/>
      <c r="CH333" s="571"/>
      <c r="CI333" s="571"/>
      <c r="CJ333" s="571"/>
      <c r="CK333" s="571"/>
      <c r="CL333" s="571"/>
      <c r="CM333" s="571"/>
      <c r="CN333" s="571"/>
      <c r="CO333" s="571"/>
      <c r="CP333" s="571"/>
      <c r="CQ333" s="571"/>
      <c r="CR333" s="571"/>
      <c r="CS333" s="571"/>
      <c r="CT333" s="571"/>
      <c r="CU333" s="571"/>
      <c r="CV333" s="571"/>
      <c r="CW333" s="571"/>
      <c r="CX333" s="571"/>
      <c r="CY333" s="571"/>
      <c r="CZ333" s="571"/>
      <c r="DA333" s="571"/>
      <c r="DB333" s="571"/>
      <c r="DC333" s="571"/>
      <c r="DD333" s="571"/>
      <c r="DE333" s="571"/>
      <c r="DF333" s="571"/>
      <c r="DG333" s="571"/>
      <c r="DH333" s="571"/>
      <c r="DI333" s="571"/>
      <c r="DJ333" s="571"/>
      <c r="DK333" s="571"/>
      <c r="DL333" s="571"/>
      <c r="DM333" s="571"/>
      <c r="DN333" s="571"/>
      <c r="DO333" s="571"/>
      <c r="DP333" s="571"/>
      <c r="DQ333" s="571"/>
      <c r="DR333" s="571"/>
      <c r="DS333" s="571"/>
      <c r="DT333" s="571"/>
      <c r="DU333" s="571"/>
      <c r="DV333" s="571"/>
      <c r="DW333" s="571"/>
      <c r="DX333" s="571"/>
      <c r="DY333" s="571"/>
      <c r="DZ333" s="571"/>
      <c r="EA333" s="571"/>
      <c r="EB333" s="571"/>
      <c r="EC333" s="571"/>
      <c r="ED333" s="571"/>
      <c r="EE333" s="571"/>
      <c r="EF333" s="571"/>
      <c r="EG333" s="571"/>
      <c r="EH333" s="571"/>
      <c r="EI333" s="571"/>
      <c r="EJ333" s="571"/>
      <c r="EK333" s="571"/>
      <c r="EL333" s="571"/>
      <c r="EM333" s="571"/>
      <c r="EN333" s="571"/>
      <c r="EO333" s="571"/>
      <c r="EP333" s="571"/>
      <c r="EQ333" s="571"/>
      <c r="ER333" s="571"/>
      <c r="ES333" s="571"/>
      <c r="ET333" s="571"/>
      <c r="EU333" s="571"/>
      <c r="EV333" s="571"/>
      <c r="EW333" s="571"/>
      <c r="EX333" s="571"/>
      <c r="EY333" s="571"/>
      <c r="EZ333" s="571"/>
      <c r="FA333" s="571"/>
      <c r="FB333" s="571"/>
      <c r="FC333" s="571"/>
      <c r="FD333" s="571"/>
      <c r="FE333" s="571"/>
      <c r="FF333" s="571"/>
      <c r="FG333" s="571"/>
      <c r="FH333" s="571"/>
      <c r="FI333" s="571"/>
      <c r="FJ333" s="571"/>
      <c r="FK333" s="571"/>
      <c r="FL333" s="571"/>
      <c r="FM333" s="571"/>
      <c r="FN333" s="571"/>
      <c r="FO333" s="571"/>
      <c r="FP333" s="571"/>
      <c r="FQ333" s="571"/>
      <c r="FR333" s="571"/>
      <c r="FS333" s="571"/>
      <c r="FT333" s="571"/>
      <c r="FU333" s="571"/>
      <c r="FV333" s="571"/>
      <c r="FW333" s="571"/>
      <c r="FX333" s="571"/>
      <c r="FY333" s="571"/>
      <c r="FZ333" s="571"/>
      <c r="GA333" s="571"/>
      <c r="GB333" s="571"/>
      <c r="GC333" s="571"/>
      <c r="GD333" s="571"/>
      <c r="GE333" s="571"/>
      <c r="GF333" s="571"/>
      <c r="GG333" s="571"/>
      <c r="GH333" s="571"/>
      <c r="GI333" s="571"/>
      <c r="GJ333" s="571"/>
      <c r="GK333" s="571"/>
      <c r="GL333" s="571"/>
      <c r="GM333" s="571"/>
      <c r="GN333" s="571"/>
      <c r="GO333" s="571"/>
      <c r="GP333" s="571"/>
      <c r="GQ333" s="571"/>
      <c r="GR333" s="571"/>
      <c r="GS333" s="571"/>
      <c r="GT333" s="571"/>
      <c r="GU333" s="571"/>
      <c r="GV333" s="571"/>
      <c r="GW333" s="571"/>
      <c r="GX333" s="571"/>
      <c r="GY333" s="571"/>
      <c r="GZ333" s="571"/>
      <c r="HA333" s="571"/>
      <c r="HB333" s="571"/>
      <c r="HC333" s="571"/>
      <c r="HD333" s="571"/>
      <c r="HE333" s="571"/>
      <c r="HF333" s="571"/>
      <c r="HG333" s="571"/>
      <c r="HH333" s="571"/>
      <c r="HI333" s="571"/>
      <c r="HJ333" s="571"/>
      <c r="HK333" s="571"/>
      <c r="HL333" s="571"/>
      <c r="HM333" s="571"/>
      <c r="HN333" s="571"/>
      <c r="HO333" s="571"/>
      <c r="HP333" s="571"/>
      <c r="HQ333" s="571"/>
      <c r="HR333" s="571"/>
      <c r="HS333" s="571"/>
      <c r="HT333" s="571"/>
      <c r="HU333" s="571"/>
      <c r="HV333" s="571"/>
      <c r="HW333" s="571"/>
      <c r="HX333" s="571"/>
      <c r="HY333" s="571"/>
      <c r="HZ333" s="571"/>
      <c r="IA333" s="571"/>
      <c r="IB333" s="571"/>
      <c r="IC333" s="571"/>
      <c r="ID333" s="571"/>
      <c r="IE333" s="571"/>
      <c r="IF333" s="571"/>
      <c r="IG333" s="571"/>
      <c r="IH333" s="571"/>
      <c r="II333" s="571"/>
      <c r="IJ333" s="571"/>
      <c r="IK333" s="571"/>
      <c r="IL333" s="571"/>
      <c r="IM333" s="571"/>
      <c r="IN333" s="571"/>
      <c r="IO333" s="571"/>
    </row>
    <row r="334" spans="1:249" ht="24">
      <c r="A334" s="520"/>
      <c r="B334" s="520"/>
      <c r="C334" s="238"/>
      <c r="D334" s="358">
        <v>77.67</v>
      </c>
      <c r="E334" s="238"/>
      <c r="F334" s="525">
        <v>386797</v>
      </c>
      <c r="G334" s="521">
        <v>41911</v>
      </c>
      <c r="H334" s="540">
        <f t="shared" si="23"/>
        <v>4980.0051499935626</v>
      </c>
      <c r="I334" s="260" t="s">
        <v>90</v>
      </c>
      <c r="J334" s="542">
        <v>65.510000000000005</v>
      </c>
      <c r="K334" s="526">
        <v>77.67</v>
      </c>
      <c r="L334" s="367">
        <v>386797</v>
      </c>
      <c r="M334" s="540">
        <f t="shared" si="27"/>
        <v>77.67</v>
      </c>
      <c r="N334" s="540">
        <f t="shared" si="24"/>
        <v>386797</v>
      </c>
      <c r="O334" s="546"/>
      <c r="P334" s="540">
        <f t="shared" si="26"/>
        <v>0</v>
      </c>
      <c r="Q334" s="551">
        <f t="shared" si="25"/>
        <v>0</v>
      </c>
      <c r="R334" s="283"/>
    </row>
    <row r="335" spans="1:249" ht="24">
      <c r="A335" s="520"/>
      <c r="B335" s="520"/>
      <c r="C335" s="238"/>
      <c r="D335" s="358">
        <v>77.53</v>
      </c>
      <c r="E335" s="238"/>
      <c r="F335" s="525">
        <v>508583</v>
      </c>
      <c r="G335" s="521">
        <v>40484</v>
      </c>
      <c r="H335" s="540">
        <f t="shared" si="23"/>
        <v>6547.997940002575</v>
      </c>
      <c r="I335" s="260" t="s">
        <v>90</v>
      </c>
      <c r="J335" s="542">
        <v>65.510000000000005</v>
      </c>
      <c r="K335" s="526">
        <v>77.67</v>
      </c>
      <c r="L335" s="367">
        <v>508583</v>
      </c>
      <c r="M335" s="540">
        <f t="shared" si="27"/>
        <v>77.67</v>
      </c>
      <c r="N335" s="540">
        <f t="shared" si="24"/>
        <v>508583</v>
      </c>
      <c r="O335" s="546"/>
      <c r="P335" s="540">
        <f t="shared" si="26"/>
        <v>0</v>
      </c>
      <c r="Q335" s="551">
        <f t="shared" si="25"/>
        <v>0</v>
      </c>
      <c r="R335" s="283"/>
    </row>
    <row r="336" spans="1:249">
      <c r="A336" s="520"/>
      <c r="B336" s="520"/>
      <c r="C336" s="238"/>
      <c r="D336" s="358">
        <v>77.53</v>
      </c>
      <c r="E336" s="238"/>
      <c r="F336" s="525">
        <v>346408</v>
      </c>
      <c r="G336" s="521">
        <v>40383</v>
      </c>
      <c r="H336" s="540">
        <f t="shared" si="23"/>
        <v>4459.9974250032183</v>
      </c>
      <c r="I336" s="260" t="s">
        <v>91</v>
      </c>
      <c r="J336" s="542">
        <v>65.510000000000005</v>
      </c>
      <c r="K336" s="526">
        <v>77.67</v>
      </c>
      <c r="L336" s="367">
        <v>346408</v>
      </c>
      <c r="M336" s="540">
        <f t="shared" si="27"/>
        <v>77.67</v>
      </c>
      <c r="N336" s="540">
        <f t="shared" si="24"/>
        <v>346408</v>
      </c>
      <c r="O336" s="546"/>
      <c r="P336" s="540">
        <f t="shared" si="26"/>
        <v>0</v>
      </c>
      <c r="Q336" s="551">
        <f t="shared" si="25"/>
        <v>0</v>
      </c>
      <c r="R336" s="283"/>
    </row>
    <row r="337" spans="1:18">
      <c r="A337" s="520"/>
      <c r="B337" s="520"/>
      <c r="C337" s="238"/>
      <c r="D337" s="358">
        <v>77.53</v>
      </c>
      <c r="E337" s="238"/>
      <c r="F337" s="525">
        <v>287379</v>
      </c>
      <c r="G337" s="521">
        <v>40431</v>
      </c>
      <c r="H337" s="540">
        <f t="shared" si="23"/>
        <v>3700</v>
      </c>
      <c r="I337" s="260" t="s">
        <v>91</v>
      </c>
      <c r="J337" s="542">
        <v>65.510000000000005</v>
      </c>
      <c r="K337" s="526">
        <v>77.67</v>
      </c>
      <c r="L337" s="367">
        <v>287379</v>
      </c>
      <c r="M337" s="540">
        <f t="shared" si="27"/>
        <v>77.67</v>
      </c>
      <c r="N337" s="540">
        <f t="shared" si="24"/>
        <v>287379</v>
      </c>
      <c r="O337" s="546"/>
      <c r="P337" s="540">
        <f t="shared" si="26"/>
        <v>0</v>
      </c>
      <c r="Q337" s="551">
        <f t="shared" si="25"/>
        <v>0</v>
      </c>
      <c r="R337" s="283"/>
    </row>
    <row r="338" spans="1:18">
      <c r="A338" s="520"/>
      <c r="B338" s="520"/>
      <c r="C338" s="238"/>
      <c r="D338" s="358">
        <v>77.53</v>
      </c>
      <c r="E338" s="238"/>
      <c r="F338" s="525">
        <v>360389</v>
      </c>
      <c r="G338" s="521">
        <v>40394</v>
      </c>
      <c r="H338" s="540">
        <f t="shared" si="23"/>
        <v>4640.0025749967808</v>
      </c>
      <c r="I338" s="260" t="s">
        <v>91</v>
      </c>
      <c r="J338" s="542">
        <v>65.510000000000005</v>
      </c>
      <c r="K338" s="526">
        <v>77.67</v>
      </c>
      <c r="L338" s="367">
        <v>360389</v>
      </c>
      <c r="M338" s="540">
        <f t="shared" si="27"/>
        <v>77.67</v>
      </c>
      <c r="N338" s="540">
        <f t="shared" si="24"/>
        <v>360389</v>
      </c>
      <c r="O338" s="546"/>
      <c r="P338" s="540">
        <f t="shared" si="26"/>
        <v>0</v>
      </c>
      <c r="Q338" s="551">
        <f t="shared" si="25"/>
        <v>0</v>
      </c>
      <c r="R338" s="283"/>
    </row>
    <row r="339" spans="1:18">
      <c r="A339" s="520"/>
      <c r="B339" s="520"/>
      <c r="C339" s="238"/>
      <c r="D339" s="358">
        <v>77.53</v>
      </c>
      <c r="E339" s="238"/>
      <c r="F339" s="525">
        <v>313010</v>
      </c>
      <c r="G339" s="521">
        <v>40392</v>
      </c>
      <c r="H339" s="540">
        <f t="shared" si="23"/>
        <v>4029.9987125016091</v>
      </c>
      <c r="I339" s="260" t="s">
        <v>91</v>
      </c>
      <c r="J339" s="542">
        <v>65.510000000000005</v>
      </c>
      <c r="K339" s="526">
        <v>77.67</v>
      </c>
      <c r="L339" s="367">
        <v>313010</v>
      </c>
      <c r="M339" s="540">
        <f t="shared" si="27"/>
        <v>77.67</v>
      </c>
      <c r="N339" s="540">
        <f t="shared" si="24"/>
        <v>313010</v>
      </c>
      <c r="O339" s="546"/>
      <c r="P339" s="540">
        <f t="shared" si="26"/>
        <v>0</v>
      </c>
      <c r="Q339" s="551">
        <f t="shared" si="25"/>
        <v>0</v>
      </c>
      <c r="R339" s="283"/>
    </row>
    <row r="340" spans="1:18" ht="24">
      <c r="A340" s="520"/>
      <c r="B340" s="520"/>
      <c r="C340" s="238"/>
      <c r="D340" s="358">
        <v>77.67</v>
      </c>
      <c r="E340" s="238"/>
      <c r="F340" s="525">
        <v>430525</v>
      </c>
      <c r="G340" s="521">
        <v>41268</v>
      </c>
      <c r="H340" s="540">
        <f t="shared" si="23"/>
        <v>5543.0024462469419</v>
      </c>
      <c r="I340" s="260" t="s">
        <v>90</v>
      </c>
      <c r="J340" s="542">
        <v>65.510000000000005</v>
      </c>
      <c r="K340" s="526">
        <v>77.67</v>
      </c>
      <c r="L340" s="367">
        <v>430525</v>
      </c>
      <c r="M340" s="540">
        <f t="shared" si="27"/>
        <v>77.67</v>
      </c>
      <c r="N340" s="540">
        <f t="shared" si="24"/>
        <v>430525</v>
      </c>
      <c r="O340" s="546"/>
      <c r="P340" s="540">
        <f t="shared" si="26"/>
        <v>0</v>
      </c>
      <c r="Q340" s="551">
        <f t="shared" si="25"/>
        <v>0</v>
      </c>
      <c r="R340" s="283"/>
    </row>
    <row r="341" spans="1:18">
      <c r="A341" s="520"/>
      <c r="B341" s="520"/>
      <c r="C341" s="238"/>
      <c r="D341" s="358">
        <v>77.53</v>
      </c>
      <c r="E341" s="238"/>
      <c r="F341" s="525">
        <v>526602</v>
      </c>
      <c r="G341" s="521">
        <v>40385</v>
      </c>
      <c r="H341" s="540">
        <f t="shared" si="23"/>
        <v>6779.9922750096557</v>
      </c>
      <c r="I341" s="260" t="s">
        <v>91</v>
      </c>
      <c r="J341" s="542">
        <v>65.510000000000005</v>
      </c>
      <c r="K341" s="526">
        <v>77.67</v>
      </c>
      <c r="L341" s="367">
        <v>526602</v>
      </c>
      <c r="M341" s="540">
        <f t="shared" si="27"/>
        <v>77.67</v>
      </c>
      <c r="N341" s="540">
        <f t="shared" si="24"/>
        <v>526602</v>
      </c>
      <c r="O341" s="546"/>
      <c r="P341" s="540">
        <f t="shared" si="26"/>
        <v>0</v>
      </c>
      <c r="Q341" s="551">
        <f t="shared" si="25"/>
        <v>0</v>
      </c>
      <c r="R341" s="283"/>
    </row>
    <row r="342" spans="1:18">
      <c r="A342" s="520"/>
      <c r="B342" s="520"/>
      <c r="C342" s="238"/>
      <c r="D342" s="358">
        <v>77.67</v>
      </c>
      <c r="E342" s="238"/>
      <c r="F342" s="525">
        <v>429981</v>
      </c>
      <c r="G342" s="521">
        <v>41263</v>
      </c>
      <c r="H342" s="540">
        <f t="shared" si="23"/>
        <v>5535.9984550019308</v>
      </c>
      <c r="I342" s="260" t="s">
        <v>92</v>
      </c>
      <c r="J342" s="542">
        <v>65.510000000000005</v>
      </c>
      <c r="K342" s="526">
        <v>77.67</v>
      </c>
      <c r="L342" s="367">
        <v>429981</v>
      </c>
      <c r="M342" s="540">
        <f t="shared" si="27"/>
        <v>77.67</v>
      </c>
      <c r="N342" s="540">
        <f t="shared" si="24"/>
        <v>429981</v>
      </c>
      <c r="O342" s="546"/>
      <c r="P342" s="540">
        <f t="shared" si="26"/>
        <v>0</v>
      </c>
      <c r="Q342" s="551">
        <f t="shared" si="25"/>
        <v>0</v>
      </c>
      <c r="R342" s="283"/>
    </row>
    <row r="343" spans="1:18">
      <c r="A343" s="520"/>
      <c r="B343" s="520"/>
      <c r="C343" s="238"/>
      <c r="D343" s="358">
        <v>77.67</v>
      </c>
      <c r="E343" s="238"/>
      <c r="F343" s="525">
        <v>453593</v>
      </c>
      <c r="G343" s="521">
        <v>41341</v>
      </c>
      <c r="H343" s="540">
        <f t="shared" si="23"/>
        <v>5840.0025749967808</v>
      </c>
      <c r="I343" s="260" t="s">
        <v>92</v>
      </c>
      <c r="J343" s="542">
        <v>65.510000000000005</v>
      </c>
      <c r="K343" s="526">
        <v>77.67</v>
      </c>
      <c r="L343" s="367">
        <v>453593</v>
      </c>
      <c r="M343" s="540">
        <f t="shared" si="27"/>
        <v>77.67</v>
      </c>
      <c r="N343" s="540">
        <f t="shared" si="24"/>
        <v>453593</v>
      </c>
      <c r="O343" s="546"/>
      <c r="P343" s="540">
        <f t="shared" si="26"/>
        <v>0</v>
      </c>
      <c r="Q343" s="551">
        <f t="shared" si="25"/>
        <v>0</v>
      </c>
      <c r="R343" s="283"/>
    </row>
    <row r="344" spans="1:18">
      <c r="A344" s="520"/>
      <c r="B344" s="520"/>
      <c r="C344" s="238"/>
      <c r="D344" s="358">
        <v>77.67</v>
      </c>
      <c r="E344" s="238"/>
      <c r="F344" s="525">
        <v>452117</v>
      </c>
      <c r="G344" s="521">
        <v>41603</v>
      </c>
      <c r="H344" s="540">
        <f t="shared" si="23"/>
        <v>5820.9990987511264</v>
      </c>
      <c r="I344" s="260" t="s">
        <v>92</v>
      </c>
      <c r="J344" s="542">
        <v>65.510000000000005</v>
      </c>
      <c r="K344" s="526">
        <v>77.67</v>
      </c>
      <c r="L344" s="367">
        <v>452117</v>
      </c>
      <c r="M344" s="540">
        <f t="shared" si="27"/>
        <v>77.67</v>
      </c>
      <c r="N344" s="540">
        <f t="shared" si="24"/>
        <v>452117</v>
      </c>
      <c r="O344" s="546"/>
      <c r="P344" s="540">
        <f t="shared" si="26"/>
        <v>0</v>
      </c>
      <c r="Q344" s="551">
        <f t="shared" si="25"/>
        <v>0</v>
      </c>
      <c r="R344" s="283"/>
    </row>
    <row r="345" spans="1:18">
      <c r="A345" s="520"/>
      <c r="B345" s="520"/>
      <c r="C345" s="238"/>
      <c r="D345" s="358">
        <v>77.53</v>
      </c>
      <c r="E345" s="238"/>
      <c r="F345" s="525">
        <v>285826</v>
      </c>
      <c r="G345" s="521">
        <v>40371</v>
      </c>
      <c r="H345" s="540">
        <f t="shared" si="23"/>
        <v>3680.0051499935626</v>
      </c>
      <c r="I345" s="260" t="s">
        <v>91</v>
      </c>
      <c r="J345" s="542">
        <v>65.510000000000005</v>
      </c>
      <c r="K345" s="526">
        <v>77.67</v>
      </c>
      <c r="L345" s="367">
        <v>285826</v>
      </c>
      <c r="M345" s="540">
        <f t="shared" si="27"/>
        <v>77.67</v>
      </c>
      <c r="N345" s="540">
        <f t="shared" si="24"/>
        <v>285826</v>
      </c>
      <c r="O345" s="546"/>
      <c r="P345" s="540">
        <f t="shared" si="26"/>
        <v>0</v>
      </c>
      <c r="Q345" s="551">
        <f t="shared" si="25"/>
        <v>0</v>
      </c>
      <c r="R345" s="283"/>
    </row>
    <row r="346" spans="1:18" ht="24">
      <c r="A346" s="520"/>
      <c r="B346" s="520"/>
      <c r="C346" s="238"/>
      <c r="D346" s="358">
        <v>77.53</v>
      </c>
      <c r="E346" s="238"/>
      <c r="F346" s="525">
        <v>291263</v>
      </c>
      <c r="G346" s="521">
        <v>40382</v>
      </c>
      <c r="H346" s="540">
        <f t="shared" ref="H346:H405" si="28">F346/K346</f>
        <v>3750.006437491953</v>
      </c>
      <c r="I346" s="260" t="s">
        <v>90</v>
      </c>
      <c r="J346" s="542">
        <v>65.510000000000005</v>
      </c>
      <c r="K346" s="526">
        <v>77.67</v>
      </c>
      <c r="L346" s="367">
        <v>291263</v>
      </c>
      <c r="M346" s="540">
        <f t="shared" si="27"/>
        <v>77.67</v>
      </c>
      <c r="N346" s="540">
        <f t="shared" ref="N346:N395" si="29">L346</f>
        <v>291263</v>
      </c>
      <c r="O346" s="546"/>
      <c r="P346" s="540">
        <f t="shared" si="26"/>
        <v>0</v>
      </c>
      <c r="Q346" s="551">
        <f t="shared" ref="Q346:Q405" si="30">IF(H346-3544.48&lt;0,H346,0)</f>
        <v>0</v>
      </c>
      <c r="R346" s="283"/>
    </row>
    <row r="347" spans="1:18">
      <c r="A347" s="520"/>
      <c r="B347" s="520"/>
      <c r="C347" s="238"/>
      <c r="D347" s="358">
        <v>77.53</v>
      </c>
      <c r="E347" s="238"/>
      <c r="F347" s="525">
        <v>346408</v>
      </c>
      <c r="G347" s="521">
        <v>40409</v>
      </c>
      <c r="H347" s="540">
        <f t="shared" si="28"/>
        <v>4459.9974250032183</v>
      </c>
      <c r="I347" s="260" t="s">
        <v>91</v>
      </c>
      <c r="J347" s="542">
        <v>65.510000000000005</v>
      </c>
      <c r="K347" s="526">
        <v>77.67</v>
      </c>
      <c r="L347" s="367">
        <v>346408</v>
      </c>
      <c r="M347" s="540">
        <f t="shared" si="27"/>
        <v>77.67</v>
      </c>
      <c r="N347" s="540">
        <f t="shared" si="29"/>
        <v>346408</v>
      </c>
      <c r="O347" s="546"/>
      <c r="P347" s="540">
        <f t="shared" si="26"/>
        <v>0</v>
      </c>
      <c r="Q347" s="551">
        <f t="shared" si="30"/>
        <v>0</v>
      </c>
      <c r="R347" s="283"/>
    </row>
    <row r="348" spans="1:18">
      <c r="A348" s="520"/>
      <c r="B348" s="520"/>
      <c r="C348" s="238"/>
      <c r="D348" s="358">
        <v>77.53</v>
      </c>
      <c r="E348" s="238"/>
      <c r="F348" s="525">
        <v>337865</v>
      </c>
      <c r="G348" s="521">
        <v>40379</v>
      </c>
      <c r="H348" s="540">
        <f t="shared" si="28"/>
        <v>4350.006437491953</v>
      </c>
      <c r="I348" s="260" t="s">
        <v>92</v>
      </c>
      <c r="J348" s="542">
        <v>65.510000000000005</v>
      </c>
      <c r="K348" s="526">
        <v>77.67</v>
      </c>
      <c r="L348" s="367">
        <v>337865</v>
      </c>
      <c r="M348" s="540">
        <f t="shared" si="27"/>
        <v>77.67</v>
      </c>
      <c r="N348" s="540">
        <f t="shared" si="29"/>
        <v>337865</v>
      </c>
      <c r="O348" s="546"/>
      <c r="P348" s="540">
        <f t="shared" si="26"/>
        <v>0</v>
      </c>
      <c r="Q348" s="551">
        <f t="shared" si="30"/>
        <v>0</v>
      </c>
      <c r="R348" s="283"/>
    </row>
    <row r="349" spans="1:18">
      <c r="A349" s="520"/>
      <c r="B349" s="520"/>
      <c r="C349" s="238"/>
      <c r="D349" s="358">
        <v>77.53</v>
      </c>
      <c r="E349" s="238"/>
      <c r="F349" s="525">
        <v>360389</v>
      </c>
      <c r="G349" s="521">
        <v>40389</v>
      </c>
      <c r="H349" s="540">
        <f t="shared" si="28"/>
        <v>4640.0025749967808</v>
      </c>
      <c r="I349" s="260" t="s">
        <v>91</v>
      </c>
      <c r="J349" s="542">
        <v>65.510000000000005</v>
      </c>
      <c r="K349" s="526">
        <v>77.67</v>
      </c>
      <c r="L349" s="367">
        <v>360389</v>
      </c>
      <c r="M349" s="540">
        <f t="shared" si="27"/>
        <v>77.67</v>
      </c>
      <c r="N349" s="540">
        <f t="shared" si="29"/>
        <v>360389</v>
      </c>
      <c r="O349" s="546"/>
      <c r="P349" s="540">
        <f t="shared" si="26"/>
        <v>0</v>
      </c>
      <c r="Q349" s="551">
        <f t="shared" si="30"/>
        <v>0</v>
      </c>
      <c r="R349" s="283"/>
    </row>
    <row r="350" spans="1:18">
      <c r="A350" s="520"/>
      <c r="B350" s="520"/>
      <c r="C350" s="238"/>
      <c r="D350" s="358">
        <v>77.53</v>
      </c>
      <c r="E350" s="238"/>
      <c r="F350" s="525">
        <v>367379</v>
      </c>
      <c r="G350" s="521">
        <v>40387</v>
      </c>
      <c r="H350" s="540">
        <f t="shared" si="28"/>
        <v>4729.9987125016096</v>
      </c>
      <c r="I350" s="260" t="s">
        <v>91</v>
      </c>
      <c r="J350" s="542">
        <v>65.510000000000005</v>
      </c>
      <c r="K350" s="526">
        <v>77.67</v>
      </c>
      <c r="L350" s="367">
        <v>367379</v>
      </c>
      <c r="M350" s="540">
        <f t="shared" si="27"/>
        <v>77.67</v>
      </c>
      <c r="N350" s="540">
        <f t="shared" si="29"/>
        <v>367379</v>
      </c>
      <c r="O350" s="546"/>
      <c r="P350" s="540">
        <f t="shared" si="26"/>
        <v>0</v>
      </c>
      <c r="Q350" s="551">
        <f t="shared" si="30"/>
        <v>0</v>
      </c>
      <c r="R350" s="283"/>
    </row>
    <row r="351" spans="1:18">
      <c r="A351" s="520"/>
      <c r="B351" s="520"/>
      <c r="C351" s="238"/>
      <c r="D351" s="358">
        <v>77.67</v>
      </c>
      <c r="E351" s="238"/>
      <c r="F351" s="525">
        <v>466098</v>
      </c>
      <c r="G351" s="521">
        <v>41479</v>
      </c>
      <c r="H351" s="540">
        <f t="shared" si="28"/>
        <v>6001.004248744689</v>
      </c>
      <c r="I351" s="260" t="s">
        <v>92</v>
      </c>
      <c r="J351" s="542">
        <v>65.510000000000005</v>
      </c>
      <c r="K351" s="526">
        <v>77.67</v>
      </c>
      <c r="L351" s="367">
        <v>466098</v>
      </c>
      <c r="M351" s="540">
        <f t="shared" si="27"/>
        <v>77.67</v>
      </c>
      <c r="N351" s="540">
        <f t="shared" si="29"/>
        <v>466098</v>
      </c>
      <c r="O351" s="546"/>
      <c r="P351" s="540">
        <f t="shared" si="26"/>
        <v>0</v>
      </c>
      <c r="Q351" s="551">
        <f t="shared" si="30"/>
        <v>0</v>
      </c>
      <c r="R351" s="283"/>
    </row>
    <row r="352" spans="1:18">
      <c r="A352" s="520"/>
      <c r="B352" s="520"/>
      <c r="C352" s="238"/>
      <c r="D352" s="358">
        <v>77.67</v>
      </c>
      <c r="E352" s="238"/>
      <c r="F352" s="525">
        <v>455768</v>
      </c>
      <c r="G352" s="521">
        <v>41342</v>
      </c>
      <c r="H352" s="540">
        <f t="shared" si="28"/>
        <v>5868.0056649929184</v>
      </c>
      <c r="I352" s="260" t="s">
        <v>92</v>
      </c>
      <c r="J352" s="542">
        <v>65.510000000000005</v>
      </c>
      <c r="K352" s="526">
        <v>77.67</v>
      </c>
      <c r="L352" s="367">
        <v>455768</v>
      </c>
      <c r="M352" s="540">
        <f t="shared" si="27"/>
        <v>77.67</v>
      </c>
      <c r="N352" s="540">
        <f t="shared" si="29"/>
        <v>455768</v>
      </c>
      <c r="O352" s="546"/>
      <c r="P352" s="540">
        <f t="shared" si="26"/>
        <v>0</v>
      </c>
      <c r="Q352" s="551">
        <f t="shared" si="30"/>
        <v>0</v>
      </c>
      <c r="R352" s="283"/>
    </row>
    <row r="353" spans="1:249">
      <c r="A353" s="520"/>
      <c r="B353" s="520"/>
      <c r="C353" s="238"/>
      <c r="D353" s="358">
        <v>77.67</v>
      </c>
      <c r="E353" s="238"/>
      <c r="F353" s="525">
        <v>460272</v>
      </c>
      <c r="G353" s="521">
        <v>41347</v>
      </c>
      <c r="H353" s="540">
        <f t="shared" si="28"/>
        <v>5925.9945925067595</v>
      </c>
      <c r="I353" s="260" t="s">
        <v>92</v>
      </c>
      <c r="J353" s="542">
        <v>65.510000000000005</v>
      </c>
      <c r="K353" s="526">
        <v>77.67</v>
      </c>
      <c r="L353" s="367">
        <v>460272</v>
      </c>
      <c r="M353" s="540">
        <f t="shared" si="27"/>
        <v>77.67</v>
      </c>
      <c r="N353" s="540">
        <f t="shared" si="29"/>
        <v>460272</v>
      </c>
      <c r="O353" s="546"/>
      <c r="P353" s="540">
        <f t="shared" si="26"/>
        <v>0</v>
      </c>
      <c r="Q353" s="551">
        <f t="shared" si="30"/>
        <v>0</v>
      </c>
      <c r="R353" s="283"/>
    </row>
    <row r="354" spans="1:249" s="528" customFormat="1">
      <c r="A354" s="555"/>
      <c r="B354" s="555"/>
      <c r="C354" s="556"/>
      <c r="D354" s="557">
        <v>77.53</v>
      </c>
      <c r="E354" s="556"/>
      <c r="F354" s="559">
        <f>ROUND(388350/1.05,2)</f>
        <v>369857.14</v>
      </c>
      <c r="G354" s="562">
        <v>43110</v>
      </c>
      <c r="H354" s="561">
        <f>F354/D354</f>
        <v>4770.5035470140592</v>
      </c>
      <c r="I354" s="564" t="s">
        <v>92</v>
      </c>
      <c r="J354" s="565">
        <v>65.510000000000005</v>
      </c>
      <c r="K354" s="566">
        <v>77.67</v>
      </c>
      <c r="L354" s="567"/>
      <c r="M354" s="561">
        <f t="shared" si="27"/>
        <v>77.67</v>
      </c>
      <c r="N354" s="561">
        <v>369857.14</v>
      </c>
      <c r="O354" s="568"/>
      <c r="P354" s="561">
        <f t="shared" si="26"/>
        <v>0</v>
      </c>
      <c r="Q354" s="569"/>
      <c r="R354" s="570" t="s">
        <v>93</v>
      </c>
      <c r="S354" s="571"/>
      <c r="T354" s="571"/>
      <c r="U354" s="571"/>
      <c r="V354" s="571"/>
      <c r="W354" s="571"/>
      <c r="X354" s="571"/>
      <c r="Y354" s="571"/>
      <c r="Z354" s="571"/>
      <c r="AA354" s="571"/>
      <c r="AB354" s="571"/>
      <c r="AC354" s="571"/>
      <c r="AD354" s="571"/>
      <c r="AE354" s="571"/>
      <c r="AF354" s="571"/>
      <c r="AG354" s="571"/>
      <c r="AH354" s="571"/>
      <c r="AI354" s="571"/>
      <c r="AJ354" s="571"/>
      <c r="AK354" s="571"/>
      <c r="AL354" s="571"/>
      <c r="AM354" s="571"/>
      <c r="AN354" s="571"/>
      <c r="AO354" s="571"/>
      <c r="AP354" s="571"/>
      <c r="AQ354" s="571"/>
      <c r="AR354" s="571"/>
      <c r="AS354" s="571"/>
      <c r="AT354" s="571"/>
      <c r="AU354" s="571"/>
      <c r="AV354" s="571"/>
      <c r="AW354" s="571"/>
      <c r="AX354" s="571"/>
      <c r="AY354" s="571"/>
      <c r="AZ354" s="571"/>
      <c r="BA354" s="571"/>
      <c r="BB354" s="571"/>
      <c r="BC354" s="571"/>
      <c r="BD354" s="571"/>
      <c r="BE354" s="571"/>
      <c r="BF354" s="571"/>
      <c r="BG354" s="571"/>
      <c r="BH354" s="571"/>
      <c r="BI354" s="571"/>
      <c r="BJ354" s="571"/>
      <c r="BK354" s="571"/>
      <c r="BL354" s="571"/>
      <c r="BM354" s="571"/>
      <c r="BN354" s="571"/>
      <c r="BO354" s="571"/>
      <c r="BP354" s="571"/>
      <c r="BQ354" s="571"/>
      <c r="BR354" s="571"/>
      <c r="BS354" s="571"/>
      <c r="BT354" s="571"/>
      <c r="BU354" s="571"/>
      <c r="BV354" s="571"/>
      <c r="BW354" s="571"/>
      <c r="BX354" s="571"/>
      <c r="BY354" s="571"/>
      <c r="BZ354" s="571"/>
      <c r="CA354" s="571"/>
      <c r="CB354" s="571"/>
      <c r="CC354" s="571"/>
      <c r="CD354" s="571"/>
      <c r="CE354" s="571"/>
      <c r="CF354" s="571"/>
      <c r="CG354" s="571"/>
      <c r="CH354" s="571"/>
      <c r="CI354" s="571"/>
      <c r="CJ354" s="571"/>
      <c r="CK354" s="571"/>
      <c r="CL354" s="571"/>
      <c r="CM354" s="571"/>
      <c r="CN354" s="571"/>
      <c r="CO354" s="571"/>
      <c r="CP354" s="571"/>
      <c r="CQ354" s="571"/>
      <c r="CR354" s="571"/>
      <c r="CS354" s="571"/>
      <c r="CT354" s="571"/>
      <c r="CU354" s="571"/>
      <c r="CV354" s="571"/>
      <c r="CW354" s="571"/>
      <c r="CX354" s="571"/>
      <c r="CY354" s="571"/>
      <c r="CZ354" s="571"/>
      <c r="DA354" s="571"/>
      <c r="DB354" s="571"/>
      <c r="DC354" s="571"/>
      <c r="DD354" s="571"/>
      <c r="DE354" s="571"/>
      <c r="DF354" s="571"/>
      <c r="DG354" s="571"/>
      <c r="DH354" s="571"/>
      <c r="DI354" s="571"/>
      <c r="DJ354" s="571"/>
      <c r="DK354" s="571"/>
      <c r="DL354" s="571"/>
      <c r="DM354" s="571"/>
      <c r="DN354" s="571"/>
      <c r="DO354" s="571"/>
      <c r="DP354" s="571"/>
      <c r="DQ354" s="571"/>
      <c r="DR354" s="571"/>
      <c r="DS354" s="571"/>
      <c r="DT354" s="571"/>
      <c r="DU354" s="571"/>
      <c r="DV354" s="571"/>
      <c r="DW354" s="571"/>
      <c r="DX354" s="571"/>
      <c r="DY354" s="571"/>
      <c r="DZ354" s="571"/>
      <c r="EA354" s="571"/>
      <c r="EB354" s="571"/>
      <c r="EC354" s="571"/>
      <c r="ED354" s="571"/>
      <c r="EE354" s="571"/>
      <c r="EF354" s="571"/>
      <c r="EG354" s="571"/>
      <c r="EH354" s="571"/>
      <c r="EI354" s="571"/>
      <c r="EJ354" s="571"/>
      <c r="EK354" s="571"/>
      <c r="EL354" s="571"/>
      <c r="EM354" s="571"/>
      <c r="EN354" s="571"/>
      <c r="EO354" s="571"/>
      <c r="EP354" s="571"/>
      <c r="EQ354" s="571"/>
      <c r="ER354" s="571"/>
      <c r="ES354" s="571"/>
      <c r="ET354" s="571"/>
      <c r="EU354" s="571"/>
      <c r="EV354" s="571"/>
      <c r="EW354" s="571"/>
      <c r="EX354" s="571"/>
      <c r="EY354" s="571"/>
      <c r="EZ354" s="571"/>
      <c r="FA354" s="571"/>
      <c r="FB354" s="571"/>
      <c r="FC354" s="571"/>
      <c r="FD354" s="571"/>
      <c r="FE354" s="571"/>
      <c r="FF354" s="571"/>
      <c r="FG354" s="571"/>
      <c r="FH354" s="571"/>
      <c r="FI354" s="571"/>
      <c r="FJ354" s="571"/>
      <c r="FK354" s="571"/>
      <c r="FL354" s="571"/>
      <c r="FM354" s="571"/>
      <c r="FN354" s="571"/>
      <c r="FO354" s="571"/>
      <c r="FP354" s="571"/>
      <c r="FQ354" s="571"/>
      <c r="FR354" s="571"/>
      <c r="FS354" s="571"/>
      <c r="FT354" s="571"/>
      <c r="FU354" s="571"/>
      <c r="FV354" s="571"/>
      <c r="FW354" s="571"/>
      <c r="FX354" s="571"/>
      <c r="FY354" s="571"/>
      <c r="FZ354" s="571"/>
      <c r="GA354" s="571"/>
      <c r="GB354" s="571"/>
      <c r="GC354" s="571"/>
      <c r="GD354" s="571"/>
      <c r="GE354" s="571"/>
      <c r="GF354" s="571"/>
      <c r="GG354" s="571"/>
      <c r="GH354" s="571"/>
      <c r="GI354" s="571"/>
      <c r="GJ354" s="571"/>
      <c r="GK354" s="571"/>
      <c r="GL354" s="571"/>
      <c r="GM354" s="571"/>
      <c r="GN354" s="571"/>
      <c r="GO354" s="571"/>
      <c r="GP354" s="571"/>
      <c r="GQ354" s="571"/>
      <c r="GR354" s="571"/>
      <c r="GS354" s="571"/>
      <c r="GT354" s="571"/>
      <c r="GU354" s="571"/>
      <c r="GV354" s="571"/>
      <c r="GW354" s="571"/>
      <c r="GX354" s="571"/>
      <c r="GY354" s="571"/>
      <c r="GZ354" s="571"/>
      <c r="HA354" s="571"/>
      <c r="HB354" s="571"/>
      <c r="HC354" s="571"/>
      <c r="HD354" s="571"/>
      <c r="HE354" s="571"/>
      <c r="HF354" s="571"/>
      <c r="HG354" s="571"/>
      <c r="HH354" s="571"/>
      <c r="HI354" s="571"/>
      <c r="HJ354" s="571"/>
      <c r="HK354" s="571"/>
      <c r="HL354" s="571"/>
      <c r="HM354" s="571"/>
      <c r="HN354" s="571"/>
      <c r="HO354" s="571"/>
      <c r="HP354" s="571"/>
      <c r="HQ354" s="571"/>
      <c r="HR354" s="571"/>
      <c r="HS354" s="571"/>
      <c r="HT354" s="571"/>
      <c r="HU354" s="571"/>
      <c r="HV354" s="571"/>
      <c r="HW354" s="571"/>
      <c r="HX354" s="571"/>
      <c r="HY354" s="571"/>
      <c r="HZ354" s="571"/>
      <c r="IA354" s="571"/>
      <c r="IB354" s="571"/>
      <c r="IC354" s="571"/>
      <c r="ID354" s="571"/>
      <c r="IE354" s="571"/>
      <c r="IF354" s="571"/>
      <c r="IG354" s="571"/>
      <c r="IH354" s="571"/>
      <c r="II354" s="571"/>
      <c r="IJ354" s="571"/>
      <c r="IK354" s="571"/>
      <c r="IL354" s="571"/>
      <c r="IM354" s="571"/>
      <c r="IN354" s="571"/>
      <c r="IO354" s="571"/>
    </row>
    <row r="355" spans="1:249">
      <c r="A355" s="520"/>
      <c r="B355" s="520"/>
      <c r="C355" s="238"/>
      <c r="D355" s="358">
        <v>77.53</v>
      </c>
      <c r="E355" s="238"/>
      <c r="F355" s="525">
        <v>381360</v>
      </c>
      <c r="G355" s="521">
        <v>40379</v>
      </c>
      <c r="H355" s="540">
        <f t="shared" si="28"/>
        <v>4910.0038624951721</v>
      </c>
      <c r="I355" s="260" t="s">
        <v>91</v>
      </c>
      <c r="J355" s="542">
        <v>65.510000000000005</v>
      </c>
      <c r="K355" s="526">
        <v>77.67</v>
      </c>
      <c r="L355" s="367">
        <v>381360</v>
      </c>
      <c r="M355" s="540">
        <f t="shared" si="27"/>
        <v>77.67</v>
      </c>
      <c r="N355" s="540">
        <f t="shared" si="29"/>
        <v>381360</v>
      </c>
      <c r="O355" s="546"/>
      <c r="P355" s="540">
        <f t="shared" si="26"/>
        <v>0</v>
      </c>
      <c r="Q355" s="551">
        <f t="shared" si="30"/>
        <v>0</v>
      </c>
      <c r="R355" s="283"/>
    </row>
    <row r="356" spans="1:249">
      <c r="A356" s="520"/>
      <c r="B356" s="520"/>
      <c r="C356" s="238"/>
      <c r="D356" s="358">
        <v>91.15</v>
      </c>
      <c r="E356" s="238"/>
      <c r="F356" s="525">
        <v>390839</v>
      </c>
      <c r="G356" s="521">
        <v>40394</v>
      </c>
      <c r="H356" s="540">
        <f t="shared" si="28"/>
        <v>4194.0015023071146</v>
      </c>
      <c r="I356" s="260" t="s">
        <v>92</v>
      </c>
      <c r="J356" s="542">
        <v>78.599999999999994</v>
      </c>
      <c r="K356" s="526">
        <v>93.19</v>
      </c>
      <c r="L356" s="367">
        <v>390839</v>
      </c>
      <c r="M356" s="540">
        <f t="shared" si="27"/>
        <v>93.19</v>
      </c>
      <c r="N356" s="540">
        <f t="shared" si="29"/>
        <v>390839</v>
      </c>
      <c r="O356" s="546"/>
      <c r="P356" s="540">
        <f t="shared" si="26"/>
        <v>0</v>
      </c>
      <c r="Q356" s="551">
        <f t="shared" si="30"/>
        <v>0</v>
      </c>
      <c r="R356" s="283"/>
    </row>
    <row r="357" spans="1:249" ht="24">
      <c r="A357" s="520"/>
      <c r="B357" s="520"/>
      <c r="C357" s="238"/>
      <c r="D357" s="358">
        <v>91.15</v>
      </c>
      <c r="E357" s="238"/>
      <c r="F357" s="525">
        <v>343498</v>
      </c>
      <c r="G357" s="521">
        <v>40434</v>
      </c>
      <c r="H357" s="540">
        <f t="shared" si="28"/>
        <v>3685.9963515398649</v>
      </c>
      <c r="I357" s="260" t="s">
        <v>90</v>
      </c>
      <c r="J357" s="542">
        <v>78.599999999999994</v>
      </c>
      <c r="K357" s="526">
        <v>93.19</v>
      </c>
      <c r="L357" s="367">
        <v>343498</v>
      </c>
      <c r="M357" s="540">
        <f t="shared" si="27"/>
        <v>93.19</v>
      </c>
      <c r="N357" s="540">
        <f t="shared" si="29"/>
        <v>343498</v>
      </c>
      <c r="O357" s="546"/>
      <c r="P357" s="540">
        <f t="shared" si="26"/>
        <v>0</v>
      </c>
      <c r="Q357" s="551">
        <f t="shared" si="30"/>
        <v>0</v>
      </c>
      <c r="R357" s="283"/>
    </row>
    <row r="358" spans="1:249">
      <c r="A358" s="520"/>
      <c r="B358" s="520"/>
      <c r="C358" s="238"/>
      <c r="D358" s="358">
        <v>91.15</v>
      </c>
      <c r="E358" s="238"/>
      <c r="F358" s="525">
        <v>417491</v>
      </c>
      <c r="G358" s="521">
        <v>40409</v>
      </c>
      <c r="H358" s="540">
        <f t="shared" si="28"/>
        <v>4479.9978538469795</v>
      </c>
      <c r="I358" s="260" t="s">
        <v>91</v>
      </c>
      <c r="J358" s="542">
        <v>78.599999999999994</v>
      </c>
      <c r="K358" s="526">
        <v>93.19</v>
      </c>
      <c r="L358" s="367">
        <v>417491</v>
      </c>
      <c r="M358" s="540">
        <f t="shared" si="27"/>
        <v>93.19</v>
      </c>
      <c r="N358" s="540">
        <f t="shared" si="29"/>
        <v>417491</v>
      </c>
      <c r="O358" s="546"/>
      <c r="P358" s="540">
        <f t="shared" si="26"/>
        <v>0</v>
      </c>
      <c r="Q358" s="551">
        <f t="shared" si="30"/>
        <v>0</v>
      </c>
      <c r="R358" s="283"/>
    </row>
    <row r="359" spans="1:249">
      <c r="A359" s="520"/>
      <c r="B359" s="520"/>
      <c r="C359" s="238"/>
      <c r="D359" s="358">
        <v>91.15</v>
      </c>
      <c r="E359" s="238"/>
      <c r="F359" s="525">
        <v>358409</v>
      </c>
      <c r="G359" s="521">
        <v>40382</v>
      </c>
      <c r="H359" s="540">
        <f t="shared" si="28"/>
        <v>3846.0027899989268</v>
      </c>
      <c r="I359" s="260" t="s">
        <v>92</v>
      </c>
      <c r="J359" s="542">
        <v>78.599999999999994</v>
      </c>
      <c r="K359" s="526">
        <v>93.19</v>
      </c>
      <c r="L359" s="367">
        <v>358409</v>
      </c>
      <c r="M359" s="540">
        <f t="shared" si="27"/>
        <v>93.19</v>
      </c>
      <c r="N359" s="540">
        <f t="shared" si="29"/>
        <v>358409</v>
      </c>
      <c r="O359" s="546"/>
      <c r="P359" s="540">
        <f t="shared" si="26"/>
        <v>0</v>
      </c>
      <c r="Q359" s="551">
        <f t="shared" si="30"/>
        <v>0</v>
      </c>
      <c r="R359" s="283"/>
    </row>
    <row r="360" spans="1:249">
      <c r="A360" s="520"/>
      <c r="B360" s="520"/>
      <c r="C360" s="238"/>
      <c r="D360" s="358">
        <v>91.15</v>
      </c>
      <c r="E360" s="238"/>
      <c r="F360" s="525">
        <v>524194</v>
      </c>
      <c r="G360" s="521">
        <v>41591</v>
      </c>
      <c r="H360" s="540">
        <f t="shared" si="28"/>
        <v>5625.0026826912763</v>
      </c>
      <c r="I360" s="260" t="s">
        <v>91</v>
      </c>
      <c r="J360" s="542">
        <v>78.599999999999994</v>
      </c>
      <c r="K360" s="526">
        <v>93.19</v>
      </c>
      <c r="L360" s="367">
        <v>524194</v>
      </c>
      <c r="M360" s="540">
        <f t="shared" si="27"/>
        <v>93.19</v>
      </c>
      <c r="N360" s="540">
        <f t="shared" si="29"/>
        <v>524194</v>
      </c>
      <c r="O360" s="546"/>
      <c r="P360" s="540">
        <f t="shared" si="26"/>
        <v>0</v>
      </c>
      <c r="Q360" s="551">
        <f t="shared" si="30"/>
        <v>0</v>
      </c>
      <c r="R360" s="283"/>
    </row>
    <row r="361" spans="1:249">
      <c r="A361" s="520"/>
      <c r="B361" s="520"/>
      <c r="C361" s="238"/>
      <c r="D361" s="358">
        <v>91.15</v>
      </c>
      <c r="E361" s="238"/>
      <c r="F361" s="525">
        <v>445448</v>
      </c>
      <c r="G361" s="521">
        <v>40521</v>
      </c>
      <c r="H361" s="540">
        <f t="shared" si="28"/>
        <v>4779.9978538469795</v>
      </c>
      <c r="I361" s="260" t="s">
        <v>92</v>
      </c>
      <c r="J361" s="542">
        <v>78.599999999999994</v>
      </c>
      <c r="K361" s="526">
        <v>93.19</v>
      </c>
      <c r="L361" s="367">
        <v>445448</v>
      </c>
      <c r="M361" s="540">
        <f t="shared" si="27"/>
        <v>93.19</v>
      </c>
      <c r="N361" s="540">
        <f t="shared" si="29"/>
        <v>445448</v>
      </c>
      <c r="O361" s="546"/>
      <c r="P361" s="540">
        <f t="shared" si="26"/>
        <v>0</v>
      </c>
      <c r="Q361" s="551">
        <f t="shared" si="30"/>
        <v>0</v>
      </c>
      <c r="R361" s="283"/>
    </row>
    <row r="362" spans="1:249" ht="24">
      <c r="A362" s="520"/>
      <c r="B362" s="520"/>
      <c r="C362" s="238"/>
      <c r="D362" s="358">
        <v>93.19</v>
      </c>
      <c r="E362" s="238"/>
      <c r="F362" s="525">
        <v>494187</v>
      </c>
      <c r="G362" s="521">
        <v>42368</v>
      </c>
      <c r="H362" s="540">
        <f t="shared" si="28"/>
        <v>5303.0046142289948</v>
      </c>
      <c r="I362" s="260" t="s">
        <v>90</v>
      </c>
      <c r="J362" s="542">
        <v>78.599999999999994</v>
      </c>
      <c r="K362" s="526">
        <v>93.19</v>
      </c>
      <c r="L362" s="367">
        <v>198187</v>
      </c>
      <c r="M362" s="540">
        <f t="shared" si="27"/>
        <v>93.19</v>
      </c>
      <c r="N362" s="540">
        <v>494187</v>
      </c>
      <c r="O362" s="546"/>
      <c r="P362" s="540">
        <f t="shared" si="26"/>
        <v>0</v>
      </c>
      <c r="Q362" s="551">
        <f t="shared" si="30"/>
        <v>0</v>
      </c>
      <c r="R362" s="283"/>
    </row>
    <row r="363" spans="1:249">
      <c r="A363" s="520"/>
      <c r="B363" s="520"/>
      <c r="C363" s="238"/>
      <c r="D363" s="358">
        <v>91.15</v>
      </c>
      <c r="E363" s="238"/>
      <c r="F363" s="525">
        <v>357850</v>
      </c>
      <c r="G363" s="521">
        <v>40392</v>
      </c>
      <c r="H363" s="540">
        <f t="shared" si="28"/>
        <v>3840.0042923060414</v>
      </c>
      <c r="I363" s="260" t="s">
        <v>92</v>
      </c>
      <c r="J363" s="542">
        <v>78.599999999999994</v>
      </c>
      <c r="K363" s="526">
        <v>93.19</v>
      </c>
      <c r="L363" s="367">
        <v>357850</v>
      </c>
      <c r="M363" s="540">
        <f t="shared" si="27"/>
        <v>93.19</v>
      </c>
      <c r="N363" s="540">
        <f t="shared" si="29"/>
        <v>357850</v>
      </c>
      <c r="O363" s="546"/>
      <c r="P363" s="540">
        <f t="shared" si="26"/>
        <v>0</v>
      </c>
      <c r="Q363" s="551">
        <f t="shared" si="30"/>
        <v>0</v>
      </c>
      <c r="R363" s="283"/>
    </row>
    <row r="364" spans="1:249" s="528" customFormat="1" ht="24">
      <c r="A364" s="555"/>
      <c r="B364" s="555"/>
      <c r="C364" s="556"/>
      <c r="D364" s="557">
        <v>93.19</v>
      </c>
      <c r="E364" s="556"/>
      <c r="F364" s="559">
        <f>ROUND(523169/1.05,2)</f>
        <v>498256.19</v>
      </c>
      <c r="G364" s="562">
        <v>42477</v>
      </c>
      <c r="H364" s="561">
        <f t="shared" si="28"/>
        <v>5346.6701362807171</v>
      </c>
      <c r="I364" s="564" t="s">
        <v>90</v>
      </c>
      <c r="J364" s="565">
        <v>78.599999999999994</v>
      </c>
      <c r="K364" s="566">
        <v>93.19</v>
      </c>
      <c r="L364" s="567">
        <f>F364</f>
        <v>498256.19</v>
      </c>
      <c r="M364" s="561">
        <v>93.19</v>
      </c>
      <c r="N364" s="561">
        <f t="shared" si="29"/>
        <v>498256.19</v>
      </c>
      <c r="O364" s="568"/>
      <c r="P364" s="561">
        <f t="shared" si="26"/>
        <v>0</v>
      </c>
      <c r="Q364" s="569"/>
      <c r="R364" s="570" t="s">
        <v>93</v>
      </c>
      <c r="S364" s="571"/>
      <c r="T364" s="571"/>
      <c r="U364" s="571"/>
      <c r="V364" s="571"/>
      <c r="W364" s="571"/>
      <c r="X364" s="571"/>
      <c r="Y364" s="571"/>
      <c r="Z364" s="571"/>
      <c r="AA364" s="571"/>
      <c r="AB364" s="571"/>
      <c r="AC364" s="571"/>
      <c r="AD364" s="571"/>
      <c r="AE364" s="571"/>
      <c r="AF364" s="571"/>
      <c r="AG364" s="571"/>
      <c r="AH364" s="571"/>
      <c r="AI364" s="571"/>
      <c r="AJ364" s="571"/>
      <c r="AK364" s="571"/>
      <c r="AL364" s="571"/>
      <c r="AM364" s="571"/>
      <c r="AN364" s="571"/>
      <c r="AO364" s="571"/>
      <c r="AP364" s="571"/>
      <c r="AQ364" s="571"/>
      <c r="AR364" s="571"/>
      <c r="AS364" s="571"/>
      <c r="AT364" s="571"/>
      <c r="AU364" s="571"/>
      <c r="AV364" s="571"/>
      <c r="AW364" s="571"/>
      <c r="AX364" s="571"/>
      <c r="AY364" s="571"/>
      <c r="AZ364" s="571"/>
      <c r="BA364" s="571"/>
      <c r="BB364" s="571"/>
      <c r="BC364" s="571"/>
      <c r="BD364" s="571"/>
      <c r="BE364" s="571"/>
      <c r="BF364" s="571"/>
      <c r="BG364" s="571"/>
      <c r="BH364" s="571"/>
      <c r="BI364" s="571"/>
      <c r="BJ364" s="571"/>
      <c r="BK364" s="571"/>
      <c r="BL364" s="571"/>
      <c r="BM364" s="571"/>
      <c r="BN364" s="571"/>
      <c r="BO364" s="571"/>
      <c r="BP364" s="571"/>
      <c r="BQ364" s="571"/>
      <c r="BR364" s="571"/>
      <c r="BS364" s="571"/>
      <c r="BT364" s="571"/>
      <c r="BU364" s="571"/>
      <c r="BV364" s="571"/>
      <c r="BW364" s="571"/>
      <c r="BX364" s="571"/>
      <c r="BY364" s="571"/>
      <c r="BZ364" s="571"/>
      <c r="CA364" s="571"/>
      <c r="CB364" s="571"/>
      <c r="CC364" s="571"/>
      <c r="CD364" s="571"/>
      <c r="CE364" s="571"/>
      <c r="CF364" s="571"/>
      <c r="CG364" s="571"/>
      <c r="CH364" s="571"/>
      <c r="CI364" s="571"/>
      <c r="CJ364" s="571"/>
      <c r="CK364" s="571"/>
      <c r="CL364" s="571"/>
      <c r="CM364" s="571"/>
      <c r="CN364" s="571"/>
      <c r="CO364" s="571"/>
      <c r="CP364" s="571"/>
      <c r="CQ364" s="571"/>
      <c r="CR364" s="571"/>
      <c r="CS364" s="571"/>
      <c r="CT364" s="571"/>
      <c r="CU364" s="571"/>
      <c r="CV364" s="571"/>
      <c r="CW364" s="571"/>
      <c r="CX364" s="571"/>
      <c r="CY364" s="571"/>
      <c r="CZ364" s="571"/>
      <c r="DA364" s="571"/>
      <c r="DB364" s="571"/>
      <c r="DC364" s="571"/>
      <c r="DD364" s="571"/>
      <c r="DE364" s="571"/>
      <c r="DF364" s="571"/>
      <c r="DG364" s="571"/>
      <c r="DH364" s="571"/>
      <c r="DI364" s="571"/>
      <c r="DJ364" s="571"/>
      <c r="DK364" s="571"/>
      <c r="DL364" s="571"/>
      <c r="DM364" s="571"/>
      <c r="DN364" s="571"/>
      <c r="DO364" s="571"/>
      <c r="DP364" s="571"/>
      <c r="DQ364" s="571"/>
      <c r="DR364" s="571"/>
      <c r="DS364" s="571"/>
      <c r="DT364" s="571"/>
      <c r="DU364" s="571"/>
      <c r="DV364" s="571"/>
      <c r="DW364" s="571"/>
      <c r="DX364" s="571"/>
      <c r="DY364" s="571"/>
      <c r="DZ364" s="571"/>
      <c r="EA364" s="571"/>
      <c r="EB364" s="571"/>
      <c r="EC364" s="571"/>
      <c r="ED364" s="571"/>
      <c r="EE364" s="571"/>
      <c r="EF364" s="571"/>
      <c r="EG364" s="571"/>
      <c r="EH364" s="571"/>
      <c r="EI364" s="571"/>
      <c r="EJ364" s="571"/>
      <c r="EK364" s="571"/>
      <c r="EL364" s="571"/>
      <c r="EM364" s="571"/>
      <c r="EN364" s="571"/>
      <c r="EO364" s="571"/>
      <c r="EP364" s="571"/>
      <c r="EQ364" s="571"/>
      <c r="ER364" s="571"/>
      <c r="ES364" s="571"/>
      <c r="ET364" s="571"/>
      <c r="EU364" s="571"/>
      <c r="EV364" s="571"/>
      <c r="EW364" s="571"/>
      <c r="EX364" s="571"/>
      <c r="EY364" s="571"/>
      <c r="EZ364" s="571"/>
      <c r="FA364" s="571"/>
      <c r="FB364" s="571"/>
      <c r="FC364" s="571"/>
      <c r="FD364" s="571"/>
      <c r="FE364" s="571"/>
      <c r="FF364" s="571"/>
      <c r="FG364" s="571"/>
      <c r="FH364" s="571"/>
      <c r="FI364" s="571"/>
      <c r="FJ364" s="571"/>
      <c r="FK364" s="571"/>
      <c r="FL364" s="571"/>
      <c r="FM364" s="571"/>
      <c r="FN364" s="571"/>
      <c r="FO364" s="571"/>
      <c r="FP364" s="571"/>
      <c r="FQ364" s="571"/>
      <c r="FR364" s="571"/>
      <c r="FS364" s="571"/>
      <c r="FT364" s="571"/>
      <c r="FU364" s="571"/>
      <c r="FV364" s="571"/>
      <c r="FW364" s="571"/>
      <c r="FX364" s="571"/>
      <c r="FY364" s="571"/>
      <c r="FZ364" s="571"/>
      <c r="GA364" s="571"/>
      <c r="GB364" s="571"/>
      <c r="GC364" s="571"/>
      <c r="GD364" s="571"/>
      <c r="GE364" s="571"/>
      <c r="GF364" s="571"/>
      <c r="GG364" s="571"/>
      <c r="GH364" s="571"/>
      <c r="GI364" s="571"/>
      <c r="GJ364" s="571"/>
      <c r="GK364" s="571"/>
      <c r="GL364" s="571"/>
      <c r="GM364" s="571"/>
      <c r="GN364" s="571"/>
      <c r="GO364" s="571"/>
      <c r="GP364" s="571"/>
      <c r="GQ364" s="571"/>
      <c r="GR364" s="571"/>
      <c r="GS364" s="571"/>
      <c r="GT364" s="571"/>
      <c r="GU364" s="571"/>
      <c r="GV364" s="571"/>
      <c r="GW364" s="571"/>
      <c r="GX364" s="571"/>
      <c r="GY364" s="571"/>
      <c r="GZ364" s="571"/>
      <c r="HA364" s="571"/>
      <c r="HB364" s="571"/>
      <c r="HC364" s="571"/>
      <c r="HD364" s="571"/>
      <c r="HE364" s="571"/>
      <c r="HF364" s="571"/>
      <c r="HG364" s="571"/>
      <c r="HH364" s="571"/>
      <c r="HI364" s="571"/>
      <c r="HJ364" s="571"/>
      <c r="HK364" s="571"/>
      <c r="HL364" s="571"/>
      <c r="HM364" s="571"/>
      <c r="HN364" s="571"/>
      <c r="HO364" s="571"/>
      <c r="HP364" s="571"/>
      <c r="HQ364" s="571"/>
      <c r="HR364" s="571"/>
      <c r="HS364" s="571"/>
      <c r="HT364" s="571"/>
      <c r="HU364" s="571"/>
      <c r="HV364" s="571"/>
      <c r="HW364" s="571"/>
      <c r="HX364" s="571"/>
      <c r="HY364" s="571"/>
      <c r="HZ364" s="571"/>
      <c r="IA364" s="571"/>
      <c r="IB364" s="571"/>
      <c r="IC364" s="571"/>
      <c r="ID364" s="571"/>
      <c r="IE364" s="571"/>
      <c r="IF364" s="571"/>
      <c r="IG364" s="571"/>
      <c r="IH364" s="571"/>
      <c r="II364" s="571"/>
      <c r="IJ364" s="571"/>
      <c r="IK364" s="571"/>
      <c r="IL364" s="571"/>
      <c r="IM364" s="571"/>
      <c r="IN364" s="571"/>
      <c r="IO364" s="571"/>
    </row>
    <row r="365" spans="1:249">
      <c r="A365" s="520"/>
      <c r="B365" s="520"/>
      <c r="C365" s="238"/>
      <c r="D365" s="358">
        <v>93.19</v>
      </c>
      <c r="E365" s="238"/>
      <c r="F365" s="525">
        <v>482724</v>
      </c>
      <c r="G365" s="521">
        <v>40788</v>
      </c>
      <c r="H365" s="540">
        <f t="shared" si="28"/>
        <v>5179.9978538469795</v>
      </c>
      <c r="I365" s="260" t="s">
        <v>92</v>
      </c>
      <c r="J365" s="542">
        <v>78.599999999999994</v>
      </c>
      <c r="K365" s="526">
        <v>93.19</v>
      </c>
      <c r="L365" s="367">
        <v>482724</v>
      </c>
      <c r="M365" s="540">
        <f t="shared" si="27"/>
        <v>93.19</v>
      </c>
      <c r="N365" s="540">
        <f t="shared" si="29"/>
        <v>482724</v>
      </c>
      <c r="O365" s="546"/>
      <c r="P365" s="540">
        <f t="shared" si="26"/>
        <v>0</v>
      </c>
      <c r="Q365" s="551">
        <f t="shared" si="30"/>
        <v>0</v>
      </c>
      <c r="R365" s="283"/>
    </row>
    <row r="366" spans="1:249">
      <c r="A366" s="520"/>
      <c r="B366" s="520"/>
      <c r="C366" s="238"/>
      <c r="D366" s="358">
        <v>91.15</v>
      </c>
      <c r="E366" s="238"/>
      <c r="F366" s="525">
        <v>404445</v>
      </c>
      <c r="G366" s="521">
        <v>40389</v>
      </c>
      <c r="H366" s="540">
        <f t="shared" si="28"/>
        <v>4340.0042923060419</v>
      </c>
      <c r="I366" s="260" t="s">
        <v>91</v>
      </c>
      <c r="J366" s="542">
        <v>78.599999999999994</v>
      </c>
      <c r="K366" s="526">
        <v>93.19</v>
      </c>
      <c r="L366" s="367">
        <v>404445</v>
      </c>
      <c r="M366" s="540">
        <f t="shared" si="27"/>
        <v>93.19</v>
      </c>
      <c r="N366" s="540">
        <f t="shared" si="29"/>
        <v>404445</v>
      </c>
      <c r="O366" s="546"/>
      <c r="P366" s="540">
        <f t="shared" si="26"/>
        <v>0</v>
      </c>
      <c r="Q366" s="551">
        <f t="shared" si="30"/>
        <v>0</v>
      </c>
      <c r="R366" s="283"/>
    </row>
    <row r="367" spans="1:249">
      <c r="A367" s="520"/>
      <c r="B367" s="520"/>
      <c r="C367" s="238"/>
      <c r="D367" s="358">
        <v>91.15</v>
      </c>
      <c r="E367" s="238"/>
      <c r="F367" s="525">
        <v>582717</v>
      </c>
      <c r="G367" s="521">
        <v>40490</v>
      </c>
      <c r="H367" s="540">
        <f t="shared" si="28"/>
        <v>6252.9992488464432</v>
      </c>
      <c r="I367" s="260" t="s">
        <v>92</v>
      </c>
      <c r="J367" s="542">
        <v>78.599999999999994</v>
      </c>
      <c r="K367" s="526">
        <v>93.19</v>
      </c>
      <c r="L367" s="367">
        <v>582717</v>
      </c>
      <c r="M367" s="540">
        <f t="shared" si="27"/>
        <v>93.19</v>
      </c>
      <c r="N367" s="540">
        <f t="shared" si="29"/>
        <v>582717</v>
      </c>
      <c r="O367" s="546"/>
      <c r="P367" s="540">
        <f t="shared" si="26"/>
        <v>0</v>
      </c>
      <c r="Q367" s="551">
        <f t="shared" si="30"/>
        <v>0</v>
      </c>
      <c r="R367" s="283"/>
    </row>
    <row r="368" spans="1:249">
      <c r="A368" s="520"/>
      <c r="B368" s="520"/>
      <c r="C368" s="238"/>
      <c r="D368" s="358">
        <v>91.15</v>
      </c>
      <c r="E368" s="238"/>
      <c r="F368" s="525">
        <v>352817</v>
      </c>
      <c r="G368" s="521">
        <v>40382</v>
      </c>
      <c r="H368" s="540">
        <f t="shared" si="28"/>
        <v>3785.9963515398649</v>
      </c>
      <c r="I368" s="260" t="s">
        <v>92</v>
      </c>
      <c r="J368" s="542">
        <v>78.599999999999994</v>
      </c>
      <c r="K368" s="526">
        <v>93.19</v>
      </c>
      <c r="L368" s="367">
        <v>352817</v>
      </c>
      <c r="M368" s="540">
        <f t="shared" si="27"/>
        <v>93.19</v>
      </c>
      <c r="N368" s="540">
        <f t="shared" si="29"/>
        <v>352817</v>
      </c>
      <c r="O368" s="546"/>
      <c r="P368" s="540">
        <f t="shared" si="26"/>
        <v>0</v>
      </c>
      <c r="Q368" s="551">
        <f t="shared" si="30"/>
        <v>0</v>
      </c>
      <c r="R368" s="283"/>
    </row>
    <row r="369" spans="1:18">
      <c r="A369" s="520"/>
      <c r="B369" s="520"/>
      <c r="C369" s="238"/>
      <c r="D369" s="358">
        <v>91.15</v>
      </c>
      <c r="E369" s="238"/>
      <c r="F369" s="525">
        <v>436129</v>
      </c>
      <c r="G369" s="521">
        <v>41381</v>
      </c>
      <c r="H369" s="540">
        <f t="shared" si="28"/>
        <v>4679.9978538469795</v>
      </c>
      <c r="I369" s="260" t="s">
        <v>92</v>
      </c>
      <c r="J369" s="542">
        <v>78.599999999999994</v>
      </c>
      <c r="K369" s="526">
        <v>93.19</v>
      </c>
      <c r="L369" s="367">
        <v>436129</v>
      </c>
      <c r="M369" s="540">
        <f t="shared" si="27"/>
        <v>93.19</v>
      </c>
      <c r="N369" s="540">
        <f t="shared" si="29"/>
        <v>436129</v>
      </c>
      <c r="O369" s="546"/>
      <c r="P369" s="540">
        <f t="shared" si="26"/>
        <v>0</v>
      </c>
      <c r="Q369" s="551">
        <f t="shared" si="30"/>
        <v>0</v>
      </c>
      <c r="R369" s="283"/>
    </row>
    <row r="370" spans="1:18">
      <c r="A370" s="520"/>
      <c r="B370" s="520"/>
      <c r="C370" s="238"/>
      <c r="D370" s="358">
        <v>91.15</v>
      </c>
      <c r="E370" s="238"/>
      <c r="F370" s="525">
        <v>232975</v>
      </c>
      <c r="G370" s="521">
        <v>40387</v>
      </c>
      <c r="H370" s="540">
        <f t="shared" si="28"/>
        <v>2500</v>
      </c>
      <c r="I370" s="260" t="s">
        <v>92</v>
      </c>
      <c r="J370" s="542">
        <v>78.599999999999994</v>
      </c>
      <c r="K370" s="526">
        <v>93.19</v>
      </c>
      <c r="L370" s="367">
        <v>232975</v>
      </c>
      <c r="M370" s="540">
        <f t="shared" si="27"/>
        <v>93.19</v>
      </c>
      <c r="N370" s="540">
        <f>F370</f>
        <v>232975</v>
      </c>
      <c r="O370" s="546"/>
      <c r="P370" s="540">
        <f t="shared" si="26"/>
        <v>0</v>
      </c>
      <c r="Q370" s="551">
        <f t="shared" si="30"/>
        <v>2500</v>
      </c>
      <c r="R370" s="283"/>
    </row>
    <row r="371" spans="1:18">
      <c r="A371" s="520"/>
      <c r="B371" s="520"/>
      <c r="C371" s="238"/>
      <c r="D371" s="358">
        <v>93.19</v>
      </c>
      <c r="E371" s="238"/>
      <c r="F371" s="525">
        <v>505369</v>
      </c>
      <c r="G371" s="521">
        <v>41280</v>
      </c>
      <c r="H371" s="540">
        <f t="shared" si="28"/>
        <v>5422.996029616912</v>
      </c>
      <c r="I371" s="260" t="s">
        <v>92</v>
      </c>
      <c r="J371" s="542">
        <v>78.599999999999994</v>
      </c>
      <c r="K371" s="526">
        <v>93.19</v>
      </c>
      <c r="L371" s="367">
        <v>505369</v>
      </c>
      <c r="M371" s="540">
        <f t="shared" si="27"/>
        <v>93.19</v>
      </c>
      <c r="N371" s="540">
        <f t="shared" si="29"/>
        <v>505369</v>
      </c>
      <c r="O371" s="546"/>
      <c r="P371" s="540">
        <f t="shared" si="26"/>
        <v>0</v>
      </c>
      <c r="Q371" s="551">
        <f t="shared" si="30"/>
        <v>0</v>
      </c>
      <c r="R371" s="283"/>
    </row>
    <row r="372" spans="1:18">
      <c r="A372" s="520"/>
      <c r="B372" s="520"/>
      <c r="C372" s="238"/>
      <c r="D372" s="358">
        <v>91.15</v>
      </c>
      <c r="E372" s="238"/>
      <c r="F372" s="525">
        <v>344803</v>
      </c>
      <c r="G372" s="521">
        <v>40315</v>
      </c>
      <c r="H372" s="540">
        <f t="shared" si="28"/>
        <v>3700</v>
      </c>
      <c r="I372" s="260" t="s">
        <v>92</v>
      </c>
      <c r="J372" s="542">
        <v>78.599999999999994</v>
      </c>
      <c r="K372" s="526">
        <v>93.19</v>
      </c>
      <c r="L372" s="367">
        <v>344803</v>
      </c>
      <c r="M372" s="540">
        <f t="shared" si="27"/>
        <v>93.19</v>
      </c>
      <c r="N372" s="540">
        <f t="shared" si="29"/>
        <v>344803</v>
      </c>
      <c r="O372" s="546"/>
      <c r="P372" s="540">
        <f t="shared" si="26"/>
        <v>0</v>
      </c>
      <c r="Q372" s="551">
        <f t="shared" si="30"/>
        <v>0</v>
      </c>
      <c r="R372" s="283"/>
    </row>
    <row r="373" spans="1:18">
      <c r="A373" s="520"/>
      <c r="B373" s="520"/>
      <c r="C373" s="238"/>
      <c r="D373" s="358">
        <v>91.15</v>
      </c>
      <c r="E373" s="238"/>
      <c r="F373" s="525">
        <v>279570</v>
      </c>
      <c r="G373" s="521">
        <v>40413</v>
      </c>
      <c r="H373" s="540">
        <f t="shared" si="28"/>
        <v>3000</v>
      </c>
      <c r="I373" s="260"/>
      <c r="J373" s="542">
        <v>78.599999999999994</v>
      </c>
      <c r="K373" s="526">
        <v>93.19</v>
      </c>
      <c r="L373" s="367">
        <v>279570</v>
      </c>
      <c r="M373" s="540">
        <f t="shared" si="27"/>
        <v>93.19</v>
      </c>
      <c r="N373" s="540">
        <f>F373</f>
        <v>279570</v>
      </c>
      <c r="O373" s="546"/>
      <c r="P373" s="540">
        <f t="shared" si="26"/>
        <v>0</v>
      </c>
      <c r="Q373" s="551">
        <f t="shared" si="30"/>
        <v>3000</v>
      </c>
      <c r="R373" s="283"/>
    </row>
    <row r="374" spans="1:18">
      <c r="A374" s="520"/>
      <c r="B374" s="520"/>
      <c r="C374" s="238"/>
      <c r="D374" s="358">
        <v>91.15</v>
      </c>
      <c r="E374" s="238"/>
      <c r="F374" s="525">
        <v>395498</v>
      </c>
      <c r="G374" s="521">
        <v>40439</v>
      </c>
      <c r="H374" s="540">
        <f t="shared" si="28"/>
        <v>4243.996136924563</v>
      </c>
      <c r="I374" s="260" t="s">
        <v>92</v>
      </c>
      <c r="J374" s="542">
        <v>78.599999999999994</v>
      </c>
      <c r="K374" s="526">
        <v>93.19</v>
      </c>
      <c r="L374" s="367">
        <v>395498</v>
      </c>
      <c r="M374" s="540">
        <f t="shared" si="27"/>
        <v>93.19</v>
      </c>
      <c r="N374" s="540">
        <f t="shared" si="29"/>
        <v>395498</v>
      </c>
      <c r="O374" s="546"/>
      <c r="P374" s="540">
        <f t="shared" si="26"/>
        <v>0</v>
      </c>
      <c r="Q374" s="551">
        <f t="shared" si="30"/>
        <v>0</v>
      </c>
      <c r="R374" s="283"/>
    </row>
    <row r="375" spans="1:18">
      <c r="A375" s="520"/>
      <c r="B375" s="520"/>
      <c r="C375" s="238"/>
      <c r="D375" s="358">
        <v>93.19</v>
      </c>
      <c r="E375" s="238"/>
      <c r="F375" s="525">
        <v>509749</v>
      </c>
      <c r="G375" s="521">
        <v>41031</v>
      </c>
      <c r="H375" s="540">
        <f t="shared" si="28"/>
        <v>5469.9967807704688</v>
      </c>
      <c r="I375" s="260" t="s">
        <v>92</v>
      </c>
      <c r="J375" s="542">
        <v>78.599999999999994</v>
      </c>
      <c r="K375" s="526">
        <v>93.19</v>
      </c>
      <c r="L375" s="367">
        <v>509749</v>
      </c>
      <c r="M375" s="540">
        <f t="shared" si="27"/>
        <v>93.19</v>
      </c>
      <c r="N375" s="540">
        <f t="shared" si="29"/>
        <v>509749</v>
      </c>
      <c r="O375" s="546"/>
      <c r="P375" s="540">
        <f t="shared" si="26"/>
        <v>0</v>
      </c>
      <c r="Q375" s="551">
        <f t="shared" si="30"/>
        <v>0</v>
      </c>
      <c r="R375" s="283"/>
    </row>
    <row r="376" spans="1:18">
      <c r="A376" s="520"/>
      <c r="B376" s="520"/>
      <c r="C376" s="238"/>
      <c r="D376" s="358">
        <v>77.53</v>
      </c>
      <c r="E376" s="238"/>
      <c r="F376" s="525">
        <v>231456</v>
      </c>
      <c r="G376" s="521">
        <v>40383</v>
      </c>
      <c r="H376" s="540">
        <f t="shared" si="28"/>
        <v>2979.9922750096562</v>
      </c>
      <c r="I376" s="260" t="s">
        <v>91</v>
      </c>
      <c r="J376" s="542">
        <v>65.510000000000005</v>
      </c>
      <c r="K376" s="526">
        <v>77.67</v>
      </c>
      <c r="L376" s="367">
        <v>231456</v>
      </c>
      <c r="M376" s="540">
        <f t="shared" si="27"/>
        <v>77.67</v>
      </c>
      <c r="N376" s="540">
        <f>F376</f>
        <v>231456</v>
      </c>
      <c r="O376" s="546"/>
      <c r="P376" s="540">
        <f t="shared" si="26"/>
        <v>0</v>
      </c>
      <c r="Q376" s="551">
        <f t="shared" si="30"/>
        <v>2979.9922750096562</v>
      </c>
      <c r="R376" s="283"/>
    </row>
    <row r="377" spans="1:18" ht="24">
      <c r="A377" s="520"/>
      <c r="B377" s="520"/>
      <c r="C377" s="238"/>
      <c r="D377" s="358">
        <v>77.67</v>
      </c>
      <c r="E377" s="238"/>
      <c r="F377" s="525">
        <v>390680</v>
      </c>
      <c r="G377" s="521">
        <v>41558</v>
      </c>
      <c r="H377" s="540">
        <f t="shared" si="28"/>
        <v>5029.9987125016096</v>
      </c>
      <c r="I377" s="260" t="s">
        <v>90</v>
      </c>
      <c r="J377" s="542">
        <v>65.510000000000005</v>
      </c>
      <c r="K377" s="526">
        <v>77.67</v>
      </c>
      <c r="L377" s="367">
        <v>390680</v>
      </c>
      <c r="M377" s="540">
        <f t="shared" si="27"/>
        <v>77.67</v>
      </c>
      <c r="N377" s="540">
        <f t="shared" si="29"/>
        <v>390680</v>
      </c>
      <c r="O377" s="546"/>
      <c r="P377" s="540">
        <f t="shared" si="26"/>
        <v>0</v>
      </c>
      <c r="Q377" s="551">
        <f t="shared" si="30"/>
        <v>0</v>
      </c>
      <c r="R377" s="283"/>
    </row>
    <row r="378" spans="1:18">
      <c r="A378" s="520"/>
      <c r="B378" s="520"/>
      <c r="C378" s="238"/>
      <c r="D378" s="358">
        <v>77.53</v>
      </c>
      <c r="E378" s="238"/>
      <c r="F378" s="525">
        <v>296700</v>
      </c>
      <c r="G378" s="521">
        <v>40388</v>
      </c>
      <c r="H378" s="540">
        <f t="shared" si="28"/>
        <v>3820.0077249903438</v>
      </c>
      <c r="I378" s="260" t="s">
        <v>91</v>
      </c>
      <c r="J378" s="542">
        <v>65.510000000000005</v>
      </c>
      <c r="K378" s="526">
        <v>77.67</v>
      </c>
      <c r="L378" s="367">
        <v>207850</v>
      </c>
      <c r="M378" s="540">
        <f t="shared" si="27"/>
        <v>77.67</v>
      </c>
      <c r="N378" s="540">
        <v>296700</v>
      </c>
      <c r="O378" s="546"/>
      <c r="P378" s="540">
        <f t="shared" si="26"/>
        <v>0</v>
      </c>
      <c r="Q378" s="551">
        <f t="shared" si="30"/>
        <v>0</v>
      </c>
      <c r="R378" s="283"/>
    </row>
    <row r="379" spans="1:18">
      <c r="A379" s="520"/>
      <c r="B379" s="520"/>
      <c r="C379" s="238"/>
      <c r="D379" s="358">
        <v>77.53</v>
      </c>
      <c r="E379" s="238"/>
      <c r="F379" s="525">
        <v>309903</v>
      </c>
      <c r="G379" s="521">
        <v>40375</v>
      </c>
      <c r="H379" s="540">
        <f t="shared" si="28"/>
        <v>3989.9961375048279</v>
      </c>
      <c r="I379" s="260" t="s">
        <v>91</v>
      </c>
      <c r="J379" s="542">
        <v>65.510000000000005</v>
      </c>
      <c r="K379" s="526">
        <v>77.67</v>
      </c>
      <c r="L379" s="367">
        <v>309903</v>
      </c>
      <c r="M379" s="540">
        <f t="shared" si="27"/>
        <v>77.67</v>
      </c>
      <c r="N379" s="540">
        <f t="shared" si="29"/>
        <v>309903</v>
      </c>
      <c r="O379" s="546"/>
      <c r="P379" s="540">
        <f t="shared" si="26"/>
        <v>0</v>
      </c>
      <c r="Q379" s="551">
        <f t="shared" si="30"/>
        <v>0</v>
      </c>
      <c r="R379" s="283"/>
    </row>
    <row r="380" spans="1:18">
      <c r="A380" s="520"/>
      <c r="B380" s="520"/>
      <c r="C380" s="238"/>
      <c r="D380" s="358">
        <v>77.53</v>
      </c>
      <c r="E380" s="238"/>
      <c r="F380" s="525">
        <v>270292</v>
      </c>
      <c r="G380" s="521">
        <v>40564</v>
      </c>
      <c r="H380" s="540">
        <f t="shared" si="28"/>
        <v>3480.0051499935626</v>
      </c>
      <c r="I380" s="260" t="s">
        <v>92</v>
      </c>
      <c r="J380" s="542">
        <v>65.510000000000005</v>
      </c>
      <c r="K380" s="526">
        <v>77.67</v>
      </c>
      <c r="L380" s="367">
        <v>270292</v>
      </c>
      <c r="M380" s="540">
        <f t="shared" si="27"/>
        <v>77.67</v>
      </c>
      <c r="N380" s="540">
        <f>F380</f>
        <v>270292</v>
      </c>
      <c r="O380" s="546"/>
      <c r="P380" s="540">
        <f t="shared" si="26"/>
        <v>0</v>
      </c>
      <c r="Q380" s="551">
        <f t="shared" si="30"/>
        <v>3480.0051499935626</v>
      </c>
      <c r="R380" s="283"/>
    </row>
    <row r="381" spans="1:18">
      <c r="A381" s="520"/>
      <c r="B381" s="520"/>
      <c r="C381" s="238"/>
      <c r="D381" s="358">
        <v>77.53</v>
      </c>
      <c r="E381" s="238"/>
      <c r="F381" s="525">
        <v>367379</v>
      </c>
      <c r="G381" s="521">
        <v>40387</v>
      </c>
      <c r="H381" s="540">
        <f t="shared" si="28"/>
        <v>4729.9987125016096</v>
      </c>
      <c r="I381" s="260" t="s">
        <v>91</v>
      </c>
      <c r="J381" s="542">
        <v>65.510000000000005</v>
      </c>
      <c r="K381" s="526">
        <v>77.67</v>
      </c>
      <c r="L381" s="367">
        <v>367379</v>
      </c>
      <c r="M381" s="540">
        <f t="shared" si="27"/>
        <v>77.67</v>
      </c>
      <c r="N381" s="540">
        <f t="shared" si="29"/>
        <v>367379</v>
      </c>
      <c r="O381" s="546"/>
      <c r="P381" s="540">
        <f t="shared" si="26"/>
        <v>0</v>
      </c>
      <c r="Q381" s="551">
        <f t="shared" si="30"/>
        <v>0</v>
      </c>
      <c r="R381" s="283"/>
    </row>
    <row r="382" spans="1:18">
      <c r="A382" s="520"/>
      <c r="B382" s="520"/>
      <c r="C382" s="238"/>
      <c r="D382" s="358">
        <v>77.67</v>
      </c>
      <c r="E382" s="238"/>
      <c r="F382" s="525">
        <v>451263</v>
      </c>
      <c r="G382" s="521">
        <v>41349</v>
      </c>
      <c r="H382" s="540">
        <f t="shared" si="28"/>
        <v>5810.0038624951721</v>
      </c>
      <c r="I382" s="260" t="s">
        <v>92</v>
      </c>
      <c r="J382" s="542">
        <v>65.510000000000005</v>
      </c>
      <c r="K382" s="526">
        <v>77.67</v>
      </c>
      <c r="L382" s="367">
        <v>451263</v>
      </c>
      <c r="M382" s="540">
        <f t="shared" si="27"/>
        <v>77.67</v>
      </c>
      <c r="N382" s="540">
        <f t="shared" si="29"/>
        <v>451263</v>
      </c>
      <c r="O382" s="546"/>
      <c r="P382" s="540">
        <f t="shared" si="26"/>
        <v>0</v>
      </c>
      <c r="Q382" s="551">
        <f t="shared" si="30"/>
        <v>0</v>
      </c>
      <c r="R382" s="283"/>
    </row>
    <row r="383" spans="1:18">
      <c r="A383" s="520"/>
      <c r="B383" s="520"/>
      <c r="C383" s="238"/>
      <c r="D383" s="358">
        <v>77.67</v>
      </c>
      <c r="E383" s="238"/>
      <c r="F383" s="525">
        <v>455768</v>
      </c>
      <c r="G383" s="521">
        <v>41363</v>
      </c>
      <c r="H383" s="540">
        <f t="shared" si="28"/>
        <v>5868.0056649929184</v>
      </c>
      <c r="I383" s="260" t="s">
        <v>92</v>
      </c>
      <c r="J383" s="542">
        <v>65.510000000000005</v>
      </c>
      <c r="K383" s="526">
        <v>77.67</v>
      </c>
      <c r="L383" s="367">
        <v>455768</v>
      </c>
      <c r="M383" s="540">
        <f t="shared" si="27"/>
        <v>77.67</v>
      </c>
      <c r="N383" s="540">
        <f t="shared" si="29"/>
        <v>455768</v>
      </c>
      <c r="O383" s="546"/>
      <c r="P383" s="540">
        <f t="shared" si="26"/>
        <v>0</v>
      </c>
      <c r="Q383" s="551">
        <f t="shared" si="30"/>
        <v>0</v>
      </c>
      <c r="R383" s="283"/>
    </row>
    <row r="384" spans="1:18">
      <c r="A384" s="520"/>
      <c r="B384" s="520"/>
      <c r="C384" s="238"/>
      <c r="D384" s="358">
        <v>77.53</v>
      </c>
      <c r="E384" s="238"/>
      <c r="F384" s="525">
        <v>517205</v>
      </c>
      <c r="G384" s="521">
        <v>40375</v>
      </c>
      <c r="H384" s="540">
        <f t="shared" si="28"/>
        <v>6659.0060512424361</v>
      </c>
      <c r="I384" s="260" t="s">
        <v>91</v>
      </c>
      <c r="J384" s="542">
        <v>65.510000000000005</v>
      </c>
      <c r="K384" s="526">
        <v>77.67</v>
      </c>
      <c r="L384" s="367">
        <v>517205</v>
      </c>
      <c r="M384" s="540">
        <f t="shared" si="27"/>
        <v>77.67</v>
      </c>
      <c r="N384" s="540">
        <f t="shared" si="29"/>
        <v>517205</v>
      </c>
      <c r="O384" s="546"/>
      <c r="P384" s="540">
        <f t="shared" ref="P384:P405" si="31">N384-F384</f>
        <v>0</v>
      </c>
      <c r="Q384" s="551">
        <f t="shared" si="30"/>
        <v>0</v>
      </c>
      <c r="R384" s="283"/>
    </row>
    <row r="385" spans="1:18">
      <c r="A385" s="520"/>
      <c r="B385" s="520"/>
      <c r="C385" s="238"/>
      <c r="D385" s="358">
        <v>77.53</v>
      </c>
      <c r="E385" s="238"/>
      <c r="F385" s="525">
        <v>395341</v>
      </c>
      <c r="G385" s="521">
        <v>40384</v>
      </c>
      <c r="H385" s="540">
        <f t="shared" si="28"/>
        <v>5090.0090124887347</v>
      </c>
      <c r="I385" s="260" t="s">
        <v>91</v>
      </c>
      <c r="J385" s="542">
        <v>65.510000000000005</v>
      </c>
      <c r="K385" s="526">
        <v>77.67</v>
      </c>
      <c r="L385" s="367">
        <v>395341</v>
      </c>
      <c r="M385" s="540">
        <f t="shared" si="27"/>
        <v>77.67</v>
      </c>
      <c r="N385" s="540">
        <f t="shared" si="29"/>
        <v>395341</v>
      </c>
      <c r="O385" s="546"/>
      <c r="P385" s="540">
        <f t="shared" si="31"/>
        <v>0</v>
      </c>
      <c r="Q385" s="551">
        <f t="shared" si="30"/>
        <v>0</v>
      </c>
      <c r="R385" s="283"/>
    </row>
    <row r="386" spans="1:18">
      <c r="A386" s="520"/>
      <c r="B386" s="520"/>
      <c r="C386" s="238"/>
      <c r="D386" s="358">
        <v>77.53</v>
      </c>
      <c r="E386" s="238"/>
      <c r="F386" s="525">
        <v>325748</v>
      </c>
      <c r="G386" s="521">
        <v>40409</v>
      </c>
      <c r="H386" s="540">
        <f t="shared" si="28"/>
        <v>4194.0002574996779</v>
      </c>
      <c r="I386" s="260" t="s">
        <v>92</v>
      </c>
      <c r="J386" s="542">
        <v>65.510000000000005</v>
      </c>
      <c r="K386" s="526">
        <v>77.67</v>
      </c>
      <c r="L386" s="367">
        <v>325748</v>
      </c>
      <c r="M386" s="540">
        <f t="shared" si="27"/>
        <v>77.67</v>
      </c>
      <c r="N386" s="540">
        <f t="shared" si="29"/>
        <v>325748</v>
      </c>
      <c r="O386" s="546"/>
      <c r="P386" s="540">
        <f t="shared" si="31"/>
        <v>0</v>
      </c>
      <c r="Q386" s="551">
        <f t="shared" si="30"/>
        <v>0</v>
      </c>
      <c r="R386" s="283"/>
    </row>
    <row r="387" spans="1:18">
      <c r="A387" s="520"/>
      <c r="B387" s="520"/>
      <c r="C387" s="238"/>
      <c r="D387" s="358">
        <v>77.53</v>
      </c>
      <c r="E387" s="238"/>
      <c r="F387" s="525">
        <v>491263</v>
      </c>
      <c r="G387" s="521">
        <v>40476</v>
      </c>
      <c r="H387" s="540">
        <f t="shared" si="28"/>
        <v>6325.0032187459765</v>
      </c>
      <c r="I387" s="260" t="s">
        <v>92</v>
      </c>
      <c r="J387" s="542">
        <v>65.510000000000005</v>
      </c>
      <c r="K387" s="526">
        <v>77.67</v>
      </c>
      <c r="L387" s="367">
        <v>491263</v>
      </c>
      <c r="M387" s="540">
        <f t="shared" si="27"/>
        <v>77.67</v>
      </c>
      <c r="N387" s="540">
        <f t="shared" si="29"/>
        <v>491263</v>
      </c>
      <c r="O387" s="546"/>
      <c r="P387" s="540">
        <f t="shared" si="31"/>
        <v>0</v>
      </c>
      <c r="Q387" s="551">
        <f t="shared" si="30"/>
        <v>0</v>
      </c>
      <c r="R387" s="283"/>
    </row>
    <row r="388" spans="1:18">
      <c r="A388" s="520"/>
      <c r="B388" s="520"/>
      <c r="C388" s="238"/>
      <c r="D388" s="358">
        <v>77.53</v>
      </c>
      <c r="E388" s="238"/>
      <c r="F388" s="525">
        <v>307573</v>
      </c>
      <c r="G388" s="521">
        <v>40378</v>
      </c>
      <c r="H388" s="540">
        <f t="shared" si="28"/>
        <v>3959.9974250032187</v>
      </c>
      <c r="I388" s="260" t="s">
        <v>91</v>
      </c>
      <c r="J388" s="542">
        <v>65.510000000000005</v>
      </c>
      <c r="K388" s="526">
        <v>77.67</v>
      </c>
      <c r="L388" s="367">
        <v>307573</v>
      </c>
      <c r="M388" s="540">
        <f t="shared" si="27"/>
        <v>77.67</v>
      </c>
      <c r="N388" s="540">
        <f t="shared" si="29"/>
        <v>307573</v>
      </c>
      <c r="O388" s="546"/>
      <c r="P388" s="540">
        <f t="shared" si="31"/>
        <v>0</v>
      </c>
      <c r="Q388" s="551">
        <f t="shared" si="30"/>
        <v>0</v>
      </c>
      <c r="R388" s="283"/>
    </row>
    <row r="389" spans="1:18">
      <c r="A389" s="520"/>
      <c r="B389" s="520"/>
      <c r="C389" s="238"/>
      <c r="D389" s="358">
        <v>77.53</v>
      </c>
      <c r="E389" s="238"/>
      <c r="F389" s="525">
        <v>357282</v>
      </c>
      <c r="G389" s="521">
        <v>40409</v>
      </c>
      <c r="H389" s="540">
        <f t="shared" si="28"/>
        <v>4600</v>
      </c>
      <c r="I389" s="260" t="s">
        <v>91</v>
      </c>
      <c r="J389" s="542">
        <v>65.510000000000005</v>
      </c>
      <c r="K389" s="526">
        <v>77.67</v>
      </c>
      <c r="L389" s="367">
        <v>357282</v>
      </c>
      <c r="M389" s="540">
        <f t="shared" si="27"/>
        <v>77.67</v>
      </c>
      <c r="N389" s="540">
        <f t="shared" si="29"/>
        <v>357282</v>
      </c>
      <c r="O389" s="546"/>
      <c r="P389" s="540">
        <f t="shared" si="31"/>
        <v>0</v>
      </c>
      <c r="Q389" s="551">
        <f t="shared" si="30"/>
        <v>0</v>
      </c>
      <c r="R389" s="283"/>
    </row>
    <row r="390" spans="1:18">
      <c r="A390" s="520"/>
      <c r="B390" s="520"/>
      <c r="C390" s="238"/>
      <c r="D390" s="358">
        <v>77.53</v>
      </c>
      <c r="E390" s="238"/>
      <c r="F390" s="525">
        <v>503302</v>
      </c>
      <c r="G390" s="521">
        <v>40382</v>
      </c>
      <c r="H390" s="540">
        <f t="shared" si="28"/>
        <v>6480.0051499935626</v>
      </c>
      <c r="I390" s="260" t="s">
        <v>91</v>
      </c>
      <c r="J390" s="542">
        <v>65.510000000000005</v>
      </c>
      <c r="K390" s="526">
        <v>77.67</v>
      </c>
      <c r="L390" s="367">
        <v>503302</v>
      </c>
      <c r="M390" s="540">
        <f t="shared" si="27"/>
        <v>77.67</v>
      </c>
      <c r="N390" s="540">
        <f t="shared" si="29"/>
        <v>503302</v>
      </c>
      <c r="O390" s="546"/>
      <c r="P390" s="540">
        <f t="shared" si="31"/>
        <v>0</v>
      </c>
      <c r="Q390" s="551">
        <f t="shared" si="30"/>
        <v>0</v>
      </c>
      <c r="R390" s="283"/>
    </row>
    <row r="391" spans="1:18">
      <c r="A391" s="520"/>
      <c r="B391" s="520"/>
      <c r="C391" s="238"/>
      <c r="D391" s="358">
        <v>77.53</v>
      </c>
      <c r="E391" s="238"/>
      <c r="F391" s="525">
        <v>306020</v>
      </c>
      <c r="G391" s="521">
        <v>40392</v>
      </c>
      <c r="H391" s="540">
        <f t="shared" si="28"/>
        <v>3940.0025749967813</v>
      </c>
      <c r="I391" s="260" t="s">
        <v>92</v>
      </c>
      <c r="J391" s="542">
        <v>65.510000000000005</v>
      </c>
      <c r="K391" s="526">
        <v>77.67</v>
      </c>
      <c r="L391" s="367">
        <v>306020</v>
      </c>
      <c r="M391" s="540">
        <f t="shared" si="27"/>
        <v>77.67</v>
      </c>
      <c r="N391" s="540">
        <f t="shared" si="29"/>
        <v>306020</v>
      </c>
      <c r="O391" s="546"/>
      <c r="P391" s="540">
        <f t="shared" si="31"/>
        <v>0</v>
      </c>
      <c r="Q391" s="551">
        <f t="shared" si="30"/>
        <v>0</v>
      </c>
      <c r="R391" s="283"/>
    </row>
    <row r="392" spans="1:18">
      <c r="A392" s="520"/>
      <c r="B392" s="520"/>
      <c r="C392" s="238"/>
      <c r="D392" s="358">
        <v>77.67</v>
      </c>
      <c r="E392" s="238"/>
      <c r="F392" s="525">
        <v>455768</v>
      </c>
      <c r="G392" s="521">
        <v>41363</v>
      </c>
      <c r="H392" s="540">
        <f t="shared" si="28"/>
        <v>5868.0056649929184</v>
      </c>
      <c r="I392" s="260" t="s">
        <v>92</v>
      </c>
      <c r="J392" s="542">
        <v>65.510000000000005</v>
      </c>
      <c r="K392" s="526">
        <v>77.67</v>
      </c>
      <c r="L392" s="367">
        <v>455768</v>
      </c>
      <c r="M392" s="540">
        <f t="shared" ref="M392:M405" si="32">K392</f>
        <v>77.67</v>
      </c>
      <c r="N392" s="540">
        <f t="shared" si="29"/>
        <v>455768</v>
      </c>
      <c r="O392" s="546"/>
      <c r="P392" s="540">
        <f t="shared" si="31"/>
        <v>0</v>
      </c>
      <c r="Q392" s="551">
        <f t="shared" si="30"/>
        <v>0</v>
      </c>
      <c r="R392" s="283"/>
    </row>
    <row r="393" spans="1:18" ht="24">
      <c r="A393" s="520"/>
      <c r="B393" s="520"/>
      <c r="C393" s="238"/>
      <c r="D393" s="358">
        <v>77.67</v>
      </c>
      <c r="E393" s="238"/>
      <c r="F393" s="525">
        <v>460272</v>
      </c>
      <c r="G393" s="521">
        <v>41367</v>
      </c>
      <c r="H393" s="540">
        <f t="shared" si="28"/>
        <v>5925.9945925067595</v>
      </c>
      <c r="I393" s="260" t="s">
        <v>90</v>
      </c>
      <c r="J393" s="542">
        <v>65.510000000000005</v>
      </c>
      <c r="K393" s="526">
        <v>77.67</v>
      </c>
      <c r="L393" s="367">
        <v>460272</v>
      </c>
      <c r="M393" s="540">
        <f t="shared" si="32"/>
        <v>77.67</v>
      </c>
      <c r="N393" s="540">
        <f t="shared" si="29"/>
        <v>460272</v>
      </c>
      <c r="O393" s="546"/>
      <c r="P393" s="540">
        <f t="shared" si="31"/>
        <v>0</v>
      </c>
      <c r="Q393" s="551">
        <f t="shared" si="30"/>
        <v>0</v>
      </c>
      <c r="R393" s="283"/>
    </row>
    <row r="394" spans="1:18">
      <c r="A394" s="520"/>
      <c r="B394" s="520"/>
      <c r="C394" s="238"/>
      <c r="D394" s="358">
        <v>77.67</v>
      </c>
      <c r="E394" s="238"/>
      <c r="F394" s="525">
        <v>421748</v>
      </c>
      <c r="G394" s="521">
        <v>41036</v>
      </c>
      <c r="H394" s="540">
        <f t="shared" si="28"/>
        <v>5429.9987125016096</v>
      </c>
      <c r="I394" s="260"/>
      <c r="J394" s="542">
        <v>65.510000000000005</v>
      </c>
      <c r="K394" s="526">
        <v>77.67</v>
      </c>
      <c r="L394" s="367">
        <v>421748</v>
      </c>
      <c r="M394" s="540">
        <f t="shared" si="32"/>
        <v>77.67</v>
      </c>
      <c r="N394" s="540">
        <f t="shared" si="29"/>
        <v>421748</v>
      </c>
      <c r="O394" s="546"/>
      <c r="P394" s="540">
        <f t="shared" si="31"/>
        <v>0</v>
      </c>
      <c r="Q394" s="551">
        <f t="shared" si="30"/>
        <v>0</v>
      </c>
      <c r="R394" s="283"/>
    </row>
    <row r="395" spans="1:18">
      <c r="A395" s="520"/>
      <c r="B395" s="520"/>
      <c r="C395" s="238"/>
      <c r="D395" s="358">
        <v>77.53</v>
      </c>
      <c r="E395" s="238"/>
      <c r="F395" s="525">
        <v>320311</v>
      </c>
      <c r="G395" s="521">
        <v>40409</v>
      </c>
      <c r="H395" s="540">
        <f t="shared" si="28"/>
        <v>4123.9989700012875</v>
      </c>
      <c r="I395" s="260" t="s">
        <v>92</v>
      </c>
      <c r="J395" s="542">
        <v>65.510000000000005</v>
      </c>
      <c r="K395" s="526">
        <v>77.67</v>
      </c>
      <c r="L395" s="367">
        <v>320311</v>
      </c>
      <c r="M395" s="540">
        <f t="shared" si="32"/>
        <v>77.67</v>
      </c>
      <c r="N395" s="540">
        <f t="shared" si="29"/>
        <v>320311</v>
      </c>
      <c r="O395" s="546"/>
      <c r="P395" s="540">
        <f t="shared" si="31"/>
        <v>0</v>
      </c>
      <c r="Q395" s="551">
        <f t="shared" si="30"/>
        <v>0</v>
      </c>
      <c r="R395" s="283"/>
    </row>
    <row r="396" spans="1:18">
      <c r="A396" s="573"/>
      <c r="B396" s="574"/>
      <c r="C396" s="238"/>
      <c r="D396" s="360">
        <v>104.27</v>
      </c>
      <c r="E396" s="238"/>
      <c r="F396" s="525">
        <v>941850</v>
      </c>
      <c r="G396" s="298">
        <v>40553</v>
      </c>
      <c r="H396" s="540">
        <f t="shared" si="28"/>
        <v>9000</v>
      </c>
      <c r="I396" s="518" t="s">
        <v>92</v>
      </c>
      <c r="J396" s="542">
        <v>100.16</v>
      </c>
      <c r="K396" s="526">
        <v>104.65</v>
      </c>
      <c r="L396" s="542">
        <v>941850</v>
      </c>
      <c r="M396" s="540">
        <f t="shared" si="32"/>
        <v>104.65</v>
      </c>
      <c r="N396" s="540">
        <v>941850</v>
      </c>
      <c r="O396" s="546"/>
      <c r="P396" s="540">
        <f t="shared" si="31"/>
        <v>0</v>
      </c>
      <c r="Q396" s="551">
        <f t="shared" si="30"/>
        <v>0</v>
      </c>
      <c r="R396" s="283"/>
    </row>
    <row r="397" spans="1:18">
      <c r="A397" s="573"/>
      <c r="B397" s="575"/>
      <c r="C397" s="238"/>
      <c r="D397" s="576">
        <v>58.31</v>
      </c>
      <c r="E397" s="238"/>
      <c r="F397" s="525">
        <v>526680</v>
      </c>
      <c r="G397" s="521">
        <v>40584</v>
      </c>
      <c r="H397" s="540">
        <f t="shared" si="28"/>
        <v>9000</v>
      </c>
      <c r="I397" s="518" t="s">
        <v>92</v>
      </c>
      <c r="J397" s="542">
        <v>56.01</v>
      </c>
      <c r="K397" s="526">
        <v>58.52</v>
      </c>
      <c r="L397" s="542">
        <v>526680</v>
      </c>
      <c r="M397" s="540">
        <f t="shared" si="32"/>
        <v>58.52</v>
      </c>
      <c r="N397" s="540">
        <v>526680</v>
      </c>
      <c r="O397" s="546"/>
      <c r="P397" s="540">
        <f t="shared" si="31"/>
        <v>0</v>
      </c>
      <c r="Q397" s="551">
        <f t="shared" si="30"/>
        <v>0</v>
      </c>
      <c r="R397" s="283"/>
    </row>
    <row r="398" spans="1:18">
      <c r="A398" s="573"/>
      <c r="B398" s="574"/>
      <c r="C398" s="238"/>
      <c r="D398" s="360">
        <v>65.83</v>
      </c>
      <c r="E398" s="238"/>
      <c r="F398" s="525">
        <v>859040</v>
      </c>
      <c r="G398" s="521">
        <v>40596</v>
      </c>
      <c r="H398" s="540">
        <f t="shared" si="28"/>
        <v>13000</v>
      </c>
      <c r="I398" s="518" t="s">
        <v>92</v>
      </c>
      <c r="J398" s="542">
        <v>63.24</v>
      </c>
      <c r="K398" s="526">
        <v>66.08</v>
      </c>
      <c r="L398" s="542">
        <v>859040</v>
      </c>
      <c r="M398" s="540">
        <f t="shared" si="32"/>
        <v>66.08</v>
      </c>
      <c r="N398" s="540">
        <v>859040</v>
      </c>
      <c r="O398" s="546"/>
      <c r="P398" s="540">
        <f t="shared" si="31"/>
        <v>0</v>
      </c>
      <c r="Q398" s="551">
        <f t="shared" si="30"/>
        <v>0</v>
      </c>
      <c r="R398" s="283"/>
    </row>
    <row r="399" spans="1:18">
      <c r="A399" s="573"/>
      <c r="B399" s="575"/>
      <c r="C399" s="238"/>
      <c r="D399" s="576">
        <v>65.83</v>
      </c>
      <c r="E399" s="238"/>
      <c r="F399" s="525">
        <v>594720</v>
      </c>
      <c r="G399" s="521">
        <v>40583</v>
      </c>
      <c r="H399" s="540">
        <f t="shared" si="28"/>
        <v>9000</v>
      </c>
      <c r="I399" s="518" t="s">
        <v>92</v>
      </c>
      <c r="J399" s="542">
        <v>63.24</v>
      </c>
      <c r="K399" s="526">
        <v>66.08</v>
      </c>
      <c r="L399" s="542">
        <v>594720</v>
      </c>
      <c r="M399" s="540">
        <f t="shared" si="32"/>
        <v>66.08</v>
      </c>
      <c r="N399" s="540">
        <v>594720</v>
      </c>
      <c r="O399" s="546"/>
      <c r="P399" s="540">
        <f t="shared" si="31"/>
        <v>0</v>
      </c>
      <c r="Q399" s="551">
        <f t="shared" si="30"/>
        <v>0</v>
      </c>
      <c r="R399" s="283"/>
    </row>
    <row r="400" spans="1:18">
      <c r="A400" s="573"/>
      <c r="B400" s="575"/>
      <c r="C400" s="238"/>
      <c r="D400" s="576">
        <v>63.9</v>
      </c>
      <c r="E400" s="238"/>
      <c r="F400" s="525">
        <v>833690</v>
      </c>
      <c r="G400" s="521">
        <v>40596</v>
      </c>
      <c r="H400" s="540">
        <f t="shared" si="28"/>
        <v>13000.000000000002</v>
      </c>
      <c r="I400" s="518" t="s">
        <v>92</v>
      </c>
      <c r="J400" s="542">
        <v>61.38</v>
      </c>
      <c r="K400" s="526">
        <v>64.13</v>
      </c>
      <c r="L400" s="542">
        <v>833690</v>
      </c>
      <c r="M400" s="540">
        <f t="shared" si="32"/>
        <v>64.13</v>
      </c>
      <c r="N400" s="540">
        <v>833690</v>
      </c>
      <c r="O400" s="546"/>
      <c r="P400" s="540">
        <f t="shared" si="31"/>
        <v>0</v>
      </c>
      <c r="Q400" s="551">
        <f t="shared" si="30"/>
        <v>0</v>
      </c>
      <c r="R400" s="283"/>
    </row>
    <row r="401" spans="1:18">
      <c r="A401" s="573"/>
      <c r="B401" s="574"/>
      <c r="C401" s="238"/>
      <c r="D401" s="360">
        <v>80.430000000000007</v>
      </c>
      <c r="E401" s="238"/>
      <c r="F401" s="525">
        <v>1070550</v>
      </c>
      <c r="G401" s="521">
        <v>40596</v>
      </c>
      <c r="H401" s="540">
        <f t="shared" si="28"/>
        <v>13000</v>
      </c>
      <c r="I401" s="518" t="s">
        <v>92</v>
      </c>
      <c r="J401" s="542">
        <v>78.81</v>
      </c>
      <c r="K401" s="526">
        <v>82.35</v>
      </c>
      <c r="L401" s="542">
        <v>1070550</v>
      </c>
      <c r="M401" s="540">
        <f t="shared" si="32"/>
        <v>82.35</v>
      </c>
      <c r="N401" s="540">
        <v>1070550</v>
      </c>
      <c r="O401" s="546"/>
      <c r="P401" s="540">
        <f t="shared" si="31"/>
        <v>0</v>
      </c>
      <c r="Q401" s="551">
        <f t="shared" si="30"/>
        <v>0</v>
      </c>
      <c r="R401" s="283"/>
    </row>
    <row r="402" spans="1:18">
      <c r="A402" s="573"/>
      <c r="B402" s="574"/>
      <c r="C402" s="238"/>
      <c r="D402" s="360">
        <v>72.5</v>
      </c>
      <c r="E402" s="238"/>
      <c r="F402" s="525">
        <v>923130</v>
      </c>
      <c r="G402" s="521">
        <v>40648</v>
      </c>
      <c r="H402" s="540">
        <f t="shared" si="28"/>
        <v>12999.999999999998</v>
      </c>
      <c r="I402" s="518" t="s">
        <v>91</v>
      </c>
      <c r="J402" s="542">
        <v>67.959999999999994</v>
      </c>
      <c r="K402" s="526">
        <v>71.010000000000005</v>
      </c>
      <c r="L402" s="542">
        <v>923130</v>
      </c>
      <c r="M402" s="540">
        <f t="shared" si="32"/>
        <v>71.010000000000005</v>
      </c>
      <c r="N402" s="540">
        <v>923130</v>
      </c>
      <c r="O402" s="546"/>
      <c r="P402" s="540">
        <f t="shared" si="31"/>
        <v>0</v>
      </c>
      <c r="Q402" s="551">
        <f t="shared" si="30"/>
        <v>0</v>
      </c>
      <c r="R402" s="283"/>
    </row>
    <row r="403" spans="1:18">
      <c r="A403" s="573"/>
      <c r="B403" s="574"/>
      <c r="C403" s="238"/>
      <c r="D403" s="360">
        <v>70.16</v>
      </c>
      <c r="E403" s="238"/>
      <c r="F403" s="525">
        <v>809830</v>
      </c>
      <c r="G403" s="521">
        <v>40648</v>
      </c>
      <c r="H403" s="540">
        <f t="shared" si="28"/>
        <v>11500</v>
      </c>
      <c r="I403" s="518" t="s">
        <v>91</v>
      </c>
      <c r="J403" s="542">
        <v>67.400000000000006</v>
      </c>
      <c r="K403" s="526">
        <v>70.42</v>
      </c>
      <c r="L403" s="542">
        <v>809830</v>
      </c>
      <c r="M403" s="540">
        <f t="shared" si="32"/>
        <v>70.42</v>
      </c>
      <c r="N403" s="540">
        <v>809830</v>
      </c>
      <c r="O403" s="546"/>
      <c r="P403" s="540">
        <f t="shared" si="31"/>
        <v>0</v>
      </c>
      <c r="Q403" s="551">
        <f t="shared" si="30"/>
        <v>0</v>
      </c>
      <c r="R403" s="283"/>
    </row>
    <row r="404" spans="1:18">
      <c r="A404" s="573"/>
      <c r="B404" s="574"/>
      <c r="C404" s="238"/>
      <c r="D404" s="360">
        <v>56.84</v>
      </c>
      <c r="E404" s="238"/>
      <c r="F404" s="525">
        <v>513450</v>
      </c>
      <c r="G404" s="521">
        <v>41085</v>
      </c>
      <c r="H404" s="540">
        <f t="shared" si="28"/>
        <v>9000</v>
      </c>
      <c r="I404" s="518" t="s">
        <v>92</v>
      </c>
      <c r="J404" s="542">
        <v>54.6</v>
      </c>
      <c r="K404" s="526">
        <v>57.05</v>
      </c>
      <c r="L404" s="542">
        <v>513450</v>
      </c>
      <c r="M404" s="540">
        <f t="shared" si="32"/>
        <v>57.05</v>
      </c>
      <c r="N404" s="540">
        <v>513450</v>
      </c>
      <c r="O404" s="546"/>
      <c r="P404" s="540">
        <f t="shared" si="31"/>
        <v>0</v>
      </c>
      <c r="Q404" s="551">
        <f t="shared" si="30"/>
        <v>0</v>
      </c>
      <c r="R404" s="283"/>
    </row>
    <row r="405" spans="1:18">
      <c r="A405" s="573"/>
      <c r="B405" s="574"/>
      <c r="C405" s="238"/>
      <c r="D405" s="577">
        <v>56.84</v>
      </c>
      <c r="E405" s="238"/>
      <c r="F405" s="525">
        <v>513450</v>
      </c>
      <c r="G405" s="578">
        <v>41085</v>
      </c>
      <c r="H405" s="540">
        <f t="shared" si="28"/>
        <v>9000</v>
      </c>
      <c r="I405" s="518" t="s">
        <v>92</v>
      </c>
      <c r="J405" s="542">
        <v>54.6</v>
      </c>
      <c r="K405" s="526">
        <v>57.05</v>
      </c>
      <c r="L405" s="542">
        <v>513450</v>
      </c>
      <c r="M405" s="540">
        <f t="shared" si="32"/>
        <v>57.05</v>
      </c>
      <c r="N405" s="540">
        <v>513450</v>
      </c>
      <c r="O405" s="546"/>
      <c r="P405" s="540">
        <f t="shared" si="31"/>
        <v>0</v>
      </c>
      <c r="Q405" s="551">
        <f t="shared" si="30"/>
        <v>0</v>
      </c>
      <c r="R405" s="283"/>
    </row>
  </sheetData>
  <protectedRanges>
    <protectedRange sqref="J3:K5" name="区域1_3"/>
    <protectedRange sqref="L3:L5" name="区域1_3_1"/>
    <protectedRange sqref="M3:O5 P3 P5" name="区域1_3_2"/>
    <protectedRange sqref="A8:B173 A175:B353 A355:B393" name="区域2"/>
    <protectedRange sqref="A396:B405" name="区域2_5"/>
    <protectedRange sqref="D8:D173 D175:D353 D355:D393" name="区域2_2"/>
    <protectedRange sqref="D396:D405" name="区域2_7"/>
    <protectedRange sqref="G8:G173 G196:G353 G175:G194 G355:G393" name="区域2_1"/>
    <protectedRange sqref="G396:G405" name="区域2_6"/>
    <protectedRange sqref="I355:I393 I8:I353" name="区域2_4"/>
    <protectedRange sqref="I396:I405" name="区域2_8"/>
    <protectedRange sqref="A174:B174" name="区域2_3"/>
    <protectedRange sqref="D174" name="区域2_2_1"/>
    <protectedRange sqref="G174" name="区域2_1_1"/>
    <protectedRange sqref="A354:B354" name="区域2_9"/>
    <protectedRange sqref="D354" name="区域2_2_2"/>
    <protectedRange sqref="G354" name="区域2_1_2"/>
    <protectedRange sqref="I354" name="区域2_4_2"/>
  </protectedRanges>
  <autoFilter ref="A5:IV405"/>
  <mergeCells count="21">
    <mergeCell ref="A1:P1"/>
    <mergeCell ref="A2:F2"/>
    <mergeCell ref="N2:P2"/>
    <mergeCell ref="C3:I3"/>
    <mergeCell ref="J3:K3"/>
    <mergeCell ref="M3:O3"/>
    <mergeCell ref="L3:L5"/>
    <mergeCell ref="M4:M5"/>
    <mergeCell ref="N4:N5"/>
    <mergeCell ref="O4:O5"/>
    <mergeCell ref="P3:P5"/>
    <mergeCell ref="C4:D4"/>
    <mergeCell ref="A3:A5"/>
    <mergeCell ref="B3:B5"/>
    <mergeCell ref="E4:E5"/>
    <mergeCell ref="F4:F5"/>
    <mergeCell ref="G4:G5"/>
    <mergeCell ref="H4:H5"/>
    <mergeCell ref="I4:I5"/>
    <mergeCell ref="J4:J5"/>
    <mergeCell ref="K4:K5"/>
  </mergeCells>
  <phoneticPr fontId="22" type="noConversion"/>
  <printOptions horizontalCentered="1"/>
  <pageMargins left="0.42916666666666697" right="0.38888888888888901" top="0.78888888888888897" bottom="0.58888888888888902" header="0.50902777777777797" footer="0.42916666666666697"/>
  <pageSetup paperSize="9" scale="67" fitToHeight="0" orientation="landscape"/>
  <headerFooter alignWithMargins="0">
    <oddHeader>&amp;R附表5</oddHeader>
    <oddFooter>&amp;C&amp;10&amp;P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6"/>
  <sheetViews>
    <sheetView workbookViewId="0">
      <selection activeCell="B7" sqref="B7"/>
    </sheetView>
  </sheetViews>
  <sheetFormatPr defaultColWidth="9" defaultRowHeight="14.25"/>
  <cols>
    <col min="1" max="1" width="5.375" style="514" customWidth="1"/>
    <col min="2" max="2" width="6.75" style="514" customWidth="1"/>
    <col min="3" max="3" width="11.25" style="514" customWidth="1"/>
    <col min="4" max="4" width="10.125" style="514" customWidth="1"/>
    <col min="5" max="5" width="8.375" style="515" customWidth="1"/>
    <col min="6" max="6" width="9.75" style="515" customWidth="1"/>
    <col min="7" max="7" width="11.125" style="515" customWidth="1"/>
    <col min="8" max="8" width="10.25" style="515" customWidth="1"/>
    <col min="9" max="9" width="11.5" style="515" customWidth="1"/>
    <col min="10" max="10" width="10.125" style="515" customWidth="1"/>
    <col min="11" max="11" width="11.375" style="515" customWidth="1"/>
    <col min="12" max="255" width="9" style="514"/>
    <col min="256" max="16384" width="9" style="516"/>
  </cols>
  <sheetData>
    <row r="1" spans="1:256" ht="45" customHeight="1">
      <c r="A1" s="708" t="s">
        <v>509</v>
      </c>
      <c r="B1" s="708"/>
      <c r="C1" s="708"/>
      <c r="D1" s="708"/>
      <c r="E1" s="708"/>
      <c r="F1" s="708"/>
      <c r="G1" s="708"/>
      <c r="H1" s="708"/>
      <c r="I1" s="708"/>
      <c r="J1" s="708"/>
      <c r="K1" s="708"/>
    </row>
    <row r="2" spans="1:256" ht="20.100000000000001" customHeight="1">
      <c r="A2" s="517" t="str">
        <f>Sheet5!A2</f>
        <v>看就会立刻就会老客户考虑减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</row>
    <row r="3" spans="1:256" s="513" customFormat="1" ht="15" customHeight="1">
      <c r="A3" s="518" t="s">
        <v>34</v>
      </c>
      <c r="B3" s="518" t="s">
        <v>517</v>
      </c>
      <c r="C3" s="518" t="s">
        <v>518</v>
      </c>
      <c r="D3" s="518" t="s">
        <v>510</v>
      </c>
      <c r="E3" s="519" t="s">
        <v>511</v>
      </c>
      <c r="F3" s="519" t="s">
        <v>512</v>
      </c>
      <c r="G3" s="519" t="s">
        <v>513</v>
      </c>
      <c r="H3" s="519" t="s">
        <v>514</v>
      </c>
      <c r="I3" s="519" t="s">
        <v>515</v>
      </c>
      <c r="J3" s="519" t="s">
        <v>516</v>
      </c>
      <c r="K3" s="519" t="s">
        <v>513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122"/>
    </row>
    <row r="4" spans="1:256" s="513" customFormat="1" ht="15" customHeight="1">
      <c r="A4" s="518">
        <v>1</v>
      </c>
      <c r="B4" s="709" t="s">
        <v>35</v>
      </c>
      <c r="C4" s="710"/>
      <c r="D4" s="518"/>
      <c r="E4" s="519"/>
      <c r="F4" s="519"/>
      <c r="G4" s="519"/>
      <c r="H4" s="519"/>
      <c r="I4" s="519"/>
      <c r="J4" s="519"/>
      <c r="K4" s="519">
        <f>SUM(K5:K56)</f>
        <v>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122"/>
    </row>
    <row r="5" spans="1:256" s="513" customFormat="1" ht="15" customHeight="1">
      <c r="A5" s="518">
        <v>2</v>
      </c>
      <c r="B5" s="520"/>
      <c r="C5" s="238"/>
      <c r="D5" s="521">
        <v>40394</v>
      </c>
      <c r="E5" s="522">
        <v>123.5</v>
      </c>
      <c r="F5" s="523">
        <v>3280</v>
      </c>
      <c r="G5" s="522">
        <v>405080</v>
      </c>
      <c r="H5" s="519">
        <v>3658</v>
      </c>
      <c r="I5" s="519">
        <f>H5*0.7</f>
        <v>2560.6</v>
      </c>
      <c r="J5" s="519"/>
      <c r="K5" s="519">
        <f>J5*E5</f>
        <v>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122"/>
    </row>
    <row r="6" spans="1:256" s="513" customFormat="1" ht="15" customHeight="1">
      <c r="A6" s="518">
        <v>3</v>
      </c>
      <c r="B6" s="520"/>
      <c r="C6" s="238"/>
      <c r="D6" s="521">
        <v>40394</v>
      </c>
      <c r="E6" s="522">
        <v>123.5</v>
      </c>
      <c r="F6" s="523">
        <v>4294</v>
      </c>
      <c r="G6" s="522">
        <v>530309</v>
      </c>
      <c r="H6" s="519">
        <v>3658</v>
      </c>
      <c r="I6" s="519">
        <v>3643.5</v>
      </c>
      <c r="J6" s="519"/>
      <c r="K6" s="519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122"/>
    </row>
    <row r="7" spans="1:256" s="513" customFormat="1" ht="15" customHeight="1">
      <c r="A7" s="518">
        <v>4</v>
      </c>
      <c r="B7" s="520"/>
      <c r="C7" s="238"/>
      <c r="D7" s="521">
        <v>40386</v>
      </c>
      <c r="E7" s="522">
        <v>123.5</v>
      </c>
      <c r="F7" s="523">
        <v>4980</v>
      </c>
      <c r="G7" s="522">
        <v>615030</v>
      </c>
      <c r="H7" s="519">
        <v>3658</v>
      </c>
      <c r="I7" s="519">
        <v>3643.5</v>
      </c>
      <c r="J7" s="519"/>
      <c r="K7" s="51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122"/>
    </row>
    <row r="8" spans="1:256" s="513" customFormat="1" ht="15" customHeight="1">
      <c r="A8" s="518">
        <v>5</v>
      </c>
      <c r="B8" s="520"/>
      <c r="C8" s="238"/>
      <c r="D8" s="521">
        <v>40382</v>
      </c>
      <c r="E8" s="522">
        <v>123.5</v>
      </c>
      <c r="F8" s="523">
        <v>6848</v>
      </c>
      <c r="G8" s="522">
        <v>845728</v>
      </c>
      <c r="H8" s="519">
        <v>3658</v>
      </c>
      <c r="I8" s="519">
        <v>3643.5</v>
      </c>
      <c r="J8" s="519"/>
      <c r="K8" s="51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122"/>
    </row>
    <row r="9" spans="1:256" s="513" customFormat="1" ht="15" customHeight="1">
      <c r="A9" s="518">
        <v>6</v>
      </c>
      <c r="B9" s="520"/>
      <c r="C9" s="238"/>
      <c r="D9" s="521">
        <v>40413</v>
      </c>
      <c r="E9" s="522">
        <v>123.5</v>
      </c>
      <c r="F9" s="523">
        <v>4780</v>
      </c>
      <c r="G9" s="522">
        <v>590330</v>
      </c>
      <c r="H9" s="519">
        <v>3658</v>
      </c>
      <c r="I9" s="519">
        <v>3643.5</v>
      </c>
      <c r="J9" s="519"/>
      <c r="K9" s="51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122"/>
    </row>
    <row r="10" spans="1:256" s="513" customFormat="1" ht="15" customHeight="1">
      <c r="A10" s="518">
        <v>7</v>
      </c>
      <c r="B10" s="520"/>
      <c r="C10" s="238"/>
      <c r="D10" s="521">
        <v>40382</v>
      </c>
      <c r="E10" s="522">
        <v>123.5</v>
      </c>
      <c r="F10" s="523">
        <v>7048</v>
      </c>
      <c r="G10" s="522">
        <v>870428</v>
      </c>
      <c r="H10" s="519">
        <v>3658</v>
      </c>
      <c r="I10" s="519">
        <v>3643.5</v>
      </c>
      <c r="J10" s="519"/>
      <c r="K10" s="51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122"/>
    </row>
    <row r="11" spans="1:256" s="513" customFormat="1" ht="15" customHeight="1">
      <c r="A11" s="518">
        <v>8</v>
      </c>
      <c r="B11" s="520"/>
      <c r="C11" s="238"/>
      <c r="D11" s="521"/>
      <c r="E11" s="522"/>
      <c r="F11" s="523"/>
      <c r="G11" s="522"/>
      <c r="H11" s="519"/>
      <c r="I11" s="519"/>
      <c r="J11" s="519"/>
      <c r="K11" s="51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122"/>
    </row>
    <row r="12" spans="1:256" s="513" customFormat="1" ht="15" customHeight="1">
      <c r="A12" s="518">
        <v>9</v>
      </c>
      <c r="B12" s="520"/>
      <c r="C12" s="238"/>
      <c r="D12" s="521">
        <v>40379</v>
      </c>
      <c r="E12" s="522">
        <v>123.5</v>
      </c>
      <c r="F12" s="523">
        <v>2500</v>
      </c>
      <c r="G12" s="522">
        <v>308750</v>
      </c>
      <c r="H12" s="519">
        <v>3658</v>
      </c>
      <c r="I12" s="519">
        <f>H12*0.7</f>
        <v>2560.6</v>
      </c>
      <c r="J12" s="519"/>
      <c r="K12" s="519">
        <f>J12*E12</f>
        <v>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122"/>
    </row>
    <row r="13" spans="1:256" s="513" customFormat="1" ht="15" customHeight="1">
      <c r="A13" s="518">
        <v>10</v>
      </c>
      <c r="B13" s="520"/>
      <c r="C13" s="238"/>
      <c r="D13" s="521">
        <v>40375</v>
      </c>
      <c r="E13" s="522">
        <v>123.5</v>
      </c>
      <c r="F13" s="523">
        <v>3580</v>
      </c>
      <c r="G13" s="522">
        <v>442130</v>
      </c>
      <c r="H13" s="519">
        <f>SUM(F12:F16)/5</f>
        <v>3658</v>
      </c>
      <c r="I13" s="519">
        <f>H13*0.7</f>
        <v>2560.6</v>
      </c>
      <c r="J13" s="519"/>
      <c r="K13" s="519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122"/>
    </row>
    <row r="14" spans="1:256" s="513" customFormat="1" ht="15" customHeight="1">
      <c r="A14" s="518">
        <v>11</v>
      </c>
      <c r="B14" s="520"/>
      <c r="C14" s="238"/>
      <c r="D14" s="521">
        <v>40399</v>
      </c>
      <c r="E14" s="522">
        <v>123.5</v>
      </c>
      <c r="F14" s="523">
        <v>3676</v>
      </c>
      <c r="G14" s="522">
        <v>453986</v>
      </c>
      <c r="H14" s="519">
        <v>3658</v>
      </c>
      <c r="I14" s="519">
        <f>H14*0.7</f>
        <v>2560.6</v>
      </c>
      <c r="J14" s="519"/>
      <c r="K14" s="519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122"/>
    </row>
    <row r="15" spans="1:256" s="513" customFormat="1" ht="15" customHeight="1">
      <c r="A15" s="518">
        <v>12</v>
      </c>
      <c r="B15" s="520"/>
      <c r="C15" s="238"/>
      <c r="D15" s="521">
        <v>40394</v>
      </c>
      <c r="E15" s="522">
        <v>123.5</v>
      </c>
      <c r="F15" s="523">
        <v>4464</v>
      </c>
      <c r="G15" s="522">
        <v>551304</v>
      </c>
      <c r="H15" s="519">
        <v>3658</v>
      </c>
      <c r="I15" s="519">
        <f>H15*0.7</f>
        <v>2560.6</v>
      </c>
      <c r="J15" s="519"/>
      <c r="K15" s="519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122"/>
    </row>
    <row r="16" spans="1:256" s="513" customFormat="1" ht="15" customHeight="1">
      <c r="A16" s="518">
        <v>13</v>
      </c>
      <c r="B16" s="520"/>
      <c r="C16" s="238"/>
      <c r="D16" s="521">
        <v>40438</v>
      </c>
      <c r="E16" s="522">
        <v>123.5</v>
      </c>
      <c r="F16" s="523">
        <v>4070</v>
      </c>
      <c r="G16" s="522">
        <v>502645</v>
      </c>
      <c r="H16" s="519">
        <v>3658</v>
      </c>
      <c r="I16" s="519">
        <f>H16*0.7</f>
        <v>2560.6</v>
      </c>
      <c r="J16" s="519"/>
      <c r="K16" s="519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122"/>
    </row>
    <row r="17" spans="1:256" s="513" customFormat="1" ht="15" customHeight="1">
      <c r="A17" s="518">
        <v>14</v>
      </c>
      <c r="B17" s="520"/>
      <c r="C17" s="238"/>
      <c r="D17" s="521"/>
      <c r="E17" s="522"/>
      <c r="F17" s="523"/>
      <c r="G17" s="522"/>
      <c r="H17" s="519"/>
      <c r="I17" s="519"/>
      <c r="J17" s="519"/>
      <c r="K17" s="51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122"/>
    </row>
    <row r="18" spans="1:256" s="513" customFormat="1" ht="15" customHeight="1">
      <c r="A18" s="518">
        <v>15</v>
      </c>
      <c r="B18" s="520"/>
      <c r="C18" s="238"/>
      <c r="D18" s="521">
        <v>40652</v>
      </c>
      <c r="E18" s="522">
        <v>93.35</v>
      </c>
      <c r="F18" s="523">
        <v>2600</v>
      </c>
      <c r="G18" s="522">
        <v>242710</v>
      </c>
      <c r="H18" s="519">
        <v>3658</v>
      </c>
      <c r="I18" s="519">
        <f>H18*0.7</f>
        <v>2560.6</v>
      </c>
      <c r="J18" s="519"/>
      <c r="K18" s="519">
        <f>J18*E18</f>
        <v>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122"/>
    </row>
    <row r="19" spans="1:256" s="513" customFormat="1" ht="15" customHeight="1">
      <c r="A19" s="518">
        <v>16</v>
      </c>
      <c r="B19" s="520"/>
      <c r="C19" s="238"/>
      <c r="D19" s="521">
        <v>40655</v>
      </c>
      <c r="E19" s="522">
        <v>93.35</v>
      </c>
      <c r="F19" s="523">
        <v>2760</v>
      </c>
      <c r="G19" s="522">
        <v>257646</v>
      </c>
      <c r="H19" s="519">
        <v>3658</v>
      </c>
      <c r="I19" s="519">
        <f>H19*0.7</f>
        <v>2560.6</v>
      </c>
      <c r="J19" s="519"/>
      <c r="K19" s="519">
        <f>J19*E19</f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122"/>
    </row>
    <row r="20" spans="1:256" s="513" customFormat="1" ht="15" customHeight="1">
      <c r="A20" s="518">
        <v>17</v>
      </c>
      <c r="B20" s="520"/>
      <c r="C20" s="238"/>
      <c r="D20" s="521">
        <v>40756</v>
      </c>
      <c r="E20" s="524">
        <v>93.35</v>
      </c>
      <c r="F20" s="523">
        <v>5753.0048205677604</v>
      </c>
      <c r="G20" s="522">
        <v>537043</v>
      </c>
      <c r="H20" s="519">
        <v>3658</v>
      </c>
      <c r="I20" s="519">
        <f>H20*0.7</f>
        <v>2560.6</v>
      </c>
      <c r="J20" s="519"/>
      <c r="K20" s="519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122"/>
    </row>
    <row r="21" spans="1:256" s="513" customFormat="1" ht="15" customHeight="1">
      <c r="A21" s="518">
        <v>18</v>
      </c>
      <c r="B21" s="520"/>
      <c r="C21" s="238"/>
      <c r="D21" s="521">
        <v>40548</v>
      </c>
      <c r="E21" s="524">
        <v>93.35</v>
      </c>
      <c r="F21" s="523">
        <v>3750.0053561864001</v>
      </c>
      <c r="G21" s="522">
        <v>350063</v>
      </c>
      <c r="H21" s="519">
        <v>3658</v>
      </c>
      <c r="I21" s="519">
        <f>H21*0.7</f>
        <v>2560.6</v>
      </c>
      <c r="J21" s="519"/>
      <c r="K21" s="519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122"/>
    </row>
    <row r="22" spans="1:256" s="513" customFormat="1" ht="15" customHeight="1">
      <c r="A22" s="518">
        <v>19</v>
      </c>
      <c r="B22" s="520"/>
      <c r="C22" s="238"/>
      <c r="D22" s="521">
        <v>40735</v>
      </c>
      <c r="E22" s="524">
        <v>93.35</v>
      </c>
      <c r="F22" s="523">
        <v>5823.9957150508799</v>
      </c>
      <c r="G22" s="522">
        <v>543670</v>
      </c>
      <c r="H22" s="519">
        <v>3658</v>
      </c>
      <c r="I22" s="519">
        <f>H22*0.7</f>
        <v>2560.6</v>
      </c>
      <c r="J22" s="519"/>
      <c r="K22" s="51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122"/>
    </row>
    <row r="23" spans="1:256" s="513" customFormat="1" ht="15" customHeight="1">
      <c r="A23" s="518">
        <v>20</v>
      </c>
      <c r="B23" s="520"/>
      <c r="C23" s="238"/>
      <c r="D23" s="521"/>
      <c r="E23" s="522"/>
      <c r="F23" s="523"/>
      <c r="G23" s="522"/>
      <c r="H23" s="519"/>
      <c r="I23" s="519"/>
      <c r="J23" s="519"/>
      <c r="K23" s="51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122"/>
    </row>
    <row r="24" spans="1:256" s="513" customFormat="1" ht="15" customHeight="1">
      <c r="A24" s="518">
        <v>21</v>
      </c>
      <c r="B24" s="520"/>
      <c r="C24" s="238"/>
      <c r="D24" s="521">
        <v>40376</v>
      </c>
      <c r="E24" s="522">
        <v>93.35</v>
      </c>
      <c r="F24" s="523">
        <v>2744.0064274236702</v>
      </c>
      <c r="G24" s="522">
        <v>256153</v>
      </c>
      <c r="H24" s="519">
        <f>SUM(F24:F29)/6</f>
        <v>3501.8336011426532</v>
      </c>
      <c r="I24" s="519">
        <f t="shared" ref="I24:I29" si="0">H24*0.7</f>
        <v>2451.2835207998569</v>
      </c>
      <c r="J24" s="519"/>
      <c r="K24" s="519">
        <f>J24*E24</f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122"/>
    </row>
    <row r="25" spans="1:256" s="513" customFormat="1" ht="15" customHeight="1">
      <c r="A25" s="518">
        <v>22</v>
      </c>
      <c r="B25" s="520"/>
      <c r="C25" s="238"/>
      <c r="D25" s="521">
        <v>40471</v>
      </c>
      <c r="E25" s="522">
        <v>93.35</v>
      </c>
      <c r="F25" s="523">
        <v>2440</v>
      </c>
      <c r="G25" s="522">
        <v>227774</v>
      </c>
      <c r="H25" s="519">
        <f>H24</f>
        <v>3501.8336011426532</v>
      </c>
      <c r="I25" s="519">
        <f t="shared" si="0"/>
        <v>2451.2835207998569</v>
      </c>
      <c r="J25" s="519"/>
      <c r="K25" s="519">
        <f>J25*E25</f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122"/>
    </row>
    <row r="26" spans="1:256" s="513" customFormat="1" ht="15" customHeight="1">
      <c r="A26" s="518">
        <v>23</v>
      </c>
      <c r="B26" s="520"/>
      <c r="C26" s="238"/>
      <c r="D26" s="521">
        <v>40389</v>
      </c>
      <c r="E26" s="522">
        <v>93.35</v>
      </c>
      <c r="F26" s="523">
        <v>3808.0021424745601</v>
      </c>
      <c r="G26" s="522">
        <v>355477</v>
      </c>
      <c r="H26" s="519">
        <f>H25</f>
        <v>3501.8336011426532</v>
      </c>
      <c r="I26" s="519">
        <f t="shared" si="0"/>
        <v>2451.2835207998569</v>
      </c>
      <c r="J26" s="519"/>
      <c r="K26" s="51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122"/>
    </row>
    <row r="27" spans="1:256" s="513" customFormat="1" ht="15" customHeight="1">
      <c r="A27" s="518">
        <v>24</v>
      </c>
      <c r="B27" s="520"/>
      <c r="C27" s="238"/>
      <c r="D27" s="521">
        <v>40389</v>
      </c>
      <c r="E27" s="522">
        <v>93.35</v>
      </c>
      <c r="F27" s="523">
        <v>3832.9941081949701</v>
      </c>
      <c r="G27" s="522">
        <v>357810</v>
      </c>
      <c r="H27" s="519">
        <f>H26</f>
        <v>3501.8336011426532</v>
      </c>
      <c r="I27" s="519">
        <f t="shared" si="0"/>
        <v>2451.2835207998569</v>
      </c>
      <c r="J27" s="519"/>
      <c r="K27" s="51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122"/>
    </row>
    <row r="28" spans="1:256" s="513" customFormat="1" ht="15" customHeight="1">
      <c r="A28" s="518">
        <v>25</v>
      </c>
      <c r="B28" s="520"/>
      <c r="C28" s="238"/>
      <c r="D28" s="521">
        <v>40389</v>
      </c>
      <c r="E28" s="522">
        <v>93.35</v>
      </c>
      <c r="F28" s="523">
        <v>4025.99892876272</v>
      </c>
      <c r="G28" s="522">
        <v>375827</v>
      </c>
      <c r="H28" s="519">
        <f>H27</f>
        <v>3501.8336011426532</v>
      </c>
      <c r="I28" s="519">
        <f t="shared" si="0"/>
        <v>2451.2835207998569</v>
      </c>
      <c r="J28" s="519"/>
      <c r="K28" s="519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122"/>
    </row>
    <row r="29" spans="1:256" s="513" customFormat="1" ht="15" customHeight="1">
      <c r="A29" s="518">
        <v>26</v>
      </c>
      <c r="B29" s="520"/>
      <c r="C29" s="238"/>
      <c r="D29" s="521">
        <v>40383</v>
      </c>
      <c r="E29" s="522">
        <v>93.35</v>
      </c>
      <c r="F29" s="523">
        <v>4160</v>
      </c>
      <c r="G29" s="522">
        <v>388336</v>
      </c>
      <c r="H29" s="519">
        <f>H28</f>
        <v>3501.8336011426532</v>
      </c>
      <c r="I29" s="519">
        <f t="shared" si="0"/>
        <v>2451.2835207998569</v>
      </c>
      <c r="J29" s="519"/>
      <c r="K29" s="51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122"/>
    </row>
    <row r="30" spans="1:256" s="513" customFormat="1" ht="15" customHeight="1">
      <c r="A30" s="518">
        <v>27</v>
      </c>
      <c r="B30" s="520"/>
      <c r="C30" s="238"/>
      <c r="D30" s="521"/>
      <c r="E30" s="522"/>
      <c r="F30" s="523"/>
      <c r="G30" s="522"/>
      <c r="H30" s="519"/>
      <c r="I30" s="519"/>
      <c r="J30" s="519"/>
      <c r="K30" s="51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122"/>
    </row>
    <row r="31" spans="1:256" s="513" customFormat="1" ht="15" customHeight="1">
      <c r="A31" s="518">
        <v>28</v>
      </c>
      <c r="B31" s="520"/>
      <c r="C31" s="238"/>
      <c r="D31" s="521">
        <v>40724</v>
      </c>
      <c r="E31" s="522">
        <v>77.81</v>
      </c>
      <c r="F31" s="523">
        <v>2980.0025703637102</v>
      </c>
      <c r="G31" s="522">
        <v>231874</v>
      </c>
      <c r="H31" s="519">
        <v>4200</v>
      </c>
      <c r="I31" s="519">
        <f t="shared" ref="I31:I40" si="1">H31*0.7</f>
        <v>2940</v>
      </c>
      <c r="J31" s="519"/>
      <c r="K31" s="519">
        <f>J31*E31</f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122"/>
    </row>
    <row r="32" spans="1:256" s="513" customFormat="1" ht="15" customHeight="1">
      <c r="A32" s="518">
        <v>29</v>
      </c>
      <c r="B32" s="520"/>
      <c r="C32" s="238"/>
      <c r="D32" s="521">
        <v>40378</v>
      </c>
      <c r="E32" s="524">
        <v>77.81</v>
      </c>
      <c r="F32" s="523">
        <v>3860.00514072741</v>
      </c>
      <c r="G32" s="522">
        <v>300347</v>
      </c>
      <c r="H32" s="519">
        <v>4200</v>
      </c>
      <c r="I32" s="519">
        <f t="shared" si="1"/>
        <v>2940</v>
      </c>
      <c r="J32" s="519"/>
      <c r="K32" s="51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122"/>
    </row>
    <row r="33" spans="1:256" s="513" customFormat="1" ht="15" customHeight="1">
      <c r="A33" s="518">
        <v>30</v>
      </c>
      <c r="B33" s="520"/>
      <c r="C33" s="238"/>
      <c r="D33" s="521">
        <v>41229</v>
      </c>
      <c r="E33" s="524">
        <v>77.81</v>
      </c>
      <c r="F33" s="523">
        <v>5392.0061688729002</v>
      </c>
      <c r="G33" s="522">
        <v>419552</v>
      </c>
      <c r="H33" s="519">
        <v>4200</v>
      </c>
      <c r="I33" s="519">
        <f t="shared" si="1"/>
        <v>2940</v>
      </c>
      <c r="J33" s="519"/>
      <c r="K33" s="51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122"/>
    </row>
    <row r="34" spans="1:256" s="513" customFormat="1" ht="15" customHeight="1">
      <c r="A34" s="518">
        <v>31</v>
      </c>
      <c r="B34" s="520"/>
      <c r="C34" s="238"/>
      <c r="D34" s="521">
        <v>41242</v>
      </c>
      <c r="E34" s="524">
        <v>77.81</v>
      </c>
      <c r="F34" s="523">
        <v>5523.9943451998497</v>
      </c>
      <c r="G34" s="522">
        <v>429822</v>
      </c>
      <c r="H34" s="519">
        <v>4200</v>
      </c>
      <c r="I34" s="519">
        <f t="shared" si="1"/>
        <v>2940</v>
      </c>
      <c r="J34" s="519"/>
      <c r="K34" s="51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122"/>
    </row>
    <row r="35" spans="1:256" s="513" customFormat="1" ht="15" customHeight="1">
      <c r="A35" s="518">
        <v>32</v>
      </c>
      <c r="B35" s="520"/>
      <c r="C35" s="238"/>
      <c r="D35" s="521">
        <v>41127</v>
      </c>
      <c r="E35" s="524">
        <v>77.81</v>
      </c>
      <c r="F35" s="523">
        <v>5658.0002570363704</v>
      </c>
      <c r="G35" s="522">
        <v>440249</v>
      </c>
      <c r="H35" s="519">
        <v>4200</v>
      </c>
      <c r="I35" s="519">
        <f t="shared" si="1"/>
        <v>2940</v>
      </c>
      <c r="J35" s="519"/>
      <c r="K35" s="51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122"/>
    </row>
    <row r="36" spans="1:256" s="513" customFormat="1" ht="15" customHeight="1">
      <c r="A36" s="518">
        <v>33</v>
      </c>
      <c r="B36" s="520"/>
      <c r="C36" s="238"/>
      <c r="D36" s="521">
        <v>40392</v>
      </c>
      <c r="E36" s="524">
        <v>77.81</v>
      </c>
      <c r="F36" s="523">
        <v>4080.0025703637102</v>
      </c>
      <c r="G36" s="522">
        <v>317465</v>
      </c>
      <c r="H36" s="519">
        <v>4200</v>
      </c>
      <c r="I36" s="519">
        <f t="shared" si="1"/>
        <v>2940</v>
      </c>
      <c r="J36" s="519"/>
      <c r="K36" s="51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122"/>
    </row>
    <row r="37" spans="1:256" s="513" customFormat="1" ht="15" customHeight="1">
      <c r="A37" s="518">
        <v>34</v>
      </c>
      <c r="B37" s="520"/>
      <c r="C37" s="238"/>
      <c r="D37" s="521">
        <v>41061</v>
      </c>
      <c r="E37" s="524">
        <v>77.81</v>
      </c>
      <c r="F37" s="523">
        <v>5400</v>
      </c>
      <c r="G37" s="522">
        <v>420174</v>
      </c>
      <c r="H37" s="519">
        <v>4200</v>
      </c>
      <c r="I37" s="519">
        <f t="shared" si="1"/>
        <v>2940</v>
      </c>
      <c r="J37" s="519"/>
      <c r="K37" s="51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122"/>
    </row>
    <row r="38" spans="1:256" s="513" customFormat="1" ht="15" customHeight="1">
      <c r="A38" s="518">
        <v>35</v>
      </c>
      <c r="B38" s="520"/>
      <c r="C38" s="238"/>
      <c r="D38" s="521">
        <v>41061</v>
      </c>
      <c r="E38" s="524">
        <v>77.81</v>
      </c>
      <c r="F38" s="523">
        <v>5450.0064259092696</v>
      </c>
      <c r="G38" s="522">
        <v>424065</v>
      </c>
      <c r="H38" s="519">
        <v>4200</v>
      </c>
      <c r="I38" s="519">
        <f t="shared" si="1"/>
        <v>2940</v>
      </c>
      <c r="J38" s="519"/>
      <c r="K38" s="51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122"/>
    </row>
    <row r="39" spans="1:256" s="513" customFormat="1" ht="15" customHeight="1">
      <c r="A39" s="518">
        <v>36</v>
      </c>
      <c r="B39" s="520"/>
      <c r="C39" s="238"/>
      <c r="D39" s="521">
        <v>41104</v>
      </c>
      <c r="E39" s="524">
        <v>77.81</v>
      </c>
      <c r="F39" s="523">
        <v>5776.0056548001503</v>
      </c>
      <c r="G39" s="522">
        <v>449431</v>
      </c>
      <c r="H39" s="519">
        <v>4200</v>
      </c>
      <c r="I39" s="519">
        <f t="shared" si="1"/>
        <v>2940</v>
      </c>
      <c r="J39" s="519"/>
      <c r="K39" s="51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122"/>
    </row>
    <row r="40" spans="1:256" s="513" customFormat="1" ht="15" customHeight="1">
      <c r="A40" s="518">
        <v>37</v>
      </c>
      <c r="B40" s="520"/>
      <c r="C40" s="238"/>
      <c r="D40" s="521">
        <v>41054</v>
      </c>
      <c r="E40" s="524">
        <v>77.81</v>
      </c>
      <c r="F40" s="523">
        <v>5800</v>
      </c>
      <c r="G40" s="522">
        <v>451298</v>
      </c>
      <c r="H40" s="519">
        <v>4200</v>
      </c>
      <c r="I40" s="519">
        <f t="shared" si="1"/>
        <v>2940</v>
      </c>
      <c r="J40" s="519"/>
      <c r="K40" s="51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122"/>
    </row>
    <row r="41" spans="1:256" s="513" customFormat="1" ht="15" customHeight="1">
      <c r="A41" s="518">
        <v>38</v>
      </c>
      <c r="B41" s="520"/>
      <c r="C41" s="238"/>
      <c r="D41" s="521"/>
      <c r="E41" s="522"/>
      <c r="F41" s="523"/>
      <c r="G41" s="522"/>
      <c r="H41" s="519"/>
      <c r="I41" s="519"/>
      <c r="J41" s="519"/>
      <c r="K41" s="51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122"/>
    </row>
    <row r="42" spans="1:256" s="513" customFormat="1" ht="15" customHeight="1">
      <c r="A42" s="518">
        <v>39</v>
      </c>
      <c r="B42" s="520"/>
      <c r="C42" s="238"/>
      <c r="D42" s="521">
        <v>40387</v>
      </c>
      <c r="E42" s="522">
        <v>93.19</v>
      </c>
      <c r="F42" s="523">
        <v>2500</v>
      </c>
      <c r="G42" s="522">
        <v>232975</v>
      </c>
      <c r="H42" s="519">
        <v>3658</v>
      </c>
      <c r="I42" s="519">
        <f t="shared" ref="I42:I47" si="2">H42*0.7</f>
        <v>2560.6</v>
      </c>
      <c r="J42" s="519"/>
      <c r="K42" s="519">
        <f>J42*E42</f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122"/>
    </row>
    <row r="43" spans="1:256" s="513" customFormat="1" ht="15" customHeight="1">
      <c r="A43" s="518">
        <v>40</v>
      </c>
      <c r="B43" s="520"/>
      <c r="C43" s="238"/>
      <c r="D43" s="521">
        <v>40413</v>
      </c>
      <c r="E43" s="522">
        <v>93.19</v>
      </c>
      <c r="F43" s="523">
        <v>3000</v>
      </c>
      <c r="G43" s="522">
        <v>279570</v>
      </c>
      <c r="H43" s="519">
        <f>H42</f>
        <v>3658</v>
      </c>
      <c r="I43" s="519">
        <f t="shared" si="2"/>
        <v>2560.6</v>
      </c>
      <c r="J43" s="519"/>
      <c r="K43" s="51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122"/>
    </row>
    <row r="44" spans="1:256" s="285" customFormat="1" ht="15" customHeight="1">
      <c r="A44" s="518">
        <v>41</v>
      </c>
      <c r="B44" s="520"/>
      <c r="C44" s="238"/>
      <c r="D44" s="521">
        <v>40490</v>
      </c>
      <c r="E44" s="522">
        <v>93.19</v>
      </c>
      <c r="F44" s="523">
        <v>6252.9992488464404</v>
      </c>
      <c r="G44" s="525">
        <v>582717</v>
      </c>
      <c r="H44" s="519">
        <f>H43</f>
        <v>3658</v>
      </c>
      <c r="I44" s="519">
        <f t="shared" si="2"/>
        <v>2560.6</v>
      </c>
      <c r="J44" s="519"/>
      <c r="K44" s="51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122"/>
    </row>
    <row r="45" spans="1:256" s="285" customFormat="1" ht="15" customHeight="1">
      <c r="A45" s="518">
        <v>42</v>
      </c>
      <c r="B45" s="520"/>
      <c r="C45" s="238"/>
      <c r="D45" s="521">
        <v>40382</v>
      </c>
      <c r="E45" s="522">
        <v>93.19</v>
      </c>
      <c r="F45" s="523">
        <v>3785.9963515398599</v>
      </c>
      <c r="G45" s="525">
        <v>352817</v>
      </c>
      <c r="H45" s="519">
        <f>H44</f>
        <v>3658</v>
      </c>
      <c r="I45" s="519">
        <f t="shared" si="2"/>
        <v>2560.6</v>
      </c>
      <c r="J45" s="519"/>
      <c r="K45" s="51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122"/>
    </row>
    <row r="46" spans="1:256" s="285" customFormat="1" ht="15" customHeight="1">
      <c r="A46" s="518">
        <v>43</v>
      </c>
      <c r="B46" s="520"/>
      <c r="C46" s="238"/>
      <c r="D46" s="521">
        <v>40315</v>
      </c>
      <c r="E46" s="522">
        <v>93.19</v>
      </c>
      <c r="F46" s="523">
        <v>3700</v>
      </c>
      <c r="G46" s="525">
        <v>344803</v>
      </c>
      <c r="H46" s="519">
        <f>H45</f>
        <v>3658</v>
      </c>
      <c r="I46" s="519">
        <f t="shared" si="2"/>
        <v>2560.6</v>
      </c>
      <c r="J46" s="519"/>
      <c r="K46" s="51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122"/>
    </row>
    <row r="47" spans="1:256" s="285" customFormat="1" ht="15" customHeight="1">
      <c r="A47" s="518">
        <v>44</v>
      </c>
      <c r="B47" s="520"/>
      <c r="C47" s="238"/>
      <c r="D47" s="521">
        <v>40439</v>
      </c>
      <c r="E47" s="522">
        <v>93.19</v>
      </c>
      <c r="F47" s="523">
        <v>4243.9961369245602</v>
      </c>
      <c r="G47" s="525">
        <v>395498</v>
      </c>
      <c r="H47" s="519">
        <f>H46</f>
        <v>3658</v>
      </c>
      <c r="I47" s="519">
        <f t="shared" si="2"/>
        <v>2560.6</v>
      </c>
      <c r="J47" s="519"/>
      <c r="K47" s="51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122"/>
    </row>
    <row r="48" spans="1:256" s="285" customFormat="1" ht="15" customHeight="1">
      <c r="A48" s="518">
        <v>45</v>
      </c>
      <c r="B48" s="520"/>
      <c r="C48" s="238"/>
      <c r="D48" s="521"/>
      <c r="E48" s="522"/>
      <c r="F48" s="523"/>
      <c r="G48" s="522"/>
      <c r="H48" s="519"/>
      <c r="I48" s="519"/>
      <c r="J48" s="519"/>
      <c r="K48" s="51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122"/>
    </row>
    <row r="49" spans="1:256" s="513" customFormat="1" ht="15" customHeight="1">
      <c r="A49" s="518">
        <v>46</v>
      </c>
      <c r="B49" s="520"/>
      <c r="C49" s="238"/>
      <c r="D49" s="521">
        <v>40383</v>
      </c>
      <c r="E49" s="522">
        <v>77.67</v>
      </c>
      <c r="F49" s="523">
        <v>2979.9922750096598</v>
      </c>
      <c r="G49" s="522">
        <v>231456</v>
      </c>
      <c r="H49" s="519">
        <v>4250</v>
      </c>
      <c r="I49" s="519">
        <f t="shared" ref="I49:I56" si="3">H49*0.7</f>
        <v>2975</v>
      </c>
      <c r="J49" s="519"/>
      <c r="K49" s="519">
        <f>J49*E49</f>
        <v>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122"/>
    </row>
    <row r="50" spans="1:256" s="513" customFormat="1" ht="15" customHeight="1">
      <c r="A50" s="518">
        <v>47</v>
      </c>
      <c r="B50" s="520"/>
      <c r="C50" s="238"/>
      <c r="D50" s="521">
        <v>40564</v>
      </c>
      <c r="E50" s="522">
        <v>77.67</v>
      </c>
      <c r="F50" s="523">
        <v>3480.0051499935598</v>
      </c>
      <c r="G50" s="522">
        <v>270292</v>
      </c>
      <c r="H50" s="519">
        <f t="shared" ref="H50:H56" si="4">H49</f>
        <v>4250</v>
      </c>
      <c r="I50" s="519">
        <f t="shared" si="3"/>
        <v>2975</v>
      </c>
      <c r="J50" s="519"/>
      <c r="K50" s="51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122"/>
    </row>
    <row r="51" spans="1:256" s="513" customFormat="1" ht="15" customHeight="1">
      <c r="A51" s="518">
        <v>48</v>
      </c>
      <c r="B51" s="520"/>
      <c r="C51" s="238"/>
      <c r="D51" s="521">
        <v>40388</v>
      </c>
      <c r="E51" s="526">
        <v>77.67</v>
      </c>
      <c r="F51" s="523">
        <v>3820.0077249903402</v>
      </c>
      <c r="G51" s="523">
        <v>296700</v>
      </c>
      <c r="H51" s="519">
        <f t="shared" si="4"/>
        <v>4250</v>
      </c>
      <c r="I51" s="519">
        <f t="shared" si="3"/>
        <v>2975</v>
      </c>
      <c r="J51" s="519"/>
      <c r="K51" s="51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122"/>
    </row>
    <row r="52" spans="1:256" s="513" customFormat="1" ht="15" customHeight="1">
      <c r="A52" s="518">
        <v>49</v>
      </c>
      <c r="B52" s="520"/>
      <c r="C52" s="238"/>
      <c r="D52" s="521">
        <v>40375</v>
      </c>
      <c r="E52" s="526">
        <v>77.67</v>
      </c>
      <c r="F52" s="523">
        <v>3989.9961375048301</v>
      </c>
      <c r="G52" s="523">
        <v>309903</v>
      </c>
      <c r="H52" s="519">
        <f t="shared" si="4"/>
        <v>4250</v>
      </c>
      <c r="I52" s="519">
        <f t="shared" si="3"/>
        <v>2975</v>
      </c>
      <c r="J52" s="519"/>
      <c r="K52" s="51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122"/>
    </row>
    <row r="53" spans="1:256" s="513" customFormat="1" ht="15" customHeight="1">
      <c r="A53" s="518">
        <v>50</v>
      </c>
      <c r="B53" s="520"/>
      <c r="C53" s="238"/>
      <c r="D53" s="521">
        <v>40387</v>
      </c>
      <c r="E53" s="526">
        <v>77.67</v>
      </c>
      <c r="F53" s="523">
        <v>4729.9987125016096</v>
      </c>
      <c r="G53" s="523">
        <v>367379</v>
      </c>
      <c r="H53" s="519">
        <f t="shared" si="4"/>
        <v>4250</v>
      </c>
      <c r="I53" s="519">
        <f t="shared" si="3"/>
        <v>2975</v>
      </c>
      <c r="J53" s="519"/>
      <c r="K53" s="51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122"/>
    </row>
    <row r="54" spans="1:256" s="513" customFormat="1" ht="15" customHeight="1">
      <c r="A54" s="518">
        <v>51</v>
      </c>
      <c r="B54" s="520"/>
      <c r="C54" s="238"/>
      <c r="D54" s="521">
        <v>40375</v>
      </c>
      <c r="E54" s="526">
        <v>77.67</v>
      </c>
      <c r="F54" s="523">
        <v>6659.0060512424398</v>
      </c>
      <c r="G54" s="523">
        <v>517205</v>
      </c>
      <c r="H54" s="519">
        <f t="shared" si="4"/>
        <v>4250</v>
      </c>
      <c r="I54" s="519">
        <f t="shared" si="3"/>
        <v>2975</v>
      </c>
      <c r="J54" s="519"/>
      <c r="K54" s="51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122"/>
    </row>
    <row r="55" spans="1:256" s="513" customFormat="1" ht="15" customHeight="1">
      <c r="A55" s="518">
        <v>52</v>
      </c>
      <c r="B55" s="520"/>
      <c r="C55" s="238"/>
      <c r="D55" s="521">
        <v>40384</v>
      </c>
      <c r="E55" s="526">
        <v>77.67</v>
      </c>
      <c r="F55" s="523">
        <v>5090.0090124887301</v>
      </c>
      <c r="G55" s="523">
        <v>395341</v>
      </c>
      <c r="H55" s="519">
        <f t="shared" si="4"/>
        <v>4250</v>
      </c>
      <c r="I55" s="519">
        <f t="shared" si="3"/>
        <v>2975</v>
      </c>
      <c r="J55" s="519"/>
      <c r="K55" s="51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122"/>
    </row>
    <row r="56" spans="1:256" s="513" customFormat="1" ht="15" customHeight="1">
      <c r="A56" s="518">
        <v>53</v>
      </c>
      <c r="B56" s="520"/>
      <c r="C56" s="238"/>
      <c r="D56" s="521">
        <v>40409</v>
      </c>
      <c r="E56" s="526">
        <v>77.67</v>
      </c>
      <c r="F56" s="523">
        <v>4194.0002574996797</v>
      </c>
      <c r="G56" s="523">
        <v>325748</v>
      </c>
      <c r="H56" s="519">
        <f t="shared" si="4"/>
        <v>4250</v>
      </c>
      <c r="I56" s="519">
        <f t="shared" si="3"/>
        <v>2975</v>
      </c>
      <c r="J56" s="519"/>
      <c r="K56" s="51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122"/>
    </row>
  </sheetData>
  <protectedRanges>
    <protectedRange sqref="B5" name="区域2"/>
    <protectedRange sqref="D5" name="区域2_1"/>
    <protectedRange sqref="B6" name="区域2_2"/>
    <protectedRange sqref="D6" name="区域2_1_1"/>
    <protectedRange sqref="B13:B15" name="区域2_3"/>
    <protectedRange sqref="D13:D15" name="区域2_1_2"/>
    <protectedRange sqref="B26:B29" name="区域2_5"/>
    <protectedRange sqref="D26:D29" name="区域2_1_4"/>
    <protectedRange sqref="D32:D40" name="区域2_1_6"/>
    <protectedRange sqref="B20:B21" name="区域2_6"/>
    <protectedRange sqref="D20:D21" name="区域2_1_5"/>
    <protectedRange sqref="B44:B45" name="区域2_8"/>
  </protectedRanges>
  <mergeCells count="2">
    <mergeCell ref="A1:K1"/>
    <mergeCell ref="B4:C4"/>
  </mergeCells>
  <phoneticPr fontId="22" type="noConversion"/>
  <pageMargins left="0.75" right="0.42916666666666697" top="0.75" bottom="1" header="0.50902777777777797" footer="0.50902777777777797"/>
  <pageSetup paperSize="9" scale="80" fitToHeight="0" orientation="portrait"/>
  <headerFooter>
    <oddHeader>&amp;R附表6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10"/>
  <sheetViews>
    <sheetView workbookViewId="0">
      <selection activeCell="H18" sqref="H18"/>
    </sheetView>
  </sheetViews>
  <sheetFormatPr defaultColWidth="17.25" defaultRowHeight="15.75"/>
  <cols>
    <col min="1" max="1" width="4.75" style="286" customWidth="1"/>
    <col min="2" max="2" width="13.25" style="313" customWidth="1"/>
    <col min="3" max="3" width="8" style="6" customWidth="1"/>
    <col min="4" max="4" width="7.875" style="5" customWidth="1"/>
    <col min="5" max="5" width="10.375" style="495" customWidth="1"/>
    <col min="6" max="6" width="8.5" style="286" customWidth="1"/>
    <col min="7" max="7" width="17.375" style="5" customWidth="1"/>
    <col min="8" max="8" width="12.875" style="289" customWidth="1"/>
    <col min="9" max="9" width="11.375" style="5" customWidth="1"/>
    <col min="10" max="10" width="9.375" style="5" customWidth="1"/>
    <col min="11" max="11" width="11" style="496" customWidth="1"/>
    <col min="12" max="12" width="10.875" style="289" customWidth="1"/>
    <col min="13" max="13" width="12.375" style="496" customWidth="1"/>
    <col min="14" max="14" width="8.75" style="286" customWidth="1"/>
    <col min="15" max="15" width="10.625" style="286" customWidth="1"/>
    <col min="16" max="16384" width="17.25" style="286"/>
  </cols>
  <sheetData>
    <row r="1" spans="1:253" ht="37.5" customHeight="1">
      <c r="A1" s="718" t="s">
        <v>646</v>
      </c>
      <c r="B1" s="712"/>
      <c r="C1" s="711"/>
      <c r="D1" s="711"/>
      <c r="E1" s="711"/>
      <c r="F1" s="711"/>
      <c r="G1" s="711"/>
      <c r="H1" s="711"/>
      <c r="I1" s="711"/>
      <c r="J1" s="711"/>
      <c r="K1" s="713"/>
      <c r="L1" s="711"/>
      <c r="M1" s="713"/>
      <c r="N1" s="711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  <c r="AA1" s="504"/>
      <c r="AB1" s="504"/>
      <c r="AC1" s="504"/>
      <c r="AD1" s="504"/>
      <c r="AE1" s="504"/>
      <c r="AF1" s="504"/>
      <c r="AG1" s="504"/>
      <c r="AH1" s="504"/>
      <c r="AI1" s="504"/>
      <c r="AJ1" s="504"/>
      <c r="AK1" s="504"/>
      <c r="AL1" s="504"/>
      <c r="AM1" s="504"/>
      <c r="AN1" s="504"/>
      <c r="AO1" s="504"/>
      <c r="AP1" s="504"/>
      <c r="AQ1" s="504"/>
      <c r="AR1" s="504"/>
      <c r="AS1" s="504"/>
      <c r="AT1" s="504"/>
      <c r="AU1" s="504"/>
      <c r="AV1" s="504"/>
      <c r="AW1" s="504"/>
      <c r="AX1" s="504"/>
      <c r="AY1" s="504"/>
      <c r="AZ1" s="504"/>
      <c r="BA1" s="504"/>
      <c r="BB1" s="504"/>
      <c r="BC1" s="504"/>
      <c r="BD1" s="504"/>
      <c r="BE1" s="504"/>
      <c r="BF1" s="504"/>
      <c r="BG1" s="504"/>
      <c r="BH1" s="504"/>
      <c r="BI1" s="504"/>
      <c r="BJ1" s="504"/>
      <c r="BK1" s="504"/>
      <c r="BL1" s="504"/>
      <c r="BM1" s="504"/>
      <c r="BN1" s="504"/>
      <c r="BO1" s="504"/>
      <c r="BP1" s="504"/>
      <c r="BQ1" s="504"/>
      <c r="BR1" s="504"/>
      <c r="BS1" s="504"/>
      <c r="BT1" s="504"/>
      <c r="BU1" s="504"/>
      <c r="BV1" s="504"/>
      <c r="BW1" s="504"/>
      <c r="BX1" s="504"/>
      <c r="BY1" s="504"/>
      <c r="BZ1" s="504"/>
      <c r="CA1" s="504"/>
      <c r="CB1" s="504"/>
      <c r="CC1" s="504"/>
      <c r="CD1" s="504"/>
      <c r="CE1" s="504"/>
      <c r="CF1" s="504"/>
      <c r="CG1" s="504"/>
      <c r="CH1" s="504"/>
      <c r="CI1" s="504"/>
      <c r="CJ1" s="504"/>
      <c r="CK1" s="504"/>
      <c r="CL1" s="504"/>
      <c r="CM1" s="504"/>
      <c r="CN1" s="504"/>
      <c r="CO1" s="504"/>
      <c r="CP1" s="504"/>
      <c r="CQ1" s="504"/>
      <c r="CR1" s="504"/>
      <c r="CS1" s="504"/>
      <c r="CT1" s="504"/>
      <c r="CU1" s="504"/>
      <c r="CV1" s="504"/>
      <c r="CW1" s="504"/>
      <c r="CX1" s="504"/>
      <c r="CY1" s="504"/>
      <c r="CZ1" s="504"/>
      <c r="DA1" s="504"/>
      <c r="DB1" s="504"/>
      <c r="DC1" s="504"/>
      <c r="DD1" s="504"/>
      <c r="DE1" s="504"/>
      <c r="DF1" s="504"/>
      <c r="DG1" s="504"/>
      <c r="DH1" s="504"/>
      <c r="DI1" s="504"/>
      <c r="DJ1" s="504"/>
      <c r="DK1" s="504"/>
      <c r="DL1" s="504"/>
      <c r="DM1" s="504"/>
      <c r="DN1" s="504"/>
      <c r="DO1" s="504"/>
      <c r="DP1" s="504"/>
      <c r="DQ1" s="504"/>
      <c r="DR1" s="504"/>
      <c r="DS1" s="504"/>
      <c r="DT1" s="504"/>
      <c r="DU1" s="504"/>
      <c r="DV1" s="504"/>
      <c r="DW1" s="504"/>
      <c r="DX1" s="504"/>
      <c r="DY1" s="504"/>
      <c r="DZ1" s="504"/>
      <c r="EA1" s="504"/>
      <c r="EB1" s="504"/>
      <c r="EC1" s="504"/>
      <c r="ED1" s="504"/>
      <c r="EE1" s="504"/>
      <c r="EF1" s="504"/>
      <c r="EG1" s="504"/>
      <c r="EH1" s="504"/>
      <c r="EI1" s="504"/>
      <c r="EJ1" s="504"/>
      <c r="EK1" s="504"/>
      <c r="EL1" s="504"/>
      <c r="EM1" s="504"/>
      <c r="EN1" s="504"/>
      <c r="EO1" s="504"/>
      <c r="EP1" s="504"/>
      <c r="EQ1" s="504"/>
      <c r="ER1" s="504"/>
      <c r="ES1" s="504"/>
      <c r="ET1" s="504"/>
      <c r="EU1" s="504"/>
      <c r="EV1" s="504"/>
      <c r="EW1" s="504"/>
      <c r="EX1" s="504"/>
      <c r="EY1" s="504"/>
      <c r="EZ1" s="504"/>
      <c r="FA1" s="504"/>
      <c r="FB1" s="504"/>
      <c r="FC1" s="504"/>
      <c r="FD1" s="504"/>
      <c r="FE1" s="504"/>
      <c r="FF1" s="504"/>
      <c r="FG1" s="504"/>
      <c r="FH1" s="504"/>
      <c r="FI1" s="504"/>
      <c r="FJ1" s="504"/>
      <c r="FK1" s="504"/>
      <c r="FL1" s="504"/>
      <c r="FM1" s="504"/>
      <c r="FN1" s="504"/>
      <c r="FO1" s="504"/>
      <c r="FP1" s="504"/>
      <c r="FQ1" s="504"/>
      <c r="FR1" s="504"/>
      <c r="FS1" s="504"/>
      <c r="FT1" s="504"/>
      <c r="FU1" s="504"/>
      <c r="FV1" s="504"/>
      <c r="FW1" s="504"/>
      <c r="FX1" s="504"/>
      <c r="FY1" s="504"/>
      <c r="FZ1" s="504"/>
      <c r="GA1" s="504"/>
      <c r="GB1" s="504"/>
      <c r="GC1" s="504"/>
      <c r="GD1" s="504"/>
      <c r="GE1" s="504"/>
      <c r="GF1" s="504"/>
      <c r="GG1" s="504"/>
      <c r="GH1" s="504"/>
      <c r="GI1" s="504"/>
      <c r="GJ1" s="504"/>
      <c r="GK1" s="504"/>
      <c r="GL1" s="504"/>
      <c r="GM1" s="504"/>
      <c r="GN1" s="504"/>
      <c r="GO1" s="504"/>
      <c r="GP1" s="504"/>
      <c r="GQ1" s="504"/>
      <c r="GR1" s="504"/>
      <c r="GS1" s="504"/>
      <c r="GT1" s="504"/>
      <c r="GU1" s="504"/>
      <c r="GV1" s="504"/>
      <c r="GW1" s="504"/>
      <c r="GX1" s="504"/>
      <c r="GY1" s="504"/>
      <c r="GZ1" s="504"/>
      <c r="HA1" s="504"/>
      <c r="HB1" s="504"/>
      <c r="HC1" s="504"/>
      <c r="HD1" s="504"/>
      <c r="HE1" s="504"/>
      <c r="HF1" s="504"/>
      <c r="HG1" s="504"/>
      <c r="HH1" s="504"/>
      <c r="HI1" s="504"/>
      <c r="HJ1" s="504"/>
      <c r="HK1" s="504"/>
      <c r="HL1" s="504"/>
      <c r="HM1" s="504"/>
      <c r="HN1" s="504"/>
      <c r="HO1" s="504"/>
      <c r="HP1" s="504"/>
      <c r="HQ1" s="504"/>
      <c r="HR1" s="504"/>
      <c r="HS1" s="504"/>
      <c r="HT1" s="504"/>
      <c r="HU1" s="504"/>
      <c r="HV1" s="504"/>
      <c r="HW1" s="504"/>
      <c r="HX1" s="504"/>
      <c r="HY1" s="504"/>
      <c r="HZ1" s="504"/>
      <c r="IA1" s="504"/>
      <c r="IB1" s="504"/>
      <c r="IC1" s="504"/>
      <c r="ID1" s="504"/>
      <c r="IE1" s="504"/>
      <c r="IF1" s="504"/>
      <c r="IG1" s="504"/>
      <c r="IH1" s="504"/>
      <c r="II1" s="504"/>
      <c r="IJ1" s="504"/>
      <c r="IK1" s="504"/>
      <c r="IL1" s="504"/>
      <c r="IM1" s="504"/>
      <c r="IN1" s="504"/>
      <c r="IO1" s="504"/>
      <c r="IP1" s="504"/>
      <c r="IQ1" s="504"/>
      <c r="IR1" s="504"/>
      <c r="IS1" s="504"/>
    </row>
    <row r="2" spans="1:253" s="283" customFormat="1" ht="16.5" customHeight="1">
      <c r="A2" s="434" t="str">
        <f>Sheet2!A2</f>
        <v>看就会立刻就会老客户考虑减</v>
      </c>
      <c r="B2" s="219"/>
      <c r="C2" s="177"/>
      <c r="D2" s="177"/>
      <c r="E2" s="435"/>
      <c r="F2" s="292"/>
      <c r="G2" s="177"/>
      <c r="H2" s="240"/>
      <c r="I2" s="177"/>
      <c r="J2" s="177"/>
      <c r="K2" s="220"/>
      <c r="L2" s="194"/>
      <c r="M2" s="714" t="s">
        <v>94</v>
      </c>
      <c r="N2" s="715"/>
      <c r="O2" s="494"/>
      <c r="P2" s="494"/>
      <c r="Q2" s="494"/>
      <c r="R2" s="494"/>
      <c r="S2" s="494"/>
      <c r="T2" s="494"/>
      <c r="U2" s="494"/>
      <c r="V2" s="494"/>
      <c r="W2" s="494"/>
      <c r="X2" s="494"/>
      <c r="Y2" s="494"/>
      <c r="Z2" s="494"/>
      <c r="AA2" s="494"/>
      <c r="AB2" s="494"/>
      <c r="AC2" s="494"/>
      <c r="AD2" s="494"/>
      <c r="AE2" s="494"/>
      <c r="AF2" s="494"/>
      <c r="AG2" s="494"/>
      <c r="AH2" s="494"/>
      <c r="AI2" s="494"/>
      <c r="AJ2" s="494"/>
      <c r="AK2" s="494"/>
      <c r="AL2" s="494"/>
      <c r="AM2" s="494"/>
      <c r="AN2" s="494"/>
      <c r="AO2" s="494"/>
      <c r="AP2" s="494"/>
      <c r="AQ2" s="494"/>
      <c r="AR2" s="494"/>
      <c r="AS2" s="494"/>
      <c r="AT2" s="494"/>
      <c r="AU2" s="494"/>
      <c r="AV2" s="494"/>
      <c r="AW2" s="494"/>
      <c r="AX2" s="494"/>
      <c r="AY2" s="494"/>
      <c r="AZ2" s="494"/>
      <c r="BA2" s="494"/>
      <c r="BB2" s="494"/>
      <c r="BC2" s="494"/>
      <c r="BD2" s="494"/>
      <c r="BE2" s="494"/>
      <c r="BF2" s="494"/>
      <c r="BG2" s="494"/>
      <c r="BH2" s="494"/>
      <c r="BI2" s="494"/>
      <c r="BJ2" s="494"/>
      <c r="BK2" s="494"/>
      <c r="BL2" s="494"/>
      <c r="BM2" s="494"/>
      <c r="BN2" s="494"/>
      <c r="BO2" s="494"/>
      <c r="BP2" s="494"/>
      <c r="BQ2" s="494"/>
      <c r="BR2" s="494"/>
      <c r="BS2" s="494"/>
      <c r="BT2" s="494"/>
      <c r="BU2" s="494"/>
      <c r="BV2" s="494"/>
      <c r="BW2" s="494"/>
      <c r="BX2" s="494"/>
      <c r="BY2" s="494"/>
      <c r="BZ2" s="494"/>
      <c r="CA2" s="494"/>
      <c r="CB2" s="494"/>
      <c r="CC2" s="494"/>
      <c r="CD2" s="494"/>
      <c r="CE2" s="494"/>
      <c r="CF2" s="494"/>
      <c r="CG2" s="494"/>
      <c r="CH2" s="494"/>
      <c r="CI2" s="494"/>
      <c r="CJ2" s="494"/>
      <c r="CK2" s="494"/>
      <c r="CL2" s="494"/>
      <c r="CM2" s="494"/>
      <c r="CN2" s="494"/>
      <c r="CO2" s="494"/>
      <c r="CP2" s="494"/>
      <c r="CQ2" s="494"/>
      <c r="CR2" s="494"/>
      <c r="CS2" s="494"/>
      <c r="CT2" s="494"/>
      <c r="CU2" s="494"/>
      <c r="CV2" s="494"/>
      <c r="CW2" s="494"/>
      <c r="CX2" s="494"/>
      <c r="CY2" s="494"/>
      <c r="CZ2" s="494"/>
      <c r="DA2" s="494"/>
      <c r="DB2" s="494"/>
      <c r="DC2" s="494"/>
      <c r="DD2" s="494"/>
      <c r="DE2" s="494"/>
      <c r="DF2" s="494"/>
      <c r="DG2" s="494"/>
      <c r="DH2" s="494"/>
      <c r="DI2" s="494"/>
      <c r="DJ2" s="494"/>
      <c r="DK2" s="494"/>
      <c r="DL2" s="494"/>
      <c r="DM2" s="494"/>
      <c r="DN2" s="494"/>
      <c r="DO2" s="494"/>
      <c r="DP2" s="494"/>
      <c r="DQ2" s="494"/>
      <c r="DR2" s="494"/>
      <c r="DS2" s="494"/>
      <c r="DT2" s="494"/>
      <c r="DU2" s="494"/>
      <c r="DV2" s="494"/>
      <c r="DW2" s="494"/>
      <c r="DX2" s="494"/>
      <c r="DY2" s="494"/>
      <c r="DZ2" s="494"/>
      <c r="EA2" s="494"/>
      <c r="EB2" s="494"/>
      <c r="EC2" s="494"/>
      <c r="ED2" s="494"/>
      <c r="EE2" s="494"/>
      <c r="EF2" s="494"/>
      <c r="EG2" s="494"/>
      <c r="EH2" s="494"/>
      <c r="EI2" s="494"/>
      <c r="EJ2" s="494"/>
      <c r="EK2" s="494"/>
      <c r="EL2" s="494"/>
      <c r="EM2" s="494"/>
      <c r="EN2" s="494"/>
      <c r="EO2" s="494"/>
      <c r="EP2" s="494"/>
      <c r="EQ2" s="494"/>
      <c r="ER2" s="494"/>
      <c r="ES2" s="494"/>
      <c r="ET2" s="494"/>
      <c r="EU2" s="494"/>
      <c r="EV2" s="494"/>
      <c r="EW2" s="494"/>
      <c r="EX2" s="494"/>
      <c r="EY2" s="494"/>
      <c r="EZ2" s="494"/>
      <c r="FA2" s="494"/>
      <c r="FB2" s="494"/>
      <c r="FC2" s="494"/>
      <c r="FD2" s="494"/>
      <c r="FE2" s="494"/>
      <c r="FF2" s="494"/>
      <c r="FG2" s="494"/>
      <c r="FH2" s="494"/>
      <c r="FI2" s="494"/>
      <c r="FJ2" s="494"/>
      <c r="FK2" s="494"/>
      <c r="FL2" s="494"/>
      <c r="FM2" s="494"/>
      <c r="FN2" s="494"/>
      <c r="FO2" s="494"/>
      <c r="FP2" s="494"/>
      <c r="FQ2" s="494"/>
      <c r="FR2" s="494"/>
      <c r="FS2" s="494"/>
      <c r="FT2" s="494"/>
      <c r="FU2" s="494"/>
      <c r="FV2" s="494"/>
      <c r="FW2" s="494"/>
      <c r="FX2" s="494"/>
      <c r="FY2" s="494"/>
      <c r="FZ2" s="494"/>
      <c r="GA2" s="494"/>
      <c r="GB2" s="494"/>
      <c r="GC2" s="494"/>
      <c r="GD2" s="494"/>
      <c r="GE2" s="494"/>
      <c r="GF2" s="494"/>
      <c r="GG2" s="494"/>
      <c r="GH2" s="494"/>
      <c r="GI2" s="494"/>
      <c r="GJ2" s="494"/>
      <c r="GK2" s="494"/>
      <c r="GL2" s="494"/>
      <c r="GM2" s="494"/>
      <c r="GN2" s="494"/>
      <c r="GO2" s="494"/>
      <c r="GP2" s="494"/>
      <c r="GQ2" s="494"/>
      <c r="GR2" s="494"/>
      <c r="GS2" s="494"/>
      <c r="GT2" s="494"/>
      <c r="GU2" s="494"/>
      <c r="GV2" s="494"/>
      <c r="GW2" s="494"/>
      <c r="GX2" s="494"/>
      <c r="GY2" s="494"/>
      <c r="GZ2" s="494"/>
      <c r="HA2" s="494"/>
      <c r="HB2" s="494"/>
      <c r="HC2" s="494"/>
      <c r="HD2" s="494"/>
      <c r="HE2" s="494"/>
      <c r="HF2" s="494"/>
      <c r="HG2" s="494"/>
      <c r="HH2" s="494"/>
      <c r="HI2" s="494"/>
      <c r="HJ2" s="494"/>
      <c r="HK2" s="494"/>
      <c r="HL2" s="494"/>
      <c r="HM2" s="494"/>
      <c r="HN2" s="494"/>
      <c r="HO2" s="494"/>
      <c r="HP2" s="494"/>
      <c r="HQ2" s="494"/>
      <c r="HR2" s="494"/>
      <c r="HS2" s="494"/>
      <c r="HT2" s="494"/>
      <c r="HU2" s="494"/>
      <c r="HV2" s="494"/>
      <c r="HW2" s="494"/>
      <c r="HX2" s="494"/>
      <c r="HY2" s="494"/>
      <c r="HZ2" s="494"/>
      <c r="IA2" s="494"/>
      <c r="IB2" s="494"/>
      <c r="IC2" s="494"/>
      <c r="ID2" s="494"/>
      <c r="IE2" s="494"/>
      <c r="IF2" s="494"/>
      <c r="IG2" s="494"/>
      <c r="IH2" s="494"/>
      <c r="II2" s="494"/>
      <c r="IJ2" s="494"/>
      <c r="IK2" s="494"/>
      <c r="IL2" s="494"/>
      <c r="IM2" s="494"/>
      <c r="IN2" s="494"/>
      <c r="IO2" s="494"/>
      <c r="IP2" s="494"/>
      <c r="IQ2" s="494"/>
      <c r="IR2" s="494"/>
      <c r="IS2" s="494"/>
    </row>
    <row r="3" spans="1:253" s="492" customFormat="1" ht="27" customHeight="1">
      <c r="A3" s="155" t="s">
        <v>521</v>
      </c>
      <c r="B3" s="155" t="s">
        <v>521</v>
      </c>
      <c r="C3" s="155" t="s">
        <v>521</v>
      </c>
      <c r="D3" s="155" t="s">
        <v>521</v>
      </c>
      <c r="E3" s="155" t="s">
        <v>521</v>
      </c>
      <c r="F3" s="155" t="s">
        <v>521</v>
      </c>
      <c r="G3" s="155" t="s">
        <v>521</v>
      </c>
      <c r="H3" s="155" t="s">
        <v>521</v>
      </c>
      <c r="I3" s="155" t="s">
        <v>521</v>
      </c>
      <c r="J3" s="155" t="s">
        <v>521</v>
      </c>
      <c r="K3" s="179" t="s">
        <v>520</v>
      </c>
      <c r="L3" s="179" t="s">
        <v>520</v>
      </c>
      <c r="M3" s="179" t="s">
        <v>520</v>
      </c>
      <c r="N3" s="179" t="s">
        <v>520</v>
      </c>
    </row>
    <row r="4" spans="1:253" s="492" customFormat="1" ht="25.5" customHeight="1">
      <c r="A4" s="222"/>
      <c r="B4" s="223">
        <v>1</v>
      </c>
      <c r="C4" s="154">
        <v>2</v>
      </c>
      <c r="D4" s="154">
        <v>3</v>
      </c>
      <c r="E4" s="154">
        <v>4</v>
      </c>
      <c r="F4" s="154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</row>
    <row r="5" spans="1:253" s="493" customFormat="1" ht="30" customHeight="1">
      <c r="A5" s="436"/>
      <c r="B5" s="437"/>
      <c r="C5" s="158" t="s">
        <v>97</v>
      </c>
      <c r="D5" s="158"/>
      <c r="E5" s="438"/>
      <c r="F5" s="439"/>
      <c r="G5" s="158"/>
      <c r="H5" s="440">
        <f t="shared" ref="H5:M5" si="0">SUM(H6:H9)</f>
        <v>1124533.93</v>
      </c>
      <c r="I5" s="440">
        <f t="shared" si="0"/>
        <v>0</v>
      </c>
      <c r="J5" s="440">
        <f t="shared" si="0"/>
        <v>0</v>
      </c>
      <c r="K5" s="227">
        <f t="shared" si="0"/>
        <v>1124533.93</v>
      </c>
      <c r="L5" s="440">
        <f t="shared" si="0"/>
        <v>0</v>
      </c>
      <c r="M5" s="227">
        <f t="shared" si="0"/>
        <v>1124533.93</v>
      </c>
      <c r="N5" s="331"/>
    </row>
    <row r="6" spans="1:253" s="494" customFormat="1" ht="48" customHeight="1">
      <c r="A6" s="228">
        <v>1</v>
      </c>
      <c r="B6" s="442" t="s">
        <v>37</v>
      </c>
      <c r="C6" s="443"/>
      <c r="D6" s="443"/>
      <c r="E6" s="401">
        <v>41060</v>
      </c>
      <c r="F6" s="400" t="s">
        <v>98</v>
      </c>
      <c r="G6" s="296" t="s">
        <v>519</v>
      </c>
      <c r="H6" s="402">
        <v>1407207.71</v>
      </c>
      <c r="I6" s="505" t="s">
        <v>522</v>
      </c>
      <c r="J6" s="506"/>
      <c r="K6" s="507">
        <f>H6</f>
        <v>1407207.71</v>
      </c>
      <c r="L6" s="475"/>
      <c r="M6" s="508">
        <f>K6+L6</f>
        <v>1407207.71</v>
      </c>
      <c r="N6" s="478"/>
      <c r="O6" s="509" t="s">
        <v>100</v>
      </c>
      <c r="P6" s="716" t="s">
        <v>101</v>
      </c>
      <c r="Q6" s="716"/>
    </row>
    <row r="7" spans="1:253" s="494" customFormat="1" ht="54" customHeight="1">
      <c r="A7" s="228">
        <v>2</v>
      </c>
      <c r="B7" s="442" t="s">
        <v>37</v>
      </c>
      <c r="C7" s="443"/>
      <c r="D7" s="443"/>
      <c r="E7" s="401">
        <v>41274</v>
      </c>
      <c r="F7" s="400" t="s">
        <v>102</v>
      </c>
      <c r="G7" s="296" t="s">
        <v>519</v>
      </c>
      <c r="H7" s="402">
        <v>-197011.45</v>
      </c>
      <c r="I7" s="505" t="s">
        <v>99</v>
      </c>
      <c r="J7" s="506"/>
      <c r="K7" s="507">
        <f>H7</f>
        <v>-197011.45</v>
      </c>
      <c r="L7" s="475"/>
      <c r="M7" s="508">
        <f>K7+L7</f>
        <v>-197011.45</v>
      </c>
      <c r="N7" s="478"/>
      <c r="O7" s="509" t="s">
        <v>100</v>
      </c>
      <c r="P7" s="716" t="s">
        <v>103</v>
      </c>
      <c r="Q7" s="716"/>
    </row>
    <row r="8" spans="1:253" s="494" customFormat="1" ht="69" customHeight="1">
      <c r="A8" s="228">
        <v>3</v>
      </c>
      <c r="B8" s="442" t="s">
        <v>37</v>
      </c>
      <c r="C8" s="123"/>
      <c r="D8" s="123"/>
      <c r="E8" s="401">
        <v>41274</v>
      </c>
      <c r="F8" s="400" t="s">
        <v>102</v>
      </c>
      <c r="G8" s="296" t="s">
        <v>519</v>
      </c>
      <c r="H8" s="402">
        <v>379487.17</v>
      </c>
      <c r="I8" s="505" t="s">
        <v>523</v>
      </c>
      <c r="J8" s="333"/>
      <c r="K8" s="507">
        <f>H8</f>
        <v>379487.17</v>
      </c>
      <c r="L8" s="475"/>
      <c r="M8" s="508">
        <f>K8+L8</f>
        <v>379487.17</v>
      </c>
      <c r="N8" s="477"/>
      <c r="O8" s="510" t="s">
        <v>100</v>
      </c>
    </row>
    <row r="9" spans="1:253" s="494" customFormat="1" ht="47.1" customHeight="1">
      <c r="A9" s="228">
        <v>4</v>
      </c>
      <c r="B9" s="442" t="s">
        <v>37</v>
      </c>
      <c r="C9" s="123"/>
      <c r="D9" s="123"/>
      <c r="E9" s="497">
        <v>42369</v>
      </c>
      <c r="F9" s="238" t="s">
        <v>104</v>
      </c>
      <c r="G9" s="296" t="s">
        <v>519</v>
      </c>
      <c r="H9" s="498">
        <v>-465149.5</v>
      </c>
      <c r="I9" s="505" t="s">
        <v>99</v>
      </c>
      <c r="J9" s="333"/>
      <c r="K9" s="507">
        <f>H9</f>
        <v>-465149.5</v>
      </c>
      <c r="L9" s="475"/>
      <c r="M9" s="508">
        <f>K9+L9</f>
        <v>-465149.5</v>
      </c>
      <c r="N9" s="477"/>
      <c r="O9" s="510" t="s">
        <v>100</v>
      </c>
    </row>
    <row r="10" spans="1:253">
      <c r="A10" s="499"/>
      <c r="B10" s="500"/>
      <c r="C10" s="501"/>
      <c r="D10" s="502"/>
      <c r="E10" s="503"/>
      <c r="F10" s="501"/>
      <c r="L10" s="511"/>
      <c r="M10" s="512"/>
      <c r="N10" s="499"/>
      <c r="O10" s="499"/>
      <c r="P10" s="499"/>
      <c r="Q10" s="499"/>
      <c r="R10" s="499"/>
      <c r="S10" s="499"/>
      <c r="T10" s="499"/>
      <c r="U10" s="499"/>
      <c r="V10" s="499"/>
      <c r="W10" s="499"/>
      <c r="X10" s="499"/>
      <c r="Y10" s="499"/>
      <c r="Z10" s="499"/>
      <c r="AA10" s="499"/>
      <c r="AB10" s="499"/>
      <c r="AC10" s="499"/>
      <c r="AD10" s="499"/>
      <c r="AE10" s="499"/>
      <c r="AF10" s="499"/>
      <c r="AG10" s="499"/>
      <c r="AH10" s="499"/>
      <c r="AI10" s="499"/>
      <c r="AJ10" s="499"/>
      <c r="AK10" s="499"/>
      <c r="AL10" s="499"/>
      <c r="AM10" s="499"/>
      <c r="AN10" s="499"/>
      <c r="AO10" s="499"/>
      <c r="AP10" s="499"/>
      <c r="AQ10" s="499"/>
      <c r="AR10" s="499"/>
      <c r="AS10" s="499"/>
      <c r="AT10" s="499"/>
      <c r="AU10" s="499"/>
      <c r="AV10" s="499"/>
      <c r="AW10" s="499"/>
      <c r="AX10" s="499"/>
      <c r="AY10" s="499"/>
      <c r="AZ10" s="499"/>
      <c r="BA10" s="499"/>
      <c r="BB10" s="499"/>
      <c r="BC10" s="499"/>
      <c r="BD10" s="499"/>
      <c r="BE10" s="499"/>
      <c r="BF10" s="499"/>
      <c r="BG10" s="499"/>
      <c r="BH10" s="499"/>
      <c r="BI10" s="499"/>
      <c r="BJ10" s="499"/>
      <c r="BK10" s="499"/>
      <c r="BL10" s="499"/>
      <c r="BM10" s="499"/>
      <c r="BN10" s="499"/>
      <c r="BO10" s="499"/>
      <c r="BP10" s="499"/>
      <c r="BQ10" s="499"/>
      <c r="BR10" s="499"/>
      <c r="BS10" s="499"/>
      <c r="BT10" s="499"/>
      <c r="BU10" s="499"/>
      <c r="BV10" s="499"/>
      <c r="BW10" s="499"/>
      <c r="BX10" s="499"/>
      <c r="BY10" s="499"/>
      <c r="BZ10" s="499"/>
      <c r="CA10" s="499"/>
      <c r="CB10" s="499"/>
      <c r="CC10" s="499"/>
      <c r="CD10" s="499"/>
      <c r="CE10" s="499"/>
      <c r="CF10" s="499"/>
      <c r="CG10" s="499"/>
      <c r="CH10" s="499"/>
      <c r="CI10" s="499"/>
      <c r="CJ10" s="499"/>
      <c r="CK10" s="499"/>
      <c r="CL10" s="499"/>
      <c r="CM10" s="499"/>
      <c r="CN10" s="499"/>
      <c r="CO10" s="499"/>
      <c r="CP10" s="499"/>
      <c r="CQ10" s="499"/>
      <c r="CR10" s="499"/>
      <c r="CS10" s="499"/>
      <c r="CT10" s="499"/>
      <c r="CU10" s="499"/>
      <c r="CV10" s="499"/>
      <c r="CW10" s="499"/>
      <c r="CX10" s="499"/>
      <c r="CY10" s="499"/>
      <c r="CZ10" s="499"/>
      <c r="DA10" s="499"/>
      <c r="DB10" s="499"/>
      <c r="DC10" s="499"/>
      <c r="DD10" s="499"/>
      <c r="DE10" s="499"/>
      <c r="DF10" s="499"/>
      <c r="DG10" s="499"/>
      <c r="DH10" s="499"/>
      <c r="DI10" s="499"/>
      <c r="DJ10" s="499"/>
      <c r="DK10" s="499"/>
      <c r="DL10" s="499"/>
      <c r="DM10" s="499"/>
      <c r="DN10" s="499"/>
      <c r="DO10" s="499"/>
      <c r="DP10" s="499"/>
      <c r="DQ10" s="499"/>
      <c r="DR10" s="499"/>
      <c r="DS10" s="499"/>
      <c r="DT10" s="499"/>
      <c r="DU10" s="499"/>
      <c r="DV10" s="499"/>
      <c r="DW10" s="499"/>
      <c r="DX10" s="499"/>
      <c r="DY10" s="499"/>
      <c r="DZ10" s="499"/>
      <c r="EA10" s="499"/>
      <c r="EB10" s="499"/>
      <c r="EC10" s="499"/>
      <c r="ED10" s="499"/>
      <c r="EE10" s="499"/>
      <c r="EF10" s="499"/>
      <c r="EG10" s="499"/>
      <c r="EH10" s="499"/>
      <c r="EI10" s="499"/>
      <c r="EJ10" s="499"/>
      <c r="EK10" s="499"/>
      <c r="EL10" s="499"/>
      <c r="EM10" s="499"/>
      <c r="EN10" s="499"/>
      <c r="EO10" s="499"/>
      <c r="EP10" s="499"/>
      <c r="EQ10" s="499"/>
      <c r="ER10" s="499"/>
      <c r="ES10" s="499"/>
      <c r="ET10" s="499"/>
      <c r="EU10" s="499"/>
      <c r="EV10" s="499"/>
      <c r="EW10" s="499"/>
      <c r="EX10" s="499"/>
      <c r="EY10" s="499"/>
      <c r="EZ10" s="499"/>
      <c r="FA10" s="499"/>
      <c r="FB10" s="499"/>
      <c r="FC10" s="499"/>
      <c r="FD10" s="499"/>
      <c r="FE10" s="499"/>
      <c r="FF10" s="499"/>
      <c r="FG10" s="499"/>
      <c r="FH10" s="499"/>
      <c r="FI10" s="499"/>
      <c r="FJ10" s="499"/>
      <c r="FK10" s="499"/>
      <c r="FL10" s="499"/>
      <c r="FM10" s="499"/>
      <c r="FN10" s="499"/>
      <c r="FO10" s="499"/>
      <c r="FP10" s="499"/>
      <c r="FQ10" s="499"/>
      <c r="FR10" s="499"/>
      <c r="FS10" s="499"/>
      <c r="FT10" s="499"/>
      <c r="FU10" s="499"/>
      <c r="FV10" s="499"/>
      <c r="FW10" s="499"/>
      <c r="FX10" s="499"/>
      <c r="FY10" s="499"/>
      <c r="FZ10" s="499"/>
      <c r="GA10" s="499"/>
      <c r="GB10" s="499"/>
      <c r="GC10" s="499"/>
      <c r="GD10" s="499"/>
      <c r="GE10" s="499"/>
      <c r="GF10" s="499"/>
      <c r="GG10" s="499"/>
      <c r="GH10" s="499"/>
      <c r="GI10" s="499"/>
      <c r="GJ10" s="499"/>
      <c r="GK10" s="499"/>
      <c r="GL10" s="499"/>
      <c r="GM10" s="499"/>
      <c r="GN10" s="499"/>
      <c r="GO10" s="499"/>
      <c r="GP10" s="499"/>
      <c r="GQ10" s="499"/>
      <c r="GR10" s="499"/>
      <c r="GS10" s="499"/>
      <c r="GT10" s="499"/>
      <c r="GU10" s="499"/>
      <c r="GV10" s="499"/>
      <c r="GW10" s="499"/>
      <c r="GX10" s="499"/>
      <c r="GY10" s="499"/>
      <c r="GZ10" s="499"/>
      <c r="HA10" s="499"/>
      <c r="HB10" s="499"/>
      <c r="HC10" s="499"/>
      <c r="HD10" s="499"/>
      <c r="HE10" s="499"/>
      <c r="HF10" s="499"/>
      <c r="HG10" s="499"/>
      <c r="HH10" s="499"/>
      <c r="HI10" s="499"/>
      <c r="HJ10" s="499"/>
      <c r="HK10" s="499"/>
      <c r="HL10" s="499"/>
      <c r="HM10" s="499"/>
      <c r="HN10" s="499"/>
      <c r="HO10" s="499"/>
      <c r="HP10" s="499"/>
      <c r="HQ10" s="499"/>
      <c r="HR10" s="499"/>
      <c r="HS10" s="499"/>
      <c r="HT10" s="499"/>
      <c r="HU10" s="499"/>
      <c r="HV10" s="499"/>
      <c r="HW10" s="499"/>
      <c r="HX10" s="499"/>
      <c r="HY10" s="499"/>
      <c r="HZ10" s="499"/>
      <c r="IA10" s="499"/>
      <c r="IB10" s="499"/>
      <c r="IC10" s="499"/>
      <c r="ID10" s="499"/>
      <c r="IE10" s="499"/>
      <c r="IF10" s="499"/>
      <c r="IG10" s="499"/>
      <c r="IH10" s="499"/>
      <c r="II10" s="499"/>
      <c r="IJ10" s="499"/>
      <c r="IK10" s="499"/>
      <c r="IL10" s="499"/>
      <c r="IM10" s="499"/>
      <c r="IN10" s="499"/>
      <c r="IO10" s="499"/>
      <c r="IP10" s="499"/>
      <c r="IQ10" s="499"/>
      <c r="IR10" s="499"/>
    </row>
  </sheetData>
  <autoFilter ref="A3:IS9"/>
  <mergeCells count="4">
    <mergeCell ref="A1:N1"/>
    <mergeCell ref="M2:N2"/>
    <mergeCell ref="P6:Q6"/>
    <mergeCell ref="P7:Q7"/>
  </mergeCells>
  <phoneticPr fontId="22" type="noConversion"/>
  <dataValidations count="1">
    <dataValidation type="list" allowBlank="1" showInputMessage="1" showErrorMessage="1" sqref="B6:B9">
      <formula1>"支付的土地出让金,支付地价款金额,交纳的有关税费,市政配套费"</formula1>
    </dataValidation>
  </dataValidations>
  <printOptions horizontalCentered="1"/>
  <pageMargins left="0.46875" right="0.38888888888888901" top="0.93888888888888899" bottom="0.78888888888888897" header="0.62916666666666698" footer="0.50902777777777797"/>
  <pageSetup paperSize="9" scale="84" orientation="landscape"/>
  <headerFooter alignWithMargins="0">
    <oddHeader>&amp;R附表7</oddHeader>
    <oddFooter>&amp;C&amp;10&amp;P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10" sqref="B10"/>
    </sheetView>
  </sheetViews>
  <sheetFormatPr defaultColWidth="9" defaultRowHeight="14.25"/>
  <cols>
    <col min="1" max="7" width="16.875" customWidth="1"/>
  </cols>
  <sheetData>
    <row r="1" spans="1:7" s="486" customFormat="1" ht="42" customHeight="1">
      <c r="A1" s="717" t="s">
        <v>524</v>
      </c>
      <c r="B1" s="717"/>
      <c r="C1" s="717"/>
      <c r="D1" s="717"/>
      <c r="E1" s="717"/>
      <c r="F1" s="717"/>
      <c r="G1" s="717"/>
    </row>
    <row r="2" spans="1:7" ht="42" customHeight="1">
      <c r="A2" s="488" t="str">
        <f>Sheet7!A2</f>
        <v>看就会立刻就会老客户考虑减</v>
      </c>
      <c r="B2" s="489"/>
      <c r="C2" s="489"/>
      <c r="D2" s="489"/>
      <c r="E2" s="489"/>
      <c r="F2" s="489"/>
      <c r="G2" s="489"/>
    </row>
    <row r="3" spans="1:7" s="487" customFormat="1" ht="44.1" customHeight="1">
      <c r="A3" s="197" t="s">
        <v>105</v>
      </c>
      <c r="B3" s="197" t="s">
        <v>106</v>
      </c>
      <c r="C3" s="197" t="s">
        <v>107</v>
      </c>
      <c r="D3" s="197" t="s">
        <v>108</v>
      </c>
      <c r="E3" s="197" t="s">
        <v>109</v>
      </c>
      <c r="F3" s="197" t="s">
        <v>110</v>
      </c>
      <c r="G3" s="197" t="s">
        <v>35</v>
      </c>
    </row>
    <row r="4" spans="1:7" ht="44.1" customHeight="1">
      <c r="A4" s="197" t="s">
        <v>111</v>
      </c>
      <c r="B4" s="198">
        <v>1454546</v>
      </c>
      <c r="C4" s="198">
        <v>54646</v>
      </c>
      <c r="D4" s="198">
        <v>5464</v>
      </c>
      <c r="E4" s="198">
        <v>546</v>
      </c>
      <c r="F4" s="198">
        <v>6546</v>
      </c>
      <c r="G4" s="198">
        <f>SUM(B4:F4)</f>
        <v>1521748</v>
      </c>
    </row>
    <row r="5" spans="1:7" ht="44.1" customHeight="1">
      <c r="A5" s="197" t="s">
        <v>112</v>
      </c>
      <c r="B5" s="199">
        <f>B4/G4</f>
        <v>0.95583894311016016</v>
      </c>
      <c r="C5" s="199">
        <f>C4/G4</f>
        <v>3.5910019267316268E-2</v>
      </c>
      <c r="D5" s="199">
        <f>D4/G4</f>
        <v>3.5906076433154504E-3</v>
      </c>
      <c r="E5" s="199">
        <f>E4/G4</f>
        <v>3.5879790872076059E-4</v>
      </c>
      <c r="F5" s="199">
        <f>F4/G4</f>
        <v>4.3016320704873604E-3</v>
      </c>
      <c r="G5" s="199">
        <f>SUM(B5:F5)</f>
        <v>1</v>
      </c>
    </row>
    <row r="6" spans="1:7" ht="48" customHeight="1">
      <c r="A6" s="197" t="s">
        <v>113</v>
      </c>
      <c r="B6" s="198">
        <v>1271717.51</v>
      </c>
      <c r="C6" s="198">
        <v>1124533.93</v>
      </c>
      <c r="D6" s="198">
        <v>845260.62</v>
      </c>
      <c r="E6" s="198">
        <v>58790.02</v>
      </c>
      <c r="F6" s="198">
        <f>G6-B6-C6-D6-E6</f>
        <v>4167211.2100000004</v>
      </c>
      <c r="G6" s="198">
        <v>7467513.29</v>
      </c>
    </row>
    <row r="7" spans="1:7" ht="42" customHeight="1">
      <c r="A7" s="490">
        <v>65654</v>
      </c>
      <c r="B7" s="490"/>
      <c r="C7" s="490"/>
      <c r="D7" s="490"/>
      <c r="E7" s="490"/>
      <c r="F7" s="490"/>
      <c r="G7" s="490"/>
    </row>
    <row r="8" spans="1:7">
      <c r="A8" s="491"/>
      <c r="B8" s="491"/>
      <c r="C8" s="491"/>
      <c r="D8" s="491"/>
      <c r="E8" s="491"/>
      <c r="F8" s="491"/>
      <c r="G8" s="491"/>
    </row>
  </sheetData>
  <mergeCells count="1">
    <mergeCell ref="A1:G1"/>
  </mergeCells>
  <phoneticPr fontId="22" type="noConversion"/>
  <pageMargins left="0.69930555555555596" right="0.69930555555555596" top="1.1000000000000001" bottom="0.86875000000000002" header="0.70902777777777803" footer="0.50902777777777797"/>
  <pageSetup paperSize="9" orientation="landscape"/>
  <headerFooter>
    <oddHeader>&amp;R附表8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12"/>
  <sheetViews>
    <sheetView workbookViewId="0">
      <selection activeCell="H9" sqref="H9"/>
    </sheetView>
  </sheetViews>
  <sheetFormatPr defaultColWidth="17.25" defaultRowHeight="15.75"/>
  <cols>
    <col min="1" max="1" width="5.125" style="428" customWidth="1"/>
    <col min="2" max="2" width="8.125" style="429" customWidth="1"/>
    <col min="3" max="3" width="11.125" style="430" customWidth="1"/>
    <col min="4" max="4" width="8.5" style="431" customWidth="1"/>
    <col min="5" max="5" width="8.5" style="432" customWidth="1"/>
    <col min="6" max="6" width="6.75" style="431" customWidth="1"/>
    <col min="7" max="7" width="10.625" style="431" customWidth="1"/>
    <col min="8" max="8" width="12.375" style="433" customWidth="1"/>
    <col min="9" max="9" width="16" style="428" customWidth="1"/>
    <col min="10" max="10" width="8.375" style="428" customWidth="1"/>
    <col min="11" max="11" width="12.75" style="428" customWidth="1"/>
    <col min="12" max="12" width="12.875" style="433" customWidth="1"/>
    <col min="13" max="13" width="9.875" style="433" customWidth="1"/>
    <col min="14" max="14" width="15.375" style="428" customWidth="1"/>
    <col min="15" max="15" width="19.875" style="428" customWidth="1"/>
    <col min="16" max="16384" width="17.25" style="428"/>
  </cols>
  <sheetData>
    <row r="1" spans="1:253" ht="36.75" customHeight="1">
      <c r="A1" s="718" t="s">
        <v>525</v>
      </c>
      <c r="B1" s="711"/>
      <c r="C1" s="712"/>
      <c r="D1" s="711"/>
      <c r="E1" s="711"/>
      <c r="F1" s="711"/>
      <c r="G1" s="711"/>
      <c r="H1" s="711"/>
      <c r="I1" s="711"/>
      <c r="J1" s="711"/>
      <c r="K1" s="711"/>
      <c r="L1" s="711"/>
      <c r="M1" s="711"/>
      <c r="N1" s="711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  <c r="BD1" s="427"/>
      <c r="BE1" s="427"/>
      <c r="BF1" s="427"/>
      <c r="BG1" s="427"/>
      <c r="BH1" s="427"/>
      <c r="BI1" s="427"/>
      <c r="BJ1" s="427"/>
      <c r="BK1" s="427"/>
      <c r="BL1" s="427"/>
      <c r="BM1" s="427"/>
      <c r="BN1" s="427"/>
      <c r="BO1" s="427"/>
      <c r="BP1" s="427"/>
      <c r="BQ1" s="427"/>
      <c r="BR1" s="427"/>
      <c r="BS1" s="427"/>
      <c r="BT1" s="427"/>
      <c r="BU1" s="427"/>
      <c r="BV1" s="427"/>
      <c r="BW1" s="427"/>
      <c r="BX1" s="427"/>
      <c r="BY1" s="427"/>
      <c r="BZ1" s="427"/>
      <c r="CA1" s="427"/>
      <c r="CB1" s="427"/>
      <c r="CC1" s="427"/>
      <c r="CD1" s="427"/>
      <c r="CE1" s="427"/>
      <c r="CF1" s="427"/>
      <c r="CG1" s="427"/>
      <c r="CH1" s="427"/>
      <c r="CI1" s="427"/>
      <c r="CJ1" s="427"/>
      <c r="CK1" s="427"/>
      <c r="CL1" s="427"/>
      <c r="CM1" s="427"/>
      <c r="CN1" s="427"/>
      <c r="CO1" s="427"/>
      <c r="CP1" s="427"/>
      <c r="CQ1" s="427"/>
      <c r="CR1" s="427"/>
      <c r="CS1" s="427"/>
      <c r="CT1" s="427"/>
      <c r="CU1" s="427"/>
      <c r="CV1" s="427"/>
      <c r="CW1" s="427"/>
      <c r="CX1" s="427"/>
      <c r="CY1" s="427"/>
      <c r="CZ1" s="427"/>
      <c r="DA1" s="427"/>
      <c r="DB1" s="427"/>
      <c r="DC1" s="427"/>
      <c r="DD1" s="427"/>
      <c r="DE1" s="427"/>
      <c r="DF1" s="427"/>
      <c r="DG1" s="427"/>
      <c r="DH1" s="427"/>
      <c r="DI1" s="427"/>
      <c r="DJ1" s="427"/>
      <c r="DK1" s="427"/>
      <c r="DL1" s="427"/>
      <c r="DM1" s="427"/>
      <c r="DN1" s="427"/>
      <c r="DO1" s="427"/>
      <c r="DP1" s="427"/>
      <c r="DQ1" s="427"/>
      <c r="DR1" s="427"/>
      <c r="DS1" s="427"/>
      <c r="DT1" s="427"/>
      <c r="DU1" s="427"/>
      <c r="DV1" s="427"/>
      <c r="DW1" s="427"/>
      <c r="DX1" s="427"/>
      <c r="DY1" s="427"/>
      <c r="DZ1" s="427"/>
      <c r="EA1" s="427"/>
      <c r="EB1" s="427"/>
      <c r="EC1" s="427"/>
      <c r="ED1" s="427"/>
      <c r="EE1" s="427"/>
      <c r="EF1" s="427"/>
      <c r="EG1" s="427"/>
      <c r="EH1" s="427"/>
      <c r="EI1" s="427"/>
      <c r="EJ1" s="427"/>
      <c r="EK1" s="427"/>
      <c r="EL1" s="427"/>
      <c r="EM1" s="427"/>
      <c r="EN1" s="427"/>
      <c r="EO1" s="427"/>
      <c r="EP1" s="427"/>
      <c r="EQ1" s="427"/>
      <c r="ER1" s="427"/>
      <c r="ES1" s="427"/>
      <c r="ET1" s="427"/>
      <c r="EU1" s="427"/>
      <c r="EV1" s="427"/>
      <c r="EW1" s="427"/>
      <c r="EX1" s="427"/>
      <c r="EY1" s="427"/>
      <c r="EZ1" s="427"/>
      <c r="FA1" s="427"/>
      <c r="FB1" s="427"/>
      <c r="FC1" s="427"/>
      <c r="FD1" s="427"/>
      <c r="FE1" s="427"/>
      <c r="FF1" s="427"/>
      <c r="FG1" s="427"/>
      <c r="FH1" s="427"/>
      <c r="FI1" s="427"/>
      <c r="FJ1" s="427"/>
      <c r="FK1" s="427"/>
      <c r="FL1" s="427"/>
      <c r="FM1" s="427"/>
      <c r="FN1" s="427"/>
      <c r="FO1" s="427"/>
      <c r="FP1" s="427"/>
      <c r="FQ1" s="427"/>
      <c r="FR1" s="427"/>
      <c r="FS1" s="427"/>
      <c r="FT1" s="427"/>
      <c r="FU1" s="427"/>
      <c r="FV1" s="427"/>
      <c r="FW1" s="427"/>
      <c r="FX1" s="427"/>
      <c r="FY1" s="427"/>
      <c r="FZ1" s="427"/>
      <c r="GA1" s="427"/>
      <c r="GB1" s="427"/>
      <c r="GC1" s="427"/>
      <c r="GD1" s="427"/>
      <c r="GE1" s="427"/>
      <c r="GF1" s="427"/>
      <c r="GG1" s="427"/>
      <c r="GH1" s="427"/>
      <c r="GI1" s="427"/>
      <c r="GJ1" s="427"/>
      <c r="GK1" s="427"/>
      <c r="GL1" s="427"/>
      <c r="GM1" s="427"/>
      <c r="GN1" s="427"/>
      <c r="GO1" s="427"/>
      <c r="GP1" s="427"/>
      <c r="GQ1" s="427"/>
      <c r="GR1" s="427"/>
      <c r="GS1" s="427"/>
      <c r="GT1" s="427"/>
      <c r="GU1" s="427"/>
      <c r="GV1" s="427"/>
      <c r="GW1" s="427"/>
      <c r="GX1" s="427"/>
      <c r="GY1" s="427"/>
      <c r="GZ1" s="427"/>
      <c r="HA1" s="427"/>
      <c r="HB1" s="427"/>
      <c r="HC1" s="427"/>
      <c r="HD1" s="427"/>
      <c r="HE1" s="427"/>
      <c r="HF1" s="427"/>
      <c r="HG1" s="427"/>
      <c r="HH1" s="427"/>
      <c r="HI1" s="427"/>
      <c r="HJ1" s="427"/>
      <c r="HK1" s="427"/>
      <c r="HL1" s="427"/>
      <c r="HM1" s="427"/>
      <c r="HN1" s="427"/>
      <c r="HO1" s="427"/>
      <c r="HP1" s="427"/>
      <c r="HQ1" s="427"/>
      <c r="HR1" s="427"/>
      <c r="HS1" s="427"/>
      <c r="HT1" s="427"/>
      <c r="HU1" s="427"/>
      <c r="HV1" s="427"/>
      <c r="HW1" s="427"/>
      <c r="HX1" s="427"/>
      <c r="HY1" s="427"/>
      <c r="HZ1" s="427"/>
      <c r="IA1" s="427"/>
      <c r="IB1" s="427"/>
      <c r="IC1" s="427"/>
      <c r="ID1" s="427"/>
      <c r="IE1" s="427"/>
      <c r="IF1" s="427"/>
      <c r="IG1" s="427"/>
      <c r="IH1" s="427"/>
      <c r="II1" s="427"/>
      <c r="IJ1" s="427"/>
      <c r="IK1" s="427"/>
      <c r="IL1" s="427"/>
      <c r="IM1" s="427"/>
      <c r="IN1" s="427"/>
      <c r="IO1" s="427"/>
      <c r="IP1" s="427"/>
      <c r="IQ1" s="427"/>
      <c r="IR1" s="427"/>
      <c r="IS1" s="427"/>
    </row>
    <row r="2" spans="1:253" s="422" customFormat="1" ht="27" customHeight="1">
      <c r="A2" s="434" t="str">
        <f>Sheet2!A2</f>
        <v>看就会立刻就会老客户考虑减</v>
      </c>
      <c r="B2" s="177"/>
      <c r="C2" s="219"/>
      <c r="D2" s="177"/>
      <c r="E2" s="435"/>
      <c r="F2" s="218"/>
      <c r="G2" s="177"/>
      <c r="H2" s="240"/>
      <c r="I2" s="293"/>
      <c r="J2" s="177"/>
      <c r="K2" s="292"/>
      <c r="L2" s="194"/>
      <c r="M2" s="719" t="s">
        <v>94</v>
      </c>
      <c r="N2" s="715"/>
      <c r="O2" s="425"/>
      <c r="P2" s="425"/>
      <c r="Q2" s="425"/>
      <c r="R2" s="425"/>
      <c r="S2" s="425"/>
      <c r="T2" s="425"/>
      <c r="U2" s="425"/>
      <c r="V2" s="425"/>
      <c r="W2" s="425"/>
      <c r="X2" s="425"/>
      <c r="Y2" s="425"/>
      <c r="Z2" s="425"/>
      <c r="AA2" s="425"/>
      <c r="AB2" s="425"/>
      <c r="AC2" s="425"/>
      <c r="AD2" s="425"/>
      <c r="AE2" s="425"/>
      <c r="AF2" s="425"/>
      <c r="AG2" s="425"/>
      <c r="AH2" s="425"/>
      <c r="AI2" s="425"/>
      <c r="AJ2" s="425"/>
      <c r="AK2" s="425"/>
      <c r="AL2" s="425"/>
      <c r="AM2" s="425"/>
      <c r="AN2" s="425"/>
      <c r="AO2" s="425"/>
      <c r="AP2" s="425"/>
      <c r="AQ2" s="425"/>
      <c r="AR2" s="425"/>
      <c r="AS2" s="425"/>
      <c r="AT2" s="425"/>
      <c r="AU2" s="425"/>
      <c r="AV2" s="425"/>
      <c r="AW2" s="425"/>
      <c r="AX2" s="425"/>
      <c r="AY2" s="425"/>
      <c r="AZ2" s="425"/>
      <c r="BA2" s="425"/>
      <c r="BB2" s="425"/>
      <c r="BC2" s="425"/>
      <c r="BD2" s="425"/>
      <c r="BE2" s="425"/>
      <c r="BF2" s="425"/>
      <c r="BG2" s="425"/>
      <c r="BH2" s="425"/>
      <c r="BI2" s="425"/>
      <c r="BJ2" s="425"/>
      <c r="BK2" s="425"/>
      <c r="BL2" s="425"/>
      <c r="BM2" s="425"/>
      <c r="BN2" s="425"/>
      <c r="BO2" s="425"/>
      <c r="BP2" s="425"/>
      <c r="BQ2" s="425"/>
      <c r="BR2" s="425"/>
      <c r="BS2" s="425"/>
      <c r="BT2" s="425"/>
      <c r="BU2" s="425"/>
      <c r="BV2" s="425"/>
      <c r="BW2" s="425"/>
      <c r="BX2" s="425"/>
      <c r="BY2" s="425"/>
      <c r="BZ2" s="425"/>
      <c r="CA2" s="425"/>
      <c r="CB2" s="425"/>
      <c r="CC2" s="425"/>
      <c r="CD2" s="425"/>
      <c r="CE2" s="425"/>
      <c r="CF2" s="425"/>
      <c r="CG2" s="425"/>
      <c r="CH2" s="425"/>
      <c r="CI2" s="425"/>
      <c r="CJ2" s="425"/>
      <c r="CK2" s="425"/>
      <c r="CL2" s="425"/>
      <c r="CM2" s="425"/>
      <c r="CN2" s="425"/>
      <c r="CO2" s="425"/>
      <c r="CP2" s="425"/>
      <c r="CQ2" s="425"/>
      <c r="CR2" s="425"/>
      <c r="CS2" s="425"/>
      <c r="CT2" s="425"/>
      <c r="CU2" s="425"/>
      <c r="CV2" s="425"/>
      <c r="CW2" s="425"/>
      <c r="CX2" s="425"/>
      <c r="CY2" s="425"/>
      <c r="CZ2" s="425"/>
      <c r="DA2" s="425"/>
      <c r="DB2" s="425"/>
      <c r="DC2" s="425"/>
      <c r="DD2" s="425"/>
      <c r="DE2" s="425"/>
      <c r="DF2" s="425"/>
      <c r="DG2" s="425"/>
      <c r="DH2" s="425"/>
      <c r="DI2" s="425"/>
      <c r="DJ2" s="425"/>
      <c r="DK2" s="425"/>
      <c r="DL2" s="425"/>
      <c r="DM2" s="425"/>
      <c r="DN2" s="425"/>
      <c r="DO2" s="425"/>
      <c r="DP2" s="425"/>
      <c r="DQ2" s="425"/>
      <c r="DR2" s="425"/>
      <c r="DS2" s="425"/>
      <c r="DT2" s="425"/>
      <c r="DU2" s="425"/>
      <c r="DV2" s="425"/>
      <c r="DW2" s="425"/>
      <c r="DX2" s="425"/>
      <c r="DY2" s="425"/>
      <c r="DZ2" s="425"/>
      <c r="EA2" s="425"/>
      <c r="EB2" s="425"/>
      <c r="EC2" s="425"/>
      <c r="ED2" s="425"/>
      <c r="EE2" s="425"/>
      <c r="EF2" s="425"/>
      <c r="EG2" s="425"/>
      <c r="EH2" s="425"/>
      <c r="EI2" s="425"/>
      <c r="EJ2" s="425"/>
      <c r="EK2" s="425"/>
      <c r="EL2" s="425"/>
      <c r="EM2" s="425"/>
      <c r="EN2" s="425"/>
      <c r="EO2" s="425"/>
      <c r="EP2" s="425"/>
      <c r="EQ2" s="425"/>
      <c r="ER2" s="425"/>
      <c r="ES2" s="425"/>
      <c r="ET2" s="425"/>
      <c r="EU2" s="425"/>
      <c r="EV2" s="425"/>
      <c r="EW2" s="425"/>
      <c r="EX2" s="425"/>
      <c r="EY2" s="425"/>
      <c r="EZ2" s="425"/>
      <c r="FA2" s="425"/>
      <c r="FB2" s="425"/>
      <c r="FC2" s="425"/>
      <c r="FD2" s="425"/>
      <c r="FE2" s="425"/>
      <c r="FF2" s="425"/>
      <c r="FG2" s="425"/>
      <c r="FH2" s="425"/>
      <c r="FI2" s="425"/>
      <c r="FJ2" s="425"/>
      <c r="FK2" s="425"/>
      <c r="FL2" s="425"/>
      <c r="FM2" s="425"/>
      <c r="FN2" s="425"/>
      <c r="FO2" s="425"/>
      <c r="FP2" s="425"/>
      <c r="FQ2" s="425"/>
      <c r="FR2" s="425"/>
      <c r="FS2" s="425"/>
      <c r="FT2" s="425"/>
      <c r="FU2" s="425"/>
      <c r="FV2" s="425"/>
      <c r="FW2" s="425"/>
      <c r="FX2" s="425"/>
      <c r="FY2" s="425"/>
      <c r="FZ2" s="425"/>
      <c r="GA2" s="425"/>
      <c r="GB2" s="425"/>
      <c r="GC2" s="425"/>
      <c r="GD2" s="425"/>
      <c r="GE2" s="425"/>
      <c r="GF2" s="425"/>
      <c r="GG2" s="425"/>
      <c r="GH2" s="425"/>
      <c r="GI2" s="425"/>
      <c r="GJ2" s="425"/>
      <c r="GK2" s="425"/>
      <c r="GL2" s="425"/>
      <c r="GM2" s="425"/>
      <c r="GN2" s="425"/>
      <c r="GO2" s="425"/>
      <c r="GP2" s="425"/>
      <c r="GQ2" s="425"/>
      <c r="GR2" s="425"/>
      <c r="GS2" s="425"/>
      <c r="GT2" s="425"/>
      <c r="GU2" s="425"/>
      <c r="GV2" s="425"/>
      <c r="GW2" s="425"/>
      <c r="GX2" s="425"/>
      <c r="GY2" s="425"/>
      <c r="GZ2" s="425"/>
      <c r="HA2" s="425"/>
      <c r="HB2" s="425"/>
      <c r="HC2" s="425"/>
      <c r="HD2" s="425"/>
      <c r="HE2" s="425"/>
      <c r="HF2" s="425"/>
      <c r="HG2" s="425"/>
      <c r="HH2" s="425"/>
      <c r="HI2" s="425"/>
      <c r="HJ2" s="425"/>
      <c r="HK2" s="425"/>
      <c r="HL2" s="425"/>
      <c r="HM2" s="425"/>
      <c r="HN2" s="425"/>
      <c r="HO2" s="425"/>
      <c r="HP2" s="425"/>
      <c r="HQ2" s="425"/>
      <c r="HR2" s="425"/>
      <c r="HS2" s="425"/>
      <c r="HT2" s="425"/>
      <c r="HU2" s="425"/>
      <c r="HV2" s="425"/>
      <c r="HW2" s="425"/>
      <c r="HX2" s="425"/>
      <c r="HY2" s="425"/>
      <c r="HZ2" s="425"/>
      <c r="IA2" s="425"/>
      <c r="IB2" s="425"/>
      <c r="IC2" s="425"/>
      <c r="ID2" s="425"/>
      <c r="IE2" s="425"/>
      <c r="IF2" s="425"/>
      <c r="IG2" s="425"/>
      <c r="IH2" s="425"/>
      <c r="II2" s="425"/>
      <c r="IJ2" s="425"/>
      <c r="IK2" s="425"/>
      <c r="IL2" s="425"/>
      <c r="IM2" s="425"/>
      <c r="IN2" s="425"/>
      <c r="IO2" s="425"/>
      <c r="IP2" s="425"/>
      <c r="IQ2" s="425"/>
      <c r="IR2" s="425"/>
      <c r="IS2" s="425"/>
    </row>
    <row r="3" spans="1:253" s="423" customFormat="1" ht="29.25" customHeight="1">
      <c r="A3" s="222" t="s">
        <v>95</v>
      </c>
      <c r="B3" s="154" t="s">
        <v>96</v>
      </c>
      <c r="C3" s="154" t="s">
        <v>96</v>
      </c>
      <c r="D3" s="154" t="s">
        <v>96</v>
      </c>
      <c r="E3" s="154" t="s">
        <v>96</v>
      </c>
      <c r="F3" s="154" t="s">
        <v>96</v>
      </c>
      <c r="G3" s="154" t="s">
        <v>96</v>
      </c>
      <c r="H3" s="154" t="s">
        <v>96</v>
      </c>
      <c r="I3" s="154" t="s">
        <v>96</v>
      </c>
      <c r="J3" s="154" t="s">
        <v>96</v>
      </c>
      <c r="K3" s="154" t="s">
        <v>96</v>
      </c>
      <c r="L3" s="154" t="s">
        <v>96</v>
      </c>
      <c r="M3" s="154" t="s">
        <v>96</v>
      </c>
      <c r="N3" s="154" t="s">
        <v>96</v>
      </c>
    </row>
    <row r="4" spans="1:253" s="423" customFormat="1" ht="21" customHeight="1">
      <c r="A4" s="222"/>
      <c r="B4" s="154">
        <v>1</v>
      </c>
      <c r="C4" s="223">
        <v>2</v>
      </c>
      <c r="D4" s="154">
        <v>3</v>
      </c>
      <c r="E4" s="154">
        <v>4</v>
      </c>
      <c r="F4" s="154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</row>
    <row r="5" spans="1:253" s="424" customFormat="1" ht="26.1" customHeight="1">
      <c r="A5" s="436"/>
      <c r="B5" s="158"/>
      <c r="C5" s="437" t="s">
        <v>97</v>
      </c>
      <c r="D5" s="158"/>
      <c r="E5" s="438"/>
      <c r="F5" s="439"/>
      <c r="G5" s="158"/>
      <c r="H5" s="440">
        <f t="shared" ref="H5:M5" si="0">SUM(H6:H9)</f>
        <v>0</v>
      </c>
      <c r="I5" s="469"/>
      <c r="J5" s="154"/>
      <c r="K5" s="470">
        <f t="shared" si="0"/>
        <v>0</v>
      </c>
      <c r="L5" s="471">
        <f t="shared" si="0"/>
        <v>0</v>
      </c>
      <c r="M5" s="471">
        <f t="shared" si="0"/>
        <v>0</v>
      </c>
      <c r="N5" s="331"/>
    </row>
    <row r="6" spans="1:253" s="425" customFormat="1" ht="59.25" customHeight="1">
      <c r="A6" s="228">
        <v>1</v>
      </c>
      <c r="B6" s="441"/>
      <c r="C6" s="442"/>
      <c r="D6" s="443"/>
      <c r="E6" s="444"/>
      <c r="F6" s="445"/>
      <c r="G6" s="446"/>
      <c r="H6" s="447"/>
      <c r="I6" s="472"/>
      <c r="J6" s="473"/>
      <c r="K6" s="474"/>
      <c r="L6" s="475"/>
      <c r="M6" s="476"/>
      <c r="N6" s="477"/>
      <c r="O6" s="720"/>
    </row>
    <row r="7" spans="1:253" s="425" customFormat="1" ht="116.25" customHeight="1">
      <c r="A7" s="228">
        <v>2</v>
      </c>
      <c r="B7" s="441"/>
      <c r="C7" s="441"/>
      <c r="D7" s="443"/>
      <c r="E7" s="448"/>
      <c r="F7" s="445"/>
      <c r="G7" s="446"/>
      <c r="H7" s="447"/>
      <c r="I7" s="472"/>
      <c r="J7" s="473"/>
      <c r="K7" s="474"/>
      <c r="L7" s="475"/>
      <c r="M7" s="476"/>
      <c r="N7" s="478"/>
      <c r="O7" s="720"/>
    </row>
    <row r="8" spans="1:253" s="425" customFormat="1" ht="51.95" customHeight="1">
      <c r="A8" s="228">
        <v>3</v>
      </c>
      <c r="B8" s="128"/>
      <c r="C8" s="449"/>
      <c r="D8" s="450"/>
      <c r="E8" s="451"/>
      <c r="F8" s="452"/>
      <c r="G8" s="453"/>
      <c r="H8" s="454"/>
      <c r="I8" s="479"/>
      <c r="J8" s="480"/>
      <c r="K8" s="481"/>
      <c r="L8" s="475"/>
      <c r="M8" s="482">
        <f>K8+L8</f>
        <v>0</v>
      </c>
      <c r="N8" s="477"/>
    </row>
    <row r="9" spans="1:253" s="425" customFormat="1" ht="51.95" customHeight="1">
      <c r="A9" s="228">
        <v>4</v>
      </c>
      <c r="B9" s="128"/>
      <c r="C9" s="449"/>
      <c r="D9" s="450"/>
      <c r="E9" s="451"/>
      <c r="F9" s="452"/>
      <c r="G9" s="453"/>
      <c r="H9" s="454"/>
      <c r="I9" s="479"/>
      <c r="J9" s="480"/>
      <c r="K9" s="481"/>
      <c r="L9" s="475"/>
      <c r="M9" s="482">
        <f>K9+L9</f>
        <v>0</v>
      </c>
      <c r="N9" s="477"/>
    </row>
    <row r="10" spans="1:253" s="426" customFormat="1" ht="12">
      <c r="A10" s="455"/>
      <c r="B10" s="456"/>
      <c r="C10" s="457"/>
      <c r="D10" s="456"/>
      <c r="E10" s="458"/>
      <c r="F10" s="459"/>
      <c r="G10" s="459"/>
      <c r="H10" s="460"/>
      <c r="L10" s="460"/>
      <c r="M10" s="460"/>
    </row>
    <row r="11" spans="1:253" s="427" customFormat="1" ht="15">
      <c r="A11" s="425"/>
      <c r="B11" s="461"/>
      <c r="C11" s="462"/>
      <c r="D11" s="463"/>
      <c r="E11" s="464"/>
      <c r="F11" s="463"/>
      <c r="G11" s="463"/>
      <c r="H11" s="465"/>
      <c r="L11" s="483"/>
      <c r="M11" s="483"/>
      <c r="N11" s="484"/>
      <c r="O11" s="425"/>
    </row>
    <row r="12" spans="1:253">
      <c r="A12" s="466"/>
      <c r="B12" s="463"/>
      <c r="C12" s="462"/>
      <c r="D12" s="467"/>
      <c r="E12" s="468"/>
      <c r="F12" s="463"/>
      <c r="L12" s="485"/>
      <c r="M12" s="485"/>
      <c r="N12" s="466"/>
      <c r="O12" s="466"/>
      <c r="P12" s="466"/>
      <c r="Q12" s="466"/>
      <c r="R12" s="466"/>
      <c r="S12" s="466"/>
      <c r="T12" s="466"/>
      <c r="U12" s="466"/>
      <c r="V12" s="466"/>
      <c r="W12" s="466"/>
      <c r="X12" s="466"/>
      <c r="Y12" s="466"/>
      <c r="Z12" s="466"/>
      <c r="AA12" s="466"/>
      <c r="AB12" s="466"/>
      <c r="AC12" s="466"/>
      <c r="AD12" s="466"/>
      <c r="AE12" s="466"/>
      <c r="AF12" s="466"/>
      <c r="AG12" s="466"/>
      <c r="AH12" s="466"/>
      <c r="AI12" s="466"/>
      <c r="AJ12" s="466"/>
      <c r="AK12" s="466"/>
      <c r="AL12" s="466"/>
      <c r="AM12" s="466"/>
      <c r="AN12" s="466"/>
      <c r="AO12" s="466"/>
      <c r="AP12" s="466"/>
      <c r="AQ12" s="466"/>
      <c r="AR12" s="466"/>
      <c r="AS12" s="466"/>
      <c r="AT12" s="466"/>
      <c r="AU12" s="466"/>
      <c r="AV12" s="466"/>
      <c r="AW12" s="466"/>
      <c r="AX12" s="466"/>
      <c r="AY12" s="466"/>
      <c r="AZ12" s="466"/>
      <c r="BA12" s="466"/>
      <c r="BB12" s="466"/>
      <c r="BC12" s="466"/>
      <c r="BD12" s="466"/>
      <c r="BE12" s="466"/>
      <c r="BF12" s="466"/>
      <c r="BG12" s="466"/>
      <c r="BH12" s="466"/>
      <c r="BI12" s="466"/>
      <c r="BJ12" s="466"/>
      <c r="BK12" s="466"/>
      <c r="BL12" s="466"/>
      <c r="BM12" s="466"/>
      <c r="BN12" s="466"/>
      <c r="BO12" s="466"/>
      <c r="BP12" s="466"/>
      <c r="BQ12" s="466"/>
      <c r="BR12" s="466"/>
      <c r="BS12" s="466"/>
      <c r="BT12" s="466"/>
      <c r="BU12" s="466"/>
      <c r="BV12" s="466"/>
      <c r="BW12" s="466"/>
      <c r="BX12" s="466"/>
      <c r="BY12" s="466"/>
      <c r="BZ12" s="466"/>
      <c r="CA12" s="466"/>
      <c r="CB12" s="466"/>
      <c r="CC12" s="466"/>
      <c r="CD12" s="466"/>
      <c r="CE12" s="466"/>
      <c r="CF12" s="466"/>
      <c r="CG12" s="466"/>
      <c r="CH12" s="466"/>
      <c r="CI12" s="466"/>
      <c r="CJ12" s="466"/>
      <c r="CK12" s="466"/>
      <c r="CL12" s="466"/>
      <c r="CM12" s="466"/>
      <c r="CN12" s="466"/>
      <c r="CO12" s="466"/>
      <c r="CP12" s="466"/>
      <c r="CQ12" s="466"/>
      <c r="CR12" s="466"/>
      <c r="CS12" s="466"/>
      <c r="CT12" s="466"/>
      <c r="CU12" s="466"/>
      <c r="CV12" s="466"/>
      <c r="CW12" s="466"/>
      <c r="CX12" s="466"/>
      <c r="CY12" s="466"/>
      <c r="CZ12" s="466"/>
      <c r="DA12" s="466"/>
      <c r="DB12" s="466"/>
      <c r="DC12" s="466"/>
      <c r="DD12" s="466"/>
      <c r="DE12" s="466"/>
      <c r="DF12" s="466"/>
      <c r="DG12" s="466"/>
      <c r="DH12" s="466"/>
      <c r="DI12" s="466"/>
      <c r="DJ12" s="466"/>
      <c r="DK12" s="466"/>
      <c r="DL12" s="466"/>
      <c r="DM12" s="466"/>
      <c r="DN12" s="466"/>
      <c r="DO12" s="466"/>
      <c r="DP12" s="466"/>
      <c r="DQ12" s="466"/>
      <c r="DR12" s="466"/>
      <c r="DS12" s="466"/>
      <c r="DT12" s="466"/>
      <c r="DU12" s="466"/>
      <c r="DV12" s="466"/>
      <c r="DW12" s="466"/>
      <c r="DX12" s="466"/>
      <c r="DY12" s="466"/>
      <c r="DZ12" s="466"/>
      <c r="EA12" s="466"/>
      <c r="EB12" s="466"/>
      <c r="EC12" s="466"/>
      <c r="ED12" s="466"/>
      <c r="EE12" s="466"/>
      <c r="EF12" s="466"/>
      <c r="EG12" s="466"/>
      <c r="EH12" s="466"/>
      <c r="EI12" s="466"/>
      <c r="EJ12" s="466"/>
      <c r="EK12" s="466"/>
      <c r="EL12" s="466"/>
      <c r="EM12" s="466"/>
      <c r="EN12" s="466"/>
      <c r="EO12" s="466"/>
      <c r="EP12" s="466"/>
      <c r="EQ12" s="466"/>
      <c r="ER12" s="466"/>
      <c r="ES12" s="466"/>
      <c r="ET12" s="466"/>
      <c r="EU12" s="466"/>
      <c r="EV12" s="466"/>
      <c r="EW12" s="466"/>
      <c r="EX12" s="466"/>
      <c r="EY12" s="466"/>
      <c r="EZ12" s="466"/>
      <c r="FA12" s="466"/>
      <c r="FB12" s="466"/>
      <c r="FC12" s="466"/>
      <c r="FD12" s="466"/>
      <c r="FE12" s="466"/>
      <c r="FF12" s="466"/>
      <c r="FG12" s="466"/>
      <c r="FH12" s="466"/>
      <c r="FI12" s="466"/>
      <c r="FJ12" s="466"/>
      <c r="FK12" s="466"/>
      <c r="FL12" s="466"/>
      <c r="FM12" s="466"/>
      <c r="FN12" s="466"/>
      <c r="FO12" s="466"/>
      <c r="FP12" s="466"/>
      <c r="FQ12" s="466"/>
      <c r="FR12" s="466"/>
      <c r="FS12" s="466"/>
      <c r="FT12" s="466"/>
      <c r="FU12" s="466"/>
      <c r="FV12" s="466"/>
      <c r="FW12" s="466"/>
      <c r="FX12" s="466"/>
      <c r="FY12" s="466"/>
      <c r="FZ12" s="466"/>
      <c r="GA12" s="466"/>
      <c r="GB12" s="466"/>
      <c r="GC12" s="466"/>
      <c r="GD12" s="466"/>
      <c r="GE12" s="466"/>
      <c r="GF12" s="466"/>
      <c r="GG12" s="466"/>
      <c r="GH12" s="466"/>
      <c r="GI12" s="466"/>
      <c r="GJ12" s="466"/>
      <c r="GK12" s="466"/>
      <c r="GL12" s="466"/>
      <c r="GM12" s="466"/>
      <c r="GN12" s="466"/>
      <c r="GO12" s="466"/>
      <c r="GP12" s="466"/>
      <c r="GQ12" s="466"/>
      <c r="GR12" s="466"/>
      <c r="GS12" s="466"/>
      <c r="GT12" s="466"/>
      <c r="GU12" s="466"/>
      <c r="GV12" s="466"/>
      <c r="GW12" s="466"/>
      <c r="GX12" s="466"/>
      <c r="GY12" s="466"/>
      <c r="GZ12" s="466"/>
      <c r="HA12" s="466"/>
      <c r="HB12" s="466"/>
      <c r="HC12" s="466"/>
      <c r="HD12" s="466"/>
      <c r="HE12" s="466"/>
      <c r="HF12" s="466"/>
      <c r="HG12" s="466"/>
      <c r="HH12" s="466"/>
      <c r="HI12" s="466"/>
      <c r="HJ12" s="466"/>
      <c r="HK12" s="466"/>
      <c r="HL12" s="466"/>
      <c r="HM12" s="466"/>
      <c r="HN12" s="466"/>
      <c r="HO12" s="466"/>
      <c r="HP12" s="466"/>
      <c r="HQ12" s="466"/>
      <c r="HR12" s="466"/>
      <c r="HS12" s="466"/>
      <c r="HT12" s="466"/>
      <c r="HU12" s="466"/>
      <c r="HV12" s="466"/>
      <c r="HW12" s="466"/>
      <c r="HX12" s="466"/>
      <c r="HY12" s="466"/>
      <c r="HZ12" s="466"/>
      <c r="IA12" s="466"/>
      <c r="IB12" s="466"/>
      <c r="IC12" s="466"/>
      <c r="ID12" s="466"/>
      <c r="IE12" s="466"/>
      <c r="IF12" s="466"/>
      <c r="IG12" s="466"/>
      <c r="IH12" s="466"/>
      <c r="II12" s="466"/>
      <c r="IJ12" s="466"/>
      <c r="IK12" s="466"/>
      <c r="IL12" s="466"/>
      <c r="IM12" s="466"/>
      <c r="IN12" s="466"/>
      <c r="IO12" s="466"/>
      <c r="IP12" s="466"/>
      <c r="IQ12" s="466"/>
      <c r="IR12" s="466"/>
    </row>
  </sheetData>
  <mergeCells count="3">
    <mergeCell ref="A1:N1"/>
    <mergeCell ref="M2:N2"/>
    <mergeCell ref="O6:O7"/>
  </mergeCells>
  <phoneticPr fontId="22" type="noConversion"/>
  <dataValidations count="1">
    <dataValidation type="list" allowBlank="1" showInputMessage="1" showErrorMessage="1" sqref="B6:B7">
      <formula1>"地上地下附着物拆迁补偿净支出"</formula1>
    </dataValidation>
  </dataValidations>
  <printOptions horizontalCentered="1"/>
  <pageMargins left="0.50902777777777797" right="0.42916666666666697" top="1.1000000000000001" bottom="0.78888888888888897" header="0.78888888888888897" footer="0.50902777777777797"/>
  <pageSetup paperSize="9" scale="88" firstPageNumber="36" fitToHeight="0" orientation="landscape" useFirstPageNumber="1"/>
  <headerFooter alignWithMargins="0">
    <oddHeader>&amp;R附表9</oddHeader>
    <oddFooter>&amp;C&amp;10&amp;P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workbookViewId="0">
      <pane xSplit="4" ySplit="5" topLeftCell="E18" activePane="bottomRight" state="frozen"/>
      <selection pane="topRight"/>
      <selection pane="bottomLeft"/>
      <selection pane="bottomRight" activeCell="N20" sqref="N20"/>
    </sheetView>
  </sheetViews>
  <sheetFormatPr defaultColWidth="9" defaultRowHeight="15"/>
  <cols>
    <col min="1" max="1" width="3.875" style="377" customWidth="1"/>
    <col min="2" max="2" width="8.125" style="378" customWidth="1"/>
    <col min="3" max="3" width="12.875" style="379" customWidth="1"/>
    <col min="4" max="4" width="7" style="380" customWidth="1"/>
    <col min="5" max="5" width="9.875" style="381" customWidth="1"/>
    <col min="6" max="6" width="7.875" style="379" customWidth="1"/>
    <col min="7" max="7" width="15.75" style="382" customWidth="1"/>
    <col min="8" max="8" width="12" style="383" customWidth="1"/>
    <col min="9" max="9" width="12.875" style="384" customWidth="1"/>
    <col min="10" max="10" width="12.25" style="385" customWidth="1"/>
    <col min="11" max="11" width="12.125" style="386" customWidth="1"/>
    <col min="12" max="12" width="12.875" style="386" customWidth="1"/>
    <col min="13" max="13" width="11.25" style="386" customWidth="1"/>
    <col min="14" max="14" width="12.25" style="380" customWidth="1"/>
    <col min="15" max="15" width="9" style="387" hidden="1" customWidth="1"/>
    <col min="16" max="16" width="9" style="377" hidden="1" customWidth="1"/>
    <col min="17" max="17" width="9.125" style="380" hidden="1" customWidth="1"/>
    <col min="18" max="18" width="9" style="377" hidden="1" customWidth="1"/>
    <col min="19" max="19" width="10.125" style="380" hidden="1" customWidth="1"/>
    <col min="20" max="16384" width="9" style="377"/>
  </cols>
  <sheetData>
    <row r="1" spans="1:19" ht="24">
      <c r="A1" s="780" t="s">
        <v>526</v>
      </c>
      <c r="B1" s="722"/>
      <c r="C1" s="723"/>
      <c r="D1" s="721"/>
      <c r="E1" s="721"/>
      <c r="F1" s="721"/>
      <c r="G1" s="721"/>
      <c r="H1" s="724"/>
      <c r="I1" s="721"/>
      <c r="J1" s="721"/>
      <c r="K1" s="721"/>
      <c r="L1" s="721"/>
      <c r="M1" s="721"/>
      <c r="N1" s="721"/>
    </row>
    <row r="2" spans="1:19" s="373" customFormat="1" ht="12.75">
      <c r="A2" s="725" t="str">
        <f>Sheet2!A2</f>
        <v>看就会立刻就会老客户考虑减</v>
      </c>
      <c r="B2" s="726"/>
      <c r="C2" s="727"/>
      <c r="D2" s="728"/>
      <c r="E2" s="725"/>
      <c r="F2" s="388"/>
      <c r="G2" s="388"/>
      <c r="H2" s="389"/>
      <c r="I2" s="388"/>
      <c r="J2" s="239"/>
      <c r="K2" s="294"/>
      <c r="L2" s="404"/>
      <c r="M2" s="294" t="s">
        <v>94</v>
      </c>
      <c r="N2" s="379"/>
      <c r="O2" s="405"/>
      <c r="Q2" s="379"/>
      <c r="S2" s="379"/>
    </row>
    <row r="3" spans="1:19" s="374" customFormat="1" ht="72">
      <c r="A3" s="782" t="s">
        <v>531</v>
      </c>
      <c r="B3" s="782" t="s">
        <v>531</v>
      </c>
      <c r="C3" s="782" t="s">
        <v>531</v>
      </c>
      <c r="D3" s="782" t="s">
        <v>531</v>
      </c>
      <c r="E3" s="782" t="s">
        <v>531</v>
      </c>
      <c r="F3" s="782" t="s">
        <v>531</v>
      </c>
      <c r="G3" s="782" t="s">
        <v>531</v>
      </c>
      <c r="H3" s="782" t="s">
        <v>531</v>
      </c>
      <c r="I3" s="782" t="s">
        <v>531</v>
      </c>
      <c r="J3" s="782" t="s">
        <v>531</v>
      </c>
      <c r="K3" s="782" t="s">
        <v>531</v>
      </c>
      <c r="L3" s="782" t="s">
        <v>531</v>
      </c>
      <c r="M3" s="782" t="s">
        <v>531</v>
      </c>
      <c r="N3" s="782" t="s">
        <v>531</v>
      </c>
      <c r="O3" s="407"/>
      <c r="Q3" s="419"/>
      <c r="S3" s="419"/>
    </row>
    <row r="4" spans="1:19" s="374" customFormat="1" ht="12.75">
      <c r="A4" s="390"/>
      <c r="B4" s="391">
        <v>1</v>
      </c>
      <c r="C4" s="392">
        <v>2</v>
      </c>
      <c r="D4" s="392">
        <v>3</v>
      </c>
      <c r="E4" s="392">
        <v>4</v>
      </c>
      <c r="F4" s="392">
        <v>5</v>
      </c>
      <c r="G4" s="392">
        <v>6</v>
      </c>
      <c r="H4" s="392">
        <v>7</v>
      </c>
      <c r="I4" s="392">
        <v>8</v>
      </c>
      <c r="J4" s="406">
        <v>9</v>
      </c>
      <c r="K4" s="406">
        <v>10</v>
      </c>
      <c r="L4" s="406">
        <v>11</v>
      </c>
      <c r="M4" s="406">
        <v>12</v>
      </c>
      <c r="N4" s="392">
        <v>13</v>
      </c>
      <c r="O4" s="407"/>
      <c r="Q4" s="419"/>
      <c r="S4" s="419"/>
    </row>
    <row r="5" spans="1:19" s="375" customFormat="1" ht="12.75">
      <c r="A5" s="393"/>
      <c r="B5" s="394"/>
      <c r="C5" s="395" t="s">
        <v>114</v>
      </c>
      <c r="D5" s="395"/>
      <c r="E5" s="396"/>
      <c r="F5" s="395"/>
      <c r="G5" s="395"/>
      <c r="H5" s="397">
        <f t="shared" ref="H5:M5" si="0">SUM(H6:H20)</f>
        <v>2386959.7399999998</v>
      </c>
      <c r="I5" s="408"/>
      <c r="J5" s="409"/>
      <c r="K5" s="397">
        <f t="shared" si="0"/>
        <v>2386959.7399999998</v>
      </c>
      <c r="L5" s="397">
        <f t="shared" si="0"/>
        <v>0</v>
      </c>
      <c r="M5" s="397">
        <f t="shared" si="0"/>
        <v>2386959.7399999998</v>
      </c>
      <c r="N5" s="408"/>
      <c r="O5" s="410"/>
      <c r="Q5" s="420"/>
      <c r="S5" s="420"/>
    </row>
    <row r="6" spans="1:19" s="376" customFormat="1" ht="12.75">
      <c r="A6" s="398">
        <v>1</v>
      </c>
      <c r="B6" s="359" t="s">
        <v>46</v>
      </c>
      <c r="C6" s="168" t="s">
        <v>527</v>
      </c>
      <c r="D6" s="399" t="s">
        <v>115</v>
      </c>
      <c r="E6" s="167">
        <v>40261</v>
      </c>
      <c r="F6" s="781" t="s">
        <v>528</v>
      </c>
      <c r="G6" s="172" t="s">
        <v>529</v>
      </c>
      <c r="H6" s="232">
        <v>294401.88</v>
      </c>
      <c r="I6" s="411" t="s">
        <v>530</v>
      </c>
      <c r="J6" s="260" t="s">
        <v>116</v>
      </c>
      <c r="K6" s="232">
        <v>294401.88</v>
      </c>
      <c r="L6" s="412"/>
      <c r="M6" s="412">
        <f>K6+L6</f>
        <v>294401.88</v>
      </c>
      <c r="N6" s="413"/>
      <c r="O6" s="414" t="s">
        <v>117</v>
      </c>
      <c r="Q6" s="414" t="s">
        <v>118</v>
      </c>
      <c r="S6" s="421"/>
    </row>
    <row r="7" spans="1:19" s="376" customFormat="1" ht="24">
      <c r="A7" s="398">
        <v>2</v>
      </c>
      <c r="B7" s="359" t="s">
        <v>47</v>
      </c>
      <c r="C7" s="168" t="s">
        <v>527</v>
      </c>
      <c r="D7" s="399" t="s">
        <v>115</v>
      </c>
      <c r="E7" s="167">
        <v>40325</v>
      </c>
      <c r="F7" s="781" t="s">
        <v>528</v>
      </c>
      <c r="G7" s="172" t="s">
        <v>529</v>
      </c>
      <c r="H7" s="232">
        <v>5000</v>
      </c>
      <c r="I7" s="411" t="s">
        <v>530</v>
      </c>
      <c r="J7" s="260" t="s">
        <v>119</v>
      </c>
      <c r="K7" s="232">
        <v>5000</v>
      </c>
      <c r="L7" s="412"/>
      <c r="M7" s="412">
        <f t="shared" ref="M7:M20" si="1">K7+L7</f>
        <v>5000</v>
      </c>
      <c r="N7" s="413"/>
      <c r="O7" s="414" t="s">
        <v>117</v>
      </c>
      <c r="Q7" s="414" t="s">
        <v>100</v>
      </c>
      <c r="S7" s="421"/>
    </row>
    <row r="8" spans="1:19" s="376" customFormat="1" ht="24">
      <c r="A8" s="398">
        <v>3</v>
      </c>
      <c r="B8" s="359" t="s">
        <v>52</v>
      </c>
      <c r="C8" s="168" t="s">
        <v>527</v>
      </c>
      <c r="D8" s="399" t="s">
        <v>115</v>
      </c>
      <c r="E8" s="167">
        <v>40385</v>
      </c>
      <c r="F8" s="781" t="s">
        <v>528</v>
      </c>
      <c r="G8" s="172" t="s">
        <v>529</v>
      </c>
      <c r="H8" s="232">
        <v>17936</v>
      </c>
      <c r="I8" s="411" t="s">
        <v>530</v>
      </c>
      <c r="J8" s="260" t="s">
        <v>120</v>
      </c>
      <c r="K8" s="232">
        <v>17936</v>
      </c>
      <c r="L8" s="412"/>
      <c r="M8" s="412">
        <f t="shared" si="1"/>
        <v>17936</v>
      </c>
      <c r="N8" s="415"/>
      <c r="O8" s="414" t="s">
        <v>117</v>
      </c>
      <c r="Q8" s="414" t="s">
        <v>100</v>
      </c>
      <c r="S8" s="421"/>
    </row>
    <row r="9" spans="1:19" s="376" customFormat="1" ht="36">
      <c r="A9" s="398">
        <v>4</v>
      </c>
      <c r="B9" s="359" t="s">
        <v>47</v>
      </c>
      <c r="C9" s="168" t="s">
        <v>527</v>
      </c>
      <c r="D9" s="399" t="s">
        <v>115</v>
      </c>
      <c r="E9" s="167">
        <v>40387</v>
      </c>
      <c r="F9" s="781" t="s">
        <v>528</v>
      </c>
      <c r="G9" s="172" t="s">
        <v>529</v>
      </c>
      <c r="H9" s="232">
        <v>424660.5</v>
      </c>
      <c r="I9" s="411" t="s">
        <v>530</v>
      </c>
      <c r="J9" s="260" t="s">
        <v>121</v>
      </c>
      <c r="K9" s="232">
        <v>424660.5</v>
      </c>
      <c r="L9" s="412"/>
      <c r="M9" s="412">
        <f t="shared" si="1"/>
        <v>424660.5</v>
      </c>
      <c r="N9" s="415"/>
      <c r="O9" s="414" t="s">
        <v>117</v>
      </c>
      <c r="Q9" s="414" t="s">
        <v>100</v>
      </c>
      <c r="R9" s="414" t="s">
        <v>122</v>
      </c>
      <c r="S9" s="414" t="s">
        <v>123</v>
      </c>
    </row>
    <row r="10" spans="1:19" s="376" customFormat="1" ht="24">
      <c r="A10" s="398">
        <v>5</v>
      </c>
      <c r="B10" s="359" t="s">
        <v>47</v>
      </c>
      <c r="C10" s="168" t="s">
        <v>527</v>
      </c>
      <c r="D10" s="399" t="s">
        <v>115</v>
      </c>
      <c r="E10" s="167">
        <v>40477</v>
      </c>
      <c r="F10" s="781" t="s">
        <v>528</v>
      </c>
      <c r="G10" s="172" t="s">
        <v>529</v>
      </c>
      <c r="H10" s="232">
        <v>30000</v>
      </c>
      <c r="I10" s="411" t="s">
        <v>530</v>
      </c>
      <c r="J10" s="260" t="s">
        <v>124</v>
      </c>
      <c r="K10" s="232">
        <v>30000</v>
      </c>
      <c r="L10" s="412"/>
      <c r="M10" s="412">
        <f t="shared" si="1"/>
        <v>30000</v>
      </c>
      <c r="N10" s="415"/>
      <c r="O10" s="414" t="s">
        <v>117</v>
      </c>
      <c r="Q10" s="414" t="s">
        <v>100</v>
      </c>
      <c r="S10" s="421"/>
    </row>
    <row r="11" spans="1:19" s="376" customFormat="1" ht="24">
      <c r="A11" s="398">
        <v>6</v>
      </c>
      <c r="B11" s="359" t="s">
        <v>51</v>
      </c>
      <c r="C11" s="168" t="s">
        <v>527</v>
      </c>
      <c r="D11" s="399" t="s">
        <v>115</v>
      </c>
      <c r="E11" s="167">
        <v>40477</v>
      </c>
      <c r="F11" s="781" t="s">
        <v>528</v>
      </c>
      <c r="G11" s="172" t="s">
        <v>529</v>
      </c>
      <c r="H11" s="232">
        <v>4200</v>
      </c>
      <c r="I11" s="411" t="s">
        <v>530</v>
      </c>
      <c r="J11" s="260" t="s">
        <v>125</v>
      </c>
      <c r="K11" s="232">
        <v>4200</v>
      </c>
      <c r="L11" s="412"/>
      <c r="M11" s="412">
        <f t="shared" si="1"/>
        <v>4200</v>
      </c>
      <c r="N11" s="413"/>
      <c r="O11" s="414" t="s">
        <v>117</v>
      </c>
      <c r="Q11" s="414" t="s">
        <v>100</v>
      </c>
      <c r="S11" s="421"/>
    </row>
    <row r="12" spans="1:19" s="376" customFormat="1" ht="24">
      <c r="A12" s="398">
        <v>7</v>
      </c>
      <c r="B12" s="359" t="s">
        <v>52</v>
      </c>
      <c r="C12" s="168" t="s">
        <v>527</v>
      </c>
      <c r="D12" s="399" t="s">
        <v>115</v>
      </c>
      <c r="E12" s="167">
        <v>40506</v>
      </c>
      <c r="F12" s="781" t="s">
        <v>528</v>
      </c>
      <c r="G12" s="172" t="s">
        <v>529</v>
      </c>
      <c r="H12" s="232">
        <v>7000</v>
      </c>
      <c r="I12" s="411" t="s">
        <v>530</v>
      </c>
      <c r="J12" s="260" t="s">
        <v>126</v>
      </c>
      <c r="K12" s="232">
        <v>7000</v>
      </c>
      <c r="L12" s="412"/>
      <c r="M12" s="412">
        <f t="shared" si="1"/>
        <v>7000</v>
      </c>
      <c r="N12" s="413"/>
      <c r="O12" s="414" t="s">
        <v>117</v>
      </c>
      <c r="Q12" s="414" t="s">
        <v>100</v>
      </c>
      <c r="S12" s="414" t="s">
        <v>127</v>
      </c>
    </row>
    <row r="13" spans="1:19" s="376" customFormat="1" ht="49.5">
      <c r="A13" s="398">
        <v>8</v>
      </c>
      <c r="B13" s="359" t="s">
        <v>46</v>
      </c>
      <c r="C13" s="168" t="s">
        <v>527</v>
      </c>
      <c r="D13" s="399" t="s">
        <v>115</v>
      </c>
      <c r="E13" s="167">
        <v>40543</v>
      </c>
      <c r="F13" s="781" t="s">
        <v>528</v>
      </c>
      <c r="G13" s="172" t="s">
        <v>529</v>
      </c>
      <c r="H13" s="232">
        <v>1327730.3999999999</v>
      </c>
      <c r="I13" s="411" t="s">
        <v>530</v>
      </c>
      <c r="J13" s="260" t="s">
        <v>128</v>
      </c>
      <c r="K13" s="232">
        <v>1327730.3999999999</v>
      </c>
      <c r="L13" s="412"/>
      <c r="M13" s="412">
        <f t="shared" si="1"/>
        <v>1327730.3999999999</v>
      </c>
      <c r="N13" s="413"/>
      <c r="O13" s="414" t="s">
        <v>117</v>
      </c>
      <c r="Q13" s="414" t="s">
        <v>100</v>
      </c>
      <c r="R13" s="421" t="s">
        <v>129</v>
      </c>
      <c r="S13" s="414" t="s">
        <v>130</v>
      </c>
    </row>
    <row r="14" spans="1:19" s="376" customFormat="1" ht="24">
      <c r="A14" s="398">
        <v>9</v>
      </c>
      <c r="B14" s="359" t="s">
        <v>47</v>
      </c>
      <c r="C14" s="168" t="s">
        <v>527</v>
      </c>
      <c r="D14" s="399" t="s">
        <v>131</v>
      </c>
      <c r="E14" s="167">
        <v>40631</v>
      </c>
      <c r="F14" s="781" t="s">
        <v>528</v>
      </c>
      <c r="G14" s="172" t="s">
        <v>529</v>
      </c>
      <c r="H14" s="232">
        <v>53268</v>
      </c>
      <c r="I14" s="411" t="s">
        <v>530</v>
      </c>
      <c r="J14" s="416" t="s">
        <v>132</v>
      </c>
      <c r="K14" s="232">
        <v>53268</v>
      </c>
      <c r="L14" s="412"/>
      <c r="M14" s="412">
        <f t="shared" si="1"/>
        <v>53268</v>
      </c>
      <c r="N14" s="417"/>
      <c r="O14" s="414" t="s">
        <v>117</v>
      </c>
      <c r="Q14" s="414" t="s">
        <v>100</v>
      </c>
      <c r="S14" s="414" t="s">
        <v>127</v>
      </c>
    </row>
    <row r="15" spans="1:19" s="376" customFormat="1" ht="12.75">
      <c r="A15" s="398">
        <v>10</v>
      </c>
      <c r="B15" s="359" t="s">
        <v>46</v>
      </c>
      <c r="C15" s="168" t="s">
        <v>527</v>
      </c>
      <c r="D15" s="399" t="s">
        <v>115</v>
      </c>
      <c r="E15" s="167">
        <v>40715</v>
      </c>
      <c r="F15" s="781" t="s">
        <v>528</v>
      </c>
      <c r="G15" s="172" t="s">
        <v>529</v>
      </c>
      <c r="H15" s="232">
        <v>13474.8</v>
      </c>
      <c r="I15" s="411" t="s">
        <v>530</v>
      </c>
      <c r="J15" s="260" t="s">
        <v>133</v>
      </c>
      <c r="K15" s="232">
        <v>13474.8</v>
      </c>
      <c r="L15" s="412"/>
      <c r="M15" s="412">
        <f t="shared" si="1"/>
        <v>13474.8</v>
      </c>
      <c r="N15" s="417"/>
      <c r="O15" s="414" t="s">
        <v>117</v>
      </c>
      <c r="Q15" s="414" t="s">
        <v>100</v>
      </c>
      <c r="S15" s="421"/>
    </row>
    <row r="16" spans="1:19" s="376" customFormat="1" ht="24">
      <c r="A16" s="398">
        <v>11</v>
      </c>
      <c r="B16" s="359" t="s">
        <v>52</v>
      </c>
      <c r="C16" s="168" t="s">
        <v>527</v>
      </c>
      <c r="D16" s="399" t="s">
        <v>115</v>
      </c>
      <c r="E16" s="167">
        <v>40736</v>
      </c>
      <c r="F16" s="781" t="s">
        <v>528</v>
      </c>
      <c r="G16" s="172" t="s">
        <v>529</v>
      </c>
      <c r="H16" s="232">
        <v>17972.39</v>
      </c>
      <c r="I16" s="411" t="s">
        <v>530</v>
      </c>
      <c r="J16" s="260" t="s">
        <v>134</v>
      </c>
      <c r="K16" s="232">
        <v>17972.39</v>
      </c>
      <c r="L16" s="412"/>
      <c r="M16" s="412">
        <f t="shared" si="1"/>
        <v>17972.39</v>
      </c>
      <c r="N16" s="417"/>
      <c r="O16" s="414" t="s">
        <v>117</v>
      </c>
      <c r="Q16" s="414" t="s">
        <v>100</v>
      </c>
      <c r="S16" s="421"/>
    </row>
    <row r="17" spans="1:19" s="376" customFormat="1" ht="24">
      <c r="A17" s="398">
        <v>12</v>
      </c>
      <c r="B17" s="359" t="s">
        <v>47</v>
      </c>
      <c r="C17" s="168" t="s">
        <v>527</v>
      </c>
      <c r="D17" s="399" t="s">
        <v>115</v>
      </c>
      <c r="E17" s="167">
        <v>40807</v>
      </c>
      <c r="F17" s="781" t="s">
        <v>528</v>
      </c>
      <c r="G17" s="172" t="s">
        <v>529</v>
      </c>
      <c r="H17" s="232">
        <v>70000</v>
      </c>
      <c r="I17" s="411" t="s">
        <v>530</v>
      </c>
      <c r="J17" s="260" t="s">
        <v>135</v>
      </c>
      <c r="K17" s="232">
        <v>70000</v>
      </c>
      <c r="L17" s="412"/>
      <c r="M17" s="412">
        <f t="shared" si="1"/>
        <v>70000</v>
      </c>
      <c r="N17" s="417"/>
      <c r="O17" s="414" t="s">
        <v>117</v>
      </c>
      <c r="Q17" s="414" t="s">
        <v>100</v>
      </c>
      <c r="S17" s="421"/>
    </row>
    <row r="18" spans="1:19" s="376" customFormat="1" ht="49.5">
      <c r="A18" s="398">
        <v>13</v>
      </c>
      <c r="B18" s="359" t="s">
        <v>52</v>
      </c>
      <c r="C18" s="168" t="s">
        <v>527</v>
      </c>
      <c r="D18" s="399" t="s">
        <v>136</v>
      </c>
      <c r="E18" s="401">
        <v>41060</v>
      </c>
      <c r="F18" s="781" t="s">
        <v>528</v>
      </c>
      <c r="G18" s="172" t="s">
        <v>529</v>
      </c>
      <c r="H18" s="402">
        <v>40056.980000000003</v>
      </c>
      <c r="I18" s="411" t="s">
        <v>530</v>
      </c>
      <c r="J18" s="260"/>
      <c r="K18" s="402">
        <v>40056.980000000003</v>
      </c>
      <c r="L18" s="418"/>
      <c r="M18" s="412">
        <f t="shared" si="1"/>
        <v>40056.980000000003</v>
      </c>
      <c r="N18" s="417" t="s">
        <v>532</v>
      </c>
      <c r="O18" s="414" t="s">
        <v>117</v>
      </c>
      <c r="Q18" s="414" t="s">
        <v>137</v>
      </c>
      <c r="R18" s="421" t="s">
        <v>138</v>
      </c>
      <c r="S18" s="421"/>
    </row>
    <row r="19" spans="1:19" s="376" customFormat="1" ht="36">
      <c r="A19" s="398">
        <v>14</v>
      </c>
      <c r="B19" s="403" t="s">
        <v>47</v>
      </c>
      <c r="C19" s="168" t="s">
        <v>527</v>
      </c>
      <c r="D19" s="399" t="s">
        <v>136</v>
      </c>
      <c r="E19" s="401">
        <v>41264</v>
      </c>
      <c r="F19" s="781" t="s">
        <v>528</v>
      </c>
      <c r="G19" s="172" t="s">
        <v>529</v>
      </c>
      <c r="H19" s="402">
        <v>34074.29</v>
      </c>
      <c r="I19" s="411" t="s">
        <v>530</v>
      </c>
      <c r="J19" s="260"/>
      <c r="K19" s="402">
        <v>34074.29</v>
      </c>
      <c r="L19" s="418"/>
      <c r="M19" s="412">
        <f t="shared" si="1"/>
        <v>34074.29</v>
      </c>
      <c r="N19" s="417">
        <v>89798</v>
      </c>
      <c r="O19" s="414" t="s">
        <v>117</v>
      </c>
      <c r="Q19" s="414" t="s">
        <v>137</v>
      </c>
      <c r="R19" s="414" t="s">
        <v>139</v>
      </c>
      <c r="S19" s="421"/>
    </row>
    <row r="20" spans="1:19" s="376" customFormat="1" ht="24">
      <c r="A20" s="398">
        <v>15</v>
      </c>
      <c r="B20" s="403" t="s">
        <v>47</v>
      </c>
      <c r="C20" s="168" t="s">
        <v>527</v>
      </c>
      <c r="D20" s="399" t="s">
        <v>115</v>
      </c>
      <c r="E20" s="401">
        <v>41264</v>
      </c>
      <c r="F20" s="781" t="s">
        <v>528</v>
      </c>
      <c r="G20" s="172" t="s">
        <v>529</v>
      </c>
      <c r="H20" s="402">
        <v>47184.5</v>
      </c>
      <c r="I20" s="411" t="s">
        <v>530</v>
      </c>
      <c r="J20" s="260" t="s">
        <v>141</v>
      </c>
      <c r="K20" s="402">
        <v>47184.5</v>
      </c>
      <c r="L20" s="412"/>
      <c r="M20" s="412">
        <f t="shared" si="1"/>
        <v>47184.5</v>
      </c>
      <c r="N20" s="417"/>
      <c r="O20" s="414" t="s">
        <v>117</v>
      </c>
      <c r="Q20" s="414" t="s">
        <v>100</v>
      </c>
      <c r="S20" s="421"/>
    </row>
  </sheetData>
  <autoFilter ref="A3:N20"/>
  <mergeCells count="2">
    <mergeCell ref="A1:N1"/>
    <mergeCell ref="A2:E2"/>
  </mergeCells>
  <phoneticPr fontId="22" type="noConversion"/>
  <dataValidations count="1">
    <dataValidation type="list" allowBlank="1" showInputMessage="1" showErrorMessage="1" sqref="B5:B20">
      <formula1>"规划费用,设计费用,项目可行性研究费用,水文费用,地质费用,勘探费用,测绘费用,七通一平支出,其他前期工程费"</formula1>
    </dataValidation>
  </dataValidations>
  <printOptions horizontalCentered="1"/>
  <pageMargins left="0.55000000000000004" right="0.50902777777777797" top="0.82986111111111105" bottom="0.66944444444444495" header="0.58888888888888902" footer="0.42916666666666697"/>
  <pageSetup paperSize="9" scale="84" fitToHeight="0" orientation="landscape"/>
  <headerFooter alignWithMargins="0">
    <oddHeader>&amp;R附表10</oddHeader>
    <oddFooter>&amp;C&amp;10&amp;P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"/>
  <sheetViews>
    <sheetView zoomScale="85" zoomScaleNormal="85" workbookViewId="0">
      <pane xSplit="4" ySplit="4" topLeftCell="F5" activePane="bottomRight" state="frozen"/>
      <selection pane="topRight"/>
      <selection pane="bottomLeft"/>
      <selection pane="bottomRight" activeCell="G18" sqref="G18"/>
    </sheetView>
  </sheetViews>
  <sheetFormatPr defaultColWidth="9" defaultRowHeight="14.25"/>
  <cols>
    <col min="1" max="1" width="6.375" style="350" customWidth="1"/>
    <col min="2" max="2" width="8.5" style="346" customWidth="1"/>
    <col min="3" max="3" width="17.25" style="346" customWidth="1"/>
    <col min="4" max="4" width="10.125" style="346" customWidth="1"/>
    <col min="5" max="5" width="15.375" style="351" customWidth="1"/>
    <col min="6" max="6" width="12.125" style="352" customWidth="1"/>
    <col min="7" max="7" width="11.25" style="352" customWidth="1"/>
    <col min="8" max="8" width="11.375" style="353" customWidth="1"/>
    <col min="9" max="9" width="8.375" style="353" customWidth="1"/>
    <col min="10" max="10" width="9.375" style="346" customWidth="1"/>
    <col min="11" max="11" width="11.625" style="353" customWidth="1"/>
    <col min="12" max="12" width="11.25" style="353" customWidth="1"/>
    <col min="13" max="14" width="13.125" style="353" customWidth="1"/>
    <col min="15" max="15" width="8.25" style="353" customWidth="1"/>
    <col min="16" max="16" width="11.5" style="353" customWidth="1"/>
    <col min="17" max="17" width="11.625" style="346" customWidth="1"/>
    <col min="18" max="18" width="7.75" style="346" customWidth="1"/>
    <col min="19" max="16384" width="9" style="350"/>
  </cols>
  <sheetData>
    <row r="1" spans="1:18" s="346" customFormat="1" ht="35.25" customHeight="1">
      <c r="A1" s="729" t="s">
        <v>658</v>
      </c>
      <c r="B1" s="729"/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</row>
    <row r="2" spans="1:18" s="347" customFormat="1" ht="21.95" customHeight="1">
      <c r="A2" s="730" t="str">
        <f>Sheet2!A2</f>
        <v>看就会立刻就会老客户考虑减</v>
      </c>
      <c r="B2" s="730"/>
      <c r="C2" s="730"/>
      <c r="D2" s="730"/>
      <c r="E2" s="730"/>
      <c r="F2" s="730"/>
      <c r="G2" s="730"/>
      <c r="H2" s="730"/>
      <c r="I2" s="730"/>
      <c r="J2" s="730"/>
      <c r="K2" s="365"/>
      <c r="L2" s="365"/>
      <c r="M2" s="365"/>
      <c r="N2" s="365"/>
      <c r="O2" s="365"/>
      <c r="P2" s="365"/>
      <c r="Q2" s="369" t="s">
        <v>32</v>
      </c>
      <c r="R2" s="370"/>
    </row>
    <row r="3" spans="1:18" s="348" customFormat="1" ht="24">
      <c r="A3" s="354" t="s">
        <v>534</v>
      </c>
      <c r="B3" s="354" t="s">
        <v>534</v>
      </c>
      <c r="C3" s="354" t="s">
        <v>534</v>
      </c>
      <c r="D3" s="354" t="s">
        <v>534</v>
      </c>
      <c r="E3" s="354" t="s">
        <v>534</v>
      </c>
      <c r="F3" s="354" t="s">
        <v>534</v>
      </c>
      <c r="G3" s="354" t="s">
        <v>534</v>
      </c>
      <c r="H3" s="354" t="s">
        <v>534</v>
      </c>
      <c r="I3" s="354" t="s">
        <v>534</v>
      </c>
      <c r="J3" s="354" t="s">
        <v>534</v>
      </c>
      <c r="K3" s="354" t="s">
        <v>534</v>
      </c>
      <c r="L3" s="354" t="s">
        <v>534</v>
      </c>
      <c r="M3" s="354" t="s">
        <v>534</v>
      </c>
      <c r="N3" s="354" t="s">
        <v>534</v>
      </c>
      <c r="O3" s="354" t="s">
        <v>534</v>
      </c>
      <c r="P3" s="354" t="s">
        <v>534</v>
      </c>
      <c r="Q3" s="354" t="s">
        <v>534</v>
      </c>
      <c r="R3" s="354" t="s">
        <v>534</v>
      </c>
    </row>
    <row r="4" spans="1:18" s="347" customFormat="1" ht="31.5" customHeight="1">
      <c r="A4" s="356"/>
      <c r="B4" s="357"/>
      <c r="C4" s="357" t="s">
        <v>35</v>
      </c>
      <c r="D4" s="357"/>
      <c r="E4" s="357"/>
      <c r="F4" s="358">
        <f t="shared" ref="F4:Q4" si="0">SUM(F5:F9)</f>
        <v>390073</v>
      </c>
      <c r="G4" s="358">
        <f t="shared" si="0"/>
        <v>152108.39000000001</v>
      </c>
      <c r="H4" s="358">
        <f t="shared" si="0"/>
        <v>152108.39000000001</v>
      </c>
      <c r="I4" s="297">
        <f t="shared" si="0"/>
        <v>0</v>
      </c>
      <c r="J4" s="297">
        <f t="shared" si="0"/>
        <v>0</v>
      </c>
      <c r="K4" s="297">
        <f t="shared" si="0"/>
        <v>390073</v>
      </c>
      <c r="L4" s="297">
        <f t="shared" si="0"/>
        <v>0</v>
      </c>
      <c r="M4" s="297">
        <f t="shared" si="0"/>
        <v>-237964.61</v>
      </c>
      <c r="N4" s="297">
        <f t="shared" si="0"/>
        <v>-237964.61</v>
      </c>
      <c r="O4" s="297">
        <f t="shared" si="0"/>
        <v>0</v>
      </c>
      <c r="P4" s="297">
        <f t="shared" si="0"/>
        <v>145073</v>
      </c>
      <c r="Q4" s="297">
        <f t="shared" si="0"/>
        <v>0</v>
      </c>
      <c r="R4" s="371"/>
    </row>
    <row r="5" spans="1:18" s="285" customFormat="1" ht="36.75" customHeight="1">
      <c r="A5" s="359"/>
      <c r="B5" s="359" t="s">
        <v>51</v>
      </c>
      <c r="C5" s="168" t="s">
        <v>533</v>
      </c>
      <c r="D5" s="298">
        <v>40288</v>
      </c>
      <c r="E5" s="260" t="s">
        <v>142</v>
      </c>
      <c r="F5" s="360">
        <v>4200</v>
      </c>
      <c r="G5" s="361">
        <v>4200</v>
      </c>
      <c r="H5" s="361">
        <v>4200</v>
      </c>
      <c r="I5" s="308"/>
      <c r="J5" s="303"/>
      <c r="K5" s="308">
        <f t="shared" ref="K5:K10" si="1">F5</f>
        <v>4200</v>
      </c>
      <c r="L5" s="297">
        <f t="shared" ref="L5:L10" si="2">F5-K5</f>
        <v>0</v>
      </c>
      <c r="M5" s="297">
        <f t="shared" ref="M5:M10" si="3">G5-K5</f>
        <v>0</v>
      </c>
      <c r="N5" s="297">
        <f t="shared" ref="N5:N10" si="4">H5-K5</f>
        <v>0</v>
      </c>
      <c r="O5" s="297"/>
      <c r="P5" s="366">
        <v>4200</v>
      </c>
      <c r="Q5" s="308">
        <f t="shared" ref="Q5:Q10" si="5">G5-P5</f>
        <v>0</v>
      </c>
      <c r="R5" s="371"/>
    </row>
    <row r="6" spans="1:18" s="285" customFormat="1" ht="42.95" customHeight="1">
      <c r="A6" s="362"/>
      <c r="B6" s="359" t="s">
        <v>52</v>
      </c>
      <c r="C6" s="168" t="s">
        <v>533</v>
      </c>
      <c r="D6" s="298">
        <v>40357</v>
      </c>
      <c r="E6" s="260" t="s">
        <v>143</v>
      </c>
      <c r="F6" s="360">
        <v>35873</v>
      </c>
      <c r="G6" s="361">
        <v>42908.39</v>
      </c>
      <c r="H6" s="361">
        <v>42908.39</v>
      </c>
      <c r="I6" s="308"/>
      <c r="J6" s="303"/>
      <c r="K6" s="308">
        <f t="shared" si="1"/>
        <v>35873</v>
      </c>
      <c r="L6" s="297">
        <f t="shared" si="2"/>
        <v>0</v>
      </c>
      <c r="M6" s="297">
        <f t="shared" si="3"/>
        <v>7035.3899999999994</v>
      </c>
      <c r="N6" s="297">
        <f t="shared" si="4"/>
        <v>7035.3899999999994</v>
      </c>
      <c r="O6" s="297"/>
      <c r="P6" s="366">
        <v>35873</v>
      </c>
      <c r="Q6" s="308"/>
      <c r="R6" s="372"/>
    </row>
    <row r="7" spans="1:18" s="285" customFormat="1" ht="36" customHeight="1">
      <c r="A7" s="362"/>
      <c r="B7" s="359" t="s">
        <v>47</v>
      </c>
      <c r="C7" s="168" t="s">
        <v>533</v>
      </c>
      <c r="D7" s="298">
        <v>40465</v>
      </c>
      <c r="E7" s="260" t="s">
        <v>144</v>
      </c>
      <c r="F7" s="360">
        <v>100000</v>
      </c>
      <c r="G7" s="363">
        <v>70000</v>
      </c>
      <c r="H7" s="363">
        <v>70000</v>
      </c>
      <c r="I7" s="308"/>
      <c r="J7" s="303"/>
      <c r="K7" s="308">
        <f t="shared" si="1"/>
        <v>100000</v>
      </c>
      <c r="L7" s="297">
        <f t="shared" si="2"/>
        <v>0</v>
      </c>
      <c r="M7" s="297">
        <f t="shared" si="3"/>
        <v>-30000</v>
      </c>
      <c r="N7" s="297">
        <f t="shared" si="4"/>
        <v>-30000</v>
      </c>
      <c r="O7" s="297"/>
      <c r="P7" s="367">
        <v>70000</v>
      </c>
      <c r="Q7" s="308">
        <f t="shared" si="5"/>
        <v>0</v>
      </c>
      <c r="R7" s="372"/>
    </row>
    <row r="8" spans="1:18" s="285" customFormat="1" ht="36">
      <c r="A8" s="362"/>
      <c r="B8" s="359" t="s">
        <v>47</v>
      </c>
      <c r="C8" s="168" t="s">
        <v>533</v>
      </c>
      <c r="D8" s="298">
        <v>39749</v>
      </c>
      <c r="E8" s="260" t="s">
        <v>145</v>
      </c>
      <c r="F8" s="360">
        <v>150000</v>
      </c>
      <c r="G8" s="364">
        <v>5000</v>
      </c>
      <c r="H8" s="364">
        <v>5000</v>
      </c>
      <c r="I8" s="308"/>
      <c r="J8" s="303"/>
      <c r="K8" s="308">
        <f t="shared" si="1"/>
        <v>150000</v>
      </c>
      <c r="L8" s="297">
        <f t="shared" si="2"/>
        <v>0</v>
      </c>
      <c r="M8" s="297">
        <f t="shared" si="3"/>
        <v>-145000</v>
      </c>
      <c r="N8" s="297">
        <f t="shared" si="4"/>
        <v>-145000</v>
      </c>
      <c r="O8" s="297"/>
      <c r="P8" s="368">
        <v>5000</v>
      </c>
      <c r="Q8" s="308">
        <f t="shared" si="5"/>
        <v>0</v>
      </c>
      <c r="R8" s="372"/>
    </row>
    <row r="9" spans="1:18" s="285" customFormat="1" ht="36" customHeight="1">
      <c r="A9" s="362"/>
      <c r="B9" s="359" t="s">
        <v>47</v>
      </c>
      <c r="C9" s="168" t="s">
        <v>533</v>
      </c>
      <c r="D9" s="298">
        <v>40465</v>
      </c>
      <c r="E9" s="260" t="s">
        <v>144</v>
      </c>
      <c r="F9" s="360">
        <v>100000</v>
      </c>
      <c r="G9" s="364">
        <v>30000</v>
      </c>
      <c r="H9" s="364">
        <v>30000</v>
      </c>
      <c r="I9" s="308"/>
      <c r="J9" s="303"/>
      <c r="K9" s="308">
        <f t="shared" si="1"/>
        <v>100000</v>
      </c>
      <c r="L9" s="297">
        <f t="shared" si="2"/>
        <v>0</v>
      </c>
      <c r="M9" s="297">
        <f t="shared" si="3"/>
        <v>-70000</v>
      </c>
      <c r="N9" s="297">
        <f t="shared" si="4"/>
        <v>-70000</v>
      </c>
      <c r="O9" s="297"/>
      <c r="P9" s="368">
        <v>30000</v>
      </c>
      <c r="Q9" s="308">
        <f t="shared" si="5"/>
        <v>0</v>
      </c>
      <c r="R9" s="372"/>
    </row>
    <row r="10" spans="1:18" s="349" customFormat="1" ht="24">
      <c r="A10" s="362"/>
      <c r="B10" s="359" t="s">
        <v>47</v>
      </c>
      <c r="C10" s="168" t="s">
        <v>533</v>
      </c>
      <c r="D10" s="298">
        <v>39442</v>
      </c>
      <c r="E10" s="260" t="s">
        <v>146</v>
      </c>
      <c r="F10" s="360">
        <v>681280</v>
      </c>
      <c r="G10" s="364">
        <v>525113</v>
      </c>
      <c r="H10" s="364">
        <v>525113</v>
      </c>
      <c r="I10" s="308"/>
      <c r="J10" s="303"/>
      <c r="K10" s="308">
        <f t="shared" si="1"/>
        <v>681280</v>
      </c>
      <c r="L10" s="297">
        <f t="shared" si="2"/>
        <v>0</v>
      </c>
      <c r="M10" s="297">
        <f t="shared" si="3"/>
        <v>-156167</v>
      </c>
      <c r="N10" s="297">
        <f t="shared" si="4"/>
        <v>-156167</v>
      </c>
      <c r="O10" s="297"/>
      <c r="P10" s="368">
        <v>525113</v>
      </c>
      <c r="Q10" s="308">
        <f t="shared" si="5"/>
        <v>0</v>
      </c>
      <c r="R10" s="372"/>
    </row>
  </sheetData>
  <mergeCells count="2">
    <mergeCell ref="A1:R1"/>
    <mergeCell ref="A2:J2"/>
  </mergeCells>
  <phoneticPr fontId="22" type="noConversion"/>
  <dataValidations count="1">
    <dataValidation type="list" allowBlank="1" showInputMessage="1" showErrorMessage="1" sqref="A5 B5:B10">
      <formula1>"规划费用,设计费用,项目可行性研究费用,水文费用,地质费用,勘探费用,测绘费用,七通一平支出,其他前期工程费"</formula1>
    </dataValidation>
  </dataValidations>
  <printOptions horizontalCentered="1"/>
  <pageMargins left="0.46875" right="0.42916666666666697" top="1.0590277777777799" bottom="0.78888888888888897" header="0.75" footer="0.50902777777777797"/>
  <pageSetup paperSize="9" scale="65" fitToHeight="0" orientation="landscape"/>
  <headerFooter alignWithMargins="0">
    <oddHeader>&amp;R附表11</oddHeader>
    <oddFooter>&amp;C&amp;10&amp;P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5"/>
  <sheetViews>
    <sheetView workbookViewId="0">
      <pane xSplit="3" ySplit="5" topLeftCell="D6" activePane="bottomRight" state="frozen"/>
      <selection pane="topRight"/>
      <selection pane="bottomLeft"/>
      <selection pane="bottomRight" activeCell="T11" sqref="T11"/>
    </sheetView>
  </sheetViews>
  <sheetFormatPr defaultColWidth="9" defaultRowHeight="15.75"/>
  <cols>
    <col min="1" max="1" width="4.125" style="312" customWidth="1"/>
    <col min="2" max="2" width="10.375" style="6" customWidth="1"/>
    <col min="3" max="3" width="14.25" style="6" customWidth="1"/>
    <col min="4" max="4" width="8.375" style="6" customWidth="1"/>
    <col min="5" max="5" width="8.75" style="313" customWidth="1"/>
    <col min="6" max="6" width="8.75" style="314" customWidth="1"/>
    <col min="7" max="7" width="16" style="6" customWidth="1"/>
    <col min="8" max="8" width="13.125" style="315" customWidth="1"/>
    <col min="9" max="9" width="12.75" style="6" customWidth="1"/>
    <col min="10" max="10" width="11.625" style="6" customWidth="1"/>
    <col min="11" max="11" width="13" style="312" customWidth="1"/>
    <col min="12" max="12" width="12.25" style="315" customWidth="1"/>
    <col min="13" max="13" width="13.25" style="316" customWidth="1"/>
    <col min="14" max="14" width="11.375" style="312" customWidth="1"/>
    <col min="15" max="15" width="19.25" style="317" hidden="1" customWidth="1"/>
    <col min="16" max="16" width="16.25" style="317" hidden="1" customWidth="1"/>
    <col min="17" max="17" width="5.125" style="312" customWidth="1"/>
    <col min="18" max="18" width="16.75" style="312" bestFit="1" customWidth="1"/>
    <col min="19" max="16384" width="9" style="312"/>
  </cols>
  <sheetData>
    <row r="1" spans="1:19" ht="22.5">
      <c r="A1" s="731" t="s">
        <v>535</v>
      </c>
      <c r="B1" s="712"/>
      <c r="C1" s="732"/>
      <c r="D1" s="732"/>
      <c r="E1" s="712"/>
      <c r="F1" s="733"/>
      <c r="G1" s="732"/>
      <c r="H1" s="732"/>
      <c r="I1" s="732"/>
      <c r="J1" s="732"/>
      <c r="K1" s="732"/>
      <c r="L1" s="732"/>
      <c r="M1" s="732"/>
      <c r="N1" s="732"/>
    </row>
    <row r="2" spans="1:19" s="142" customFormat="1" ht="12.75">
      <c r="A2" s="734" t="str">
        <f>Sheet2!A2</f>
        <v>看就会立刻就会老客户考虑减</v>
      </c>
      <c r="B2" s="735"/>
      <c r="C2" s="736"/>
      <c r="D2" s="736"/>
      <c r="E2" s="737"/>
      <c r="F2" s="737"/>
      <c r="G2" s="177"/>
      <c r="H2" s="262"/>
      <c r="I2" s="177"/>
      <c r="J2" s="177"/>
      <c r="L2" s="328"/>
      <c r="M2" s="738" t="s">
        <v>32</v>
      </c>
      <c r="N2" s="719"/>
      <c r="O2" s="329"/>
      <c r="P2" s="329"/>
    </row>
    <row r="3" spans="1:19" s="311" customFormat="1" ht="12.75">
      <c r="A3" s="153" t="s">
        <v>34</v>
      </c>
      <c r="B3" s="153" t="s">
        <v>34</v>
      </c>
      <c r="C3" s="153" t="s">
        <v>34</v>
      </c>
      <c r="D3" s="153" t="s">
        <v>34</v>
      </c>
      <c r="E3" s="153" t="s">
        <v>34</v>
      </c>
      <c r="F3" s="153" t="s">
        <v>34</v>
      </c>
      <c r="G3" s="153" t="s">
        <v>34</v>
      </c>
      <c r="H3" s="153" t="s">
        <v>34</v>
      </c>
      <c r="I3" s="153" t="s">
        <v>34</v>
      </c>
      <c r="J3" s="153" t="s">
        <v>34</v>
      </c>
      <c r="K3" s="153" t="s">
        <v>34</v>
      </c>
      <c r="L3" s="153" t="s">
        <v>34</v>
      </c>
      <c r="M3" s="153" t="s">
        <v>34</v>
      </c>
      <c r="N3" s="153" t="s">
        <v>34</v>
      </c>
      <c r="O3" s="330"/>
      <c r="P3" s="330"/>
    </row>
    <row r="4" spans="1:19" s="311" customFormat="1" ht="12.75">
      <c r="A4" s="154"/>
      <c r="B4" s="154">
        <v>1</v>
      </c>
      <c r="C4" s="154">
        <v>2</v>
      </c>
      <c r="D4" s="154">
        <v>3</v>
      </c>
      <c r="E4" s="223">
        <v>4</v>
      </c>
      <c r="F4" s="318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  <c r="O4" s="330"/>
      <c r="P4" s="330"/>
    </row>
    <row r="5" spans="1:19" s="311" customFormat="1" ht="12.75">
      <c r="A5" s="154"/>
      <c r="B5" s="158"/>
      <c r="C5" s="159" t="s">
        <v>35</v>
      </c>
      <c r="D5" s="158"/>
      <c r="E5" s="271"/>
      <c r="F5" s="319"/>
      <c r="G5" s="158"/>
      <c r="H5" s="320">
        <f>SUM(H6:H87)</f>
        <v>90233272.410000011</v>
      </c>
      <c r="I5" s="320">
        <f>SUM(I6:I72)</f>
        <v>0</v>
      </c>
      <c r="J5" s="320">
        <f>SUM(J6:J72)</f>
        <v>0</v>
      </c>
      <c r="K5" s="320">
        <f>SUM(K6:K87)</f>
        <v>90233272.410000011</v>
      </c>
      <c r="L5" s="320">
        <f>SUM(L6:L87)</f>
        <v>-1065857.8400000001</v>
      </c>
      <c r="M5" s="320">
        <f>SUM(M6:M87)</f>
        <v>89167414.570000008</v>
      </c>
      <c r="N5" s="331"/>
    </row>
    <row r="6" spans="1:19" s="142" customFormat="1" ht="25.5">
      <c r="A6" s="163">
        <v>1</v>
      </c>
      <c r="B6" s="321" t="s">
        <v>56</v>
      </c>
      <c r="C6" s="168" t="s">
        <v>537</v>
      </c>
      <c r="D6" s="322" t="s">
        <v>147</v>
      </c>
      <c r="E6" s="323">
        <v>40385</v>
      </c>
      <c r="F6" s="573" t="s">
        <v>538</v>
      </c>
      <c r="G6" s="168" t="s">
        <v>536</v>
      </c>
      <c r="H6" s="324">
        <v>6358000</v>
      </c>
      <c r="I6" s="573" t="s">
        <v>539</v>
      </c>
      <c r="J6" s="123" t="s">
        <v>148</v>
      </c>
      <c r="K6" s="324">
        <v>6358000</v>
      </c>
      <c r="L6" s="324"/>
      <c r="M6" s="324">
        <f>K6+L6</f>
        <v>6358000</v>
      </c>
      <c r="N6" s="332"/>
      <c r="P6" s="142" t="s">
        <v>149</v>
      </c>
      <c r="R6" s="334"/>
      <c r="S6" s="335"/>
    </row>
    <row r="7" spans="1:19" s="142" customFormat="1" ht="25.5">
      <c r="A7" s="163">
        <v>2</v>
      </c>
      <c r="B7" s="321" t="s">
        <v>56</v>
      </c>
      <c r="C7" s="168" t="s">
        <v>537</v>
      </c>
      <c r="D7" s="322" t="s">
        <v>147</v>
      </c>
      <c r="E7" s="323">
        <v>40416</v>
      </c>
      <c r="F7" s="573" t="s">
        <v>538</v>
      </c>
      <c r="G7" s="168" t="s">
        <v>536</v>
      </c>
      <c r="H7" s="325">
        <v>2793000</v>
      </c>
      <c r="I7" s="573" t="s">
        <v>539</v>
      </c>
      <c r="J7" s="123" t="s">
        <v>150</v>
      </c>
      <c r="K7" s="324">
        <v>2793000</v>
      </c>
      <c r="L7" s="324"/>
      <c r="M7" s="324">
        <f t="shared" ref="M7:M71" si="0">K7+L7</f>
        <v>2793000</v>
      </c>
      <c r="N7" s="332"/>
      <c r="P7" s="142" t="s">
        <v>149</v>
      </c>
      <c r="R7" s="334"/>
    </row>
    <row r="8" spans="1:19" s="142" customFormat="1" ht="25.5">
      <c r="A8" s="163">
        <v>3</v>
      </c>
      <c r="B8" s="321" t="s">
        <v>56</v>
      </c>
      <c r="C8" s="168" t="s">
        <v>537</v>
      </c>
      <c r="D8" s="322" t="s">
        <v>147</v>
      </c>
      <c r="E8" s="323">
        <v>40441</v>
      </c>
      <c r="F8" s="573" t="s">
        <v>538</v>
      </c>
      <c r="G8" s="168" t="s">
        <v>536</v>
      </c>
      <c r="H8" s="325">
        <v>12215000</v>
      </c>
      <c r="I8" s="573" t="s">
        <v>539</v>
      </c>
      <c r="J8" s="123" t="s">
        <v>151</v>
      </c>
      <c r="K8" s="324">
        <v>12215000</v>
      </c>
      <c r="L8" s="324"/>
      <c r="M8" s="324">
        <f t="shared" si="0"/>
        <v>12215000</v>
      </c>
      <c r="N8" s="332"/>
      <c r="P8" s="142" t="s">
        <v>152</v>
      </c>
      <c r="R8" s="336"/>
    </row>
    <row r="9" spans="1:19" s="142" customFormat="1" ht="25.5">
      <c r="A9" s="163">
        <v>4</v>
      </c>
      <c r="B9" s="321" t="s">
        <v>56</v>
      </c>
      <c r="C9" s="168" t="s">
        <v>537</v>
      </c>
      <c r="D9" s="322" t="s">
        <v>147</v>
      </c>
      <c r="E9" s="323">
        <v>40449</v>
      </c>
      <c r="F9" s="573" t="s">
        <v>538</v>
      </c>
      <c r="G9" s="168" t="s">
        <v>536</v>
      </c>
      <c r="H9" s="325">
        <v>118758.19</v>
      </c>
      <c r="I9" s="573" t="s">
        <v>539</v>
      </c>
      <c r="J9" s="123" t="s">
        <v>153</v>
      </c>
      <c r="K9" s="324">
        <v>118758.19</v>
      </c>
      <c r="L9" s="324">
        <v>-118758.19</v>
      </c>
      <c r="M9" s="324">
        <f t="shared" si="0"/>
        <v>0</v>
      </c>
      <c r="N9" s="332" t="s">
        <v>154</v>
      </c>
      <c r="O9" s="142" t="s">
        <v>155</v>
      </c>
      <c r="P9" s="142" t="s">
        <v>152</v>
      </c>
      <c r="R9" s="337"/>
    </row>
    <row r="10" spans="1:19" s="142" customFormat="1" ht="36">
      <c r="A10" s="163">
        <v>5</v>
      </c>
      <c r="B10" s="321" t="s">
        <v>56</v>
      </c>
      <c r="C10" s="168" t="s">
        <v>537</v>
      </c>
      <c r="D10" s="322" t="s">
        <v>147</v>
      </c>
      <c r="E10" s="323">
        <v>40470</v>
      </c>
      <c r="F10" s="573" t="s">
        <v>538</v>
      </c>
      <c r="G10" s="168" t="s">
        <v>536</v>
      </c>
      <c r="H10" s="325">
        <v>115644.54</v>
      </c>
      <c r="I10" s="573" t="s">
        <v>539</v>
      </c>
      <c r="J10" s="123" t="s">
        <v>156</v>
      </c>
      <c r="K10" s="324">
        <v>115644.54</v>
      </c>
      <c r="L10" s="324">
        <v>-115644.54</v>
      </c>
      <c r="M10" s="324">
        <f t="shared" si="0"/>
        <v>0</v>
      </c>
      <c r="N10" s="332" t="s">
        <v>154</v>
      </c>
      <c r="P10" s="142" t="s">
        <v>157</v>
      </c>
      <c r="R10" s="337"/>
    </row>
    <row r="11" spans="1:19" s="142" customFormat="1" ht="25.5">
      <c r="A11" s="163">
        <v>6</v>
      </c>
      <c r="B11" s="321" t="s">
        <v>56</v>
      </c>
      <c r="C11" s="168" t="s">
        <v>537</v>
      </c>
      <c r="D11" s="322" t="s">
        <v>147</v>
      </c>
      <c r="E11" s="323">
        <v>40477</v>
      </c>
      <c r="F11" s="573" t="s">
        <v>538</v>
      </c>
      <c r="G11" s="168" t="s">
        <v>536</v>
      </c>
      <c r="H11" s="325">
        <v>53813.78</v>
      </c>
      <c r="I11" s="573" t="s">
        <v>539</v>
      </c>
      <c r="J11" s="333" t="s">
        <v>158</v>
      </c>
      <c r="K11" s="324">
        <v>53813.78</v>
      </c>
      <c r="L11" s="324">
        <v>-53813.78</v>
      </c>
      <c r="M11" s="324">
        <f t="shared" si="0"/>
        <v>0</v>
      </c>
      <c r="N11" s="332" t="s">
        <v>154</v>
      </c>
      <c r="P11" s="142" t="s">
        <v>159</v>
      </c>
      <c r="R11" s="337"/>
    </row>
    <row r="12" spans="1:19" s="142" customFormat="1" ht="25.5">
      <c r="A12" s="163">
        <v>7</v>
      </c>
      <c r="B12" s="321" t="s">
        <v>56</v>
      </c>
      <c r="C12" s="168" t="s">
        <v>537</v>
      </c>
      <c r="D12" s="322" t="s">
        <v>147</v>
      </c>
      <c r="E12" s="323">
        <v>40477</v>
      </c>
      <c r="F12" s="573" t="s">
        <v>538</v>
      </c>
      <c r="G12" s="168" t="s">
        <v>536</v>
      </c>
      <c r="H12" s="325">
        <v>3310000</v>
      </c>
      <c r="I12" s="573" t="s">
        <v>539</v>
      </c>
      <c r="J12" s="123" t="s">
        <v>160</v>
      </c>
      <c r="K12" s="324">
        <v>3310000</v>
      </c>
      <c r="L12" s="324"/>
      <c r="M12" s="324">
        <f t="shared" si="0"/>
        <v>3310000</v>
      </c>
      <c r="N12" s="332"/>
      <c r="P12" s="142" t="s">
        <v>161</v>
      </c>
      <c r="R12" s="336"/>
    </row>
    <row r="13" spans="1:19" s="142" customFormat="1" ht="25.5">
      <c r="A13" s="163">
        <v>8</v>
      </c>
      <c r="B13" s="321" t="s">
        <v>56</v>
      </c>
      <c r="C13" s="168" t="s">
        <v>537</v>
      </c>
      <c r="D13" s="322" t="s">
        <v>147</v>
      </c>
      <c r="E13" s="323">
        <v>40492</v>
      </c>
      <c r="F13" s="573" t="s">
        <v>538</v>
      </c>
      <c r="G13" s="168" t="s">
        <v>536</v>
      </c>
      <c r="H13" s="325">
        <v>161941.32</v>
      </c>
      <c r="I13" s="573" t="s">
        <v>539</v>
      </c>
      <c r="J13" s="123" t="s">
        <v>162</v>
      </c>
      <c r="K13" s="324">
        <v>161941.32</v>
      </c>
      <c r="L13" s="324">
        <v>-161941.32</v>
      </c>
      <c r="M13" s="324">
        <f t="shared" si="0"/>
        <v>0</v>
      </c>
      <c r="N13" s="332" t="s">
        <v>154</v>
      </c>
      <c r="P13" s="142" t="s">
        <v>163</v>
      </c>
      <c r="R13" s="337"/>
    </row>
    <row r="14" spans="1:19" s="142" customFormat="1" ht="25.5">
      <c r="A14" s="163">
        <v>9</v>
      </c>
      <c r="B14" s="321" t="s">
        <v>56</v>
      </c>
      <c r="C14" s="168" t="s">
        <v>537</v>
      </c>
      <c r="D14" s="322" t="s">
        <v>147</v>
      </c>
      <c r="E14" s="323">
        <v>40501</v>
      </c>
      <c r="F14" s="573" t="s">
        <v>538</v>
      </c>
      <c r="G14" s="168" t="s">
        <v>536</v>
      </c>
      <c r="H14" s="325">
        <v>2285000</v>
      </c>
      <c r="I14" s="573" t="s">
        <v>539</v>
      </c>
      <c r="J14" s="123" t="s">
        <v>164</v>
      </c>
      <c r="K14" s="324">
        <v>2285000</v>
      </c>
      <c r="L14" s="324"/>
      <c r="M14" s="324">
        <f t="shared" si="0"/>
        <v>2285000</v>
      </c>
      <c r="N14" s="332"/>
      <c r="P14" s="142" t="s">
        <v>165</v>
      </c>
      <c r="R14" s="336"/>
    </row>
    <row r="15" spans="1:19" s="142" customFormat="1" ht="36">
      <c r="A15" s="163">
        <v>10</v>
      </c>
      <c r="B15" s="321" t="s">
        <v>57</v>
      </c>
      <c r="C15" s="168" t="s">
        <v>537</v>
      </c>
      <c r="D15" s="322" t="s">
        <v>147</v>
      </c>
      <c r="E15" s="323">
        <v>40507</v>
      </c>
      <c r="F15" s="573" t="s">
        <v>538</v>
      </c>
      <c r="G15" s="168" t="s">
        <v>536</v>
      </c>
      <c r="H15" s="325">
        <v>101184</v>
      </c>
      <c r="I15" s="573" t="s">
        <v>539</v>
      </c>
      <c r="J15" s="123" t="s">
        <v>166</v>
      </c>
      <c r="K15" s="324">
        <v>101184</v>
      </c>
      <c r="L15" s="324">
        <v>-101184</v>
      </c>
      <c r="M15" s="324">
        <f t="shared" si="0"/>
        <v>0</v>
      </c>
      <c r="N15" s="332" t="s">
        <v>154</v>
      </c>
      <c r="O15" s="142" t="s">
        <v>155</v>
      </c>
      <c r="P15" s="142" t="s">
        <v>167</v>
      </c>
      <c r="R15" s="336"/>
      <c r="S15" s="335"/>
    </row>
    <row r="16" spans="1:19" s="142" customFormat="1" ht="25.5">
      <c r="A16" s="163">
        <v>11</v>
      </c>
      <c r="B16" s="321" t="s">
        <v>56</v>
      </c>
      <c r="C16" s="168" t="s">
        <v>537</v>
      </c>
      <c r="D16" s="322" t="s">
        <v>147</v>
      </c>
      <c r="E16" s="323">
        <v>40508</v>
      </c>
      <c r="F16" s="573" t="s">
        <v>538</v>
      </c>
      <c r="G16" s="168" t="s">
        <v>536</v>
      </c>
      <c r="H16" s="325">
        <v>52174.7</v>
      </c>
      <c r="I16" s="573" t="s">
        <v>539</v>
      </c>
      <c r="J16" s="123" t="s">
        <v>168</v>
      </c>
      <c r="K16" s="324">
        <v>52174.7</v>
      </c>
      <c r="L16" s="324">
        <v>-52174.7</v>
      </c>
      <c r="M16" s="324">
        <f t="shared" si="0"/>
        <v>0</v>
      </c>
      <c r="N16" s="332" t="s">
        <v>154</v>
      </c>
      <c r="P16" s="142" t="s">
        <v>163</v>
      </c>
      <c r="R16" s="337"/>
    </row>
    <row r="17" spans="1:19" s="142" customFormat="1" ht="25.5">
      <c r="A17" s="163">
        <v>12</v>
      </c>
      <c r="B17" s="321" t="s">
        <v>57</v>
      </c>
      <c r="C17" s="168" t="s">
        <v>537</v>
      </c>
      <c r="D17" s="322" t="s">
        <v>147</v>
      </c>
      <c r="E17" s="323">
        <v>40519</v>
      </c>
      <c r="F17" s="573" t="s">
        <v>538</v>
      </c>
      <c r="G17" s="168" t="s">
        <v>536</v>
      </c>
      <c r="H17" s="325">
        <v>250000</v>
      </c>
      <c r="I17" s="573" t="s">
        <v>539</v>
      </c>
      <c r="J17" s="123" t="s">
        <v>169</v>
      </c>
      <c r="K17" s="324">
        <v>250000</v>
      </c>
      <c r="L17" s="324"/>
      <c r="M17" s="324">
        <f t="shared" si="0"/>
        <v>250000</v>
      </c>
      <c r="N17" s="332"/>
      <c r="O17" s="142" t="s">
        <v>170</v>
      </c>
      <c r="P17" s="142" t="s">
        <v>152</v>
      </c>
      <c r="R17" s="336"/>
    </row>
    <row r="18" spans="1:19" s="142" customFormat="1" ht="25.5">
      <c r="A18" s="163">
        <v>13</v>
      </c>
      <c r="B18" s="321" t="s">
        <v>57</v>
      </c>
      <c r="C18" s="168" t="s">
        <v>537</v>
      </c>
      <c r="D18" s="322" t="s">
        <v>147</v>
      </c>
      <c r="E18" s="323">
        <v>40520</v>
      </c>
      <c r="F18" s="573" t="s">
        <v>538</v>
      </c>
      <c r="G18" s="168" t="s">
        <v>536</v>
      </c>
      <c r="H18" s="325">
        <v>71061.17</v>
      </c>
      <c r="I18" s="573" t="s">
        <v>539</v>
      </c>
      <c r="J18" s="123" t="s">
        <v>171</v>
      </c>
      <c r="K18" s="324">
        <v>71061.17</v>
      </c>
      <c r="L18" s="324">
        <v>-71061.17</v>
      </c>
      <c r="M18" s="324">
        <f t="shared" si="0"/>
        <v>0</v>
      </c>
      <c r="N18" s="332" t="s">
        <v>154</v>
      </c>
      <c r="P18" s="142" t="s">
        <v>152</v>
      </c>
      <c r="R18" s="337"/>
    </row>
    <row r="19" spans="1:19" s="142" customFormat="1" ht="38.25">
      <c r="A19" s="163">
        <v>14</v>
      </c>
      <c r="B19" s="321" t="s">
        <v>57</v>
      </c>
      <c r="C19" s="168" t="s">
        <v>537</v>
      </c>
      <c r="D19" s="322" t="s">
        <v>147</v>
      </c>
      <c r="E19" s="323">
        <v>40525</v>
      </c>
      <c r="F19" s="573" t="s">
        <v>538</v>
      </c>
      <c r="G19" s="168" t="s">
        <v>536</v>
      </c>
      <c r="H19" s="325">
        <v>177519.73</v>
      </c>
      <c r="I19" s="573" t="s">
        <v>539</v>
      </c>
      <c r="J19" s="123" t="s">
        <v>172</v>
      </c>
      <c r="K19" s="324">
        <v>177519.73</v>
      </c>
      <c r="L19" s="324">
        <v>-177519.73</v>
      </c>
      <c r="M19" s="324">
        <f t="shared" si="0"/>
        <v>0</v>
      </c>
      <c r="N19" s="332" t="s">
        <v>154</v>
      </c>
      <c r="P19" s="142" t="s">
        <v>165</v>
      </c>
      <c r="R19" s="336"/>
    </row>
    <row r="20" spans="1:19" s="142" customFormat="1" ht="25.5">
      <c r="A20" s="163">
        <v>15</v>
      </c>
      <c r="B20" s="321" t="s">
        <v>56</v>
      </c>
      <c r="C20" s="168" t="s">
        <v>537</v>
      </c>
      <c r="D20" s="322" t="s">
        <v>147</v>
      </c>
      <c r="E20" s="323">
        <v>40528</v>
      </c>
      <c r="F20" s="573" t="s">
        <v>538</v>
      </c>
      <c r="G20" s="168" t="s">
        <v>536</v>
      </c>
      <c r="H20" s="325">
        <v>22924875.699999999</v>
      </c>
      <c r="I20" s="573" t="s">
        <v>539</v>
      </c>
      <c r="J20" s="123" t="s">
        <v>173</v>
      </c>
      <c r="K20" s="324">
        <v>22924875.699999999</v>
      </c>
      <c r="L20" s="324"/>
      <c r="M20" s="324">
        <f t="shared" si="0"/>
        <v>22924875.699999999</v>
      </c>
      <c r="N20" s="332"/>
      <c r="P20" s="142" t="s">
        <v>165</v>
      </c>
      <c r="R20" s="336"/>
    </row>
    <row r="21" spans="1:19" s="142" customFormat="1" ht="25.5">
      <c r="A21" s="163">
        <v>16</v>
      </c>
      <c r="B21" s="321" t="s">
        <v>57</v>
      </c>
      <c r="C21" s="168" t="s">
        <v>537</v>
      </c>
      <c r="D21" s="322" t="s">
        <v>147</v>
      </c>
      <c r="E21" s="323">
        <v>40533</v>
      </c>
      <c r="F21" s="573" t="s">
        <v>538</v>
      </c>
      <c r="G21" s="168" t="s">
        <v>536</v>
      </c>
      <c r="H21" s="325">
        <v>6867.41</v>
      </c>
      <c r="I21" s="573" t="s">
        <v>539</v>
      </c>
      <c r="J21" s="123" t="s">
        <v>174</v>
      </c>
      <c r="K21" s="324">
        <v>6867.41</v>
      </c>
      <c r="L21" s="324">
        <v>-6867.41</v>
      </c>
      <c r="M21" s="324">
        <f t="shared" si="0"/>
        <v>0</v>
      </c>
      <c r="N21" s="332" t="s">
        <v>154</v>
      </c>
      <c r="P21" s="142" t="s">
        <v>165</v>
      </c>
      <c r="R21" s="337"/>
    </row>
    <row r="22" spans="1:19" s="142" customFormat="1" ht="25.5">
      <c r="A22" s="163">
        <v>17</v>
      </c>
      <c r="B22" s="321" t="s">
        <v>57</v>
      </c>
      <c r="C22" s="168" t="s">
        <v>537</v>
      </c>
      <c r="D22" s="322" t="s">
        <v>147</v>
      </c>
      <c r="E22" s="323">
        <v>40555</v>
      </c>
      <c r="F22" s="573" t="s">
        <v>538</v>
      </c>
      <c r="G22" s="168" t="s">
        <v>536</v>
      </c>
      <c r="H22" s="325">
        <v>200000</v>
      </c>
      <c r="I22" s="573" t="s">
        <v>539</v>
      </c>
      <c r="J22" s="123" t="s">
        <v>175</v>
      </c>
      <c r="K22" s="324">
        <v>200000</v>
      </c>
      <c r="L22" s="324"/>
      <c r="M22" s="324">
        <f t="shared" si="0"/>
        <v>200000</v>
      </c>
      <c r="N22" s="321" t="s">
        <v>176</v>
      </c>
      <c r="O22" s="142" t="s">
        <v>177</v>
      </c>
      <c r="P22" s="142" t="s">
        <v>152</v>
      </c>
      <c r="R22" s="336"/>
    </row>
    <row r="23" spans="1:19" s="142" customFormat="1" ht="25.5">
      <c r="A23" s="163">
        <v>18</v>
      </c>
      <c r="B23" s="321" t="s">
        <v>58</v>
      </c>
      <c r="C23" s="168" t="s">
        <v>537</v>
      </c>
      <c r="D23" s="322" t="s">
        <v>147</v>
      </c>
      <c r="E23" s="323">
        <v>40562</v>
      </c>
      <c r="F23" s="573" t="s">
        <v>538</v>
      </c>
      <c r="G23" s="168" t="s">
        <v>536</v>
      </c>
      <c r="H23" s="325">
        <v>1470000</v>
      </c>
      <c r="I23" s="573" t="s">
        <v>539</v>
      </c>
      <c r="J23" s="123" t="s">
        <v>178</v>
      </c>
      <c r="K23" s="324">
        <v>1470000</v>
      </c>
      <c r="L23" s="324"/>
      <c r="M23" s="324">
        <f t="shared" si="0"/>
        <v>1470000</v>
      </c>
      <c r="N23" s="332"/>
      <c r="O23" s="142" t="s">
        <v>155</v>
      </c>
      <c r="P23" s="142" t="s">
        <v>179</v>
      </c>
      <c r="R23" s="336"/>
      <c r="S23" s="335"/>
    </row>
    <row r="24" spans="1:19" s="142" customFormat="1" ht="72.75">
      <c r="A24" s="163">
        <v>19</v>
      </c>
      <c r="B24" s="321" t="s">
        <v>57</v>
      </c>
      <c r="C24" s="168" t="s">
        <v>537</v>
      </c>
      <c r="D24" s="322" t="s">
        <v>147</v>
      </c>
      <c r="E24" s="323">
        <v>40568</v>
      </c>
      <c r="F24" s="573" t="s">
        <v>538</v>
      </c>
      <c r="G24" s="168" t="s">
        <v>536</v>
      </c>
      <c r="H24" s="325">
        <v>246480</v>
      </c>
      <c r="I24" s="573" t="s">
        <v>539</v>
      </c>
      <c r="J24" s="123" t="s">
        <v>180</v>
      </c>
      <c r="K24" s="324">
        <v>246480</v>
      </c>
      <c r="L24" s="324">
        <v>-246480</v>
      </c>
      <c r="M24" s="324">
        <v>0</v>
      </c>
      <c r="N24" s="332" t="s">
        <v>181</v>
      </c>
      <c r="P24" s="142" t="s">
        <v>152</v>
      </c>
      <c r="R24" s="336"/>
    </row>
    <row r="25" spans="1:19" s="142" customFormat="1" ht="25.5">
      <c r="A25" s="163">
        <v>20</v>
      </c>
      <c r="B25" s="321" t="s">
        <v>57</v>
      </c>
      <c r="C25" s="168" t="s">
        <v>537</v>
      </c>
      <c r="D25" s="322" t="s">
        <v>147</v>
      </c>
      <c r="E25" s="323">
        <v>40568</v>
      </c>
      <c r="F25" s="573" t="s">
        <v>538</v>
      </c>
      <c r="G25" s="168" t="s">
        <v>536</v>
      </c>
      <c r="H25" s="325">
        <v>150000</v>
      </c>
      <c r="I25" s="573" t="s">
        <v>539</v>
      </c>
      <c r="J25" s="333" t="s">
        <v>182</v>
      </c>
      <c r="K25" s="324">
        <v>150000</v>
      </c>
      <c r="L25" s="324"/>
      <c r="M25" s="324">
        <f t="shared" si="0"/>
        <v>150000</v>
      </c>
      <c r="N25" s="332"/>
      <c r="O25" s="142" t="s">
        <v>155</v>
      </c>
      <c r="P25" s="142" t="s">
        <v>165</v>
      </c>
      <c r="R25" s="336"/>
    </row>
    <row r="26" spans="1:19" s="142" customFormat="1" ht="25.5">
      <c r="A26" s="163">
        <v>21</v>
      </c>
      <c r="B26" s="321" t="s">
        <v>57</v>
      </c>
      <c r="C26" s="168" t="s">
        <v>537</v>
      </c>
      <c r="D26" s="322" t="s">
        <v>147</v>
      </c>
      <c r="E26" s="323">
        <v>40574</v>
      </c>
      <c r="F26" s="573" t="s">
        <v>538</v>
      </c>
      <c r="G26" s="168" t="s">
        <v>536</v>
      </c>
      <c r="H26" s="325">
        <v>200000</v>
      </c>
      <c r="I26" s="573" t="s">
        <v>539</v>
      </c>
      <c r="J26" s="333" t="s">
        <v>183</v>
      </c>
      <c r="K26" s="324">
        <v>200000</v>
      </c>
      <c r="L26" s="324"/>
      <c r="M26" s="324">
        <f t="shared" si="0"/>
        <v>200000</v>
      </c>
      <c r="N26" s="332"/>
      <c r="O26" s="142" t="s">
        <v>184</v>
      </c>
      <c r="P26" s="142" t="s">
        <v>152</v>
      </c>
      <c r="R26" s="336"/>
    </row>
    <row r="27" spans="1:19" s="142" customFormat="1" ht="12.75">
      <c r="A27" s="163">
        <v>22</v>
      </c>
      <c r="B27" s="321" t="s">
        <v>58</v>
      </c>
      <c r="C27" s="168" t="s">
        <v>537</v>
      </c>
      <c r="D27" s="322" t="s">
        <v>147</v>
      </c>
      <c r="E27" s="323">
        <v>40590</v>
      </c>
      <c r="F27" s="573" t="s">
        <v>538</v>
      </c>
      <c r="G27" s="168" t="s">
        <v>536</v>
      </c>
      <c r="H27" s="325">
        <v>100000</v>
      </c>
      <c r="I27" s="573" t="s">
        <v>539</v>
      </c>
      <c r="J27" s="123"/>
      <c r="K27" s="324">
        <v>100000</v>
      </c>
      <c r="L27" s="324"/>
      <c r="M27" s="324">
        <f t="shared" si="0"/>
        <v>100000</v>
      </c>
      <c r="N27" s="332"/>
      <c r="P27" s="142" t="s">
        <v>185</v>
      </c>
      <c r="R27" s="336"/>
    </row>
    <row r="28" spans="1:19" s="142" customFormat="1" ht="24">
      <c r="A28" s="163">
        <v>23</v>
      </c>
      <c r="B28" s="321" t="s">
        <v>57</v>
      </c>
      <c r="C28" s="168" t="s">
        <v>537</v>
      </c>
      <c r="D28" s="322" t="s">
        <v>147</v>
      </c>
      <c r="E28" s="323">
        <v>40602</v>
      </c>
      <c r="F28" s="573" t="s">
        <v>538</v>
      </c>
      <c r="G28" s="168" t="s">
        <v>536</v>
      </c>
      <c r="H28" s="325">
        <v>7782</v>
      </c>
      <c r="I28" s="573" t="s">
        <v>539</v>
      </c>
      <c r="J28" s="123" t="s">
        <v>186</v>
      </c>
      <c r="K28" s="324">
        <v>7782</v>
      </c>
      <c r="L28" s="324"/>
      <c r="M28" s="324">
        <f t="shared" si="0"/>
        <v>7782</v>
      </c>
      <c r="N28" s="332"/>
      <c r="P28" s="142" t="s">
        <v>187</v>
      </c>
      <c r="R28" s="336"/>
    </row>
    <row r="29" spans="1:19" s="142" customFormat="1" ht="25.5">
      <c r="A29" s="163">
        <v>24</v>
      </c>
      <c r="B29" s="321" t="s">
        <v>56</v>
      </c>
      <c r="C29" s="168" t="s">
        <v>537</v>
      </c>
      <c r="D29" s="322" t="s">
        <v>147</v>
      </c>
      <c r="E29" s="323">
        <v>40653</v>
      </c>
      <c r="F29" s="573" t="s">
        <v>538</v>
      </c>
      <c r="G29" s="168" t="s">
        <v>536</v>
      </c>
      <c r="H29" s="325">
        <v>3067884.3</v>
      </c>
      <c r="I29" s="573" t="s">
        <v>539</v>
      </c>
      <c r="J29" s="123" t="s">
        <v>188</v>
      </c>
      <c r="K29" s="324">
        <v>3067884.3</v>
      </c>
      <c r="L29" s="324"/>
      <c r="M29" s="324">
        <f t="shared" si="0"/>
        <v>3067884.3</v>
      </c>
      <c r="N29" s="332"/>
      <c r="P29" s="142" t="s">
        <v>189</v>
      </c>
      <c r="R29" s="336"/>
    </row>
    <row r="30" spans="1:19" s="142" customFormat="1" ht="25.5">
      <c r="A30" s="163">
        <v>25</v>
      </c>
      <c r="B30" s="321" t="s">
        <v>57</v>
      </c>
      <c r="C30" s="168" t="s">
        <v>537</v>
      </c>
      <c r="D30" s="322" t="s">
        <v>147</v>
      </c>
      <c r="E30" s="323">
        <v>40654</v>
      </c>
      <c r="F30" s="573" t="s">
        <v>538</v>
      </c>
      <c r="G30" s="168" t="s">
        <v>536</v>
      </c>
      <c r="H30" s="325">
        <v>150000</v>
      </c>
      <c r="I30" s="573" t="s">
        <v>539</v>
      </c>
      <c r="J30" s="123" t="s">
        <v>190</v>
      </c>
      <c r="K30" s="324">
        <v>150000</v>
      </c>
      <c r="L30" s="324"/>
      <c r="M30" s="324">
        <f t="shared" si="0"/>
        <v>150000</v>
      </c>
      <c r="N30" s="332"/>
      <c r="O30" s="142" t="s">
        <v>155</v>
      </c>
      <c r="P30" s="142" t="s">
        <v>152</v>
      </c>
      <c r="R30" s="336"/>
    </row>
    <row r="31" spans="1:19" s="142" customFormat="1" ht="48">
      <c r="A31" s="163">
        <v>26</v>
      </c>
      <c r="B31" s="321" t="s">
        <v>57</v>
      </c>
      <c r="C31" s="168" t="s">
        <v>537</v>
      </c>
      <c r="D31" s="322" t="s">
        <v>147</v>
      </c>
      <c r="E31" s="323">
        <v>40711</v>
      </c>
      <c r="F31" s="573" t="s">
        <v>538</v>
      </c>
      <c r="G31" s="168" t="s">
        <v>536</v>
      </c>
      <c r="H31" s="325">
        <v>30200</v>
      </c>
      <c r="I31" s="573" t="s">
        <v>539</v>
      </c>
      <c r="J31" s="123" t="s">
        <v>191</v>
      </c>
      <c r="K31" s="324">
        <v>30200</v>
      </c>
      <c r="L31" s="324">
        <v>-30200</v>
      </c>
      <c r="M31" s="324">
        <f t="shared" si="0"/>
        <v>0</v>
      </c>
      <c r="N31" s="332" t="s">
        <v>192</v>
      </c>
      <c r="P31" s="142" t="s">
        <v>161</v>
      </c>
      <c r="R31" s="336"/>
    </row>
    <row r="32" spans="1:19" s="142" customFormat="1" ht="25.5">
      <c r="A32" s="163">
        <v>27</v>
      </c>
      <c r="B32" s="321" t="s">
        <v>57</v>
      </c>
      <c r="C32" s="168" t="s">
        <v>537</v>
      </c>
      <c r="D32" s="322" t="s">
        <v>147</v>
      </c>
      <c r="E32" s="323">
        <v>40715</v>
      </c>
      <c r="F32" s="573" t="s">
        <v>538</v>
      </c>
      <c r="G32" s="168" t="s">
        <v>536</v>
      </c>
      <c r="H32" s="325">
        <v>130000</v>
      </c>
      <c r="I32" s="573" t="s">
        <v>539</v>
      </c>
      <c r="J32" s="123" t="s">
        <v>193</v>
      </c>
      <c r="K32" s="324">
        <v>130000</v>
      </c>
      <c r="L32" s="324"/>
      <c r="M32" s="324">
        <f t="shared" si="0"/>
        <v>130000</v>
      </c>
      <c r="N32" s="332"/>
      <c r="O32" s="142" t="s">
        <v>155</v>
      </c>
      <c r="P32" s="142" t="s">
        <v>152</v>
      </c>
      <c r="R32" s="336"/>
    </row>
    <row r="33" spans="1:18" s="142" customFormat="1" ht="12.75">
      <c r="A33" s="163">
        <v>28</v>
      </c>
      <c r="B33" s="321" t="s">
        <v>57</v>
      </c>
      <c r="C33" s="168" t="s">
        <v>537</v>
      </c>
      <c r="D33" s="322" t="s">
        <v>147</v>
      </c>
      <c r="E33" s="323">
        <v>40736</v>
      </c>
      <c r="F33" s="573" t="s">
        <v>538</v>
      </c>
      <c r="G33" s="168" t="s">
        <v>536</v>
      </c>
      <c r="H33" s="325">
        <v>7020</v>
      </c>
      <c r="I33" s="573" t="s">
        <v>539</v>
      </c>
      <c r="J33" s="123" t="s">
        <v>194</v>
      </c>
      <c r="K33" s="324">
        <v>7020</v>
      </c>
      <c r="L33" s="324"/>
      <c r="M33" s="324">
        <f t="shared" si="0"/>
        <v>7020</v>
      </c>
      <c r="N33" s="332"/>
      <c r="P33" s="142" t="s">
        <v>152</v>
      </c>
      <c r="R33" s="336"/>
    </row>
    <row r="34" spans="1:18" s="142" customFormat="1" ht="38.25">
      <c r="A34" s="163">
        <v>29</v>
      </c>
      <c r="B34" s="321" t="s">
        <v>56</v>
      </c>
      <c r="C34" s="168" t="s">
        <v>537</v>
      </c>
      <c r="D34" s="322" t="s">
        <v>147</v>
      </c>
      <c r="E34" s="323">
        <v>40739</v>
      </c>
      <c r="F34" s="573" t="s">
        <v>538</v>
      </c>
      <c r="G34" s="168" t="s">
        <v>536</v>
      </c>
      <c r="H34" s="325">
        <v>10284407.699999999</v>
      </c>
      <c r="I34" s="573" t="s">
        <v>539</v>
      </c>
      <c r="J34" s="123" t="s">
        <v>195</v>
      </c>
      <c r="K34" s="324">
        <v>10284407.699999999</v>
      </c>
      <c r="L34" s="324"/>
      <c r="M34" s="324">
        <f t="shared" si="0"/>
        <v>10284407.699999999</v>
      </c>
      <c r="N34" s="332"/>
      <c r="P34" s="142" t="s">
        <v>165</v>
      </c>
      <c r="R34" s="336"/>
    </row>
    <row r="35" spans="1:18" s="142" customFormat="1" ht="76.5">
      <c r="A35" s="163">
        <v>30</v>
      </c>
      <c r="B35" s="321" t="s">
        <v>57</v>
      </c>
      <c r="C35" s="168" t="s">
        <v>537</v>
      </c>
      <c r="D35" s="322" t="s">
        <v>147</v>
      </c>
      <c r="E35" s="323">
        <v>40781</v>
      </c>
      <c r="F35" s="573" t="s">
        <v>538</v>
      </c>
      <c r="G35" s="168" t="s">
        <v>536</v>
      </c>
      <c r="H35" s="325">
        <v>297040</v>
      </c>
      <c r="I35" s="573" t="s">
        <v>539</v>
      </c>
      <c r="J35" s="123" t="s">
        <v>196</v>
      </c>
      <c r="K35" s="324">
        <v>297040</v>
      </c>
      <c r="L35" s="324">
        <v>-297040</v>
      </c>
      <c r="M35" s="324">
        <f t="shared" si="0"/>
        <v>0</v>
      </c>
      <c r="N35" s="332" t="s">
        <v>197</v>
      </c>
      <c r="P35" s="142" t="s">
        <v>152</v>
      </c>
      <c r="R35" s="336"/>
    </row>
    <row r="36" spans="1:18" s="142" customFormat="1" ht="24">
      <c r="A36" s="163">
        <v>31</v>
      </c>
      <c r="B36" s="321" t="s">
        <v>57</v>
      </c>
      <c r="C36" s="168" t="s">
        <v>537</v>
      </c>
      <c r="D36" s="322" t="s">
        <v>198</v>
      </c>
      <c r="E36" s="323">
        <v>40786</v>
      </c>
      <c r="F36" s="573" t="s">
        <v>538</v>
      </c>
      <c r="G36" s="168" t="s">
        <v>536</v>
      </c>
      <c r="H36" s="325">
        <v>-20000</v>
      </c>
      <c r="I36" s="573" t="s">
        <v>539</v>
      </c>
      <c r="J36" s="123"/>
      <c r="K36" s="324">
        <v>-20000</v>
      </c>
      <c r="L36" s="324"/>
      <c r="M36" s="324">
        <f t="shared" si="0"/>
        <v>-20000</v>
      </c>
      <c r="N36" s="332"/>
      <c r="O36" s="142" t="s">
        <v>199</v>
      </c>
      <c r="P36" s="142" t="s">
        <v>152</v>
      </c>
      <c r="R36" s="336"/>
    </row>
    <row r="37" spans="1:18" s="142" customFormat="1" ht="37.5">
      <c r="A37" s="163">
        <v>32</v>
      </c>
      <c r="B37" s="321" t="s">
        <v>57</v>
      </c>
      <c r="C37" s="168" t="s">
        <v>537</v>
      </c>
      <c r="D37" s="322" t="s">
        <v>147</v>
      </c>
      <c r="E37" s="323">
        <v>40833</v>
      </c>
      <c r="F37" s="573" t="s">
        <v>538</v>
      </c>
      <c r="G37" s="168" t="s">
        <v>536</v>
      </c>
      <c r="H37" s="325">
        <v>3000</v>
      </c>
      <c r="I37" s="573" t="s">
        <v>539</v>
      </c>
      <c r="J37" s="123" t="s">
        <v>200</v>
      </c>
      <c r="K37" s="324">
        <v>3000</v>
      </c>
      <c r="L37" s="324"/>
      <c r="M37" s="324">
        <f t="shared" si="0"/>
        <v>3000</v>
      </c>
      <c r="N37" s="332"/>
      <c r="O37" s="142" t="s">
        <v>201</v>
      </c>
      <c r="P37" s="142" t="s">
        <v>165</v>
      </c>
      <c r="R37" s="338" t="s">
        <v>202</v>
      </c>
    </row>
    <row r="38" spans="1:18" s="142" customFormat="1" ht="12.75">
      <c r="A38" s="163">
        <v>33</v>
      </c>
      <c r="B38" s="321" t="s">
        <v>57</v>
      </c>
      <c r="C38" s="168" t="s">
        <v>537</v>
      </c>
      <c r="D38" s="322"/>
      <c r="E38" s="323">
        <v>40856</v>
      </c>
      <c r="F38" s="573" t="s">
        <v>538</v>
      </c>
      <c r="G38" s="168" t="s">
        <v>536</v>
      </c>
      <c r="H38" s="325">
        <v>-200000</v>
      </c>
      <c r="I38" s="573" t="s">
        <v>539</v>
      </c>
      <c r="J38" s="123"/>
      <c r="K38" s="324">
        <v>-200000</v>
      </c>
      <c r="L38" s="324"/>
      <c r="M38" s="324">
        <f t="shared" si="0"/>
        <v>-200000</v>
      </c>
      <c r="N38" s="332"/>
      <c r="O38" s="142" t="s">
        <v>203</v>
      </c>
      <c r="P38" s="142" t="s">
        <v>152</v>
      </c>
      <c r="R38" s="336"/>
    </row>
    <row r="39" spans="1:18" s="142" customFormat="1" ht="25.5">
      <c r="A39" s="163">
        <v>34</v>
      </c>
      <c r="B39" s="321" t="s">
        <v>57</v>
      </c>
      <c r="C39" s="168" t="s">
        <v>537</v>
      </c>
      <c r="D39" s="322" t="s">
        <v>147</v>
      </c>
      <c r="E39" s="323">
        <v>40868</v>
      </c>
      <c r="F39" s="573" t="s">
        <v>538</v>
      </c>
      <c r="G39" s="168" t="s">
        <v>536</v>
      </c>
      <c r="H39" s="325">
        <v>200000</v>
      </c>
      <c r="I39" s="573" t="s">
        <v>539</v>
      </c>
      <c r="J39" s="123" t="s">
        <v>204</v>
      </c>
      <c r="K39" s="324">
        <v>200000</v>
      </c>
      <c r="L39" s="324"/>
      <c r="M39" s="324">
        <f t="shared" si="0"/>
        <v>200000</v>
      </c>
      <c r="N39" s="332"/>
      <c r="O39" s="142" t="s">
        <v>155</v>
      </c>
      <c r="P39" s="142" t="s">
        <v>165</v>
      </c>
      <c r="R39" s="336"/>
    </row>
    <row r="40" spans="1:18" s="142" customFormat="1" ht="12.75">
      <c r="A40" s="163">
        <v>35</v>
      </c>
      <c r="B40" s="321" t="s">
        <v>57</v>
      </c>
      <c r="C40" s="168" t="s">
        <v>537</v>
      </c>
      <c r="D40" s="322"/>
      <c r="E40" s="323">
        <v>40873</v>
      </c>
      <c r="F40" s="573" t="s">
        <v>538</v>
      </c>
      <c r="G40" s="168" t="s">
        <v>536</v>
      </c>
      <c r="H40" s="325">
        <v>165780</v>
      </c>
      <c r="I40" s="573" t="s">
        <v>539</v>
      </c>
      <c r="J40" s="123"/>
      <c r="K40" s="324">
        <v>165780</v>
      </c>
      <c r="L40" s="324"/>
      <c r="M40" s="324">
        <f t="shared" si="0"/>
        <v>165780</v>
      </c>
      <c r="N40" s="332"/>
      <c r="P40" s="142" t="s">
        <v>152</v>
      </c>
      <c r="R40" s="336"/>
    </row>
    <row r="41" spans="1:18" s="142" customFormat="1" ht="12.75">
      <c r="A41" s="163">
        <v>36</v>
      </c>
      <c r="B41" s="321" t="s">
        <v>57</v>
      </c>
      <c r="C41" s="168" t="s">
        <v>537</v>
      </c>
      <c r="D41" s="322" t="s">
        <v>205</v>
      </c>
      <c r="E41" s="323">
        <v>40875</v>
      </c>
      <c r="F41" s="573" t="s">
        <v>538</v>
      </c>
      <c r="G41" s="168" t="s">
        <v>536</v>
      </c>
      <c r="H41" s="325">
        <v>-230000</v>
      </c>
      <c r="I41" s="573" t="s">
        <v>539</v>
      </c>
      <c r="J41" s="123"/>
      <c r="K41" s="324">
        <v>-230000</v>
      </c>
      <c r="L41" s="324"/>
      <c r="M41" s="324">
        <f t="shared" si="0"/>
        <v>-230000</v>
      </c>
      <c r="N41" s="332"/>
      <c r="O41" s="142" t="s">
        <v>199</v>
      </c>
      <c r="P41" s="142" t="s">
        <v>152</v>
      </c>
      <c r="R41" s="336"/>
    </row>
    <row r="42" spans="1:18" s="142" customFormat="1" ht="38.25">
      <c r="A42" s="163">
        <v>37</v>
      </c>
      <c r="B42" s="321" t="s">
        <v>57</v>
      </c>
      <c r="C42" s="168" t="s">
        <v>537</v>
      </c>
      <c r="D42" s="322" t="s">
        <v>147</v>
      </c>
      <c r="E42" s="323">
        <v>40892</v>
      </c>
      <c r="F42" s="573" t="s">
        <v>538</v>
      </c>
      <c r="G42" s="168" t="s">
        <v>536</v>
      </c>
      <c r="H42" s="325">
        <v>395200</v>
      </c>
      <c r="I42" s="573" t="s">
        <v>539</v>
      </c>
      <c r="J42" s="333" t="s">
        <v>206</v>
      </c>
      <c r="K42" s="324">
        <v>395200</v>
      </c>
      <c r="L42" s="324"/>
      <c r="M42" s="324">
        <f t="shared" si="0"/>
        <v>395200</v>
      </c>
      <c r="N42" s="332"/>
      <c r="O42" s="142" t="s">
        <v>207</v>
      </c>
      <c r="P42" s="142" t="s">
        <v>208</v>
      </c>
      <c r="R42" s="336"/>
    </row>
    <row r="43" spans="1:18" s="142" customFormat="1" ht="24">
      <c r="A43" s="163">
        <v>38</v>
      </c>
      <c r="B43" s="321" t="s">
        <v>57</v>
      </c>
      <c r="C43" s="168" t="s">
        <v>537</v>
      </c>
      <c r="D43" s="322" t="s">
        <v>147</v>
      </c>
      <c r="E43" s="323">
        <v>40899</v>
      </c>
      <c r="F43" s="573" t="s">
        <v>538</v>
      </c>
      <c r="G43" s="168" t="s">
        <v>536</v>
      </c>
      <c r="H43" s="325">
        <v>24708.62</v>
      </c>
      <c r="I43" s="573" t="s">
        <v>539</v>
      </c>
      <c r="J43" s="123"/>
      <c r="K43" s="324">
        <v>24708.62</v>
      </c>
      <c r="L43" s="324"/>
      <c r="M43" s="324">
        <f t="shared" si="0"/>
        <v>24708.62</v>
      </c>
      <c r="N43" s="332"/>
      <c r="P43" s="142" t="s">
        <v>209</v>
      </c>
      <c r="R43" s="336"/>
    </row>
    <row r="44" spans="1:18" s="142" customFormat="1" ht="25.5">
      <c r="A44" s="163">
        <v>39</v>
      </c>
      <c r="B44" s="321" t="s">
        <v>56</v>
      </c>
      <c r="C44" s="168" t="s">
        <v>537</v>
      </c>
      <c r="D44" s="322" t="s">
        <v>147</v>
      </c>
      <c r="E44" s="323">
        <v>40903</v>
      </c>
      <c r="F44" s="573" t="s">
        <v>538</v>
      </c>
      <c r="G44" s="168" t="s">
        <v>536</v>
      </c>
      <c r="H44" s="325">
        <v>1500000</v>
      </c>
      <c r="I44" s="573" t="s">
        <v>539</v>
      </c>
      <c r="J44" s="123" t="s">
        <v>210</v>
      </c>
      <c r="K44" s="324">
        <v>1500000</v>
      </c>
      <c r="L44" s="324"/>
      <c r="M44" s="324">
        <f t="shared" si="0"/>
        <v>1500000</v>
      </c>
      <c r="N44" s="332"/>
      <c r="P44" s="142" t="s">
        <v>211</v>
      </c>
      <c r="R44" s="336"/>
    </row>
    <row r="45" spans="1:18" s="142" customFormat="1" ht="36">
      <c r="A45" s="163">
        <v>40</v>
      </c>
      <c r="B45" s="321" t="s">
        <v>57</v>
      </c>
      <c r="C45" s="168" t="s">
        <v>537</v>
      </c>
      <c r="D45" s="322" t="s">
        <v>147</v>
      </c>
      <c r="E45" s="323">
        <v>40477</v>
      </c>
      <c r="F45" s="573" t="s">
        <v>538</v>
      </c>
      <c r="G45" s="168" t="s">
        <v>536</v>
      </c>
      <c r="H45" s="325">
        <v>6761</v>
      </c>
      <c r="I45" s="573" t="s">
        <v>539</v>
      </c>
      <c r="J45" s="123"/>
      <c r="K45" s="324">
        <v>6761</v>
      </c>
      <c r="L45" s="324">
        <v>-6761</v>
      </c>
      <c r="M45" s="324">
        <f t="shared" si="0"/>
        <v>0</v>
      </c>
      <c r="N45" s="332"/>
      <c r="O45" s="142" t="s">
        <v>212</v>
      </c>
      <c r="P45" s="142" t="s">
        <v>213</v>
      </c>
      <c r="R45" s="337" t="s">
        <v>214</v>
      </c>
    </row>
    <row r="46" spans="1:18" s="142" customFormat="1" ht="25.5">
      <c r="A46" s="163">
        <v>41</v>
      </c>
      <c r="B46" s="321" t="s">
        <v>57</v>
      </c>
      <c r="C46" s="168" t="s">
        <v>537</v>
      </c>
      <c r="D46" s="322" t="s">
        <v>147</v>
      </c>
      <c r="E46" s="323">
        <v>40954</v>
      </c>
      <c r="F46" s="573" t="s">
        <v>538</v>
      </c>
      <c r="G46" s="168" t="s">
        <v>536</v>
      </c>
      <c r="H46" s="325">
        <v>144742.25</v>
      </c>
      <c r="I46" s="573" t="s">
        <v>539</v>
      </c>
      <c r="J46" s="123" t="s">
        <v>215</v>
      </c>
      <c r="K46" s="324">
        <v>144742.25</v>
      </c>
      <c r="L46" s="324"/>
      <c r="M46" s="324">
        <f t="shared" si="0"/>
        <v>144742.25</v>
      </c>
      <c r="N46" s="332"/>
      <c r="O46" s="142" t="s">
        <v>155</v>
      </c>
      <c r="P46" s="142" t="s">
        <v>209</v>
      </c>
      <c r="R46" s="336"/>
    </row>
    <row r="47" spans="1:18" s="142" customFormat="1" ht="25.5">
      <c r="A47" s="163">
        <v>42</v>
      </c>
      <c r="B47" s="321" t="s">
        <v>58</v>
      </c>
      <c r="C47" s="168" t="s">
        <v>537</v>
      </c>
      <c r="D47" s="322" t="s">
        <v>147</v>
      </c>
      <c r="E47" s="323">
        <v>40980</v>
      </c>
      <c r="F47" s="573" t="s">
        <v>538</v>
      </c>
      <c r="G47" s="168" t="s">
        <v>536</v>
      </c>
      <c r="H47" s="325">
        <v>220000</v>
      </c>
      <c r="I47" s="573" t="s">
        <v>539</v>
      </c>
      <c r="J47" s="123" t="s">
        <v>216</v>
      </c>
      <c r="K47" s="324">
        <v>220000</v>
      </c>
      <c r="L47" s="324"/>
      <c r="M47" s="324">
        <f t="shared" si="0"/>
        <v>220000</v>
      </c>
      <c r="N47" s="332"/>
      <c r="O47" s="142" t="s">
        <v>155</v>
      </c>
      <c r="P47" s="142" t="s">
        <v>165</v>
      </c>
      <c r="R47" s="336"/>
    </row>
    <row r="48" spans="1:18" s="142" customFormat="1" ht="24">
      <c r="A48" s="163">
        <v>43</v>
      </c>
      <c r="B48" s="321" t="s">
        <v>56</v>
      </c>
      <c r="C48" s="168" t="s">
        <v>537</v>
      </c>
      <c r="D48" s="322" t="s">
        <v>147</v>
      </c>
      <c r="E48" s="323">
        <v>41060</v>
      </c>
      <c r="F48" s="573" t="s">
        <v>538</v>
      </c>
      <c r="G48" s="168" t="s">
        <v>536</v>
      </c>
      <c r="H48" s="325">
        <v>4940000</v>
      </c>
      <c r="I48" s="573" t="s">
        <v>539</v>
      </c>
      <c r="J48" s="123"/>
      <c r="K48" s="324"/>
      <c r="L48" s="324"/>
      <c r="M48" s="324">
        <f t="shared" si="0"/>
        <v>0</v>
      </c>
      <c r="N48" s="247" t="s">
        <v>108</v>
      </c>
      <c r="O48" s="142" t="s">
        <v>217</v>
      </c>
      <c r="P48" s="142" t="s">
        <v>218</v>
      </c>
      <c r="R48" s="336"/>
    </row>
    <row r="49" spans="1:18" s="142" customFormat="1" ht="24">
      <c r="A49" s="163">
        <v>44</v>
      </c>
      <c r="B49" s="321" t="s">
        <v>56</v>
      </c>
      <c r="C49" s="168" t="s">
        <v>537</v>
      </c>
      <c r="D49" s="322" t="s">
        <v>147</v>
      </c>
      <c r="E49" s="323">
        <v>41060</v>
      </c>
      <c r="F49" s="573" t="s">
        <v>538</v>
      </c>
      <c r="G49" s="168" t="s">
        <v>536</v>
      </c>
      <c r="H49" s="325">
        <v>2000000</v>
      </c>
      <c r="I49" s="573" t="s">
        <v>539</v>
      </c>
      <c r="J49" s="123"/>
      <c r="K49" s="324"/>
      <c r="L49" s="324"/>
      <c r="M49" s="324">
        <f t="shared" si="0"/>
        <v>0</v>
      </c>
      <c r="N49" s="247" t="s">
        <v>108</v>
      </c>
      <c r="O49" s="142" t="s">
        <v>217</v>
      </c>
      <c r="P49" s="142" t="s">
        <v>218</v>
      </c>
      <c r="R49" s="336"/>
    </row>
    <row r="50" spans="1:18" s="142" customFormat="1" ht="25.5">
      <c r="A50" s="163">
        <v>45</v>
      </c>
      <c r="B50" s="321" t="s">
        <v>57</v>
      </c>
      <c r="C50" s="168" t="s">
        <v>537</v>
      </c>
      <c r="D50" s="322" t="s">
        <v>147</v>
      </c>
      <c r="E50" s="323">
        <v>41248</v>
      </c>
      <c r="F50" s="573" t="s">
        <v>538</v>
      </c>
      <c r="G50" s="168" t="s">
        <v>536</v>
      </c>
      <c r="H50" s="325">
        <v>13700</v>
      </c>
      <c r="I50" s="573" t="s">
        <v>539</v>
      </c>
      <c r="J50" s="123" t="s">
        <v>219</v>
      </c>
      <c r="K50" s="324">
        <v>13700</v>
      </c>
      <c r="L50" s="324"/>
      <c r="M50" s="324">
        <f t="shared" si="0"/>
        <v>13700</v>
      </c>
      <c r="N50" s="332"/>
      <c r="O50" s="142" t="s">
        <v>220</v>
      </c>
      <c r="P50" s="142" t="s">
        <v>152</v>
      </c>
      <c r="R50" s="336"/>
    </row>
    <row r="51" spans="1:18" s="142" customFormat="1" ht="24">
      <c r="A51" s="163">
        <v>46</v>
      </c>
      <c r="B51" s="321" t="s">
        <v>57</v>
      </c>
      <c r="C51" s="168" t="s">
        <v>537</v>
      </c>
      <c r="D51" s="322"/>
      <c r="E51" s="323">
        <v>41264</v>
      </c>
      <c r="F51" s="573" t="s">
        <v>538</v>
      </c>
      <c r="G51" s="168" t="s">
        <v>536</v>
      </c>
      <c r="H51" s="325">
        <v>57352.92</v>
      </c>
      <c r="I51" s="573" t="s">
        <v>539</v>
      </c>
      <c r="J51" s="123"/>
      <c r="K51" s="324">
        <v>57352.92</v>
      </c>
      <c r="L51" s="324"/>
      <c r="M51" s="324">
        <f t="shared" si="0"/>
        <v>57352.92</v>
      </c>
      <c r="N51" s="332"/>
      <c r="P51" s="142" t="s">
        <v>209</v>
      </c>
      <c r="R51" s="336"/>
    </row>
    <row r="52" spans="1:18" s="142" customFormat="1" ht="12.75">
      <c r="A52" s="163">
        <v>47</v>
      </c>
      <c r="B52" s="321" t="s">
        <v>57</v>
      </c>
      <c r="C52" s="168" t="s">
        <v>537</v>
      </c>
      <c r="D52" s="322"/>
      <c r="E52" s="323">
        <v>41264</v>
      </c>
      <c r="F52" s="573" t="s">
        <v>538</v>
      </c>
      <c r="G52" s="168" t="s">
        <v>536</v>
      </c>
      <c r="H52" s="325">
        <v>-53143.21</v>
      </c>
      <c r="I52" s="573" t="s">
        <v>539</v>
      </c>
      <c r="J52" s="123"/>
      <c r="K52" s="324">
        <v>-53143.21</v>
      </c>
      <c r="L52" s="324"/>
      <c r="M52" s="324">
        <f t="shared" si="0"/>
        <v>-53143.21</v>
      </c>
      <c r="N52" s="332"/>
      <c r="P52" s="142" t="s">
        <v>152</v>
      </c>
      <c r="R52" s="336"/>
    </row>
    <row r="53" spans="1:18" s="142" customFormat="1" ht="25.5">
      <c r="A53" s="163">
        <v>48</v>
      </c>
      <c r="B53" s="321" t="s">
        <v>56</v>
      </c>
      <c r="C53" s="168" t="s">
        <v>537</v>
      </c>
      <c r="D53" s="322" t="s">
        <v>147</v>
      </c>
      <c r="E53" s="323">
        <v>41271</v>
      </c>
      <c r="F53" s="573" t="s">
        <v>538</v>
      </c>
      <c r="G53" s="168" t="s">
        <v>536</v>
      </c>
      <c r="H53" s="325">
        <v>27745.45</v>
      </c>
      <c r="I53" s="573" t="s">
        <v>539</v>
      </c>
      <c r="J53" s="123" t="s">
        <v>221</v>
      </c>
      <c r="K53" s="324">
        <v>27745.45</v>
      </c>
      <c r="L53" s="324"/>
      <c r="M53" s="324">
        <f t="shared" si="0"/>
        <v>27745.45</v>
      </c>
      <c r="N53" s="332"/>
      <c r="P53" s="142" t="s">
        <v>165</v>
      </c>
      <c r="R53" s="336"/>
    </row>
    <row r="54" spans="1:18" s="142" customFormat="1" ht="25.5">
      <c r="A54" s="163">
        <v>49</v>
      </c>
      <c r="B54" s="321" t="s">
        <v>56</v>
      </c>
      <c r="C54" s="168" t="s">
        <v>537</v>
      </c>
      <c r="D54" s="322" t="s">
        <v>147</v>
      </c>
      <c r="E54" s="323">
        <v>40953</v>
      </c>
      <c r="F54" s="573" t="s">
        <v>538</v>
      </c>
      <c r="G54" s="168" t="s">
        <v>536</v>
      </c>
      <c r="H54" s="325">
        <v>800000</v>
      </c>
      <c r="I54" s="573" t="s">
        <v>539</v>
      </c>
      <c r="J54" s="123" t="s">
        <v>222</v>
      </c>
      <c r="K54" s="324">
        <v>800000</v>
      </c>
      <c r="L54" s="324"/>
      <c r="M54" s="324">
        <f t="shared" si="0"/>
        <v>800000</v>
      </c>
      <c r="N54" s="332"/>
      <c r="P54" s="142" t="s">
        <v>165</v>
      </c>
      <c r="R54" s="336"/>
    </row>
    <row r="55" spans="1:18" s="142" customFormat="1" ht="25.5">
      <c r="A55" s="163">
        <v>50</v>
      </c>
      <c r="B55" s="321" t="s">
        <v>56</v>
      </c>
      <c r="C55" s="168" t="s">
        <v>537</v>
      </c>
      <c r="D55" s="322" t="s">
        <v>147</v>
      </c>
      <c r="E55" s="323">
        <v>41022</v>
      </c>
      <c r="F55" s="573" t="s">
        <v>538</v>
      </c>
      <c r="G55" s="168" t="s">
        <v>536</v>
      </c>
      <c r="H55" s="325">
        <v>500000</v>
      </c>
      <c r="I55" s="573" t="s">
        <v>539</v>
      </c>
      <c r="J55" s="123" t="s">
        <v>223</v>
      </c>
      <c r="K55" s="324">
        <v>500000</v>
      </c>
      <c r="L55" s="324"/>
      <c r="M55" s="324">
        <f t="shared" si="0"/>
        <v>500000</v>
      </c>
      <c r="N55" s="332"/>
      <c r="P55" s="142" t="s">
        <v>165</v>
      </c>
      <c r="R55" s="336"/>
    </row>
    <row r="56" spans="1:18" s="142" customFormat="1" ht="51">
      <c r="A56" s="163">
        <v>51</v>
      </c>
      <c r="B56" s="321" t="s">
        <v>56</v>
      </c>
      <c r="C56" s="168" t="s">
        <v>537</v>
      </c>
      <c r="D56" s="322" t="s">
        <v>147</v>
      </c>
      <c r="E56" s="323">
        <v>41274</v>
      </c>
      <c r="F56" s="573" t="s">
        <v>538</v>
      </c>
      <c r="G56" s="168" t="s">
        <v>536</v>
      </c>
      <c r="H56" s="325">
        <v>6274748.6799999997</v>
      </c>
      <c r="I56" s="573" t="s">
        <v>539</v>
      </c>
      <c r="J56" s="123" t="s">
        <v>224</v>
      </c>
      <c r="K56" s="324">
        <v>6274748.6799999997</v>
      </c>
      <c r="L56" s="324"/>
      <c r="M56" s="324">
        <f t="shared" si="0"/>
        <v>6274748.6799999997</v>
      </c>
      <c r="N56" s="332"/>
      <c r="P56" s="142" t="s">
        <v>225</v>
      </c>
      <c r="R56" s="336"/>
    </row>
    <row r="57" spans="1:18" s="142" customFormat="1" ht="25.5">
      <c r="A57" s="163">
        <v>52</v>
      </c>
      <c r="B57" s="321" t="s">
        <v>56</v>
      </c>
      <c r="C57" s="168" t="s">
        <v>537</v>
      </c>
      <c r="D57" s="322" t="s">
        <v>147</v>
      </c>
      <c r="E57" s="323">
        <v>41376</v>
      </c>
      <c r="F57" s="573" t="s">
        <v>538</v>
      </c>
      <c r="G57" s="168" t="s">
        <v>536</v>
      </c>
      <c r="H57" s="325">
        <v>128404.56</v>
      </c>
      <c r="I57" s="573" t="s">
        <v>539</v>
      </c>
      <c r="J57" s="123" t="s">
        <v>226</v>
      </c>
      <c r="K57" s="324">
        <v>128404.56</v>
      </c>
      <c r="L57" s="324"/>
      <c r="M57" s="324">
        <f t="shared" si="0"/>
        <v>128404.56</v>
      </c>
      <c r="N57" s="332"/>
      <c r="P57" s="142" t="s">
        <v>165</v>
      </c>
      <c r="R57" s="336"/>
    </row>
    <row r="58" spans="1:18" s="142" customFormat="1" ht="25.5">
      <c r="A58" s="163">
        <v>53</v>
      </c>
      <c r="B58" s="321" t="s">
        <v>56</v>
      </c>
      <c r="C58" s="168" t="s">
        <v>537</v>
      </c>
      <c r="D58" s="322" t="s">
        <v>147</v>
      </c>
      <c r="E58" s="323">
        <v>41376</v>
      </c>
      <c r="F58" s="573" t="s">
        <v>538</v>
      </c>
      <c r="G58" s="168" t="s">
        <v>536</v>
      </c>
      <c r="H58" s="325">
        <v>582553.31999999995</v>
      </c>
      <c r="I58" s="573" t="s">
        <v>539</v>
      </c>
      <c r="J58" s="123" t="s">
        <v>227</v>
      </c>
      <c r="K58" s="324">
        <v>582553.31999999995</v>
      </c>
      <c r="L58" s="324"/>
      <c r="M58" s="324">
        <f t="shared" si="0"/>
        <v>582553.31999999995</v>
      </c>
      <c r="N58" s="332"/>
      <c r="P58" s="142" t="s">
        <v>165</v>
      </c>
      <c r="R58" s="336"/>
    </row>
    <row r="59" spans="1:18" s="142" customFormat="1" ht="25.5">
      <c r="A59" s="163">
        <v>54</v>
      </c>
      <c r="B59" s="321" t="s">
        <v>56</v>
      </c>
      <c r="C59" s="168" t="s">
        <v>537</v>
      </c>
      <c r="D59" s="322" t="s">
        <v>147</v>
      </c>
      <c r="E59" s="323">
        <v>41376</v>
      </c>
      <c r="F59" s="573" t="s">
        <v>538</v>
      </c>
      <c r="G59" s="168" t="s">
        <v>536</v>
      </c>
      <c r="H59" s="325">
        <v>646140.6</v>
      </c>
      <c r="I59" s="573" t="s">
        <v>539</v>
      </c>
      <c r="J59" s="123" t="s">
        <v>228</v>
      </c>
      <c r="K59" s="324">
        <v>646140.6</v>
      </c>
      <c r="L59" s="324"/>
      <c r="M59" s="324">
        <f t="shared" si="0"/>
        <v>646140.6</v>
      </c>
      <c r="N59" s="332"/>
      <c r="P59" s="142" t="s">
        <v>165</v>
      </c>
      <c r="R59" s="336"/>
    </row>
    <row r="60" spans="1:18" s="142" customFormat="1" ht="36">
      <c r="A60" s="163">
        <v>55</v>
      </c>
      <c r="B60" s="321" t="s">
        <v>56</v>
      </c>
      <c r="C60" s="168" t="s">
        <v>537</v>
      </c>
      <c r="D60" s="322" t="s">
        <v>147</v>
      </c>
      <c r="E60" s="323">
        <v>41639</v>
      </c>
      <c r="F60" s="573" t="s">
        <v>538</v>
      </c>
      <c r="G60" s="168" t="s">
        <v>536</v>
      </c>
      <c r="H60" s="325">
        <v>6000000</v>
      </c>
      <c r="I60" s="573" t="s">
        <v>539</v>
      </c>
      <c r="J60" s="123" t="s">
        <v>229</v>
      </c>
      <c r="K60" s="324"/>
      <c r="L60" s="324"/>
      <c r="M60" s="324">
        <f t="shared" si="0"/>
        <v>0</v>
      </c>
      <c r="N60" s="332" t="s">
        <v>230</v>
      </c>
      <c r="P60" s="142" t="s">
        <v>165</v>
      </c>
      <c r="R60" s="336"/>
    </row>
    <row r="61" spans="1:18" s="142" customFormat="1" ht="36">
      <c r="A61" s="163">
        <v>56</v>
      </c>
      <c r="B61" s="321" t="s">
        <v>56</v>
      </c>
      <c r="C61" s="168" t="s">
        <v>537</v>
      </c>
      <c r="D61" s="322" t="s">
        <v>147</v>
      </c>
      <c r="E61" s="323">
        <v>41639</v>
      </c>
      <c r="F61" s="573" t="s">
        <v>538</v>
      </c>
      <c r="G61" s="168" t="s">
        <v>536</v>
      </c>
      <c r="H61" s="325">
        <v>780000</v>
      </c>
      <c r="I61" s="573" t="s">
        <v>539</v>
      </c>
      <c r="J61" s="123" t="s">
        <v>231</v>
      </c>
      <c r="K61" s="324"/>
      <c r="L61" s="324"/>
      <c r="M61" s="324">
        <f t="shared" si="0"/>
        <v>0</v>
      </c>
      <c r="N61" s="332" t="s">
        <v>230</v>
      </c>
      <c r="P61" s="142" t="s">
        <v>165</v>
      </c>
      <c r="R61" s="336"/>
    </row>
    <row r="62" spans="1:18" s="142" customFormat="1" ht="25.5">
      <c r="A62" s="163">
        <v>57</v>
      </c>
      <c r="B62" s="321" t="s">
        <v>56</v>
      </c>
      <c r="C62" s="168" t="s">
        <v>537</v>
      </c>
      <c r="D62" s="322" t="s">
        <v>147</v>
      </c>
      <c r="E62" s="326">
        <v>41759</v>
      </c>
      <c r="F62" s="573" t="s">
        <v>538</v>
      </c>
      <c r="G62" s="168" t="s">
        <v>536</v>
      </c>
      <c r="H62" s="327">
        <v>5600000</v>
      </c>
      <c r="I62" s="573" t="s">
        <v>539</v>
      </c>
      <c r="J62" s="123" t="s">
        <v>232</v>
      </c>
      <c r="K62" s="324">
        <v>5600000</v>
      </c>
      <c r="L62" s="324"/>
      <c r="M62" s="324">
        <f t="shared" si="0"/>
        <v>5600000</v>
      </c>
      <c r="N62" s="332"/>
      <c r="P62" s="142" t="s">
        <v>165</v>
      </c>
      <c r="R62" s="336"/>
    </row>
    <row r="63" spans="1:18" s="142" customFormat="1" ht="25.5">
      <c r="A63" s="163">
        <v>58</v>
      </c>
      <c r="B63" s="321" t="s">
        <v>56</v>
      </c>
      <c r="C63" s="168" t="s">
        <v>537</v>
      </c>
      <c r="D63" s="322" t="s">
        <v>147</v>
      </c>
      <c r="E63" s="326">
        <v>41759</v>
      </c>
      <c r="F63" s="573" t="s">
        <v>538</v>
      </c>
      <c r="G63" s="168" t="s">
        <v>536</v>
      </c>
      <c r="H63" s="327">
        <v>2000000</v>
      </c>
      <c r="I63" s="573" t="s">
        <v>539</v>
      </c>
      <c r="J63" s="123" t="s">
        <v>233</v>
      </c>
      <c r="K63" s="324">
        <v>2000000</v>
      </c>
      <c r="L63" s="324"/>
      <c r="M63" s="324">
        <f t="shared" si="0"/>
        <v>2000000</v>
      </c>
      <c r="N63" s="332"/>
      <c r="P63" s="142" t="s">
        <v>165</v>
      </c>
      <c r="R63" s="336"/>
    </row>
    <row r="64" spans="1:18" s="142" customFormat="1" ht="25.5">
      <c r="A64" s="163">
        <v>59</v>
      </c>
      <c r="B64" s="321" t="s">
        <v>56</v>
      </c>
      <c r="C64" s="168" t="s">
        <v>537</v>
      </c>
      <c r="D64" s="322" t="s">
        <v>147</v>
      </c>
      <c r="E64" s="326">
        <v>41759</v>
      </c>
      <c r="F64" s="573" t="s">
        <v>538</v>
      </c>
      <c r="G64" s="168" t="s">
        <v>536</v>
      </c>
      <c r="H64" s="327">
        <v>2000000</v>
      </c>
      <c r="I64" s="573" t="s">
        <v>539</v>
      </c>
      <c r="J64" s="123" t="s">
        <v>234</v>
      </c>
      <c r="K64" s="324">
        <v>2000000</v>
      </c>
      <c r="L64" s="324"/>
      <c r="M64" s="324">
        <f t="shared" si="0"/>
        <v>2000000</v>
      </c>
      <c r="N64" s="332"/>
      <c r="P64" s="142" t="s">
        <v>165</v>
      </c>
      <c r="R64" s="336"/>
    </row>
    <row r="65" spans="1:18" s="142" customFormat="1" ht="25.5">
      <c r="A65" s="163">
        <v>60</v>
      </c>
      <c r="B65" s="321" t="s">
        <v>56</v>
      </c>
      <c r="C65" s="168" t="s">
        <v>537</v>
      </c>
      <c r="D65" s="322" t="s">
        <v>147</v>
      </c>
      <c r="E65" s="326">
        <v>41759</v>
      </c>
      <c r="F65" s="573" t="s">
        <v>538</v>
      </c>
      <c r="G65" s="168" t="s">
        <v>536</v>
      </c>
      <c r="H65" s="327">
        <v>2800000</v>
      </c>
      <c r="I65" s="573" t="s">
        <v>539</v>
      </c>
      <c r="J65" s="123" t="s">
        <v>235</v>
      </c>
      <c r="K65" s="324">
        <v>2800000</v>
      </c>
      <c r="L65" s="324"/>
      <c r="M65" s="324">
        <f t="shared" si="0"/>
        <v>2800000</v>
      </c>
      <c r="N65" s="332"/>
      <c r="P65" s="142" t="s">
        <v>165</v>
      </c>
      <c r="R65" s="336"/>
    </row>
    <row r="66" spans="1:18" s="142" customFormat="1" ht="25.5">
      <c r="A66" s="163">
        <v>61</v>
      </c>
      <c r="B66" s="321" t="s">
        <v>56</v>
      </c>
      <c r="C66" s="168" t="s">
        <v>537</v>
      </c>
      <c r="D66" s="322" t="s">
        <v>147</v>
      </c>
      <c r="E66" s="326">
        <v>41759</v>
      </c>
      <c r="F66" s="573" t="s">
        <v>538</v>
      </c>
      <c r="G66" s="168" t="s">
        <v>536</v>
      </c>
      <c r="H66" s="327">
        <v>2000000</v>
      </c>
      <c r="I66" s="573" t="s">
        <v>539</v>
      </c>
      <c r="J66" s="123" t="s">
        <v>236</v>
      </c>
      <c r="K66" s="324">
        <v>2000000</v>
      </c>
      <c r="L66" s="324"/>
      <c r="M66" s="324">
        <f t="shared" si="0"/>
        <v>2000000</v>
      </c>
      <c r="N66" s="332"/>
      <c r="P66" s="142" t="s">
        <v>165</v>
      </c>
      <c r="R66" s="336"/>
    </row>
    <row r="67" spans="1:18" s="142" customFormat="1" ht="25.5">
      <c r="A67" s="163">
        <v>62</v>
      </c>
      <c r="B67" s="321" t="s">
        <v>56</v>
      </c>
      <c r="C67" s="168" t="s">
        <v>537</v>
      </c>
      <c r="D67" s="322" t="s">
        <v>147</v>
      </c>
      <c r="E67" s="326">
        <v>41790</v>
      </c>
      <c r="F67" s="573" t="s">
        <v>538</v>
      </c>
      <c r="G67" s="168" t="s">
        <v>536</v>
      </c>
      <c r="H67" s="327">
        <v>3200000</v>
      </c>
      <c r="I67" s="573" t="s">
        <v>539</v>
      </c>
      <c r="J67" s="123" t="s">
        <v>237</v>
      </c>
      <c r="K67" s="324">
        <v>3200000</v>
      </c>
      <c r="L67" s="324"/>
      <c r="M67" s="324">
        <f t="shared" si="0"/>
        <v>3200000</v>
      </c>
      <c r="N67" s="332"/>
      <c r="P67" s="142" t="s">
        <v>165</v>
      </c>
      <c r="R67" s="336"/>
    </row>
    <row r="68" spans="1:18" s="142" customFormat="1" ht="25.5">
      <c r="A68" s="163">
        <v>63</v>
      </c>
      <c r="B68" s="321" t="s">
        <v>56</v>
      </c>
      <c r="C68" s="168" t="s">
        <v>537</v>
      </c>
      <c r="D68" s="322" t="s">
        <v>147</v>
      </c>
      <c r="E68" s="326">
        <v>41790</v>
      </c>
      <c r="F68" s="573" t="s">
        <v>538</v>
      </c>
      <c r="G68" s="168" t="s">
        <v>536</v>
      </c>
      <c r="H68" s="327">
        <v>2500000</v>
      </c>
      <c r="I68" s="573" t="s">
        <v>539</v>
      </c>
      <c r="J68" s="123" t="s">
        <v>238</v>
      </c>
      <c r="K68" s="324">
        <v>2500000</v>
      </c>
      <c r="L68" s="324"/>
      <c r="M68" s="324">
        <f t="shared" si="0"/>
        <v>2500000</v>
      </c>
      <c r="N68" s="332"/>
      <c r="P68" s="142" t="s">
        <v>165</v>
      </c>
      <c r="R68" s="336"/>
    </row>
    <row r="69" spans="1:18" s="142" customFormat="1" ht="25.5">
      <c r="A69" s="163">
        <v>64</v>
      </c>
      <c r="B69" s="321" t="s">
        <v>56</v>
      </c>
      <c r="C69" s="168" t="s">
        <v>537</v>
      </c>
      <c r="D69" s="322" t="s">
        <v>147</v>
      </c>
      <c r="E69" s="326">
        <v>41790</v>
      </c>
      <c r="F69" s="573" t="s">
        <v>538</v>
      </c>
      <c r="G69" s="168" t="s">
        <v>536</v>
      </c>
      <c r="H69" s="327">
        <v>2000000</v>
      </c>
      <c r="I69" s="573" t="s">
        <v>539</v>
      </c>
      <c r="J69" s="123" t="s">
        <v>239</v>
      </c>
      <c r="K69" s="324">
        <v>2000000</v>
      </c>
      <c r="L69" s="324"/>
      <c r="M69" s="324">
        <f t="shared" si="0"/>
        <v>2000000</v>
      </c>
      <c r="N69" s="332"/>
      <c r="P69" s="142" t="s">
        <v>165</v>
      </c>
      <c r="R69" s="336"/>
    </row>
    <row r="70" spans="1:18" s="142" customFormat="1" ht="12.75">
      <c r="A70" s="163">
        <v>65</v>
      </c>
      <c r="B70" s="321" t="s">
        <v>56</v>
      </c>
      <c r="C70" s="168" t="s">
        <v>537</v>
      </c>
      <c r="D70" s="322" t="s">
        <v>240</v>
      </c>
      <c r="E70" s="323">
        <v>42369</v>
      </c>
      <c r="F70" s="573" t="s">
        <v>538</v>
      </c>
      <c r="G70" s="168" t="s">
        <v>536</v>
      </c>
      <c r="H70" s="325">
        <v>-5062251.71</v>
      </c>
      <c r="I70" s="573" t="s">
        <v>539</v>
      </c>
      <c r="J70" s="123"/>
      <c r="K70" s="324">
        <v>-5062251.71</v>
      </c>
      <c r="L70" s="324"/>
      <c r="M70" s="324">
        <f t="shared" si="0"/>
        <v>-5062251.71</v>
      </c>
      <c r="N70" s="332"/>
      <c r="O70" s="142" t="s">
        <v>241</v>
      </c>
      <c r="P70" s="142" t="s">
        <v>152</v>
      </c>
      <c r="R70" s="336"/>
    </row>
    <row r="71" spans="1:18" s="142" customFormat="1" ht="37.5">
      <c r="A71" s="163">
        <v>66</v>
      </c>
      <c r="B71" s="321" t="s">
        <v>56</v>
      </c>
      <c r="C71" s="168" t="s">
        <v>537</v>
      </c>
      <c r="D71" s="322" t="s">
        <v>240</v>
      </c>
      <c r="E71" s="323">
        <v>42369</v>
      </c>
      <c r="F71" s="573" t="s">
        <v>538</v>
      </c>
      <c r="G71" s="168" t="s">
        <v>536</v>
      </c>
      <c r="H71" s="325">
        <v>-11992334.85</v>
      </c>
      <c r="I71" s="573" t="s">
        <v>539</v>
      </c>
      <c r="J71" s="123"/>
      <c r="K71" s="324">
        <v>-11992334.85</v>
      </c>
      <c r="L71" s="324"/>
      <c r="M71" s="324">
        <f t="shared" si="0"/>
        <v>-11992334.85</v>
      </c>
      <c r="N71" s="332"/>
      <c r="O71" s="343" t="s">
        <v>242</v>
      </c>
      <c r="P71" s="142" t="s">
        <v>152</v>
      </c>
      <c r="R71" s="336"/>
    </row>
    <row r="72" spans="1:18" s="142" customFormat="1" ht="37.5">
      <c r="A72" s="163">
        <v>67</v>
      </c>
      <c r="B72" s="321" t="s">
        <v>56</v>
      </c>
      <c r="C72" s="168" t="s">
        <v>537</v>
      </c>
      <c r="D72" s="322" t="s">
        <v>240</v>
      </c>
      <c r="E72" s="323">
        <v>42369</v>
      </c>
      <c r="F72" s="573" t="s">
        <v>538</v>
      </c>
      <c r="G72" s="168" t="s">
        <v>536</v>
      </c>
      <c r="H72" s="325">
        <v>-5616021.6600000001</v>
      </c>
      <c r="I72" s="573" t="s">
        <v>539</v>
      </c>
      <c r="J72" s="123"/>
      <c r="K72" s="324">
        <v>-5616021.6600000001</v>
      </c>
      <c r="L72" s="324"/>
      <c r="M72" s="324">
        <f>K72+L72</f>
        <v>-5616021.6600000001</v>
      </c>
      <c r="N72" s="332"/>
      <c r="O72" s="343" t="s">
        <v>243</v>
      </c>
      <c r="P72" s="142" t="s">
        <v>152</v>
      </c>
      <c r="R72" s="336"/>
    </row>
    <row r="73" spans="1:18" s="142" customFormat="1" ht="25.5">
      <c r="A73" s="123">
        <v>68</v>
      </c>
      <c r="B73" s="321" t="s">
        <v>56</v>
      </c>
      <c r="C73" s="168" t="s">
        <v>537</v>
      </c>
      <c r="D73" s="123"/>
      <c r="E73" s="339">
        <v>42916</v>
      </c>
      <c r="F73" s="573" t="s">
        <v>538</v>
      </c>
      <c r="G73" s="168" t="s">
        <v>536</v>
      </c>
      <c r="H73" s="249">
        <v>12280531.9</v>
      </c>
      <c r="I73" s="573" t="s">
        <v>539</v>
      </c>
      <c r="J73" s="123" t="s">
        <v>244</v>
      </c>
      <c r="K73" s="344">
        <v>12280531.9</v>
      </c>
      <c r="L73" s="249"/>
      <c r="M73" s="193">
        <f>K73+L73</f>
        <v>12280531.9</v>
      </c>
      <c r="N73" s="321"/>
      <c r="O73" s="329"/>
      <c r="P73" s="329"/>
    </row>
    <row r="74" spans="1:18" s="142" customFormat="1" ht="12.75">
      <c r="A74" s="163">
        <v>69</v>
      </c>
      <c r="B74" s="321" t="s">
        <v>56</v>
      </c>
      <c r="C74" s="168" t="s">
        <v>537</v>
      </c>
      <c r="D74" s="123"/>
      <c r="E74" s="339">
        <v>42916</v>
      </c>
      <c r="F74" s="573" t="s">
        <v>538</v>
      </c>
      <c r="G74" s="168" t="s">
        <v>536</v>
      </c>
      <c r="H74" s="249">
        <v>-4940000</v>
      </c>
      <c r="I74" s="573" t="s">
        <v>539</v>
      </c>
      <c r="J74" s="123"/>
      <c r="K74" s="344"/>
      <c r="L74" s="249"/>
      <c r="M74" s="193">
        <f t="shared" ref="M74:M77" si="1">K74+L74</f>
        <v>0</v>
      </c>
      <c r="N74" s="321"/>
      <c r="O74" s="329"/>
      <c r="P74" s="329"/>
    </row>
    <row r="75" spans="1:18" s="142" customFormat="1" ht="12.75">
      <c r="A75" s="123">
        <v>70</v>
      </c>
      <c r="B75" s="321" t="s">
        <v>56</v>
      </c>
      <c r="C75" s="168" t="s">
        <v>537</v>
      </c>
      <c r="D75" s="123"/>
      <c r="E75" s="339">
        <v>42916</v>
      </c>
      <c r="F75" s="573" t="s">
        <v>538</v>
      </c>
      <c r="G75" s="168" t="s">
        <v>536</v>
      </c>
      <c r="H75" s="249">
        <v>-2000000</v>
      </c>
      <c r="I75" s="573" t="s">
        <v>539</v>
      </c>
      <c r="J75" s="123"/>
      <c r="K75" s="344"/>
      <c r="L75" s="249"/>
      <c r="M75" s="193">
        <f t="shared" si="1"/>
        <v>0</v>
      </c>
      <c r="N75" s="321"/>
      <c r="O75" s="329"/>
      <c r="P75" s="329"/>
    </row>
    <row r="76" spans="1:18" s="142" customFormat="1" ht="12.75">
      <c r="A76" s="163">
        <v>71</v>
      </c>
      <c r="B76" s="321" t="s">
        <v>56</v>
      </c>
      <c r="C76" s="168" t="s">
        <v>537</v>
      </c>
      <c r="D76" s="123"/>
      <c r="E76" s="339">
        <v>42916</v>
      </c>
      <c r="F76" s="573" t="s">
        <v>538</v>
      </c>
      <c r="G76" s="168" t="s">
        <v>536</v>
      </c>
      <c r="H76" s="249">
        <v>-6000000</v>
      </c>
      <c r="I76" s="573" t="s">
        <v>539</v>
      </c>
      <c r="J76" s="123"/>
      <c r="K76" s="344"/>
      <c r="L76" s="249"/>
      <c r="M76" s="193">
        <f t="shared" si="1"/>
        <v>0</v>
      </c>
      <c r="N76" s="321"/>
      <c r="O76" s="329"/>
      <c r="P76" s="329"/>
    </row>
    <row r="77" spans="1:18" s="142" customFormat="1" ht="12.75">
      <c r="A77" s="123">
        <v>72</v>
      </c>
      <c r="B77" s="321" t="s">
        <v>56</v>
      </c>
      <c r="C77" s="168" t="s">
        <v>537</v>
      </c>
      <c r="D77" s="123"/>
      <c r="E77" s="339">
        <v>42916</v>
      </c>
      <c r="F77" s="573" t="s">
        <v>538</v>
      </c>
      <c r="G77" s="168" t="s">
        <v>536</v>
      </c>
      <c r="H77" s="249">
        <v>-780000</v>
      </c>
      <c r="I77" s="573" t="s">
        <v>539</v>
      </c>
      <c r="J77" s="123"/>
      <c r="K77" s="344"/>
      <c r="L77" s="249"/>
      <c r="M77" s="193">
        <f t="shared" si="1"/>
        <v>0</v>
      </c>
      <c r="N77" s="321"/>
      <c r="O77" s="329"/>
      <c r="P77" s="329"/>
    </row>
    <row r="78" spans="1:18" s="142" customFormat="1" ht="12.75">
      <c r="A78" s="163">
        <v>73</v>
      </c>
      <c r="B78" s="321"/>
      <c r="C78" s="168" t="s">
        <v>537</v>
      </c>
      <c r="D78" s="123"/>
      <c r="E78" s="339"/>
      <c r="F78" s="573" t="s">
        <v>538</v>
      </c>
      <c r="G78" s="168" t="s">
        <v>536</v>
      </c>
      <c r="H78" s="249"/>
      <c r="I78" s="573" t="s">
        <v>539</v>
      </c>
      <c r="J78" s="123"/>
      <c r="K78" s="344"/>
      <c r="L78" s="249"/>
      <c r="M78" s="193"/>
      <c r="N78" s="321"/>
      <c r="O78" s="329"/>
      <c r="P78" s="329"/>
    </row>
    <row r="79" spans="1:18" s="142" customFormat="1" ht="12.75">
      <c r="A79" s="123">
        <v>74</v>
      </c>
      <c r="B79" s="321"/>
      <c r="C79" s="168" t="s">
        <v>537</v>
      </c>
      <c r="D79" s="123"/>
      <c r="E79" s="339"/>
      <c r="F79" s="573" t="s">
        <v>538</v>
      </c>
      <c r="G79" s="168" t="s">
        <v>536</v>
      </c>
      <c r="H79" s="249"/>
      <c r="I79" s="573" t="s">
        <v>539</v>
      </c>
      <c r="J79" s="123"/>
      <c r="K79" s="344"/>
      <c r="L79" s="249"/>
      <c r="M79" s="193"/>
      <c r="N79" s="321"/>
      <c r="O79" s="329"/>
      <c r="P79" s="329"/>
    </row>
    <row r="80" spans="1:18" s="142" customFormat="1" ht="12.75">
      <c r="A80" s="163">
        <v>75</v>
      </c>
      <c r="B80" s="321"/>
      <c r="C80" s="168" t="s">
        <v>537</v>
      </c>
      <c r="D80" s="123"/>
      <c r="E80" s="339"/>
      <c r="F80" s="573" t="s">
        <v>538</v>
      </c>
      <c r="G80" s="168" t="s">
        <v>536</v>
      </c>
      <c r="H80" s="249"/>
      <c r="I80" s="573" t="s">
        <v>539</v>
      </c>
      <c r="J80" s="123"/>
      <c r="K80" s="344"/>
      <c r="L80" s="249"/>
      <c r="M80" s="193"/>
      <c r="N80" s="321"/>
      <c r="O80" s="329"/>
      <c r="P80" s="329"/>
    </row>
    <row r="81" spans="1:16" s="142" customFormat="1" ht="12.75">
      <c r="A81" s="321">
        <v>69</v>
      </c>
      <c r="B81" s="321" t="s">
        <v>57</v>
      </c>
      <c r="C81" s="168" t="s">
        <v>537</v>
      </c>
      <c r="D81" s="123"/>
      <c r="E81" s="339"/>
      <c r="F81" s="573" t="s">
        <v>538</v>
      </c>
      <c r="G81" s="168" t="s">
        <v>536</v>
      </c>
      <c r="H81" s="249"/>
      <c r="I81" s="573" t="s">
        <v>539</v>
      </c>
      <c r="J81" s="123"/>
      <c r="K81" s="344"/>
      <c r="L81" s="249">
        <v>373588</v>
      </c>
      <c r="M81" s="193">
        <v>373588</v>
      </c>
      <c r="N81" s="321"/>
      <c r="O81" s="329"/>
      <c r="P81" s="329"/>
    </row>
    <row r="82" spans="1:16" s="142" customFormat="1" ht="12.75">
      <c r="B82" s="116"/>
      <c r="C82" s="116"/>
      <c r="D82" s="116"/>
      <c r="E82" s="340"/>
      <c r="F82" s="341"/>
      <c r="G82" s="168" t="s">
        <v>536</v>
      </c>
      <c r="H82" s="342"/>
      <c r="I82" s="573" t="s">
        <v>539</v>
      </c>
      <c r="J82" s="116"/>
      <c r="L82" s="342"/>
      <c r="M82" s="345"/>
      <c r="O82" s="329"/>
      <c r="P82" s="329"/>
    </row>
    <row r="83" spans="1:16" s="142" customFormat="1" ht="12.75">
      <c r="B83" s="116"/>
      <c r="C83" s="116"/>
      <c r="D83" s="116"/>
      <c r="E83" s="340"/>
      <c r="F83" s="341"/>
      <c r="G83" s="116"/>
      <c r="H83" s="342"/>
      <c r="I83" s="116"/>
      <c r="J83" s="116"/>
      <c r="L83" s="342"/>
      <c r="M83" s="345"/>
      <c r="O83" s="329"/>
      <c r="P83" s="329"/>
    </row>
    <row r="84" spans="1:16" s="142" customFormat="1" ht="12.75">
      <c r="B84" s="116"/>
      <c r="C84" s="116"/>
      <c r="D84" s="116"/>
      <c r="E84" s="340"/>
      <c r="F84" s="341"/>
      <c r="G84" s="116"/>
      <c r="H84" s="342"/>
      <c r="I84" s="116"/>
      <c r="J84" s="116"/>
      <c r="L84" s="342"/>
      <c r="M84" s="345"/>
      <c r="O84" s="329"/>
      <c r="P84" s="329"/>
    </row>
    <row r="85" spans="1:16" s="142" customFormat="1" ht="12.75">
      <c r="B85" s="116"/>
      <c r="C85" s="116"/>
      <c r="D85" s="116"/>
      <c r="E85" s="340"/>
      <c r="F85" s="341"/>
      <c r="G85" s="116"/>
      <c r="H85" s="342"/>
      <c r="I85" s="116"/>
      <c r="J85" s="116"/>
      <c r="L85" s="342"/>
      <c r="M85" s="345"/>
      <c r="O85" s="329"/>
      <c r="P85" s="329"/>
    </row>
  </sheetData>
  <autoFilter ref="A3:S81"/>
  <mergeCells count="3">
    <mergeCell ref="A1:N1"/>
    <mergeCell ref="A2:F2"/>
    <mergeCell ref="M2:N2"/>
  </mergeCells>
  <phoneticPr fontId="22" type="noConversion"/>
  <printOptions horizontalCentered="1"/>
  <pageMargins left="0.42916666666666697" right="0.42916666666666697" top="0.9" bottom="0.70902777777777803" header="0.62916666666666698" footer="0.42916666666666697"/>
  <pageSetup paperSize="9" scale="81" fitToHeight="0" orientation="landscape"/>
  <headerFooter alignWithMargins="0">
    <oddHeader>&amp;R附表12</oddHeader>
    <oddFooter>&amp;C&amp;10&amp;P</oddFooter>
  </headerFooter>
  <rowBreaks count="2" manualBreakCount="2">
    <brk id="41" max="13" man="1"/>
    <brk id="60" max="1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Sheet1!#REF!</xm:f>
          </x14:formula1>
          <xm:sqref>B6:B81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zoomScale="85" zoomScaleNormal="85" workbookViewId="0">
      <pane xSplit="5" ySplit="3" topLeftCell="F10" activePane="bottomRight" state="frozen"/>
      <selection pane="topRight"/>
      <selection pane="bottomLeft"/>
      <selection pane="bottomRight" activeCell="G24" sqref="G24"/>
    </sheetView>
  </sheetViews>
  <sheetFormatPr defaultColWidth="8.875" defaultRowHeight="15.75"/>
  <cols>
    <col min="1" max="2" width="7" style="286" customWidth="1"/>
    <col min="3" max="3" width="11.125" style="286" customWidth="1"/>
    <col min="4" max="4" width="9.25" style="286" customWidth="1"/>
    <col min="5" max="5" width="13.375" style="286" customWidth="1"/>
    <col min="6" max="6" width="15" style="287" customWidth="1"/>
    <col min="7" max="7" width="14.25" style="287" customWidth="1"/>
    <col min="8" max="8" width="17.125" style="287" customWidth="1"/>
    <col min="9" max="9" width="18.375" style="287" customWidth="1"/>
    <col min="10" max="10" width="6.625" style="288" customWidth="1"/>
    <col min="11" max="12" width="15" style="287" customWidth="1"/>
    <col min="13" max="13" width="13.625" style="287" customWidth="1"/>
    <col min="14" max="14" width="16" style="287" customWidth="1"/>
    <col min="15" max="15" width="9.375" style="287" customWidth="1"/>
    <col min="16" max="16" width="15" style="287" customWidth="1"/>
    <col min="17" max="17" width="15" style="289" customWidth="1"/>
    <col min="18" max="18" width="19.25" style="290" customWidth="1"/>
    <col min="19" max="16384" width="8.875" style="286"/>
  </cols>
  <sheetData>
    <row r="1" spans="1:18" ht="24">
      <c r="A1" s="802" t="s">
        <v>657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  <c r="Q1" s="739"/>
      <c r="R1" s="739"/>
    </row>
    <row r="2" spans="1:18" s="283" customFormat="1" ht="12.75">
      <c r="A2" s="291" t="str">
        <f>Sheet2!A2</f>
        <v>看就会立刻就会老客户考虑减</v>
      </c>
      <c r="B2" s="292"/>
      <c r="C2" s="293"/>
      <c r="D2" s="293"/>
      <c r="E2" s="293"/>
      <c r="F2" s="294"/>
      <c r="G2" s="294"/>
      <c r="H2" s="294"/>
      <c r="I2" s="294"/>
      <c r="J2" s="263"/>
      <c r="K2" s="294"/>
      <c r="L2" s="301"/>
      <c r="M2" s="301"/>
      <c r="N2" s="302"/>
      <c r="O2" s="302"/>
      <c r="P2" s="301"/>
      <c r="Q2" s="306" t="s">
        <v>94</v>
      </c>
      <c r="R2" s="307"/>
    </row>
    <row r="3" spans="1:18" s="284" customFormat="1" ht="24">
      <c r="A3" s="783" t="s">
        <v>540</v>
      </c>
      <c r="B3" s="783" t="s">
        <v>540</v>
      </c>
      <c r="C3" s="783" t="s">
        <v>540</v>
      </c>
      <c r="D3" s="783" t="s">
        <v>540</v>
      </c>
      <c r="E3" s="783" t="s">
        <v>540</v>
      </c>
      <c r="F3" s="783" t="s">
        <v>540</v>
      </c>
      <c r="G3" s="783" t="s">
        <v>540</v>
      </c>
      <c r="H3" s="783" t="s">
        <v>540</v>
      </c>
      <c r="I3" s="783" t="s">
        <v>540</v>
      </c>
      <c r="J3" s="783" t="s">
        <v>540</v>
      </c>
      <c r="K3" s="783" t="s">
        <v>540</v>
      </c>
      <c r="L3" s="783" t="s">
        <v>540</v>
      </c>
      <c r="M3" s="783" t="s">
        <v>540</v>
      </c>
      <c r="N3" s="783" t="s">
        <v>540</v>
      </c>
      <c r="O3" s="783" t="s">
        <v>540</v>
      </c>
      <c r="P3" s="783" t="s">
        <v>540</v>
      </c>
      <c r="Q3" s="783" t="s">
        <v>540</v>
      </c>
      <c r="R3" s="783" t="s">
        <v>540</v>
      </c>
    </row>
    <row r="4" spans="1:18" s="284" customFormat="1" ht="12.75">
      <c r="A4" s="295"/>
      <c r="B4" s="295"/>
      <c r="C4" s="295" t="s">
        <v>97</v>
      </c>
      <c r="D4" s="295"/>
      <c r="E4" s="295"/>
      <c r="F4" s="192">
        <f>SUM(F5:F17)</f>
        <v>113747022.42</v>
      </c>
      <c r="G4" s="192">
        <f>SUM(G5:G17)</f>
        <v>104085534.24000001</v>
      </c>
      <c r="H4" s="192">
        <f>SUM(H5:H17)</f>
        <v>113033922.46000001</v>
      </c>
      <c r="I4" s="192">
        <f>SUM(I5:I17)</f>
        <v>101490899.09999999</v>
      </c>
      <c r="J4" s="192"/>
      <c r="K4" s="192">
        <f t="shared" ref="K4:Q4" si="0">SUM(K5:K17)</f>
        <v>103106583.03</v>
      </c>
      <c r="L4" s="192">
        <f t="shared" si="0"/>
        <v>10640439.390000008</v>
      </c>
      <c r="M4" s="192">
        <f t="shared" si="0"/>
        <v>978951.21000001486</v>
      </c>
      <c r="N4" s="192">
        <f t="shared" si="0"/>
        <v>9927339.4300000146</v>
      </c>
      <c r="O4" s="192">
        <f t="shared" si="0"/>
        <v>0</v>
      </c>
      <c r="P4" s="192">
        <f t="shared" si="0"/>
        <v>89562571.030000001</v>
      </c>
      <c r="Q4" s="192">
        <f t="shared" si="0"/>
        <v>13346412</v>
      </c>
      <c r="R4" s="295"/>
    </row>
    <row r="5" spans="1:18" s="285" customFormat="1" ht="24">
      <c r="A5" s="296"/>
      <c r="B5" s="296" t="s">
        <v>262</v>
      </c>
      <c r="C5" s="258" t="s">
        <v>542</v>
      </c>
      <c r="D5" s="260"/>
      <c r="E5" s="258" t="s">
        <v>541</v>
      </c>
      <c r="F5" s="297">
        <v>52953760</v>
      </c>
      <c r="G5" s="740">
        <f>86847152.09+12280531.9+2220</f>
        <v>99129903.99000001</v>
      </c>
      <c r="H5" s="740">
        <f>102577760.31+12280531.9-6780000</f>
        <v>108078292.21000001</v>
      </c>
      <c r="I5" s="740">
        <v>101490899.09999999</v>
      </c>
      <c r="J5" s="743">
        <f>I5/SUM(F5:F9)</f>
        <v>0.93904943710178979</v>
      </c>
      <c r="K5" s="740">
        <v>99127683.989999995</v>
      </c>
      <c r="L5" s="740">
        <f>SUM(F5+F6+F7+F8+F9)-K5</f>
        <v>8950650.4300000072</v>
      </c>
      <c r="M5" s="740">
        <f>G5-K5</f>
        <v>2220.0000000149012</v>
      </c>
      <c r="N5" s="740">
        <f>H5:H9-K5</f>
        <v>8950608.2200000137</v>
      </c>
      <c r="O5" s="740">
        <v>0</v>
      </c>
      <c r="P5" s="740">
        <v>85407683.989999995</v>
      </c>
      <c r="Q5" s="740">
        <v>13720000</v>
      </c>
      <c r="R5" s="746" t="s">
        <v>263</v>
      </c>
    </row>
    <row r="6" spans="1:18" s="285" customFormat="1" ht="24">
      <c r="A6" s="296"/>
      <c r="B6" s="296" t="s">
        <v>262</v>
      </c>
      <c r="C6" s="258" t="s">
        <v>542</v>
      </c>
      <c r="D6" s="260"/>
      <c r="E6" s="258" t="s">
        <v>541</v>
      </c>
      <c r="F6" s="297">
        <v>5616021.6600000001</v>
      </c>
      <c r="G6" s="741"/>
      <c r="H6" s="741"/>
      <c r="I6" s="741"/>
      <c r="J6" s="744"/>
      <c r="K6" s="741"/>
      <c r="L6" s="741"/>
      <c r="M6" s="741"/>
      <c r="N6" s="741"/>
      <c r="O6" s="741"/>
      <c r="P6" s="741"/>
      <c r="Q6" s="741"/>
      <c r="R6" s="747"/>
    </row>
    <row r="7" spans="1:18" s="285" customFormat="1" ht="24">
      <c r="A7" s="296"/>
      <c r="B7" s="296" t="s">
        <v>262</v>
      </c>
      <c r="C7" s="258" t="s">
        <v>542</v>
      </c>
      <c r="D7" s="260">
        <v>2010</v>
      </c>
      <c r="E7" s="258" t="s">
        <v>541</v>
      </c>
      <c r="F7" s="297">
        <f>16291300+42.21</f>
        <v>16291342.210000001</v>
      </c>
      <c r="G7" s="741"/>
      <c r="H7" s="741"/>
      <c r="I7" s="741"/>
      <c r="J7" s="744"/>
      <c r="K7" s="741"/>
      <c r="L7" s="741"/>
      <c r="M7" s="741"/>
      <c r="N7" s="741"/>
      <c r="O7" s="741"/>
      <c r="P7" s="741"/>
      <c r="Q7" s="741"/>
      <c r="R7" s="747"/>
    </row>
    <row r="8" spans="1:18" s="285" customFormat="1" ht="24">
      <c r="A8" s="296"/>
      <c r="B8" s="296" t="s">
        <v>262</v>
      </c>
      <c r="C8" s="258" t="s">
        <v>542</v>
      </c>
      <c r="D8" s="298">
        <v>40313</v>
      </c>
      <c r="E8" s="258" t="s">
        <v>541</v>
      </c>
      <c r="F8" s="297">
        <v>21224875.699999999</v>
      </c>
      <c r="G8" s="741"/>
      <c r="H8" s="741"/>
      <c r="I8" s="741"/>
      <c r="J8" s="744"/>
      <c r="K8" s="741"/>
      <c r="L8" s="741"/>
      <c r="M8" s="741"/>
      <c r="N8" s="741"/>
      <c r="O8" s="741"/>
      <c r="P8" s="741"/>
      <c r="Q8" s="741"/>
      <c r="R8" s="747"/>
    </row>
    <row r="9" spans="1:18" s="285" customFormat="1" ht="24">
      <c r="A9" s="296"/>
      <c r="B9" s="296" t="s">
        <v>262</v>
      </c>
      <c r="C9" s="258" t="s">
        <v>542</v>
      </c>
      <c r="D9" s="298">
        <v>40749</v>
      </c>
      <c r="E9" s="258" t="s">
        <v>541</v>
      </c>
      <c r="F9" s="297">
        <v>11992334.85</v>
      </c>
      <c r="G9" s="742"/>
      <c r="H9" s="742"/>
      <c r="I9" s="742"/>
      <c r="J9" s="745"/>
      <c r="K9" s="742"/>
      <c r="L9" s="742"/>
      <c r="M9" s="742"/>
      <c r="N9" s="742"/>
      <c r="O9" s="742"/>
      <c r="P9" s="742"/>
      <c r="Q9" s="742"/>
      <c r="R9" s="748"/>
    </row>
    <row r="10" spans="1:18" s="285" customFormat="1" ht="24">
      <c r="A10" s="299"/>
      <c r="B10" s="299" t="s">
        <v>264</v>
      </c>
      <c r="C10" s="258" t="s">
        <v>542</v>
      </c>
      <c r="D10" s="260" t="s">
        <v>265</v>
      </c>
      <c r="E10" s="258" t="s">
        <v>541</v>
      </c>
      <c r="F10" s="297">
        <v>200000</v>
      </c>
      <c r="G10" s="297">
        <v>200000</v>
      </c>
      <c r="H10" s="297">
        <v>200000</v>
      </c>
      <c r="I10" s="297"/>
      <c r="J10" s="303">
        <f t="shared" ref="J10:J19" si="1">I10/F10</f>
        <v>0</v>
      </c>
      <c r="K10" s="297">
        <v>200000</v>
      </c>
      <c r="L10" s="297">
        <f t="shared" ref="L10:L19" si="2">F10-K10</f>
        <v>0</v>
      </c>
      <c r="M10" s="297">
        <f t="shared" ref="M10:M19" si="3">G10-K10</f>
        <v>0</v>
      </c>
      <c r="N10" s="297">
        <f t="shared" ref="N10:N19" si="4">H10-K10</f>
        <v>0</v>
      </c>
      <c r="O10" s="297"/>
      <c r="P10" s="297">
        <v>200000</v>
      </c>
      <c r="Q10" s="308"/>
      <c r="R10" s="258"/>
    </row>
    <row r="11" spans="1:18" s="285" customFormat="1" ht="24">
      <c r="A11" s="296"/>
      <c r="B11" s="296" t="s">
        <v>262</v>
      </c>
      <c r="C11" s="258" t="s">
        <v>542</v>
      </c>
      <c r="D11" s="260" t="s">
        <v>266</v>
      </c>
      <c r="E11" s="258" t="s">
        <v>541</v>
      </c>
      <c r="F11" s="297">
        <v>137000</v>
      </c>
      <c r="G11" s="297">
        <v>13700</v>
      </c>
      <c r="H11" s="297">
        <v>13700</v>
      </c>
      <c r="I11" s="297"/>
      <c r="J11" s="303">
        <f t="shared" si="1"/>
        <v>0</v>
      </c>
      <c r="K11" s="297">
        <v>13700</v>
      </c>
      <c r="L11" s="297">
        <f t="shared" si="2"/>
        <v>123300</v>
      </c>
      <c r="M11" s="297">
        <f t="shared" si="3"/>
        <v>0</v>
      </c>
      <c r="N11" s="297">
        <f t="shared" si="4"/>
        <v>0</v>
      </c>
      <c r="O11" s="297"/>
      <c r="P11" s="297">
        <v>13700</v>
      </c>
      <c r="Q11" s="308"/>
      <c r="R11" s="258"/>
    </row>
    <row r="12" spans="1:18" s="285" customFormat="1" ht="24">
      <c r="A12" s="168"/>
      <c r="B12" s="168" t="s">
        <v>267</v>
      </c>
      <c r="C12" s="258" t="s">
        <v>542</v>
      </c>
      <c r="D12" s="260">
        <v>2010</v>
      </c>
      <c r="E12" s="258" t="s">
        <v>541</v>
      </c>
      <c r="F12" s="297">
        <v>150000</v>
      </c>
      <c r="G12" s="297">
        <v>150000</v>
      </c>
      <c r="H12" s="297">
        <v>150000</v>
      </c>
      <c r="I12" s="297"/>
      <c r="J12" s="303">
        <f t="shared" si="1"/>
        <v>0</v>
      </c>
      <c r="K12" s="297">
        <v>150000</v>
      </c>
      <c r="L12" s="297">
        <f t="shared" si="2"/>
        <v>0</v>
      </c>
      <c r="M12" s="297">
        <f t="shared" si="3"/>
        <v>0</v>
      </c>
      <c r="N12" s="297">
        <f t="shared" si="4"/>
        <v>0</v>
      </c>
      <c r="O12" s="297"/>
      <c r="P12" s="297">
        <v>150000</v>
      </c>
      <c r="Q12" s="308"/>
      <c r="R12" s="258"/>
    </row>
    <row r="13" spans="1:18" s="285" customFormat="1" ht="24">
      <c r="A13" s="168"/>
      <c r="B13" s="168" t="s">
        <v>267</v>
      </c>
      <c r="C13" s="258" t="s">
        <v>542</v>
      </c>
      <c r="D13" s="260" t="s">
        <v>268</v>
      </c>
      <c r="E13" s="258" t="s">
        <v>541</v>
      </c>
      <c r="F13" s="297">
        <v>2646000</v>
      </c>
      <c r="G13" s="297">
        <v>2646000</v>
      </c>
      <c r="H13" s="297">
        <v>2646000</v>
      </c>
      <c r="I13" s="297"/>
      <c r="J13" s="303">
        <f t="shared" si="1"/>
        <v>0</v>
      </c>
      <c r="K13" s="297">
        <v>2646000</v>
      </c>
      <c r="L13" s="297">
        <f t="shared" si="2"/>
        <v>0</v>
      </c>
      <c r="M13" s="297">
        <f t="shared" si="3"/>
        <v>0</v>
      </c>
      <c r="N13" s="297">
        <f t="shared" si="4"/>
        <v>0</v>
      </c>
      <c r="O13" s="297"/>
      <c r="P13" s="297">
        <v>2646000</v>
      </c>
      <c r="Q13" s="308"/>
      <c r="R13" s="258"/>
    </row>
    <row r="14" spans="1:18" s="285" customFormat="1" ht="24">
      <c r="A14" s="168"/>
      <c r="B14" s="168" t="s">
        <v>267</v>
      </c>
      <c r="C14" s="258" t="s">
        <v>542</v>
      </c>
      <c r="D14" s="260" t="s">
        <v>269</v>
      </c>
      <c r="E14" s="258" t="s">
        <v>541</v>
      </c>
      <c r="F14" s="297">
        <f>910000+304500</f>
        <v>1214500</v>
      </c>
      <c r="G14" s="297">
        <v>624742.25</v>
      </c>
      <c r="H14" s="297">
        <v>624742.25</v>
      </c>
      <c r="I14" s="297"/>
      <c r="J14" s="303">
        <f t="shared" si="1"/>
        <v>0</v>
      </c>
      <c r="K14" s="297">
        <v>624742.25</v>
      </c>
      <c r="L14" s="297">
        <f t="shared" si="2"/>
        <v>589757.75</v>
      </c>
      <c r="M14" s="297">
        <f t="shared" si="3"/>
        <v>0</v>
      </c>
      <c r="N14" s="297">
        <f t="shared" si="4"/>
        <v>0</v>
      </c>
      <c r="O14" s="297"/>
      <c r="P14" s="297">
        <v>624742.25</v>
      </c>
      <c r="Q14" s="308"/>
      <c r="R14" s="258"/>
    </row>
    <row r="15" spans="1:18" s="285" customFormat="1" ht="24">
      <c r="A15" s="168"/>
      <c r="B15" s="168" t="s">
        <v>267</v>
      </c>
      <c r="C15" s="258" t="s">
        <v>542</v>
      </c>
      <c r="D15" s="260" t="s">
        <v>270</v>
      </c>
      <c r="E15" s="258" t="s">
        <v>541</v>
      </c>
      <c r="F15" s="297">
        <v>1123588</v>
      </c>
      <c r="G15" s="297">
        <v>1123588</v>
      </c>
      <c r="H15" s="297">
        <v>1123588</v>
      </c>
      <c r="I15" s="297"/>
      <c r="J15" s="303"/>
      <c r="K15" s="297">
        <v>146856.79</v>
      </c>
      <c r="L15" s="297">
        <f t="shared" si="2"/>
        <v>976731.21</v>
      </c>
      <c r="M15" s="297">
        <f t="shared" si="3"/>
        <v>976731.21</v>
      </c>
      <c r="N15" s="297">
        <f t="shared" si="4"/>
        <v>976731.21</v>
      </c>
      <c r="O15" s="297"/>
      <c r="P15" s="297">
        <v>520444.79</v>
      </c>
      <c r="Q15" s="308">
        <v>-373588</v>
      </c>
      <c r="R15" s="258"/>
    </row>
    <row r="16" spans="1:18" s="283" customFormat="1" ht="24">
      <c r="A16" s="172"/>
      <c r="B16" s="172" t="s">
        <v>271</v>
      </c>
      <c r="C16" s="258" t="s">
        <v>542</v>
      </c>
      <c r="D16" s="300">
        <v>40877</v>
      </c>
      <c r="E16" s="258" t="s">
        <v>541</v>
      </c>
      <c r="F16" s="193">
        <v>98800</v>
      </c>
      <c r="G16" s="193">
        <v>98800</v>
      </c>
      <c r="H16" s="193">
        <v>98800</v>
      </c>
      <c r="I16" s="304"/>
      <c r="J16" s="305">
        <f t="shared" si="1"/>
        <v>0</v>
      </c>
      <c r="K16" s="193">
        <v>98800</v>
      </c>
      <c r="L16" s="193">
        <f t="shared" si="2"/>
        <v>0</v>
      </c>
      <c r="M16" s="193">
        <f t="shared" si="3"/>
        <v>0</v>
      </c>
      <c r="N16" s="193">
        <f t="shared" si="4"/>
        <v>0</v>
      </c>
      <c r="O16" s="304"/>
      <c r="P16" s="304">
        <f>N16</f>
        <v>0</v>
      </c>
      <c r="Q16" s="309"/>
      <c r="R16" s="310"/>
    </row>
    <row r="17" spans="1:18" s="283" customFormat="1" ht="24">
      <c r="A17" s="172"/>
      <c r="B17" s="172" t="s">
        <v>271</v>
      </c>
      <c r="C17" s="258" t="s">
        <v>542</v>
      </c>
      <c r="D17" s="300">
        <v>40877</v>
      </c>
      <c r="E17" s="258" t="s">
        <v>541</v>
      </c>
      <c r="F17" s="193">
        <v>98800</v>
      </c>
      <c r="G17" s="193">
        <v>98800</v>
      </c>
      <c r="H17" s="193">
        <v>98800</v>
      </c>
      <c r="I17" s="304"/>
      <c r="J17" s="305">
        <f t="shared" si="1"/>
        <v>0</v>
      </c>
      <c r="K17" s="193">
        <v>98800</v>
      </c>
      <c r="L17" s="193">
        <f t="shared" si="2"/>
        <v>0</v>
      </c>
      <c r="M17" s="193">
        <f t="shared" si="3"/>
        <v>0</v>
      </c>
      <c r="N17" s="193">
        <f t="shared" si="4"/>
        <v>0</v>
      </c>
      <c r="O17" s="304"/>
      <c r="P17" s="304">
        <f>N17</f>
        <v>0</v>
      </c>
      <c r="Q17" s="309"/>
      <c r="R17" s="310"/>
    </row>
    <row r="18" spans="1:18" s="283" customFormat="1" ht="24">
      <c r="A18" s="172"/>
      <c r="B18" s="172" t="s">
        <v>271</v>
      </c>
      <c r="C18" s="258" t="s">
        <v>542</v>
      </c>
      <c r="D18" s="300">
        <v>40877</v>
      </c>
      <c r="E18" s="258" t="s">
        <v>541</v>
      </c>
      <c r="F18" s="193">
        <v>98800</v>
      </c>
      <c r="G18" s="193">
        <v>98800</v>
      </c>
      <c r="H18" s="193">
        <v>98800</v>
      </c>
      <c r="I18" s="304"/>
      <c r="J18" s="305">
        <f t="shared" si="1"/>
        <v>0</v>
      </c>
      <c r="K18" s="193">
        <v>98800</v>
      </c>
      <c r="L18" s="193">
        <f t="shared" si="2"/>
        <v>0</v>
      </c>
      <c r="M18" s="193">
        <f t="shared" si="3"/>
        <v>0</v>
      </c>
      <c r="N18" s="193">
        <f t="shared" si="4"/>
        <v>0</v>
      </c>
      <c r="O18" s="304"/>
      <c r="P18" s="304">
        <f>N18</f>
        <v>0</v>
      </c>
      <c r="Q18" s="309"/>
      <c r="R18" s="310"/>
    </row>
    <row r="19" spans="1:18" s="283" customFormat="1" ht="24">
      <c r="A19" s="172"/>
      <c r="B19" s="172" t="s">
        <v>271</v>
      </c>
      <c r="C19" s="258" t="s">
        <v>542</v>
      </c>
      <c r="D19" s="300">
        <v>40877</v>
      </c>
      <c r="E19" s="258" t="s">
        <v>541</v>
      </c>
      <c r="F19" s="193">
        <v>98800</v>
      </c>
      <c r="G19" s="193">
        <v>98800</v>
      </c>
      <c r="H19" s="193">
        <v>98800</v>
      </c>
      <c r="I19" s="304"/>
      <c r="J19" s="305">
        <f t="shared" si="1"/>
        <v>0</v>
      </c>
      <c r="K19" s="193">
        <v>98800</v>
      </c>
      <c r="L19" s="193">
        <f t="shared" si="2"/>
        <v>0</v>
      </c>
      <c r="M19" s="193">
        <f t="shared" si="3"/>
        <v>0</v>
      </c>
      <c r="N19" s="193">
        <f t="shared" si="4"/>
        <v>0</v>
      </c>
      <c r="O19" s="304"/>
      <c r="P19" s="304">
        <f>N19</f>
        <v>0</v>
      </c>
      <c r="Q19" s="309"/>
      <c r="R19" s="310"/>
    </row>
  </sheetData>
  <mergeCells count="13">
    <mergeCell ref="A1:R1"/>
    <mergeCell ref="G5:G9"/>
    <mergeCell ref="H5:H9"/>
    <mergeCell ref="I5:I9"/>
    <mergeCell ref="J5:J9"/>
    <mergeCell ref="K5:K9"/>
    <mergeCell ref="L5:L9"/>
    <mergeCell ref="M5:M9"/>
    <mergeCell ref="N5:N9"/>
    <mergeCell ref="O5:O9"/>
    <mergeCell ref="P5:P9"/>
    <mergeCell ref="Q5:Q9"/>
    <mergeCell ref="R5:R9"/>
  </mergeCells>
  <phoneticPr fontId="22" type="noConversion"/>
  <printOptions horizontalCentered="1"/>
  <pageMargins left="0.38888888888888901" right="0.34930555555555598" top="0.9" bottom="0.78888888888888897" header="0.62916666666666698" footer="0.50902777777777797"/>
  <pageSetup paperSize="9" scale="56" fitToHeight="0" orientation="landscape"/>
  <headerFooter alignWithMargins="0">
    <oddHeader>&amp;R附表13</oddHeader>
    <oddFooter>&amp;C&amp;10&amp;P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Sheet1!#REF!</xm:f>
          </x14:formula1>
          <xm:sqref>A5:B9 A11:B19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workbookViewId="0">
      <pane xSplit="3" ySplit="5" topLeftCell="D6" activePane="bottomRight" state="frozen"/>
      <selection pane="topRight"/>
      <selection pane="bottomLeft"/>
      <selection pane="bottomRight" activeCell="G10" sqref="G10:G11"/>
    </sheetView>
  </sheetViews>
  <sheetFormatPr defaultColWidth="9" defaultRowHeight="15.75"/>
  <cols>
    <col min="1" max="1" width="5" style="118" customWidth="1"/>
    <col min="2" max="2" width="11.125" style="266" customWidth="1"/>
    <col min="3" max="3" width="12.75" style="266" customWidth="1"/>
    <col min="4" max="4" width="8.25" style="118" customWidth="1"/>
    <col min="5" max="5" width="9.75" style="214" customWidth="1"/>
    <col min="6" max="6" width="8.875" style="267" customWidth="1"/>
    <col min="7" max="7" width="12.75" style="266" customWidth="1"/>
    <col min="8" max="8" width="17.125" style="268" customWidth="1"/>
    <col min="9" max="9" width="11.875" style="266" customWidth="1"/>
    <col min="10" max="10" width="13.25" style="266" customWidth="1"/>
    <col min="11" max="11" width="14.125" style="118" customWidth="1"/>
    <col min="12" max="12" width="12.5" style="269" customWidth="1"/>
    <col min="13" max="13" width="15" style="269" customWidth="1"/>
    <col min="14" max="14" width="8.5" style="118" customWidth="1"/>
    <col min="15" max="15" width="14.125" style="116" hidden="1" customWidth="1"/>
    <col min="16" max="16" width="13.875" style="118" hidden="1" customWidth="1"/>
    <col min="17" max="17" width="14" style="118" customWidth="1"/>
    <col min="18" max="16384" width="9" style="118"/>
  </cols>
  <sheetData>
    <row r="1" spans="1:16" ht="22.5">
      <c r="A1" s="749" t="s">
        <v>655</v>
      </c>
      <c r="B1" s="732"/>
      <c r="C1" s="732"/>
      <c r="D1" s="732"/>
      <c r="E1" s="712"/>
      <c r="F1" s="712"/>
      <c r="G1" s="732"/>
      <c r="H1" s="750"/>
      <c r="I1" s="732"/>
      <c r="J1" s="732"/>
      <c r="K1" s="732"/>
      <c r="L1" s="732"/>
      <c r="M1" s="732"/>
      <c r="N1" s="732"/>
    </row>
    <row r="2" spans="1:16" s="120" customFormat="1" ht="12.75">
      <c r="A2" s="734" t="str">
        <f>Sheet2!A2</f>
        <v>看就会立刻就会老客户考虑减</v>
      </c>
      <c r="B2" s="736"/>
      <c r="C2" s="736"/>
      <c r="D2" s="751"/>
      <c r="E2" s="735"/>
      <c r="F2" s="735"/>
      <c r="G2" s="177"/>
      <c r="H2" s="270"/>
      <c r="I2" s="177"/>
      <c r="J2" s="239"/>
      <c r="K2" s="280"/>
      <c r="L2" s="281"/>
      <c r="M2" s="752" t="s">
        <v>32</v>
      </c>
      <c r="N2" s="753"/>
      <c r="O2" s="116"/>
    </row>
    <row r="3" spans="1:16" s="243" customFormat="1" ht="12.75">
      <c r="A3" s="153" t="s">
        <v>34</v>
      </c>
      <c r="B3" s="153" t="s">
        <v>34</v>
      </c>
      <c r="C3" s="153" t="s">
        <v>34</v>
      </c>
      <c r="D3" s="153" t="s">
        <v>34</v>
      </c>
      <c r="E3" s="153" t="s">
        <v>34</v>
      </c>
      <c r="F3" s="153" t="s">
        <v>34</v>
      </c>
      <c r="G3" s="153" t="s">
        <v>34</v>
      </c>
      <c r="H3" s="153" t="s">
        <v>34</v>
      </c>
      <c r="I3" s="153" t="s">
        <v>34</v>
      </c>
      <c r="J3" s="153" t="s">
        <v>34</v>
      </c>
      <c r="K3" s="153" t="s">
        <v>34</v>
      </c>
      <c r="L3" s="153" t="s">
        <v>34</v>
      </c>
      <c r="M3" s="153" t="s">
        <v>34</v>
      </c>
      <c r="N3" s="153" t="s">
        <v>34</v>
      </c>
      <c r="O3" s="153" t="s">
        <v>34</v>
      </c>
      <c r="P3" s="153" t="s">
        <v>34</v>
      </c>
    </row>
    <row r="4" spans="1:16" s="243" customFormat="1" ht="12.75">
      <c r="A4" s="154"/>
      <c r="B4" s="154">
        <v>1</v>
      </c>
      <c r="C4" s="154">
        <v>2</v>
      </c>
      <c r="D4" s="154">
        <v>3</v>
      </c>
      <c r="E4" s="223">
        <v>4</v>
      </c>
      <c r="F4" s="223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  <c r="O4" s="282"/>
    </row>
    <row r="5" spans="1:16" s="243" customFormat="1" ht="12.75">
      <c r="A5" s="154"/>
      <c r="B5" s="158"/>
      <c r="C5" s="159" t="s">
        <v>35</v>
      </c>
      <c r="D5" s="158"/>
      <c r="E5" s="271"/>
      <c r="F5" s="272"/>
      <c r="G5" s="158"/>
      <c r="H5" s="273">
        <f t="shared" ref="H5:M5" si="0">SUM(H6:H19)</f>
        <v>2773755.0100000002</v>
      </c>
      <c r="I5" s="273"/>
      <c r="J5" s="273"/>
      <c r="K5" s="273">
        <f t="shared" si="0"/>
        <v>2773755.0100000002</v>
      </c>
      <c r="L5" s="273">
        <f t="shared" si="0"/>
        <v>0</v>
      </c>
      <c r="M5" s="273">
        <f t="shared" si="0"/>
        <v>2773755.0100000002</v>
      </c>
      <c r="N5" s="180"/>
      <c r="O5" s="282"/>
    </row>
    <row r="6" spans="1:16" s="265" customFormat="1" ht="30" customHeight="1">
      <c r="A6" s="274">
        <v>1</v>
      </c>
      <c r="B6" s="257" t="s">
        <v>63</v>
      </c>
      <c r="C6" s="168" t="s">
        <v>653</v>
      </c>
      <c r="D6" s="275" t="s">
        <v>654</v>
      </c>
      <c r="E6" s="276">
        <v>40326</v>
      </c>
      <c r="F6" s="168" t="s">
        <v>272</v>
      </c>
      <c r="G6" s="168" t="s">
        <v>543</v>
      </c>
      <c r="H6" s="169">
        <v>15144</v>
      </c>
      <c r="I6" s="168" t="s">
        <v>544</v>
      </c>
      <c r="J6" s="169" t="s">
        <v>273</v>
      </c>
      <c r="K6" s="169">
        <v>15144</v>
      </c>
      <c r="L6" s="182"/>
      <c r="M6" s="170">
        <f>K6+L6</f>
        <v>15144</v>
      </c>
      <c r="N6" s="250"/>
      <c r="O6" s="251" t="s">
        <v>100</v>
      </c>
    </row>
    <row r="7" spans="1:16" s="265" customFormat="1" ht="36">
      <c r="A7" s="274">
        <v>2</v>
      </c>
      <c r="B7" s="257" t="s">
        <v>63</v>
      </c>
      <c r="C7" s="168" t="s">
        <v>653</v>
      </c>
      <c r="D7" s="275" t="s">
        <v>654</v>
      </c>
      <c r="E7" s="276">
        <v>40543</v>
      </c>
      <c r="F7" s="168" t="s">
        <v>274</v>
      </c>
      <c r="G7" s="168" t="s">
        <v>543</v>
      </c>
      <c r="H7" s="169">
        <v>25864</v>
      </c>
      <c r="I7" s="168" t="s">
        <v>544</v>
      </c>
      <c r="J7" s="169" t="s">
        <v>275</v>
      </c>
      <c r="K7" s="169">
        <v>25864</v>
      </c>
      <c r="L7" s="182"/>
      <c r="M7" s="170">
        <f t="shared" ref="M7:M19" si="1">K7+L7</f>
        <v>25864</v>
      </c>
      <c r="N7" s="250"/>
      <c r="O7" s="251" t="s">
        <v>276</v>
      </c>
      <c r="P7" s="251" t="s">
        <v>277</v>
      </c>
    </row>
    <row r="8" spans="1:16" s="265" customFormat="1" ht="36">
      <c r="A8" s="274">
        <v>3</v>
      </c>
      <c r="B8" s="257" t="s">
        <v>61</v>
      </c>
      <c r="C8" s="168" t="s">
        <v>653</v>
      </c>
      <c r="D8" s="275" t="s">
        <v>654</v>
      </c>
      <c r="E8" s="276">
        <v>40506</v>
      </c>
      <c r="F8" s="168" t="s">
        <v>278</v>
      </c>
      <c r="G8" s="168" t="s">
        <v>543</v>
      </c>
      <c r="H8" s="169">
        <v>450000</v>
      </c>
      <c r="I8" s="168" t="s">
        <v>544</v>
      </c>
      <c r="J8" s="169" t="s">
        <v>279</v>
      </c>
      <c r="K8" s="169">
        <v>450000</v>
      </c>
      <c r="L8" s="182"/>
      <c r="M8" s="170">
        <f t="shared" si="1"/>
        <v>450000</v>
      </c>
      <c r="N8" s="250"/>
      <c r="O8" s="251" t="s">
        <v>280</v>
      </c>
      <c r="P8" s="251" t="s">
        <v>277</v>
      </c>
    </row>
    <row r="9" spans="1:16" s="265" customFormat="1" ht="36">
      <c r="A9" s="274">
        <v>4</v>
      </c>
      <c r="B9" s="257" t="s">
        <v>61</v>
      </c>
      <c r="C9" s="168" t="s">
        <v>653</v>
      </c>
      <c r="D9" s="275" t="s">
        <v>654</v>
      </c>
      <c r="E9" s="276">
        <v>40508</v>
      </c>
      <c r="F9" s="168" t="s">
        <v>281</v>
      </c>
      <c r="G9" s="168" t="s">
        <v>543</v>
      </c>
      <c r="H9" s="169">
        <v>479565</v>
      </c>
      <c r="I9" s="168" t="s">
        <v>544</v>
      </c>
      <c r="J9" s="169" t="s">
        <v>282</v>
      </c>
      <c r="K9" s="169">
        <v>479565</v>
      </c>
      <c r="L9" s="182"/>
      <c r="M9" s="170">
        <f t="shared" si="1"/>
        <v>479565</v>
      </c>
      <c r="N9" s="250"/>
      <c r="O9" s="251" t="s">
        <v>283</v>
      </c>
      <c r="P9" s="251" t="s">
        <v>277</v>
      </c>
    </row>
    <row r="10" spans="1:16" s="265" customFormat="1" ht="24">
      <c r="A10" s="274">
        <v>5</v>
      </c>
      <c r="B10" s="257" t="s">
        <v>61</v>
      </c>
      <c r="C10" s="168" t="s">
        <v>653</v>
      </c>
      <c r="D10" s="275" t="s">
        <v>654</v>
      </c>
      <c r="E10" s="276">
        <v>40723</v>
      </c>
      <c r="F10" s="170" t="s">
        <v>284</v>
      </c>
      <c r="G10" s="168" t="s">
        <v>543</v>
      </c>
      <c r="H10" s="169">
        <v>553000</v>
      </c>
      <c r="I10" s="168" t="s">
        <v>544</v>
      </c>
      <c r="J10" s="169" t="s">
        <v>285</v>
      </c>
      <c r="K10" s="169">
        <v>553000</v>
      </c>
      <c r="L10" s="182"/>
      <c r="M10" s="170">
        <f t="shared" si="1"/>
        <v>553000</v>
      </c>
      <c r="N10" s="250"/>
      <c r="O10" s="251" t="s">
        <v>283</v>
      </c>
      <c r="P10" s="251" t="s">
        <v>277</v>
      </c>
    </row>
    <row r="11" spans="1:16" s="265" customFormat="1" ht="24">
      <c r="A11" s="274">
        <v>6</v>
      </c>
      <c r="B11" s="257" t="s">
        <v>62</v>
      </c>
      <c r="C11" s="168" t="s">
        <v>653</v>
      </c>
      <c r="D11" s="275" t="s">
        <v>654</v>
      </c>
      <c r="E11" s="276">
        <v>40807</v>
      </c>
      <c r="F11" s="170" t="s">
        <v>286</v>
      </c>
      <c r="G11" s="168" t="s">
        <v>543</v>
      </c>
      <c r="H11" s="169">
        <v>123300</v>
      </c>
      <c r="I11" s="168" t="s">
        <v>544</v>
      </c>
      <c r="J11" s="169" t="s">
        <v>287</v>
      </c>
      <c r="K11" s="169">
        <v>123300</v>
      </c>
      <c r="L11" s="182"/>
      <c r="M11" s="170">
        <f t="shared" si="1"/>
        <v>123300</v>
      </c>
      <c r="N11" s="250"/>
      <c r="O11" s="251" t="s">
        <v>100</v>
      </c>
    </row>
    <row r="12" spans="1:16" s="265" customFormat="1" ht="24">
      <c r="A12" s="274">
        <v>7</v>
      </c>
      <c r="B12" s="257" t="s">
        <v>61</v>
      </c>
      <c r="C12" s="168" t="s">
        <v>653</v>
      </c>
      <c r="D12" s="275" t="s">
        <v>654</v>
      </c>
      <c r="E12" s="276">
        <v>40833</v>
      </c>
      <c r="F12" s="170" t="s">
        <v>288</v>
      </c>
      <c r="G12" s="168" t="s">
        <v>543</v>
      </c>
      <c r="H12" s="169">
        <v>500435</v>
      </c>
      <c r="I12" s="168" t="s">
        <v>544</v>
      </c>
      <c r="J12" s="169" t="s">
        <v>289</v>
      </c>
      <c r="K12" s="169">
        <v>500435</v>
      </c>
      <c r="L12" s="182"/>
      <c r="M12" s="170">
        <f t="shared" si="1"/>
        <v>500435</v>
      </c>
      <c r="N12" s="250"/>
      <c r="O12" s="251" t="s">
        <v>283</v>
      </c>
    </row>
    <row r="13" spans="1:16" s="265" customFormat="1" ht="48">
      <c r="A13" s="274">
        <v>8</v>
      </c>
      <c r="B13" s="257" t="s">
        <v>63</v>
      </c>
      <c r="C13" s="168" t="s">
        <v>653</v>
      </c>
      <c r="D13" s="275" t="s">
        <v>654</v>
      </c>
      <c r="E13" s="276">
        <v>40492</v>
      </c>
      <c r="F13" s="168" t="s">
        <v>290</v>
      </c>
      <c r="G13" s="168" t="s">
        <v>543</v>
      </c>
      <c r="H13" s="169">
        <v>1244731.5</v>
      </c>
      <c r="I13" s="168" t="s">
        <v>544</v>
      </c>
      <c r="J13" s="169"/>
      <c r="K13" s="169">
        <v>1244731.5</v>
      </c>
      <c r="L13" s="182"/>
      <c r="M13" s="170">
        <f t="shared" si="1"/>
        <v>1244731.5</v>
      </c>
      <c r="N13" s="260"/>
      <c r="O13" s="251" t="s">
        <v>291</v>
      </c>
    </row>
    <row r="14" spans="1:16" s="265" customFormat="1" ht="60">
      <c r="A14" s="274">
        <v>9</v>
      </c>
      <c r="B14" s="257" t="s">
        <v>63</v>
      </c>
      <c r="C14" s="168" t="s">
        <v>653</v>
      </c>
      <c r="D14" s="275" t="s">
        <v>654</v>
      </c>
      <c r="E14" s="276">
        <v>40563</v>
      </c>
      <c r="F14" s="170" t="s">
        <v>292</v>
      </c>
      <c r="G14" s="168" t="s">
        <v>543</v>
      </c>
      <c r="H14" s="169">
        <v>1244731.5</v>
      </c>
      <c r="I14" s="168" t="s">
        <v>544</v>
      </c>
      <c r="J14" s="169"/>
      <c r="K14" s="169">
        <v>1244731.5</v>
      </c>
      <c r="L14" s="182"/>
      <c r="M14" s="170">
        <f t="shared" si="1"/>
        <v>1244731.5</v>
      </c>
      <c r="N14" s="260"/>
      <c r="O14" s="251" t="s">
        <v>293</v>
      </c>
    </row>
    <row r="15" spans="1:16" s="265" customFormat="1" ht="24">
      <c r="A15" s="274">
        <v>10</v>
      </c>
      <c r="B15" s="257" t="s">
        <v>63</v>
      </c>
      <c r="C15" s="168" t="s">
        <v>653</v>
      </c>
      <c r="D15" s="275" t="s">
        <v>654</v>
      </c>
      <c r="E15" s="277">
        <v>40938</v>
      </c>
      <c r="F15" s="168" t="s">
        <v>294</v>
      </c>
      <c r="G15" s="168" t="s">
        <v>543</v>
      </c>
      <c r="H15" s="169">
        <v>7572</v>
      </c>
      <c r="I15" s="168" t="s">
        <v>544</v>
      </c>
      <c r="J15" s="169" t="s">
        <v>295</v>
      </c>
      <c r="K15" s="169">
        <v>7572</v>
      </c>
      <c r="L15" s="182"/>
      <c r="M15" s="170">
        <f t="shared" si="1"/>
        <v>7572</v>
      </c>
      <c r="N15" s="250"/>
      <c r="O15" s="251" t="s">
        <v>296</v>
      </c>
    </row>
    <row r="16" spans="1:16" s="265" customFormat="1" ht="24">
      <c r="A16" s="274">
        <v>11</v>
      </c>
      <c r="B16" s="257" t="s">
        <v>63</v>
      </c>
      <c r="C16" s="168" t="s">
        <v>653</v>
      </c>
      <c r="D16" s="275" t="s">
        <v>654</v>
      </c>
      <c r="E16" s="277">
        <v>41060</v>
      </c>
      <c r="F16" s="168" t="s">
        <v>98</v>
      </c>
      <c r="G16" s="168" t="s">
        <v>543</v>
      </c>
      <c r="H16" s="169">
        <v>-2021744.73</v>
      </c>
      <c r="I16" s="168" t="s">
        <v>544</v>
      </c>
      <c r="J16" s="169"/>
      <c r="K16" s="169">
        <v>-2021744.73</v>
      </c>
      <c r="L16" s="182"/>
      <c r="M16" s="170">
        <f t="shared" si="1"/>
        <v>-2021744.73</v>
      </c>
      <c r="N16" s="250"/>
      <c r="O16" s="251" t="s">
        <v>297</v>
      </c>
    </row>
    <row r="17" spans="1:15" s="265" customFormat="1" ht="24">
      <c r="A17" s="274">
        <v>12</v>
      </c>
      <c r="B17" s="257" t="s">
        <v>61</v>
      </c>
      <c r="C17" s="168" t="s">
        <v>653</v>
      </c>
      <c r="D17" s="275" t="s">
        <v>654</v>
      </c>
      <c r="E17" s="277">
        <v>41060</v>
      </c>
      <c r="F17" s="168" t="s">
        <v>98</v>
      </c>
      <c r="G17" s="168" t="s">
        <v>543</v>
      </c>
      <c r="H17" s="169">
        <v>-298874.81</v>
      </c>
      <c r="I17" s="168" t="s">
        <v>544</v>
      </c>
      <c r="J17" s="169"/>
      <c r="K17" s="169">
        <v>-298874.81</v>
      </c>
      <c r="L17" s="182"/>
      <c r="M17" s="170">
        <f t="shared" si="1"/>
        <v>-298874.81</v>
      </c>
      <c r="N17" s="250"/>
      <c r="O17" s="251"/>
    </row>
    <row r="18" spans="1:15" s="265" customFormat="1" ht="60">
      <c r="A18" s="274">
        <v>13</v>
      </c>
      <c r="B18" s="257" t="s">
        <v>60</v>
      </c>
      <c r="C18" s="168" t="s">
        <v>653</v>
      </c>
      <c r="D18" s="275" t="s">
        <v>654</v>
      </c>
      <c r="E18" s="277">
        <v>41060</v>
      </c>
      <c r="F18" s="168" t="s">
        <v>98</v>
      </c>
      <c r="G18" s="168" t="s">
        <v>543</v>
      </c>
      <c r="H18" s="169">
        <v>145314.37</v>
      </c>
      <c r="I18" s="168" t="s">
        <v>544</v>
      </c>
      <c r="J18" s="169"/>
      <c r="K18" s="169">
        <v>145314.37</v>
      </c>
      <c r="L18" s="182"/>
      <c r="M18" s="170">
        <f t="shared" si="1"/>
        <v>145314.37</v>
      </c>
      <c r="N18" s="250"/>
      <c r="O18" s="251" t="s">
        <v>298</v>
      </c>
    </row>
    <row r="19" spans="1:15" s="265" customFormat="1" ht="48">
      <c r="A19" s="274">
        <v>14</v>
      </c>
      <c r="B19" s="257" t="s">
        <v>63</v>
      </c>
      <c r="C19" s="168" t="s">
        <v>653</v>
      </c>
      <c r="D19" s="275" t="s">
        <v>654</v>
      </c>
      <c r="E19" s="277">
        <v>42369</v>
      </c>
      <c r="F19" s="278" t="s">
        <v>300</v>
      </c>
      <c r="G19" s="168" t="s">
        <v>543</v>
      </c>
      <c r="H19" s="279">
        <v>304717.18</v>
      </c>
      <c r="I19" s="168" t="s">
        <v>544</v>
      </c>
      <c r="J19" s="169"/>
      <c r="K19" s="279">
        <v>304717.18</v>
      </c>
      <c r="L19" s="182"/>
      <c r="M19" s="170">
        <f t="shared" si="1"/>
        <v>304717.18</v>
      </c>
      <c r="N19" s="250"/>
      <c r="O19" s="251" t="s">
        <v>301</v>
      </c>
    </row>
    <row r="20" spans="1:15">
      <c r="I20" s="168"/>
    </row>
  </sheetData>
  <autoFilter ref="A3:N19"/>
  <mergeCells count="3">
    <mergeCell ref="A1:N1"/>
    <mergeCell ref="A2:F2"/>
    <mergeCell ref="M2:N2"/>
  </mergeCells>
  <phoneticPr fontId="22" type="noConversion"/>
  <dataValidations count="2">
    <dataValidation type="list" allowBlank="1" showInputMessage="1" showErrorMessage="1" sqref="B5">
      <formula1>"开发小区内道路,供水工程支出,供电工程支出,供气工程支出,排污工程支出,排洪工程支出,通讯工程支出,照明工程支出,环卫工程支出,绿化费用,其他设施工程发生的支出"</formula1>
    </dataValidation>
    <dataValidation type="list" allowBlank="1" showInputMessage="1" showErrorMessage="1" sqref="B6:B19">
      <formula1>"开发小区道路,供水工程支出,供电工程支出,供气工程支出,排污工程支出,排洪工程支出,通讯工程支出,照明工程支出,环卫工程支出,绿化费用,其他设施工程发生的支出,其他"</formula1>
    </dataValidation>
  </dataValidations>
  <printOptions horizontalCentered="1"/>
  <pageMargins left="0.5" right="0.359027777777778" top="0.86875000000000002" bottom="0.66944444444444495" header="0.58888888888888902" footer="0.42916666666666697"/>
  <pageSetup paperSize="9" scale="80" fitToHeight="0" orientation="landscape"/>
  <headerFooter alignWithMargins="0">
    <oddHeader>&amp;R附表14</oddHeader>
    <oddFooter>&amp;C&amp;10&amp;P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zoomScale="85" zoomScaleNormal="85" workbookViewId="0">
      <pane xSplit="3" ySplit="4" topLeftCell="D5" activePane="bottomRight" state="frozen"/>
      <selection pane="topRight"/>
      <selection pane="bottomLeft"/>
      <selection pane="bottomRight" activeCell="G17" sqref="G17"/>
    </sheetView>
  </sheetViews>
  <sheetFormatPr defaultColWidth="9" defaultRowHeight="15.75"/>
  <cols>
    <col min="1" max="1" width="7" style="189" customWidth="1"/>
    <col min="2" max="2" width="11" style="189" customWidth="1"/>
    <col min="3" max="3" width="12.375" style="189" customWidth="1"/>
    <col min="4" max="4" width="7.875" style="189" customWidth="1"/>
    <col min="5" max="5" width="15" style="189" customWidth="1"/>
    <col min="6" max="6" width="12.25" style="190" customWidth="1"/>
    <col min="7" max="8" width="13.125" style="190" customWidth="1"/>
    <col min="9" max="9" width="12.375" style="190" customWidth="1"/>
    <col min="10" max="10" width="9.625" style="254" customWidth="1"/>
    <col min="11" max="11" width="12.25" style="190" customWidth="1"/>
    <col min="12" max="12" width="12.875" style="190" customWidth="1"/>
    <col min="13" max="13" width="11.75" style="190" customWidth="1"/>
    <col min="14" max="14" width="12" style="190" bestFit="1" customWidth="1"/>
    <col min="15" max="15" width="10.625" style="190" customWidth="1"/>
    <col min="16" max="16" width="12" style="190" customWidth="1"/>
    <col min="17" max="17" width="11" style="190" customWidth="1"/>
    <col min="18" max="18" width="9.75" style="189" customWidth="1"/>
    <col min="19" max="16384" width="9" style="189"/>
  </cols>
  <sheetData>
    <row r="1" spans="1:18" ht="31.5" customHeight="1">
      <c r="A1" s="784" t="s">
        <v>656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54"/>
      <c r="Q1" s="754"/>
      <c r="R1" s="754"/>
    </row>
    <row r="2" spans="1:18" s="188" customFormat="1" ht="30.75" customHeight="1">
      <c r="A2" s="755" t="str">
        <f>Sheet2!A2</f>
        <v>看就会立刻就会老客户考虑减</v>
      </c>
      <c r="B2" s="755"/>
      <c r="C2" s="755"/>
      <c r="D2" s="755"/>
      <c r="E2" s="755"/>
      <c r="F2" s="755"/>
      <c r="G2" s="755"/>
      <c r="H2" s="755"/>
      <c r="I2" s="262"/>
      <c r="J2" s="263"/>
      <c r="K2" s="194"/>
      <c r="L2" s="194"/>
      <c r="M2" s="194"/>
      <c r="N2" s="194"/>
      <c r="O2" s="194"/>
      <c r="P2" s="194"/>
      <c r="Q2" s="719" t="s">
        <v>94</v>
      </c>
      <c r="R2" s="719"/>
    </row>
    <row r="3" spans="1:18" s="188" customFormat="1" ht="54" customHeight="1">
      <c r="A3" s="355" t="s">
        <v>547</v>
      </c>
      <c r="B3" s="355" t="s">
        <v>547</v>
      </c>
      <c r="C3" s="355" t="s">
        <v>547</v>
      </c>
      <c r="D3" s="355" t="s">
        <v>547</v>
      </c>
      <c r="E3" s="355" t="s">
        <v>547</v>
      </c>
      <c r="F3" s="355" t="s">
        <v>547</v>
      </c>
      <c r="G3" s="355" t="s">
        <v>547</v>
      </c>
      <c r="H3" s="355" t="s">
        <v>547</v>
      </c>
      <c r="I3" s="355" t="s">
        <v>547</v>
      </c>
      <c r="J3" s="355" t="s">
        <v>547</v>
      </c>
      <c r="K3" s="355" t="s">
        <v>547</v>
      </c>
      <c r="L3" s="355" t="s">
        <v>547</v>
      </c>
      <c r="M3" s="355" t="s">
        <v>547</v>
      </c>
      <c r="N3" s="355" t="s">
        <v>547</v>
      </c>
      <c r="O3" s="355" t="s">
        <v>547</v>
      </c>
      <c r="P3" s="355" t="s">
        <v>547</v>
      </c>
      <c r="Q3" s="355" t="s">
        <v>547</v>
      </c>
      <c r="R3" s="355" t="s">
        <v>547</v>
      </c>
    </row>
    <row r="4" spans="1:18" s="188" customFormat="1" ht="30" customHeight="1">
      <c r="A4" s="255"/>
      <c r="B4" s="255"/>
      <c r="C4" s="255" t="s">
        <v>20</v>
      </c>
      <c r="D4" s="255"/>
      <c r="E4" s="255"/>
      <c r="F4" s="256">
        <f>SUM(F5:F8)</f>
        <v>4510323</v>
      </c>
      <c r="G4" s="256">
        <f>SUM(G5:G8)</f>
        <v>2457</v>
      </c>
      <c r="H4" s="256">
        <f>SUM(H5:H8)</f>
        <v>2024580</v>
      </c>
      <c r="I4" s="256">
        <f>SUM(I5:I8)</f>
        <v>0</v>
      </c>
      <c r="J4" s="195"/>
      <c r="K4" s="193">
        <f t="shared" ref="K4:Q4" si="0">SUM(K5:K8)</f>
        <v>774892.45</v>
      </c>
      <c r="L4" s="193">
        <f t="shared" si="0"/>
        <v>3735430.55</v>
      </c>
      <c r="M4" s="193">
        <f t="shared" si="0"/>
        <v>-772435.45</v>
      </c>
      <c r="N4" s="193">
        <f t="shared" si="0"/>
        <v>1249687.55</v>
      </c>
      <c r="O4" s="193">
        <f t="shared" si="0"/>
        <v>-1249687.55</v>
      </c>
      <c r="P4" s="193">
        <f t="shared" si="0"/>
        <v>2024580</v>
      </c>
      <c r="Q4" s="193">
        <f t="shared" si="0"/>
        <v>7000</v>
      </c>
      <c r="R4" s="123"/>
    </row>
    <row r="5" spans="1:18" s="253" customFormat="1" ht="54.95" customHeight="1">
      <c r="A5" s="257"/>
      <c r="B5" s="257" t="s">
        <v>63</v>
      </c>
      <c r="C5" s="258" t="s">
        <v>545</v>
      </c>
      <c r="D5" s="123" t="s">
        <v>302</v>
      </c>
      <c r="E5" s="258" t="s">
        <v>546</v>
      </c>
      <c r="F5" s="259">
        <v>37860</v>
      </c>
      <c r="G5" s="259">
        <v>2232</v>
      </c>
      <c r="H5" s="259">
        <v>41580</v>
      </c>
      <c r="I5" s="259"/>
      <c r="J5" s="264">
        <f>I5/F5</f>
        <v>0</v>
      </c>
      <c r="K5" s="259">
        <f>G5</f>
        <v>2232</v>
      </c>
      <c r="L5" s="264">
        <f>F5-K5</f>
        <v>35628</v>
      </c>
      <c r="M5" s="259">
        <f>G5-K5</f>
        <v>0</v>
      </c>
      <c r="N5" s="259">
        <f>H5-K5</f>
        <v>39348</v>
      </c>
      <c r="O5" s="259">
        <f>I5-N5</f>
        <v>-39348</v>
      </c>
      <c r="P5" s="259">
        <f>H5</f>
        <v>41580</v>
      </c>
      <c r="Q5" s="259">
        <v>7000</v>
      </c>
      <c r="R5" s="260"/>
    </row>
    <row r="6" spans="1:18" s="253" customFormat="1" ht="60" customHeight="1">
      <c r="A6" s="257"/>
      <c r="B6" s="257" t="s">
        <v>61</v>
      </c>
      <c r="C6" s="258" t="s">
        <v>545</v>
      </c>
      <c r="D6" s="123" t="s">
        <v>303</v>
      </c>
      <c r="E6" s="258" t="s">
        <v>546</v>
      </c>
      <c r="F6" s="259">
        <v>1430000</v>
      </c>
      <c r="G6" s="259">
        <v>3</v>
      </c>
      <c r="H6" s="259">
        <v>1430000</v>
      </c>
      <c r="I6" s="259"/>
      <c r="J6" s="264">
        <f>I6/F6</f>
        <v>0</v>
      </c>
      <c r="K6" s="259">
        <f>G6</f>
        <v>3</v>
      </c>
      <c r="L6" s="264">
        <f>F6-K6</f>
        <v>1429997</v>
      </c>
      <c r="M6" s="259">
        <f>G6-K6</f>
        <v>0</v>
      </c>
      <c r="N6" s="259">
        <f>H6-K6</f>
        <v>1429997</v>
      </c>
      <c r="O6" s="259">
        <f>I6-N6</f>
        <v>-1429997</v>
      </c>
      <c r="P6" s="259">
        <f>H6</f>
        <v>1430000</v>
      </c>
      <c r="Q6" s="259"/>
      <c r="R6" s="260"/>
    </row>
    <row r="7" spans="1:18" s="253" customFormat="1" ht="72.95" customHeight="1">
      <c r="A7" s="257"/>
      <c r="B7" s="257" t="s">
        <v>61</v>
      </c>
      <c r="C7" s="258" t="s">
        <v>545</v>
      </c>
      <c r="D7" s="123" t="s">
        <v>304</v>
      </c>
      <c r="E7" s="258" t="s">
        <v>546</v>
      </c>
      <c r="F7" s="259">
        <v>553000</v>
      </c>
      <c r="G7" s="259">
        <v>222</v>
      </c>
      <c r="H7" s="259">
        <v>553000</v>
      </c>
      <c r="I7" s="259"/>
      <c r="J7" s="264">
        <f>I7/F7</f>
        <v>0</v>
      </c>
      <c r="K7" s="259">
        <f>G7</f>
        <v>222</v>
      </c>
      <c r="L7" s="264">
        <f>F7-K7</f>
        <v>552778</v>
      </c>
      <c r="M7" s="259">
        <f>G7-K7</f>
        <v>0</v>
      </c>
      <c r="N7" s="259">
        <f>H7-K7</f>
        <v>552778</v>
      </c>
      <c r="O7" s="259">
        <f>I7-N7</f>
        <v>-552778</v>
      </c>
      <c r="P7" s="259">
        <f>H7</f>
        <v>553000</v>
      </c>
      <c r="Q7" s="259"/>
      <c r="R7" s="123"/>
    </row>
    <row r="8" spans="1:18" s="253" customFormat="1" ht="51.95" customHeight="1">
      <c r="A8" s="260"/>
      <c r="B8" s="260" t="s">
        <v>63</v>
      </c>
      <c r="C8" s="258" t="s">
        <v>545</v>
      </c>
      <c r="D8" s="123" t="s">
        <v>305</v>
      </c>
      <c r="E8" s="258" t="s">
        <v>546</v>
      </c>
      <c r="F8" s="259">
        <v>2489463</v>
      </c>
      <c r="G8" s="261"/>
      <c r="H8" s="261"/>
      <c r="I8" s="261"/>
      <c r="J8" s="264">
        <f>I8/F8</f>
        <v>0</v>
      </c>
      <c r="K8" s="259">
        <v>772435.45</v>
      </c>
      <c r="L8" s="264">
        <f>F8-K8</f>
        <v>1717027.55</v>
      </c>
      <c r="M8" s="259">
        <f>G8-K8</f>
        <v>-772435.45</v>
      </c>
      <c r="N8" s="259">
        <f>H8-K8</f>
        <v>-772435.45</v>
      </c>
      <c r="O8" s="259">
        <f>I8-N8</f>
        <v>772435.45</v>
      </c>
      <c r="P8" s="259">
        <v>0</v>
      </c>
      <c r="Q8" s="261"/>
      <c r="R8" s="260"/>
    </row>
  </sheetData>
  <mergeCells count="3">
    <mergeCell ref="A1:R1"/>
    <mergeCell ref="A2:H2"/>
    <mergeCell ref="Q2:R2"/>
  </mergeCells>
  <phoneticPr fontId="22" type="noConversion"/>
  <dataValidations count="1">
    <dataValidation type="list" allowBlank="1" showInputMessage="1" showErrorMessage="1" sqref="A5:B8">
      <formula1>"开发小区道路,供水工程支出,供电工程支出,供气工程支出,排污工程支出,排洪工程支出,通讯工程支出,照明工程支出,环卫工程支出,绿化费用,其他设施工程发生的支出,其他"</formula1>
    </dataValidation>
  </dataValidations>
  <printOptions horizontalCentered="1"/>
  <pageMargins left="0.46875" right="0.38888888888888901" top="0.78888888888888897" bottom="0.78888888888888897" header="0.50902777777777797" footer="0.50902777777777797"/>
  <pageSetup paperSize="9" scale="63" fitToHeight="0" orientation="landscape"/>
  <headerFooter alignWithMargins="0">
    <oddHeader>&amp;R附表15</oddHeader>
    <oddFooter>&amp;C&amp;10&amp;P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pane xSplit="3" ySplit="5" topLeftCell="D6" activePane="bottomRight" state="frozen"/>
      <selection pane="topRight"/>
      <selection pane="bottomLeft"/>
      <selection pane="bottomRight" activeCell="F20" sqref="F20"/>
    </sheetView>
  </sheetViews>
  <sheetFormatPr defaultColWidth="9" defaultRowHeight="15.75"/>
  <cols>
    <col min="1" max="1" width="5" style="117" customWidth="1"/>
    <col min="2" max="2" width="10.875" style="213" customWidth="1"/>
    <col min="3" max="3" width="14.125" style="213" customWidth="1"/>
    <col min="4" max="4" width="10.5" style="213" customWidth="1"/>
    <col min="5" max="5" width="8.875" style="213" customWidth="1"/>
    <col min="6" max="6" width="10.125" style="214" customWidth="1"/>
    <col min="7" max="7" width="17.125" style="213" customWidth="1"/>
    <col min="8" max="8" width="13.125" style="215" customWidth="1"/>
    <col min="9" max="9" width="11.5" style="213" customWidth="1"/>
    <col min="10" max="10" width="10.75" style="213" customWidth="1"/>
    <col min="11" max="11" width="11.75" style="216" customWidth="1"/>
    <col min="12" max="12" width="12.25" style="216" customWidth="1"/>
    <col min="13" max="13" width="12.625" style="216" customWidth="1"/>
    <col min="14" max="14" width="8.875" style="117" customWidth="1"/>
    <col min="15" max="15" width="12.5" style="120" hidden="1" customWidth="1"/>
    <col min="16" max="16" width="13.875" style="117" customWidth="1"/>
    <col min="17" max="16384" width="9" style="117"/>
  </cols>
  <sheetData>
    <row r="1" spans="1:15" ht="24">
      <c r="A1" s="718" t="s">
        <v>551</v>
      </c>
      <c r="B1" s="711"/>
      <c r="C1" s="711"/>
      <c r="D1" s="711"/>
      <c r="E1" s="711"/>
      <c r="F1" s="712"/>
      <c r="G1" s="711"/>
      <c r="H1" s="713"/>
      <c r="I1" s="711"/>
      <c r="J1" s="711"/>
      <c r="K1" s="711"/>
      <c r="L1" s="711"/>
      <c r="M1" s="711"/>
      <c r="N1" s="711"/>
    </row>
    <row r="2" spans="1:15" s="115" customFormat="1" ht="21" customHeight="1">
      <c r="A2" s="217" t="str">
        <f>Sheet2!A2</f>
        <v>看就会立刻就会老客户考虑减</v>
      </c>
      <c r="B2" s="218"/>
      <c r="C2" s="177"/>
      <c r="D2" s="218"/>
      <c r="E2" s="218"/>
      <c r="F2" s="219"/>
      <c r="G2" s="177"/>
      <c r="H2" s="220"/>
      <c r="I2" s="177"/>
      <c r="J2" s="239"/>
      <c r="K2" s="240"/>
      <c r="L2" s="241"/>
      <c r="M2" s="242" t="s">
        <v>32</v>
      </c>
      <c r="O2" s="120"/>
    </row>
    <row r="3" spans="1:15" s="212" customFormat="1" ht="12.75">
      <c r="A3" s="221" t="s">
        <v>550</v>
      </c>
      <c r="B3" s="221" t="s">
        <v>550</v>
      </c>
      <c r="C3" s="221" t="s">
        <v>550</v>
      </c>
      <c r="D3" s="221" t="s">
        <v>550</v>
      </c>
      <c r="E3" s="221" t="s">
        <v>550</v>
      </c>
      <c r="F3" s="221" t="s">
        <v>550</v>
      </c>
      <c r="G3" s="221" t="s">
        <v>550</v>
      </c>
      <c r="H3" s="221" t="s">
        <v>550</v>
      </c>
      <c r="I3" s="221" t="s">
        <v>550</v>
      </c>
      <c r="J3" s="221" t="s">
        <v>550</v>
      </c>
      <c r="K3" s="221" t="s">
        <v>550</v>
      </c>
      <c r="L3" s="221" t="s">
        <v>550</v>
      </c>
      <c r="M3" s="221" t="s">
        <v>550</v>
      </c>
      <c r="N3" s="221" t="s">
        <v>550</v>
      </c>
      <c r="O3" s="243"/>
    </row>
    <row r="4" spans="1:15" s="212" customFormat="1" ht="18.95" customHeight="1">
      <c r="A4" s="222"/>
      <c r="B4" s="154">
        <v>1</v>
      </c>
      <c r="C4" s="154">
        <v>2</v>
      </c>
      <c r="D4" s="154">
        <v>3</v>
      </c>
      <c r="E4" s="154">
        <v>4</v>
      </c>
      <c r="F4" s="223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  <c r="O4" s="243"/>
    </row>
    <row r="5" spans="1:15" s="212" customFormat="1" ht="21" customHeight="1">
      <c r="A5" s="222"/>
      <c r="B5" s="224"/>
      <c r="C5" s="159" t="s">
        <v>35</v>
      </c>
      <c r="D5" s="224"/>
      <c r="E5" s="225"/>
      <c r="F5" s="226"/>
      <c r="G5" s="158"/>
      <c r="H5" s="227">
        <f t="shared" ref="H5:M5" si="0">SUM(H6:H9)</f>
        <v>9960165.5700000003</v>
      </c>
      <c r="I5" s="158"/>
      <c r="J5" s="180"/>
      <c r="K5" s="244">
        <f t="shared" si="0"/>
        <v>9960165.5700000003</v>
      </c>
      <c r="L5" s="245">
        <f t="shared" si="0"/>
        <v>1379002.43</v>
      </c>
      <c r="M5" s="245">
        <f t="shared" si="0"/>
        <v>11339168</v>
      </c>
      <c r="N5" s="246"/>
      <c r="O5" s="243"/>
    </row>
    <row r="6" spans="1:15" s="115" customFormat="1" ht="48" customHeight="1">
      <c r="A6" s="228">
        <v>1</v>
      </c>
      <c r="B6" s="229" t="s">
        <v>65</v>
      </c>
      <c r="C6" s="230" t="s">
        <v>548</v>
      </c>
      <c r="D6" s="231" t="s">
        <v>115</v>
      </c>
      <c r="E6" s="167">
        <v>40480</v>
      </c>
      <c r="F6" s="168" t="s">
        <v>306</v>
      </c>
      <c r="G6" s="168" t="s">
        <v>549</v>
      </c>
      <c r="H6" s="232">
        <v>340262</v>
      </c>
      <c r="I6" s="230" t="s">
        <v>307</v>
      </c>
      <c r="J6" s="247" t="s">
        <v>308</v>
      </c>
      <c r="K6" s="232">
        <v>340262</v>
      </c>
      <c r="L6" s="248"/>
      <c r="M6" s="249">
        <f>K6+L6</f>
        <v>340262</v>
      </c>
      <c r="N6" s="250"/>
      <c r="O6" s="251" t="s">
        <v>309</v>
      </c>
    </row>
    <row r="7" spans="1:15" s="115" customFormat="1" ht="66" customHeight="1">
      <c r="A7" s="228">
        <v>2</v>
      </c>
      <c r="B7" s="233" t="s">
        <v>67</v>
      </c>
      <c r="C7" s="230" t="s">
        <v>548</v>
      </c>
      <c r="D7" s="231" t="s">
        <v>299</v>
      </c>
      <c r="E7" s="167">
        <v>42369</v>
      </c>
      <c r="F7" s="234" t="s">
        <v>310</v>
      </c>
      <c r="G7" s="168" t="s">
        <v>549</v>
      </c>
      <c r="H7" s="232">
        <v>6584892.9299999997</v>
      </c>
      <c r="I7" s="236" t="s">
        <v>311</v>
      </c>
      <c r="J7" s="252"/>
      <c r="K7" s="232">
        <v>6584892.9299999997</v>
      </c>
      <c r="L7" s="248"/>
      <c r="M7" s="249">
        <f>K7+L7</f>
        <v>6584892.9299999997</v>
      </c>
      <c r="N7" s="250"/>
      <c r="O7" s="251" t="s">
        <v>312</v>
      </c>
    </row>
    <row r="8" spans="1:15" s="115" customFormat="1" ht="66" customHeight="1">
      <c r="A8" s="228">
        <v>3</v>
      </c>
      <c r="B8" s="233" t="s">
        <v>67</v>
      </c>
      <c r="C8" s="230" t="s">
        <v>548</v>
      </c>
      <c r="D8" s="231" t="s">
        <v>299</v>
      </c>
      <c r="E8" s="167">
        <v>42369</v>
      </c>
      <c r="F8" s="234" t="s">
        <v>313</v>
      </c>
      <c r="G8" s="168" t="s">
        <v>549</v>
      </c>
      <c r="H8" s="232">
        <v>1795667.37</v>
      </c>
      <c r="I8" s="236" t="s">
        <v>311</v>
      </c>
      <c r="J8" s="252"/>
      <c r="K8" s="232">
        <v>1795667.37</v>
      </c>
      <c r="L8" s="248">
        <v>1379002.43</v>
      </c>
      <c r="M8" s="249">
        <f>K8+L8</f>
        <v>3174669.8</v>
      </c>
      <c r="N8" s="250"/>
      <c r="O8" s="251" t="s">
        <v>312</v>
      </c>
    </row>
    <row r="9" spans="1:15" s="115" customFormat="1" ht="57.95" customHeight="1">
      <c r="A9" s="228">
        <v>4</v>
      </c>
      <c r="B9" s="235" t="s">
        <v>66</v>
      </c>
      <c r="C9" s="236"/>
      <c r="D9" s="231" t="s">
        <v>299</v>
      </c>
      <c r="E9" s="237"/>
      <c r="F9" s="238"/>
      <c r="G9" s="168" t="s">
        <v>549</v>
      </c>
      <c r="H9" s="232">
        <v>1239343.27</v>
      </c>
      <c r="I9" s="236" t="s">
        <v>311</v>
      </c>
      <c r="J9" s="237"/>
      <c r="K9" s="232">
        <v>1239343.27</v>
      </c>
      <c r="L9" s="248"/>
      <c r="M9" s="249">
        <f>K9+L9</f>
        <v>1239343.27</v>
      </c>
      <c r="N9" s="250"/>
      <c r="O9" s="120"/>
    </row>
  </sheetData>
  <mergeCells count="1">
    <mergeCell ref="A1:N1"/>
  </mergeCells>
  <phoneticPr fontId="22" type="noConversion"/>
  <dataValidations count="2">
    <dataValidation type="list" allowBlank="1" showInputMessage="1" showErrorMessage="1" sqref="B5">
      <formula1>"开发小区内道路,供水工程支出,供电工程支出,供气工程支出,排污工程支出,排洪工程支出,通讯工程支出,照明工程支出,环卫工程支出,绿化费用,其他设施工程发生的支出"</formula1>
    </dataValidation>
    <dataValidation type="list" allowBlank="1" showInputMessage="1" showErrorMessage="1" sqref="B6:B9">
      <formula1>"物业管理用房费用,游泳池,会馆,其他非营业性公共设施费"</formula1>
    </dataValidation>
  </dataValidations>
  <printOptions horizontalCentered="1"/>
  <pageMargins left="0.42916666666666697" right="0.34930555555555598" top="0.78888888888888897" bottom="0.78888888888888897" header="0.62916666666666698" footer="0.50902777777777797"/>
  <pageSetup paperSize="9" scale="83" fitToHeight="0" orientation="landscape"/>
  <headerFooter alignWithMargins="0">
    <oddHeader>&amp;R附表16</oddHeader>
    <oddFooter>&amp;C&amp;10&amp;P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12" sqref="B12"/>
    </sheetView>
  </sheetViews>
  <sheetFormatPr defaultColWidth="9" defaultRowHeight="14.25"/>
  <cols>
    <col min="1" max="1" width="17.875" customWidth="1"/>
    <col min="2" max="2" width="21.625" customWidth="1"/>
    <col min="3" max="3" width="20.75" customWidth="1"/>
    <col min="4" max="4" width="18.125" customWidth="1"/>
  </cols>
  <sheetData>
    <row r="1" spans="1:4" ht="56.45" customHeight="1">
      <c r="A1" s="756" t="s">
        <v>552</v>
      </c>
      <c r="B1" s="756"/>
      <c r="C1" s="756"/>
      <c r="D1" s="756"/>
    </row>
    <row r="2" spans="1:4" ht="47.45" customHeight="1">
      <c r="A2" s="785" t="s">
        <v>554</v>
      </c>
      <c r="B2" s="785" t="s">
        <v>554</v>
      </c>
      <c r="C2" s="785" t="s">
        <v>554</v>
      </c>
      <c r="D2" s="785" t="s">
        <v>554</v>
      </c>
    </row>
    <row r="3" spans="1:4" ht="47.45" customHeight="1">
      <c r="A3" s="785" t="s">
        <v>553</v>
      </c>
      <c r="B3" s="198">
        <v>32711.32</v>
      </c>
      <c r="C3" s="198">
        <v>24587.599999999999</v>
      </c>
      <c r="D3" s="198">
        <f>SUM(B3:C3)</f>
        <v>57298.92</v>
      </c>
    </row>
    <row r="4" spans="1:4" ht="47.45" customHeight="1">
      <c r="A4" s="785" t="s">
        <v>553</v>
      </c>
      <c r="B4" s="208">
        <f>B3/D3</f>
        <v>0.57088894520175948</v>
      </c>
      <c r="C4" s="208">
        <f>C3/D3</f>
        <v>0.42911105479824052</v>
      </c>
      <c r="D4" s="208">
        <f>SUM(B4:C4)</f>
        <v>1</v>
      </c>
    </row>
    <row r="5" spans="1:4" ht="47.45" customHeight="1">
      <c r="A5" s="785" t="s">
        <v>553</v>
      </c>
      <c r="B5" s="198">
        <v>6584892.9299999997</v>
      </c>
      <c r="C5" s="198">
        <f>D5-B5</f>
        <v>4949562.2200000007</v>
      </c>
      <c r="D5" s="198">
        <v>11534455.15</v>
      </c>
    </row>
    <row r="6" spans="1:4">
      <c r="A6" s="209"/>
      <c r="B6" s="209"/>
      <c r="C6" s="209"/>
      <c r="D6" s="209"/>
    </row>
    <row r="7" spans="1:4">
      <c r="A7" s="203"/>
      <c r="B7" s="210"/>
      <c r="C7" s="210"/>
      <c r="D7" s="211"/>
    </row>
  </sheetData>
  <mergeCells count="1">
    <mergeCell ref="A1:D1"/>
  </mergeCells>
  <phoneticPr fontId="22" type="noConversion"/>
  <pageMargins left="0.93888888888888899" right="0.69930555555555596" top="0.97916666666666696" bottom="0.75" header="0.66944444444444495" footer="0.3"/>
  <pageSetup paperSize="9" orientation="portrait"/>
  <headerFooter>
    <oddHeader>&amp;R附表17</oddHeader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2" workbookViewId="0">
      <selection activeCell="K7" sqref="K7"/>
    </sheetView>
  </sheetViews>
  <sheetFormatPr defaultColWidth="9" defaultRowHeight="14.25"/>
  <cols>
    <col min="1" max="4" width="20.25" customWidth="1"/>
  </cols>
  <sheetData>
    <row r="1" spans="1:4" ht="55.9" customHeight="1">
      <c r="A1" s="756" t="s">
        <v>555</v>
      </c>
      <c r="B1" s="756"/>
      <c r="C1" s="756"/>
      <c r="D1" s="756"/>
    </row>
    <row r="2" spans="1:4" ht="60" customHeight="1">
      <c r="A2" s="785" t="s">
        <v>556</v>
      </c>
      <c r="B2" s="785" t="s">
        <v>556</v>
      </c>
      <c r="C2" s="785" t="s">
        <v>556</v>
      </c>
      <c r="D2" s="785" t="s">
        <v>556</v>
      </c>
    </row>
    <row r="3" spans="1:4" ht="60" customHeight="1">
      <c r="A3" s="785" t="s">
        <v>557</v>
      </c>
      <c r="B3" s="198">
        <v>694.37</v>
      </c>
      <c r="C3" s="198">
        <v>1477.3</v>
      </c>
      <c r="D3" s="198">
        <f>SUM(B3:C3)</f>
        <v>2171.67</v>
      </c>
    </row>
    <row r="4" spans="1:4" ht="60" customHeight="1">
      <c r="A4" s="785" t="s">
        <v>557</v>
      </c>
      <c r="B4" s="208">
        <f>B3/D3</f>
        <v>0.31974010784327267</v>
      </c>
      <c r="C4" s="208">
        <f>C3/D3</f>
        <v>0.68025989215672722</v>
      </c>
      <c r="D4" s="208">
        <f>SUM(B4:C4)</f>
        <v>0.99999999999999989</v>
      </c>
    </row>
    <row r="5" spans="1:4" ht="60" customHeight="1">
      <c r="A5" s="785" t="s">
        <v>557</v>
      </c>
      <c r="B5" s="198">
        <v>40045.53</v>
      </c>
      <c r="C5" s="198">
        <v>85198.47</v>
      </c>
      <c r="D5" s="198">
        <v>125244</v>
      </c>
    </row>
    <row r="6" spans="1:4" ht="60" customHeight="1">
      <c r="A6" s="785" t="s">
        <v>557</v>
      </c>
      <c r="B6" s="198">
        <v>32711.32</v>
      </c>
      <c r="C6" s="198">
        <v>24587.599999999999</v>
      </c>
      <c r="D6" s="198">
        <f>B6+C6</f>
        <v>57298.92</v>
      </c>
    </row>
    <row r="7" spans="1:4" ht="60" customHeight="1">
      <c r="A7" s="785" t="s">
        <v>557</v>
      </c>
      <c r="B7" s="208">
        <f>B6/D6</f>
        <v>0.57088894520175948</v>
      </c>
      <c r="C7" s="208">
        <f>C6/D6</f>
        <v>0.42911105479824052</v>
      </c>
      <c r="D7" s="208">
        <f>B7+C7</f>
        <v>1</v>
      </c>
    </row>
    <row r="8" spans="1:4" ht="60" customHeight="1">
      <c r="A8" s="785" t="s">
        <v>557</v>
      </c>
      <c r="B8" s="198">
        <v>3134624.27</v>
      </c>
      <c r="C8" s="198">
        <f>D8-B8</f>
        <v>2356153.39</v>
      </c>
      <c r="D8" s="198">
        <v>5490777.6600000001</v>
      </c>
    </row>
    <row r="9" spans="1:4" ht="60" customHeight="1">
      <c r="A9" s="785" t="s">
        <v>557</v>
      </c>
      <c r="B9" s="198">
        <f>B5+B8</f>
        <v>3174669.8</v>
      </c>
      <c r="C9" s="198">
        <f>C5+C8</f>
        <v>2441351.8600000003</v>
      </c>
      <c r="D9" s="198">
        <f>D5+D8</f>
        <v>5616021.6600000001</v>
      </c>
    </row>
  </sheetData>
  <mergeCells count="1">
    <mergeCell ref="A1:D1"/>
  </mergeCells>
  <phoneticPr fontId="22" type="noConversion"/>
  <pageMargins left="0.9" right="0.50902777777777797" top="0.97916666666666696" bottom="0.82986111111111105" header="0.70902777777777803" footer="0.58888888888888902"/>
  <pageSetup paperSize="9" orientation="portrait"/>
  <headerFooter>
    <oddHeader>&amp;R附表18</oddHeader>
    <oddFooter>&amp;C&amp;P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pane xSplit="2" ySplit="2" topLeftCell="C3" activePane="bottomRight" state="frozen"/>
      <selection pane="topRight"/>
      <selection pane="bottomLeft"/>
      <selection pane="bottomRight" activeCell="A21" sqref="A21"/>
    </sheetView>
  </sheetViews>
  <sheetFormatPr defaultColWidth="9" defaultRowHeight="14.25"/>
  <cols>
    <col min="1" max="1" width="11.5" style="201" customWidth="1"/>
    <col min="2" max="2" width="9" style="201"/>
    <col min="3" max="3" width="33.375" style="202" customWidth="1"/>
    <col min="4" max="5" width="17" style="201" customWidth="1"/>
    <col min="6" max="6" width="16" style="201" customWidth="1"/>
    <col min="7" max="7" width="31.5" style="201" customWidth="1"/>
    <col min="8" max="16384" width="9" style="201"/>
  </cols>
  <sheetData>
    <row r="1" spans="1:7" ht="41.1" customHeight="1">
      <c r="A1" s="757" t="s">
        <v>558</v>
      </c>
      <c r="B1" s="757"/>
      <c r="C1" s="758"/>
      <c r="D1" s="757"/>
      <c r="E1" s="757"/>
      <c r="F1" s="757"/>
      <c r="G1" s="757"/>
    </row>
    <row r="2" spans="1:7" ht="30" customHeight="1">
      <c r="A2" s="203" t="s">
        <v>314</v>
      </c>
      <c r="B2" s="203" t="s">
        <v>314</v>
      </c>
      <c r="C2" s="203" t="s">
        <v>314</v>
      </c>
      <c r="D2" s="203" t="s">
        <v>314</v>
      </c>
      <c r="E2" s="203" t="s">
        <v>314</v>
      </c>
      <c r="F2" s="203" t="s">
        <v>314</v>
      </c>
      <c r="G2" s="203" t="s">
        <v>314</v>
      </c>
    </row>
    <row r="3" spans="1:7" s="200" customFormat="1">
      <c r="A3" s="204">
        <v>41060</v>
      </c>
      <c r="B3" s="203">
        <v>98</v>
      </c>
      <c r="C3" s="786" t="s">
        <v>559</v>
      </c>
      <c r="D3" s="205">
        <v>2094.16</v>
      </c>
      <c r="E3" s="205">
        <v>0</v>
      </c>
      <c r="F3" s="205">
        <f t="shared" ref="F3:F27" si="0">D3+E3</f>
        <v>2094.16</v>
      </c>
      <c r="G3" s="787" t="s">
        <v>560</v>
      </c>
    </row>
    <row r="4" spans="1:7">
      <c r="A4" s="204">
        <v>41060</v>
      </c>
      <c r="B4" s="203">
        <v>98</v>
      </c>
      <c r="C4" s="786" t="s">
        <v>559</v>
      </c>
      <c r="D4" s="206">
        <v>73568.05</v>
      </c>
      <c r="E4" s="206"/>
      <c r="F4" s="205">
        <f t="shared" si="0"/>
        <v>73568.05</v>
      </c>
      <c r="G4" s="787" t="s">
        <v>560</v>
      </c>
    </row>
    <row r="5" spans="1:7">
      <c r="A5" s="204">
        <v>41274</v>
      </c>
      <c r="B5" s="203">
        <v>119</v>
      </c>
      <c r="C5" s="786" t="s">
        <v>559</v>
      </c>
      <c r="D5" s="206">
        <v>-10299.65</v>
      </c>
      <c r="E5" s="206"/>
      <c r="F5" s="205">
        <f t="shared" si="0"/>
        <v>-10299.65</v>
      </c>
      <c r="G5" s="787" t="s">
        <v>560</v>
      </c>
    </row>
    <row r="6" spans="1:7">
      <c r="A6" s="204">
        <v>42369</v>
      </c>
      <c r="B6" s="203">
        <v>172</v>
      </c>
      <c r="C6" s="786" t="s">
        <v>559</v>
      </c>
      <c r="D6" s="206">
        <v>-24317.759999999998</v>
      </c>
      <c r="E6" s="207"/>
      <c r="F6" s="205">
        <f t="shared" si="0"/>
        <v>-24317.759999999998</v>
      </c>
      <c r="G6" s="787" t="s">
        <v>560</v>
      </c>
    </row>
    <row r="7" spans="1:7">
      <c r="A7" s="204">
        <v>41060</v>
      </c>
      <c r="B7" s="203">
        <v>98</v>
      </c>
      <c r="C7" s="786" t="s">
        <v>559</v>
      </c>
      <c r="D7" s="206">
        <v>7596.96</v>
      </c>
      <c r="E7" s="206"/>
      <c r="F7" s="205">
        <f t="shared" si="0"/>
        <v>7596.96</v>
      </c>
      <c r="G7" s="787" t="s">
        <v>560</v>
      </c>
    </row>
    <row r="8" spans="1:7">
      <c r="A8" s="204">
        <v>40298</v>
      </c>
      <c r="B8" s="203">
        <v>20</v>
      </c>
      <c r="C8" s="786" t="s">
        <v>559</v>
      </c>
      <c r="D8" s="206">
        <v>25651.95</v>
      </c>
      <c r="E8" s="206"/>
      <c r="F8" s="205">
        <f t="shared" si="0"/>
        <v>25651.95</v>
      </c>
      <c r="G8" s="787" t="s">
        <v>560</v>
      </c>
    </row>
    <row r="9" spans="1:7">
      <c r="A9" s="204">
        <v>40755</v>
      </c>
      <c r="B9" s="203">
        <v>76</v>
      </c>
      <c r="C9" s="786" t="s">
        <v>559</v>
      </c>
      <c r="D9" s="206">
        <v>12000</v>
      </c>
      <c r="E9" s="206"/>
      <c r="F9" s="205">
        <f t="shared" si="0"/>
        <v>12000</v>
      </c>
      <c r="G9" s="787" t="s">
        <v>560</v>
      </c>
    </row>
    <row r="10" spans="1:7">
      <c r="A10" s="204">
        <v>40807</v>
      </c>
      <c r="B10" s="203">
        <v>16</v>
      </c>
      <c r="C10" s="786" t="s">
        <v>559</v>
      </c>
      <c r="D10" s="206">
        <v>3000</v>
      </c>
      <c r="E10" s="206"/>
      <c r="F10" s="205">
        <f t="shared" si="0"/>
        <v>3000</v>
      </c>
      <c r="G10" s="787" t="s">
        <v>560</v>
      </c>
    </row>
    <row r="11" spans="1:7">
      <c r="A11" s="204">
        <v>40875</v>
      </c>
      <c r="B11" s="203">
        <v>40</v>
      </c>
      <c r="C11" s="786" t="s">
        <v>559</v>
      </c>
      <c r="D11" s="206">
        <v>30000</v>
      </c>
      <c r="E11" s="206"/>
      <c r="F11" s="205">
        <f t="shared" si="0"/>
        <v>30000</v>
      </c>
      <c r="G11" s="787" t="s">
        <v>560</v>
      </c>
    </row>
    <row r="12" spans="1:7">
      <c r="A12" s="204">
        <v>41243</v>
      </c>
      <c r="B12" s="203">
        <v>46</v>
      </c>
      <c r="C12" s="786" t="s">
        <v>559</v>
      </c>
      <c r="D12" s="206">
        <v>482000</v>
      </c>
      <c r="E12" s="206"/>
      <c r="F12" s="205">
        <f t="shared" si="0"/>
        <v>482000</v>
      </c>
      <c r="G12" s="787" t="s">
        <v>560</v>
      </c>
    </row>
    <row r="13" spans="1:7">
      <c r="A13" s="204">
        <v>41243</v>
      </c>
      <c r="B13" s="203">
        <v>61</v>
      </c>
      <c r="C13" s="786" t="s">
        <v>559</v>
      </c>
      <c r="D13" s="206">
        <v>10000</v>
      </c>
      <c r="E13" s="206"/>
      <c r="F13" s="205">
        <f t="shared" si="0"/>
        <v>10000</v>
      </c>
      <c r="G13" s="787" t="s">
        <v>560</v>
      </c>
    </row>
    <row r="14" spans="1:7">
      <c r="A14" s="204">
        <v>41274</v>
      </c>
      <c r="B14" s="203">
        <v>10</v>
      </c>
      <c r="C14" s="786" t="s">
        <v>559</v>
      </c>
      <c r="D14" s="206">
        <v>335000</v>
      </c>
      <c r="E14" s="206"/>
      <c r="F14" s="205">
        <f t="shared" si="0"/>
        <v>335000</v>
      </c>
      <c r="G14" s="787" t="s">
        <v>560</v>
      </c>
    </row>
    <row r="15" spans="1:7">
      <c r="A15" s="204">
        <v>41274</v>
      </c>
      <c r="B15" s="203">
        <v>78</v>
      </c>
      <c r="C15" s="786" t="s">
        <v>559</v>
      </c>
      <c r="D15" s="206">
        <v>1781.39</v>
      </c>
      <c r="E15" s="206"/>
      <c r="F15" s="205">
        <f t="shared" si="0"/>
        <v>1781.39</v>
      </c>
      <c r="G15" s="787" t="s">
        <v>560</v>
      </c>
    </row>
    <row r="16" spans="1:7">
      <c r="A16" s="204">
        <v>41274</v>
      </c>
      <c r="B16" s="203">
        <v>119</v>
      </c>
      <c r="C16" s="786" t="s">
        <v>559</v>
      </c>
      <c r="D16" s="206">
        <v>19839.38</v>
      </c>
      <c r="E16" s="206"/>
      <c r="F16" s="205">
        <f t="shared" si="0"/>
        <v>19839.38</v>
      </c>
      <c r="G16" s="787" t="s">
        <v>560</v>
      </c>
    </row>
    <row r="17" spans="1:7" ht="27" customHeight="1">
      <c r="A17" s="204">
        <v>41333</v>
      </c>
      <c r="B17" s="203">
        <v>20</v>
      </c>
      <c r="C17" s="786" t="s">
        <v>559</v>
      </c>
      <c r="D17" s="206">
        <v>5730</v>
      </c>
      <c r="E17" s="206">
        <v>-5730</v>
      </c>
      <c r="F17" s="205">
        <f t="shared" si="0"/>
        <v>0</v>
      </c>
      <c r="G17" s="787" t="s">
        <v>560</v>
      </c>
    </row>
    <row r="18" spans="1:7" ht="27" customHeight="1">
      <c r="A18" s="204">
        <v>41333</v>
      </c>
      <c r="B18" s="203">
        <v>20</v>
      </c>
      <c r="C18" s="786" t="s">
        <v>559</v>
      </c>
      <c r="D18" s="206">
        <v>2210</v>
      </c>
      <c r="E18" s="206">
        <v>-2210</v>
      </c>
      <c r="F18" s="205">
        <f t="shared" si="0"/>
        <v>0</v>
      </c>
      <c r="G18" s="787" t="s">
        <v>560</v>
      </c>
    </row>
    <row r="19" spans="1:7">
      <c r="A19" s="204">
        <v>41364</v>
      </c>
      <c r="B19" s="203">
        <v>7</v>
      </c>
      <c r="C19" s="786" t="s">
        <v>559</v>
      </c>
      <c r="D19" s="206">
        <v>1035</v>
      </c>
      <c r="E19" s="206">
        <v>-1035</v>
      </c>
      <c r="F19" s="205">
        <f t="shared" si="0"/>
        <v>0</v>
      </c>
      <c r="G19" s="787" t="s">
        <v>560</v>
      </c>
    </row>
    <row r="20" spans="1:7" ht="24.95" customHeight="1">
      <c r="A20" s="204">
        <v>41364</v>
      </c>
      <c r="B20" s="203">
        <v>35</v>
      </c>
      <c r="C20" s="786" t="s">
        <v>559</v>
      </c>
      <c r="D20" s="206">
        <v>1016</v>
      </c>
      <c r="E20" s="206">
        <v>-1016</v>
      </c>
      <c r="F20" s="205">
        <f t="shared" si="0"/>
        <v>0</v>
      </c>
      <c r="G20" s="787" t="s">
        <v>560</v>
      </c>
    </row>
    <row r="21" spans="1:7" ht="24.95" customHeight="1">
      <c r="A21" s="204">
        <v>41364</v>
      </c>
      <c r="B21" s="203">
        <v>55</v>
      </c>
      <c r="C21" s="786" t="s">
        <v>559</v>
      </c>
      <c r="D21" s="206">
        <v>4940</v>
      </c>
      <c r="E21" s="206"/>
      <c r="F21" s="205">
        <f t="shared" si="0"/>
        <v>4940</v>
      </c>
      <c r="G21" s="787" t="s">
        <v>560</v>
      </c>
    </row>
    <row r="22" spans="1:7">
      <c r="A22" s="204">
        <v>41364</v>
      </c>
      <c r="B22" s="203">
        <v>68</v>
      </c>
      <c r="C22" s="786" t="s">
        <v>559</v>
      </c>
      <c r="D22" s="206">
        <v>99990</v>
      </c>
      <c r="E22" s="206"/>
      <c r="F22" s="205">
        <f t="shared" si="0"/>
        <v>99990</v>
      </c>
      <c r="G22" s="787" t="s">
        <v>560</v>
      </c>
    </row>
    <row r="23" spans="1:7">
      <c r="A23" s="204">
        <v>41364</v>
      </c>
      <c r="B23" s="203">
        <v>68</v>
      </c>
      <c r="C23" s="786" t="s">
        <v>559</v>
      </c>
      <c r="D23" s="206">
        <v>22010</v>
      </c>
      <c r="E23" s="206"/>
      <c r="F23" s="205">
        <f t="shared" si="0"/>
        <v>22010</v>
      </c>
      <c r="G23" s="787" t="s">
        <v>560</v>
      </c>
    </row>
    <row r="24" spans="1:7">
      <c r="A24" s="204">
        <v>41759</v>
      </c>
      <c r="B24" s="203">
        <v>83</v>
      </c>
      <c r="C24" s="786" t="s">
        <v>559</v>
      </c>
      <c r="D24" s="206">
        <v>8000</v>
      </c>
      <c r="E24" s="206"/>
      <c r="F24" s="205">
        <f t="shared" si="0"/>
        <v>8000</v>
      </c>
      <c r="G24" s="787" t="s">
        <v>560</v>
      </c>
    </row>
    <row r="25" spans="1:7" ht="21" customHeight="1">
      <c r="A25" s="204">
        <v>41943</v>
      </c>
      <c r="B25" s="203">
        <v>34</v>
      </c>
      <c r="C25" s="786" t="s">
        <v>559</v>
      </c>
      <c r="D25" s="206">
        <v>130500</v>
      </c>
      <c r="E25" s="206"/>
      <c r="F25" s="205">
        <f t="shared" si="0"/>
        <v>130500</v>
      </c>
      <c r="G25" s="787" t="s">
        <v>560</v>
      </c>
    </row>
    <row r="26" spans="1:7" ht="21" customHeight="1">
      <c r="A26" s="204">
        <v>42369</v>
      </c>
      <c r="B26" s="203">
        <v>172</v>
      </c>
      <c r="C26" s="786" t="s">
        <v>559</v>
      </c>
      <c r="D26" s="206">
        <v>5062251.71</v>
      </c>
      <c r="E26" s="207"/>
      <c r="F26" s="205">
        <f t="shared" si="0"/>
        <v>5062251.71</v>
      </c>
      <c r="G26" s="787" t="s">
        <v>560</v>
      </c>
    </row>
    <row r="27" spans="1:7" ht="21" customHeight="1">
      <c r="A27" s="204">
        <v>42369</v>
      </c>
      <c r="B27" s="203">
        <v>173</v>
      </c>
      <c r="C27" s="786" t="s">
        <v>559</v>
      </c>
      <c r="D27" s="206">
        <v>457879.7</v>
      </c>
      <c r="E27" s="207"/>
      <c r="F27" s="205">
        <f t="shared" si="0"/>
        <v>457879.7</v>
      </c>
      <c r="G27" s="787" t="s">
        <v>560</v>
      </c>
    </row>
    <row r="28" spans="1:7" ht="21" customHeight="1">
      <c r="A28" s="759" t="s">
        <v>35</v>
      </c>
      <c r="B28" s="760"/>
      <c r="C28" s="761"/>
      <c r="D28" s="206">
        <f>SUM(D3:D27)</f>
        <v>6763476.8899999997</v>
      </c>
      <c r="E28" s="206">
        <f>SUM(E3:E27)</f>
        <v>-9991</v>
      </c>
      <c r="F28" s="206">
        <f>SUM(F3:F27)</f>
        <v>6753485.8899999997</v>
      </c>
      <c r="G28" s="787" t="s">
        <v>560</v>
      </c>
    </row>
  </sheetData>
  <mergeCells count="2">
    <mergeCell ref="A1:G1"/>
    <mergeCell ref="A28:C28"/>
  </mergeCells>
  <phoneticPr fontId="22" type="noConversion"/>
  <pageMargins left="0.69930555555555596" right="0.69930555555555596" top="0.9" bottom="0.82986111111111105" header="0.58888888888888902" footer="0.55000000000000004"/>
  <pageSetup paperSize="9" scale="91" fitToHeight="0" orientation="landscape"/>
  <headerFooter>
    <oddHeader>&amp;R附表19</oddHeader>
    <oddFooter>&amp;C&amp;P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A2" sqref="A2"/>
    </sheetView>
  </sheetViews>
  <sheetFormatPr defaultColWidth="9" defaultRowHeight="14.25"/>
  <cols>
    <col min="1" max="1" width="11.5" customWidth="1"/>
    <col min="2" max="5" width="16.125" customWidth="1"/>
  </cols>
  <sheetData>
    <row r="1" spans="1:5" ht="62.1" customHeight="1">
      <c r="A1" s="756" t="s">
        <v>561</v>
      </c>
      <c r="B1" s="756"/>
      <c r="C1" s="756"/>
      <c r="D1" s="756"/>
      <c r="E1" s="756"/>
    </row>
    <row r="2" spans="1:5" ht="45.6" customHeight="1">
      <c r="A2" s="197" t="s">
        <v>105</v>
      </c>
      <c r="B2" s="197" t="s">
        <v>105</v>
      </c>
      <c r="C2" s="197" t="s">
        <v>105</v>
      </c>
      <c r="D2" s="197" t="s">
        <v>105</v>
      </c>
      <c r="E2" s="197" t="s">
        <v>105</v>
      </c>
    </row>
    <row r="3" spans="1:5" ht="42" customHeight="1">
      <c r="A3" s="197" t="s">
        <v>105</v>
      </c>
      <c r="B3" s="198">
        <v>32711.32</v>
      </c>
      <c r="C3" s="198">
        <v>24587.599999999999</v>
      </c>
      <c r="D3" s="198">
        <v>121216.8</v>
      </c>
      <c r="E3" s="198">
        <f>SUM(B3:D3)</f>
        <v>178515.72</v>
      </c>
    </row>
    <row r="4" spans="1:5" ht="42" customHeight="1">
      <c r="A4" s="197" t="s">
        <v>105</v>
      </c>
      <c r="B4" s="199">
        <f>B3/E3</f>
        <v>0.18324055719014548</v>
      </c>
      <c r="C4" s="199">
        <f>C3/E3</f>
        <v>0.13773352845340453</v>
      </c>
      <c r="D4" s="199">
        <f>D3/E3</f>
        <v>0.67902591435644999</v>
      </c>
      <c r="E4" s="199">
        <f>SUM(B4:D4)</f>
        <v>1</v>
      </c>
    </row>
    <row r="5" spans="1:5" ht="42" customHeight="1">
      <c r="A5" s="197" t="s">
        <v>105</v>
      </c>
      <c r="B5" s="198">
        <v>1237512.52</v>
      </c>
      <c r="C5" s="198">
        <v>930181.44</v>
      </c>
      <c r="D5" s="198">
        <f>E5-B5-C5</f>
        <v>4585791.93</v>
      </c>
      <c r="E5" s="198">
        <f>Sheet19!F28</f>
        <v>6753485.8899999997</v>
      </c>
    </row>
  </sheetData>
  <mergeCells count="1">
    <mergeCell ref="A1:E1"/>
  </mergeCells>
  <phoneticPr fontId="22" type="noConversion"/>
  <pageMargins left="1.01875" right="0.69930555555555596" top="1.0590277777777799" bottom="0.75" header="0.70902777777777803" footer="0.3"/>
  <pageSetup paperSize="9" orientation="portrait"/>
  <headerFooter>
    <oddHeader>&amp;R附表20</oddHeader>
    <oddFooter>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topLeftCell="C1" workbookViewId="0">
      <selection activeCell="L15" sqref="L15"/>
    </sheetView>
  </sheetViews>
  <sheetFormatPr defaultColWidth="6.375" defaultRowHeight="15.75"/>
  <cols>
    <col min="1" max="1" width="6.375" style="189" customWidth="1"/>
    <col min="2" max="2" width="11.875" style="189" customWidth="1"/>
    <col min="3" max="3" width="9.375" style="189" customWidth="1"/>
    <col min="4" max="4" width="7.5" style="189" customWidth="1"/>
    <col min="5" max="5" width="7.625" style="189" customWidth="1"/>
    <col min="6" max="9" width="7.625" style="190" customWidth="1"/>
    <col min="10" max="10" width="9.25" style="189" customWidth="1"/>
    <col min="11" max="11" width="10.375" style="190" customWidth="1"/>
    <col min="12" max="13" width="11.125" style="190" customWidth="1"/>
    <col min="14" max="14" width="11.375" style="190" customWidth="1"/>
    <col min="15" max="15" width="9.25" style="190" customWidth="1"/>
    <col min="16" max="16" width="9.125" style="190" customWidth="1"/>
    <col min="17" max="17" width="8.125" style="190" customWidth="1"/>
    <col min="18" max="18" width="8.375" style="189" customWidth="1"/>
    <col min="19" max="16384" width="6.375" style="189"/>
  </cols>
  <sheetData>
    <row r="1" spans="1:18" ht="22.5">
      <c r="A1" s="754" t="s">
        <v>316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54"/>
      <c r="Q1" s="754"/>
      <c r="R1" s="754"/>
    </row>
    <row r="2" spans="1:18" s="188" customFormat="1" ht="26.1" customHeight="1">
      <c r="A2" s="755" t="e">
        <f>#REF!</f>
        <v>#REF!</v>
      </c>
      <c r="B2" s="755"/>
      <c r="C2" s="755"/>
      <c r="D2" s="755"/>
      <c r="E2" s="755"/>
      <c r="F2" s="755"/>
      <c r="G2" s="755"/>
      <c r="H2" s="755"/>
      <c r="I2" s="755"/>
      <c r="J2" s="755"/>
      <c r="K2" s="194"/>
      <c r="L2" s="194"/>
      <c r="M2" s="194"/>
      <c r="N2" s="194"/>
      <c r="O2" s="194"/>
      <c r="P2" s="194"/>
      <c r="Q2" s="719" t="s">
        <v>32</v>
      </c>
      <c r="R2" s="719"/>
    </row>
    <row r="3" spans="1:18" s="188" customFormat="1" ht="41.25" customHeight="1">
      <c r="A3" s="191" t="s">
        <v>245</v>
      </c>
      <c r="B3" s="191" t="s">
        <v>96</v>
      </c>
      <c r="C3" s="191" t="s">
        <v>246</v>
      </c>
      <c r="D3" s="191" t="s">
        <v>247</v>
      </c>
      <c r="E3" s="191" t="s">
        <v>248</v>
      </c>
      <c r="F3" s="192" t="s">
        <v>249</v>
      </c>
      <c r="G3" s="192" t="s">
        <v>250</v>
      </c>
      <c r="H3" s="192" t="s">
        <v>251</v>
      </c>
      <c r="I3" s="192" t="s">
        <v>252</v>
      </c>
      <c r="J3" s="191" t="s">
        <v>253</v>
      </c>
      <c r="K3" s="192" t="s">
        <v>254</v>
      </c>
      <c r="L3" s="192" t="s">
        <v>255</v>
      </c>
      <c r="M3" s="192" t="s">
        <v>256</v>
      </c>
      <c r="N3" s="192" t="s">
        <v>257</v>
      </c>
      <c r="O3" s="192" t="s">
        <v>258</v>
      </c>
      <c r="P3" s="192" t="s">
        <v>259</v>
      </c>
      <c r="Q3" s="192" t="s">
        <v>260</v>
      </c>
      <c r="R3" s="191" t="s">
        <v>261</v>
      </c>
    </row>
    <row r="4" spans="1:18" s="188" customFormat="1" ht="39" customHeight="1">
      <c r="A4" s="123"/>
      <c r="B4" s="123"/>
      <c r="C4" s="123" t="s">
        <v>20</v>
      </c>
      <c r="D4" s="123"/>
      <c r="E4" s="123"/>
      <c r="F4" s="193">
        <f>SUM(F5:F7)</f>
        <v>0</v>
      </c>
      <c r="G4" s="193">
        <f>SUM(G5:G7)</f>
        <v>0</v>
      </c>
      <c r="H4" s="193">
        <f>SUM(H5:H7)</f>
        <v>0</v>
      </c>
      <c r="I4" s="193">
        <f>SUM(I5:I7)</f>
        <v>0</v>
      </c>
      <c r="J4" s="195"/>
      <c r="K4" s="193">
        <f>SUM(K5:K7)</f>
        <v>0</v>
      </c>
      <c r="L4" s="193">
        <f t="shared" ref="L4:Q4" si="0">SUM(L5:L7)</f>
        <v>0</v>
      </c>
      <c r="M4" s="193">
        <f t="shared" si="0"/>
        <v>0</v>
      </c>
      <c r="N4" s="193">
        <f t="shared" si="0"/>
        <v>0</v>
      </c>
      <c r="O4" s="193">
        <f t="shared" si="0"/>
        <v>0</v>
      </c>
      <c r="P4" s="193">
        <f t="shared" si="0"/>
        <v>0</v>
      </c>
      <c r="Q4" s="193">
        <f t="shared" si="0"/>
        <v>0</v>
      </c>
      <c r="R4" s="123"/>
    </row>
    <row r="5" spans="1:18" s="188" customFormat="1" ht="50.25" customHeight="1">
      <c r="A5" s="123"/>
      <c r="B5" s="123"/>
      <c r="C5" s="123"/>
      <c r="D5" s="123"/>
      <c r="E5" s="123"/>
      <c r="F5" s="193"/>
      <c r="G5" s="193"/>
      <c r="H5" s="193"/>
      <c r="I5" s="193"/>
      <c r="J5" s="195" t="e">
        <f>I5/F5</f>
        <v>#DIV/0!</v>
      </c>
      <c r="K5" s="193"/>
      <c r="L5" s="196">
        <f>F5-K5</f>
        <v>0</v>
      </c>
      <c r="M5" s="193">
        <f>G5-K5</f>
        <v>0</v>
      </c>
      <c r="N5" s="193">
        <f>H5-K5</f>
        <v>0</v>
      </c>
      <c r="O5" s="193"/>
      <c r="P5" s="193"/>
      <c r="Q5" s="193"/>
      <c r="R5" s="123"/>
    </row>
    <row r="6" spans="1:18" s="188" customFormat="1" ht="50.25" customHeight="1">
      <c r="A6" s="123"/>
      <c r="B6" s="123"/>
      <c r="C6" s="123"/>
      <c r="D6" s="123"/>
      <c r="E6" s="123"/>
      <c r="F6" s="193"/>
      <c r="G6" s="193"/>
      <c r="H6" s="193"/>
      <c r="I6" s="193"/>
      <c r="J6" s="195" t="e">
        <f>I6/F6</f>
        <v>#DIV/0!</v>
      </c>
      <c r="K6" s="193"/>
      <c r="L6" s="196">
        <f>F6-K6</f>
        <v>0</v>
      </c>
      <c r="M6" s="193">
        <f>G6-K6</f>
        <v>0</v>
      </c>
      <c r="N6" s="193">
        <f>H6-K6</f>
        <v>0</v>
      </c>
      <c r="O6" s="193"/>
      <c r="P6" s="193"/>
      <c r="Q6" s="193"/>
      <c r="R6" s="123"/>
    </row>
    <row r="7" spans="1:18" s="188" customFormat="1" ht="74.25" customHeight="1">
      <c r="A7" s="123"/>
      <c r="B7" s="123"/>
      <c r="C7" s="123"/>
      <c r="D7" s="123"/>
      <c r="E7" s="123"/>
      <c r="F7" s="193"/>
      <c r="G7" s="193"/>
      <c r="H7" s="193"/>
      <c r="I7" s="193"/>
      <c r="J7" s="195" t="e">
        <f>I7/F7</f>
        <v>#DIV/0!</v>
      </c>
      <c r="K7" s="193"/>
      <c r="L7" s="196">
        <f>F7-K7</f>
        <v>0</v>
      </c>
      <c r="M7" s="193">
        <f>G7-K7</f>
        <v>0</v>
      </c>
      <c r="N7" s="193">
        <f>H7-K7</f>
        <v>0</v>
      </c>
      <c r="O7" s="193">
        <f>I7-K7</f>
        <v>0</v>
      </c>
      <c r="P7" s="193"/>
      <c r="Q7" s="193"/>
      <c r="R7" s="123"/>
    </row>
  </sheetData>
  <mergeCells count="3">
    <mergeCell ref="A1:R1"/>
    <mergeCell ref="A2:J2"/>
    <mergeCell ref="Q2:R2"/>
  </mergeCells>
  <phoneticPr fontId="22" type="noConversion"/>
  <printOptions horizontalCentered="1"/>
  <pageMargins left="0.46875" right="0.38888888888888901" top="0.97916666666666696" bottom="0.78888888888888897" header="0.50902777777777797" footer="0.50902777777777797"/>
  <pageSetup paperSize="9" scale="80" fitToHeight="0" orientation="landscape"/>
  <headerFooter alignWithMargins="0">
    <oddHeader>&amp;R附表21</oddHeader>
    <oddFooter>&amp;C&amp;10&amp;P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69"/>
  <sheetViews>
    <sheetView zoomScale="85" zoomScaleNormal="85" workbookViewId="0">
      <pane xSplit="3" ySplit="5" topLeftCell="D53" activePane="bottomRight" state="frozen"/>
      <selection pane="topRight"/>
      <selection pane="bottomLeft"/>
      <selection pane="bottomRight" activeCell="U56" sqref="U55:U56"/>
    </sheetView>
  </sheetViews>
  <sheetFormatPr defaultColWidth="9" defaultRowHeight="12.75"/>
  <cols>
    <col min="1" max="1" width="4.25" style="145" customWidth="1"/>
    <col min="2" max="2" width="11.125" style="145" customWidth="1"/>
    <col min="3" max="3" width="8.5" style="145" customWidth="1"/>
    <col min="4" max="4" width="10" style="145" customWidth="1"/>
    <col min="5" max="5" width="9.75" style="145" customWidth="1"/>
    <col min="6" max="6" width="8" style="145" customWidth="1"/>
    <col min="7" max="7" width="14.5" style="146" customWidth="1"/>
    <col min="8" max="8" width="16" style="147" customWidth="1"/>
    <col min="9" max="9" width="11.25" style="148" customWidth="1"/>
    <col min="10" max="10" width="8.875" style="149" customWidth="1"/>
    <col min="11" max="11" width="16" style="150" customWidth="1"/>
    <col min="12" max="12" width="15.75" style="151" customWidth="1"/>
    <col min="13" max="13" width="16.875" style="151" customWidth="1"/>
    <col min="14" max="14" width="11.5" style="145" customWidth="1"/>
    <col min="15" max="15" width="12" style="145" hidden="1" customWidth="1"/>
    <col min="16" max="16384" width="9" style="145"/>
  </cols>
  <sheetData>
    <row r="1" spans="1:251" s="116" customFormat="1" ht="22.5">
      <c r="A1" s="731" t="s">
        <v>565</v>
      </c>
      <c r="B1" s="762"/>
      <c r="C1" s="732"/>
      <c r="D1" s="732"/>
      <c r="E1" s="732"/>
      <c r="F1" s="762"/>
      <c r="G1" s="732"/>
      <c r="H1" s="749"/>
      <c r="I1" s="749"/>
      <c r="J1" s="749"/>
      <c r="K1" s="749"/>
      <c r="L1" s="749"/>
      <c r="M1" s="749"/>
      <c r="N1" s="732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  <c r="BR1" s="145"/>
      <c r="BS1" s="145"/>
      <c r="BT1" s="145"/>
      <c r="BU1" s="145"/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  <c r="CG1" s="145"/>
      <c r="CH1" s="145"/>
      <c r="CI1" s="145"/>
      <c r="CJ1" s="145"/>
      <c r="CK1" s="145"/>
      <c r="CL1" s="145"/>
      <c r="CM1" s="145"/>
      <c r="CN1" s="145"/>
      <c r="CO1" s="145"/>
      <c r="CP1" s="145"/>
      <c r="CQ1" s="145"/>
      <c r="CR1" s="145"/>
      <c r="CS1" s="145"/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45"/>
      <c r="DF1" s="145"/>
      <c r="DG1" s="145"/>
      <c r="DH1" s="145"/>
      <c r="DI1" s="145"/>
      <c r="DJ1" s="145"/>
      <c r="DK1" s="145"/>
      <c r="DL1" s="145"/>
      <c r="DM1" s="145"/>
      <c r="DN1" s="145"/>
      <c r="DO1" s="145"/>
      <c r="DP1" s="145"/>
      <c r="DQ1" s="145"/>
      <c r="DR1" s="145"/>
      <c r="DS1" s="145"/>
      <c r="DT1" s="145"/>
      <c r="DU1" s="145"/>
      <c r="DV1" s="145"/>
      <c r="DW1" s="145"/>
      <c r="DX1" s="145"/>
      <c r="DY1" s="145"/>
      <c r="DZ1" s="145"/>
      <c r="EA1" s="145"/>
      <c r="EB1" s="145"/>
      <c r="EC1" s="145"/>
      <c r="ED1" s="145"/>
      <c r="EE1" s="145"/>
      <c r="EF1" s="145"/>
      <c r="EG1" s="145"/>
      <c r="EH1" s="145"/>
      <c r="EI1" s="145"/>
      <c r="EJ1" s="145"/>
      <c r="EK1" s="145"/>
      <c r="EL1" s="145"/>
      <c r="EM1" s="145"/>
      <c r="EN1" s="145"/>
      <c r="EO1" s="145"/>
      <c r="EP1" s="145"/>
      <c r="EQ1" s="145"/>
      <c r="ER1" s="145"/>
      <c r="ES1" s="145"/>
      <c r="ET1" s="145"/>
      <c r="EU1" s="145"/>
      <c r="EV1" s="145"/>
      <c r="EW1" s="145"/>
      <c r="EX1" s="145"/>
      <c r="EY1" s="145"/>
      <c r="EZ1" s="145"/>
      <c r="FA1" s="145"/>
      <c r="FB1" s="145"/>
      <c r="FC1" s="145"/>
      <c r="FD1" s="145"/>
      <c r="FE1" s="145"/>
      <c r="FF1" s="145"/>
      <c r="FG1" s="145"/>
      <c r="FH1" s="145"/>
      <c r="FI1" s="145"/>
      <c r="FJ1" s="145"/>
      <c r="FK1" s="145"/>
      <c r="FL1" s="145"/>
      <c r="FM1" s="145"/>
      <c r="FN1" s="145"/>
      <c r="FO1" s="145"/>
      <c r="FP1" s="145"/>
      <c r="FQ1" s="145"/>
      <c r="FR1" s="145"/>
      <c r="FS1" s="145"/>
      <c r="FT1" s="145"/>
      <c r="FU1" s="145"/>
      <c r="FV1" s="145"/>
      <c r="FW1" s="145"/>
      <c r="FX1" s="145"/>
      <c r="FY1" s="145"/>
      <c r="FZ1" s="145"/>
      <c r="GA1" s="145"/>
      <c r="GB1" s="145"/>
      <c r="GC1" s="145"/>
      <c r="GD1" s="145"/>
      <c r="GE1" s="145"/>
      <c r="GF1" s="145"/>
      <c r="GG1" s="145"/>
      <c r="GH1" s="145"/>
      <c r="GI1" s="145"/>
      <c r="GJ1" s="145"/>
      <c r="GK1" s="145"/>
      <c r="GL1" s="145"/>
      <c r="GM1" s="145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5"/>
      <c r="HI1" s="145"/>
      <c r="HJ1" s="145"/>
      <c r="HK1" s="145"/>
      <c r="HL1" s="145"/>
      <c r="HM1" s="145"/>
      <c r="HN1" s="145"/>
      <c r="HO1" s="145"/>
      <c r="HP1" s="145"/>
      <c r="HQ1" s="145"/>
      <c r="HR1" s="145"/>
      <c r="HS1" s="145"/>
      <c r="HT1" s="145"/>
      <c r="HU1" s="145"/>
      <c r="HV1" s="145"/>
      <c r="HW1" s="145"/>
      <c r="HX1" s="145"/>
      <c r="HY1" s="145"/>
      <c r="HZ1" s="145"/>
      <c r="IA1" s="145"/>
      <c r="IB1" s="145"/>
      <c r="IC1" s="145"/>
      <c r="ID1" s="145"/>
      <c r="IE1" s="145"/>
      <c r="IF1" s="145"/>
      <c r="IG1" s="145"/>
      <c r="IH1" s="145"/>
      <c r="II1" s="145"/>
      <c r="IJ1" s="145"/>
      <c r="IK1" s="145"/>
      <c r="IL1" s="145"/>
      <c r="IM1" s="145"/>
      <c r="IN1" s="145"/>
      <c r="IO1" s="145"/>
      <c r="IP1" s="145"/>
      <c r="IQ1" s="145"/>
    </row>
    <row r="2" spans="1:251" s="142" customFormat="1">
      <c r="A2" s="734" t="str">
        <f>Sheet2!A2</f>
        <v>看就会立刻就会老客户考虑减</v>
      </c>
      <c r="B2" s="751"/>
      <c r="C2" s="751"/>
      <c r="D2" s="751"/>
      <c r="E2" s="751"/>
      <c r="F2" s="751"/>
      <c r="G2" s="751"/>
      <c r="H2" s="152"/>
      <c r="I2" s="173"/>
      <c r="J2" s="174"/>
      <c r="K2" s="175"/>
      <c r="L2" s="176"/>
      <c r="M2" s="738" t="s">
        <v>32</v>
      </c>
      <c r="N2" s="719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8"/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8"/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8"/>
      <c r="CK2" s="178"/>
      <c r="CL2" s="178"/>
      <c r="CM2" s="178"/>
      <c r="CN2" s="178"/>
      <c r="CO2" s="178"/>
      <c r="CP2" s="178"/>
      <c r="CQ2" s="178"/>
      <c r="CR2" s="178"/>
      <c r="CS2" s="178"/>
      <c r="CT2" s="178"/>
      <c r="CU2" s="178"/>
      <c r="CV2" s="178"/>
      <c r="CW2" s="178"/>
      <c r="CX2" s="178"/>
      <c r="CY2" s="178"/>
      <c r="CZ2" s="178"/>
      <c r="DA2" s="178"/>
      <c r="DB2" s="178"/>
      <c r="DC2" s="178"/>
      <c r="DD2" s="178"/>
      <c r="DE2" s="178"/>
      <c r="DF2" s="178"/>
      <c r="DG2" s="178"/>
      <c r="DH2" s="178"/>
      <c r="DI2" s="178"/>
      <c r="DJ2" s="178"/>
      <c r="DK2" s="178"/>
      <c r="DL2" s="178"/>
      <c r="DM2" s="178"/>
      <c r="DN2" s="178"/>
      <c r="DO2" s="178"/>
      <c r="DP2" s="178"/>
      <c r="DQ2" s="178"/>
      <c r="DR2" s="178"/>
      <c r="DS2" s="178"/>
      <c r="DT2" s="178"/>
      <c r="DU2" s="178"/>
      <c r="DV2" s="178"/>
      <c r="DW2" s="178"/>
      <c r="DX2" s="178"/>
      <c r="DY2" s="178"/>
      <c r="DZ2" s="178"/>
      <c r="EA2" s="178"/>
      <c r="EB2" s="178"/>
      <c r="EC2" s="178"/>
      <c r="ED2" s="178"/>
      <c r="EE2" s="178"/>
      <c r="EF2" s="178"/>
      <c r="EG2" s="178"/>
      <c r="EH2" s="178"/>
      <c r="EI2" s="178"/>
      <c r="EJ2" s="178"/>
      <c r="EK2" s="178"/>
      <c r="EL2" s="178"/>
      <c r="EM2" s="178"/>
      <c r="EN2" s="178"/>
      <c r="EO2" s="178"/>
      <c r="EP2" s="178"/>
      <c r="EQ2" s="178"/>
      <c r="ER2" s="178"/>
      <c r="ES2" s="178"/>
      <c r="ET2" s="178"/>
      <c r="EU2" s="178"/>
      <c r="EV2" s="178"/>
      <c r="EW2" s="178"/>
      <c r="EX2" s="178"/>
      <c r="EY2" s="178"/>
      <c r="EZ2" s="178"/>
      <c r="FA2" s="178"/>
      <c r="FB2" s="178"/>
      <c r="FC2" s="178"/>
      <c r="FD2" s="178"/>
      <c r="FE2" s="178"/>
      <c r="FF2" s="178"/>
      <c r="FG2" s="178"/>
      <c r="FH2" s="178"/>
      <c r="FI2" s="178"/>
      <c r="FJ2" s="178"/>
      <c r="FK2" s="178"/>
      <c r="FL2" s="178"/>
      <c r="FM2" s="178"/>
      <c r="FN2" s="178"/>
      <c r="FO2" s="178"/>
      <c r="FP2" s="178"/>
      <c r="FQ2" s="178"/>
      <c r="FR2" s="178"/>
      <c r="FS2" s="178"/>
      <c r="FT2" s="178"/>
      <c r="FU2" s="178"/>
      <c r="FV2" s="178"/>
      <c r="FW2" s="178"/>
      <c r="FX2" s="178"/>
      <c r="FY2" s="178"/>
      <c r="FZ2" s="178"/>
      <c r="GA2" s="178"/>
      <c r="GB2" s="178"/>
      <c r="GC2" s="178"/>
      <c r="GD2" s="178"/>
      <c r="GE2" s="178"/>
      <c r="GF2" s="178"/>
      <c r="GG2" s="178"/>
      <c r="GH2" s="178"/>
      <c r="GI2" s="178"/>
      <c r="GJ2" s="178"/>
      <c r="GK2" s="178"/>
      <c r="GL2" s="178"/>
      <c r="GM2" s="178"/>
      <c r="GN2" s="178"/>
      <c r="GO2" s="178"/>
      <c r="GP2" s="178"/>
      <c r="GQ2" s="178"/>
      <c r="GR2" s="178"/>
      <c r="GS2" s="178"/>
      <c r="GT2" s="178"/>
      <c r="GU2" s="178"/>
      <c r="GV2" s="178"/>
      <c r="GW2" s="178"/>
      <c r="GX2" s="178"/>
      <c r="GY2" s="178"/>
      <c r="GZ2" s="178"/>
      <c r="HA2" s="178"/>
      <c r="HB2" s="178"/>
      <c r="HC2" s="178"/>
      <c r="HD2" s="178"/>
      <c r="HE2" s="178"/>
      <c r="HF2" s="178"/>
      <c r="HG2" s="178"/>
      <c r="HH2" s="178"/>
      <c r="HI2" s="178"/>
      <c r="HJ2" s="178"/>
      <c r="HK2" s="178"/>
      <c r="HL2" s="178"/>
      <c r="HM2" s="178"/>
      <c r="HN2" s="178"/>
      <c r="HO2" s="178"/>
      <c r="HP2" s="178"/>
      <c r="HQ2" s="178"/>
      <c r="HR2" s="178"/>
      <c r="HS2" s="178"/>
      <c r="HT2" s="178"/>
      <c r="HU2" s="178"/>
      <c r="HV2" s="178"/>
      <c r="HW2" s="178"/>
      <c r="HX2" s="178"/>
      <c r="HY2" s="178"/>
      <c r="HZ2" s="178"/>
      <c r="IA2" s="178"/>
      <c r="IB2" s="178"/>
      <c r="IC2" s="178"/>
      <c r="ID2" s="178"/>
      <c r="IE2" s="178"/>
      <c r="IF2" s="178"/>
      <c r="IG2" s="178"/>
      <c r="IH2" s="178"/>
      <c r="II2" s="178"/>
      <c r="IJ2" s="178"/>
      <c r="IK2" s="178"/>
      <c r="IL2" s="178"/>
      <c r="IM2" s="178"/>
      <c r="IN2" s="178"/>
      <c r="IO2" s="178"/>
      <c r="IP2" s="178"/>
      <c r="IQ2" s="178"/>
    </row>
    <row r="3" spans="1:251" s="143" customFormat="1">
      <c r="A3" s="153" t="s">
        <v>34</v>
      </c>
      <c r="B3" s="153" t="s">
        <v>34</v>
      </c>
      <c r="C3" s="153" t="s">
        <v>34</v>
      </c>
      <c r="D3" s="153" t="s">
        <v>34</v>
      </c>
      <c r="E3" s="153" t="s">
        <v>34</v>
      </c>
      <c r="F3" s="153" t="s">
        <v>34</v>
      </c>
      <c r="G3" s="153" t="s">
        <v>34</v>
      </c>
      <c r="H3" s="153" t="s">
        <v>34</v>
      </c>
      <c r="I3" s="153" t="s">
        <v>34</v>
      </c>
      <c r="J3" s="153" t="s">
        <v>34</v>
      </c>
      <c r="K3" s="153" t="s">
        <v>34</v>
      </c>
      <c r="L3" s="153" t="s">
        <v>34</v>
      </c>
      <c r="M3" s="153" t="s">
        <v>34</v>
      </c>
      <c r="N3" s="153" t="s">
        <v>34</v>
      </c>
      <c r="O3" s="153" t="s">
        <v>34</v>
      </c>
    </row>
    <row r="4" spans="1:251" s="143" customFormat="1">
      <c r="A4" s="156"/>
      <c r="B4" s="156">
        <v>1</v>
      </c>
      <c r="C4" s="156">
        <v>2</v>
      </c>
      <c r="D4" s="156">
        <v>3</v>
      </c>
      <c r="E4" s="156">
        <v>4</v>
      </c>
      <c r="F4" s="156">
        <v>5</v>
      </c>
      <c r="G4" s="156">
        <v>6</v>
      </c>
      <c r="H4" s="157">
        <v>7</v>
      </c>
      <c r="I4" s="157">
        <v>8</v>
      </c>
      <c r="J4" s="157">
        <v>9</v>
      </c>
      <c r="K4" s="157">
        <v>10</v>
      </c>
      <c r="L4" s="157">
        <v>11</v>
      </c>
      <c r="M4" s="157">
        <v>12</v>
      </c>
      <c r="N4" s="156">
        <v>13</v>
      </c>
    </row>
    <row r="5" spans="1:251" s="143" customFormat="1">
      <c r="A5" s="154"/>
      <c r="B5" s="158"/>
      <c r="C5" s="159" t="s">
        <v>35</v>
      </c>
      <c r="D5" s="158"/>
      <c r="E5" s="160"/>
      <c r="F5" s="161"/>
      <c r="G5" s="158"/>
      <c r="H5" s="162">
        <f t="shared" ref="H5:M5" si="0">SUM(H6:H69)</f>
        <v>1107915.6499999999</v>
      </c>
      <c r="I5" s="162">
        <f t="shared" si="0"/>
        <v>0</v>
      </c>
      <c r="J5" s="162"/>
      <c r="K5" s="162">
        <f t="shared" si="0"/>
        <v>1107915.6499999999</v>
      </c>
      <c r="L5" s="162">
        <f t="shared" si="0"/>
        <v>0</v>
      </c>
      <c r="M5" s="162">
        <f t="shared" si="0"/>
        <v>1107915.6499999999</v>
      </c>
      <c r="N5" s="180"/>
    </row>
    <row r="6" spans="1:251" s="144" customFormat="1">
      <c r="A6" s="163">
        <v>1</v>
      </c>
      <c r="B6" s="164" t="s">
        <v>70</v>
      </c>
      <c r="C6" s="165" t="s">
        <v>562</v>
      </c>
      <c r="D6" s="166" t="s">
        <v>566</v>
      </c>
      <c r="E6" s="167">
        <v>40540</v>
      </c>
      <c r="F6" s="168" t="s">
        <v>317</v>
      </c>
      <c r="G6" s="168" t="s">
        <v>563</v>
      </c>
      <c r="H6" s="169">
        <v>27200</v>
      </c>
      <c r="I6" s="166" t="s">
        <v>564</v>
      </c>
      <c r="J6" s="181"/>
      <c r="K6" s="169">
        <v>27200</v>
      </c>
      <c r="L6" s="182"/>
      <c r="M6" s="182">
        <f>K6+L6</f>
        <v>27200</v>
      </c>
      <c r="N6" s="183"/>
      <c r="O6" s="184" t="s">
        <v>318</v>
      </c>
    </row>
    <row r="7" spans="1:251" s="144" customFormat="1">
      <c r="A7" s="163">
        <v>2</v>
      </c>
      <c r="B7" s="164" t="s">
        <v>70</v>
      </c>
      <c r="C7" s="165" t="s">
        <v>562</v>
      </c>
      <c r="D7" s="166" t="s">
        <v>566</v>
      </c>
      <c r="E7" s="167">
        <v>40565</v>
      </c>
      <c r="F7" s="170" t="s">
        <v>319</v>
      </c>
      <c r="G7" s="168" t="s">
        <v>563</v>
      </c>
      <c r="H7" s="169">
        <v>27200</v>
      </c>
      <c r="I7" s="166" t="s">
        <v>564</v>
      </c>
      <c r="J7" s="181"/>
      <c r="K7" s="169">
        <v>27200</v>
      </c>
      <c r="L7" s="182"/>
      <c r="M7" s="182">
        <f t="shared" ref="M7:M38" si="1">K7+L7</f>
        <v>27200</v>
      </c>
      <c r="N7" s="183"/>
      <c r="O7" s="184" t="s">
        <v>318</v>
      </c>
    </row>
    <row r="8" spans="1:251" s="144" customFormat="1">
      <c r="A8" s="163">
        <v>3</v>
      </c>
      <c r="B8" s="164" t="s">
        <v>70</v>
      </c>
      <c r="C8" s="165" t="s">
        <v>562</v>
      </c>
      <c r="D8" s="166" t="s">
        <v>566</v>
      </c>
      <c r="E8" s="167">
        <v>40569</v>
      </c>
      <c r="F8" s="170" t="s">
        <v>320</v>
      </c>
      <c r="G8" s="168" t="s">
        <v>563</v>
      </c>
      <c r="H8" s="169">
        <v>27200</v>
      </c>
      <c r="I8" s="166" t="s">
        <v>564</v>
      </c>
      <c r="J8" s="181"/>
      <c r="K8" s="169">
        <v>27200</v>
      </c>
      <c r="L8" s="182"/>
      <c r="M8" s="182">
        <f t="shared" si="1"/>
        <v>27200</v>
      </c>
      <c r="N8" s="183"/>
      <c r="O8" s="184" t="s">
        <v>318</v>
      </c>
    </row>
    <row r="9" spans="1:251" s="144" customFormat="1">
      <c r="A9" s="163">
        <v>4</v>
      </c>
      <c r="B9" s="164" t="s">
        <v>70</v>
      </c>
      <c r="C9" s="165" t="s">
        <v>562</v>
      </c>
      <c r="D9" s="166" t="s">
        <v>566</v>
      </c>
      <c r="E9" s="167">
        <v>40600</v>
      </c>
      <c r="F9" s="170" t="s">
        <v>321</v>
      </c>
      <c r="G9" s="168" t="s">
        <v>563</v>
      </c>
      <c r="H9" s="169">
        <v>27200</v>
      </c>
      <c r="I9" s="166" t="s">
        <v>564</v>
      </c>
      <c r="J9" s="181"/>
      <c r="K9" s="169">
        <v>27200</v>
      </c>
      <c r="L9" s="185"/>
      <c r="M9" s="182">
        <f t="shared" si="1"/>
        <v>27200</v>
      </c>
      <c r="N9" s="183"/>
      <c r="O9" s="184" t="s">
        <v>318</v>
      </c>
    </row>
    <row r="10" spans="1:251" s="144" customFormat="1">
      <c r="A10" s="163">
        <v>5</v>
      </c>
      <c r="B10" s="164" t="s">
        <v>70</v>
      </c>
      <c r="C10" s="165" t="s">
        <v>562</v>
      </c>
      <c r="D10" s="166" t="s">
        <v>566</v>
      </c>
      <c r="E10" s="167">
        <v>40632</v>
      </c>
      <c r="F10" s="170" t="s">
        <v>322</v>
      </c>
      <c r="G10" s="168" t="s">
        <v>563</v>
      </c>
      <c r="H10" s="169">
        <v>27500</v>
      </c>
      <c r="I10" s="166" t="s">
        <v>564</v>
      </c>
      <c r="J10" s="181"/>
      <c r="K10" s="169">
        <v>27500</v>
      </c>
      <c r="L10" s="182"/>
      <c r="M10" s="182">
        <f t="shared" si="1"/>
        <v>27500</v>
      </c>
      <c r="N10" s="183"/>
      <c r="O10" s="184" t="s">
        <v>318</v>
      </c>
    </row>
    <row r="11" spans="1:251" s="144" customFormat="1">
      <c r="A11" s="163">
        <v>6</v>
      </c>
      <c r="B11" s="164" t="s">
        <v>70</v>
      </c>
      <c r="C11" s="165" t="s">
        <v>562</v>
      </c>
      <c r="D11" s="166" t="s">
        <v>566</v>
      </c>
      <c r="E11" s="167">
        <v>40661</v>
      </c>
      <c r="F11" s="170" t="s">
        <v>323</v>
      </c>
      <c r="G11" s="168" t="s">
        <v>563</v>
      </c>
      <c r="H11" s="169">
        <v>24000</v>
      </c>
      <c r="I11" s="166" t="s">
        <v>564</v>
      </c>
      <c r="J11" s="181"/>
      <c r="K11" s="169">
        <v>24000</v>
      </c>
      <c r="L11" s="182"/>
      <c r="M11" s="182">
        <f t="shared" si="1"/>
        <v>24000</v>
      </c>
      <c r="N11" s="183"/>
      <c r="O11" s="184" t="s">
        <v>318</v>
      </c>
    </row>
    <row r="12" spans="1:251" s="144" customFormat="1">
      <c r="A12" s="163">
        <v>7</v>
      </c>
      <c r="B12" s="164" t="s">
        <v>70</v>
      </c>
      <c r="C12" s="165" t="s">
        <v>562</v>
      </c>
      <c r="D12" s="166" t="s">
        <v>566</v>
      </c>
      <c r="E12" s="167">
        <v>40694</v>
      </c>
      <c r="F12" s="170" t="s">
        <v>324</v>
      </c>
      <c r="G12" s="168" t="s">
        <v>563</v>
      </c>
      <c r="H12" s="169">
        <v>25500</v>
      </c>
      <c r="I12" s="166" t="s">
        <v>564</v>
      </c>
      <c r="J12" s="181"/>
      <c r="K12" s="169">
        <v>25500</v>
      </c>
      <c r="L12" s="182"/>
      <c r="M12" s="182">
        <f t="shared" si="1"/>
        <v>25500</v>
      </c>
      <c r="N12" s="183"/>
      <c r="O12" s="184" t="s">
        <v>318</v>
      </c>
    </row>
    <row r="13" spans="1:251" s="144" customFormat="1">
      <c r="A13" s="163">
        <v>8</v>
      </c>
      <c r="B13" s="164" t="s">
        <v>70</v>
      </c>
      <c r="C13" s="165" t="s">
        <v>562</v>
      </c>
      <c r="D13" s="166" t="s">
        <v>566</v>
      </c>
      <c r="E13" s="167">
        <v>40723</v>
      </c>
      <c r="F13" s="170" t="s">
        <v>325</v>
      </c>
      <c r="G13" s="168" t="s">
        <v>563</v>
      </c>
      <c r="H13" s="169">
        <v>25500</v>
      </c>
      <c r="I13" s="166" t="s">
        <v>564</v>
      </c>
      <c r="J13" s="181"/>
      <c r="K13" s="169">
        <v>25500</v>
      </c>
      <c r="L13" s="182"/>
      <c r="M13" s="182">
        <f t="shared" si="1"/>
        <v>25500</v>
      </c>
      <c r="N13" s="183"/>
      <c r="O13" s="184" t="s">
        <v>318</v>
      </c>
    </row>
    <row r="14" spans="1:251" s="144" customFormat="1">
      <c r="A14" s="163">
        <v>9</v>
      </c>
      <c r="B14" s="164" t="s">
        <v>70</v>
      </c>
      <c r="C14" s="165" t="s">
        <v>562</v>
      </c>
      <c r="D14" s="166" t="s">
        <v>566</v>
      </c>
      <c r="E14" s="167">
        <v>40755</v>
      </c>
      <c r="F14" s="170" t="s">
        <v>326</v>
      </c>
      <c r="G14" s="168" t="s">
        <v>563</v>
      </c>
      <c r="H14" s="169">
        <v>25500</v>
      </c>
      <c r="I14" s="166" t="s">
        <v>564</v>
      </c>
      <c r="J14" s="181"/>
      <c r="K14" s="169">
        <v>25500</v>
      </c>
      <c r="L14" s="182"/>
      <c r="M14" s="182">
        <f t="shared" si="1"/>
        <v>25500</v>
      </c>
      <c r="N14" s="183"/>
      <c r="O14" s="184" t="s">
        <v>318</v>
      </c>
    </row>
    <row r="15" spans="1:251" s="144" customFormat="1">
      <c r="A15" s="163">
        <v>10</v>
      </c>
      <c r="B15" s="164" t="s">
        <v>70</v>
      </c>
      <c r="C15" s="165" t="s">
        <v>562</v>
      </c>
      <c r="D15" s="166" t="s">
        <v>566</v>
      </c>
      <c r="E15" s="167">
        <v>40786</v>
      </c>
      <c r="F15" s="170" t="s">
        <v>327</v>
      </c>
      <c r="G15" s="168" t="s">
        <v>563</v>
      </c>
      <c r="H15" s="169">
        <v>25500</v>
      </c>
      <c r="I15" s="166" t="s">
        <v>564</v>
      </c>
      <c r="J15" s="181"/>
      <c r="K15" s="169">
        <v>25500</v>
      </c>
      <c r="L15" s="185"/>
      <c r="M15" s="182">
        <f t="shared" si="1"/>
        <v>25500</v>
      </c>
      <c r="N15" s="183"/>
      <c r="O15" s="184" t="s">
        <v>318</v>
      </c>
    </row>
    <row r="16" spans="1:251" s="144" customFormat="1">
      <c r="A16" s="163">
        <v>11</v>
      </c>
      <c r="B16" s="164" t="s">
        <v>70</v>
      </c>
      <c r="C16" s="165" t="s">
        <v>562</v>
      </c>
      <c r="D16" s="166" t="s">
        <v>566</v>
      </c>
      <c r="E16" s="167">
        <v>40813</v>
      </c>
      <c r="F16" s="170" t="s">
        <v>328</v>
      </c>
      <c r="G16" s="168" t="s">
        <v>563</v>
      </c>
      <c r="H16" s="169">
        <v>36200</v>
      </c>
      <c r="I16" s="166" t="s">
        <v>564</v>
      </c>
      <c r="J16" s="181"/>
      <c r="K16" s="169">
        <v>36200</v>
      </c>
      <c r="L16" s="185"/>
      <c r="M16" s="182">
        <f t="shared" si="1"/>
        <v>36200</v>
      </c>
      <c r="N16" s="186"/>
      <c r="O16" s="184" t="s">
        <v>318</v>
      </c>
    </row>
    <row r="17" spans="1:15" s="144" customFormat="1">
      <c r="A17" s="163">
        <v>12</v>
      </c>
      <c r="B17" s="164" t="s">
        <v>70</v>
      </c>
      <c r="C17" s="165" t="s">
        <v>562</v>
      </c>
      <c r="D17" s="166" t="s">
        <v>566</v>
      </c>
      <c r="E17" s="167">
        <v>40842</v>
      </c>
      <c r="F17" s="170" t="s">
        <v>329</v>
      </c>
      <c r="G17" s="168" t="s">
        <v>563</v>
      </c>
      <c r="H17" s="169">
        <v>36200</v>
      </c>
      <c r="I17" s="166" t="s">
        <v>564</v>
      </c>
      <c r="J17" s="181"/>
      <c r="K17" s="169">
        <v>36200</v>
      </c>
      <c r="L17" s="185"/>
      <c r="M17" s="182">
        <f t="shared" si="1"/>
        <v>36200</v>
      </c>
      <c r="N17" s="183"/>
      <c r="O17" s="184" t="s">
        <v>318</v>
      </c>
    </row>
    <row r="18" spans="1:15" s="144" customFormat="1">
      <c r="A18" s="163">
        <v>13</v>
      </c>
      <c r="B18" s="164" t="s">
        <v>70</v>
      </c>
      <c r="C18" s="165" t="s">
        <v>562</v>
      </c>
      <c r="D18" s="166" t="s">
        <v>566</v>
      </c>
      <c r="E18" s="167">
        <v>40877</v>
      </c>
      <c r="F18" s="170" t="s">
        <v>328</v>
      </c>
      <c r="G18" s="168" t="s">
        <v>563</v>
      </c>
      <c r="H18" s="169">
        <v>36200</v>
      </c>
      <c r="I18" s="166" t="s">
        <v>564</v>
      </c>
      <c r="J18" s="181"/>
      <c r="K18" s="169">
        <v>36200</v>
      </c>
      <c r="L18" s="185"/>
      <c r="M18" s="182">
        <f t="shared" si="1"/>
        <v>36200</v>
      </c>
      <c r="N18" s="183"/>
      <c r="O18" s="184" t="s">
        <v>318</v>
      </c>
    </row>
    <row r="19" spans="1:15" s="144" customFormat="1">
      <c r="A19" s="163">
        <v>14</v>
      </c>
      <c r="B19" s="164" t="s">
        <v>70</v>
      </c>
      <c r="C19" s="165" t="s">
        <v>562</v>
      </c>
      <c r="D19" s="166" t="s">
        <v>566</v>
      </c>
      <c r="E19" s="167">
        <v>40903</v>
      </c>
      <c r="F19" s="170" t="s">
        <v>330</v>
      </c>
      <c r="G19" s="168" t="s">
        <v>563</v>
      </c>
      <c r="H19" s="169">
        <v>36200</v>
      </c>
      <c r="I19" s="166" t="s">
        <v>564</v>
      </c>
      <c r="J19" s="181"/>
      <c r="K19" s="169">
        <v>36200</v>
      </c>
      <c r="L19" s="185"/>
      <c r="M19" s="182">
        <f t="shared" si="1"/>
        <v>36200</v>
      </c>
      <c r="N19" s="183"/>
      <c r="O19" s="184" t="s">
        <v>318</v>
      </c>
    </row>
    <row r="20" spans="1:15" s="144" customFormat="1">
      <c r="A20" s="163">
        <v>15</v>
      </c>
      <c r="B20" s="164" t="s">
        <v>70</v>
      </c>
      <c r="C20" s="165" t="s">
        <v>562</v>
      </c>
      <c r="D20" s="166" t="s">
        <v>566</v>
      </c>
      <c r="E20" s="167">
        <v>40908</v>
      </c>
      <c r="F20" s="170" t="s">
        <v>331</v>
      </c>
      <c r="G20" s="168" t="s">
        <v>563</v>
      </c>
      <c r="H20" s="169">
        <v>67000</v>
      </c>
      <c r="I20" s="166" t="s">
        <v>564</v>
      </c>
      <c r="J20" s="181"/>
      <c r="K20" s="169">
        <v>67000</v>
      </c>
      <c r="L20" s="185"/>
      <c r="M20" s="182">
        <f t="shared" si="1"/>
        <v>67000</v>
      </c>
      <c r="N20" s="183"/>
      <c r="O20" s="184" t="s">
        <v>318</v>
      </c>
    </row>
    <row r="21" spans="1:15" s="144" customFormat="1" ht="26.1" customHeight="1">
      <c r="A21" s="163">
        <v>16</v>
      </c>
      <c r="B21" s="164" t="s">
        <v>70</v>
      </c>
      <c r="C21" s="165" t="s">
        <v>562</v>
      </c>
      <c r="D21" s="166" t="s">
        <v>566</v>
      </c>
      <c r="E21" s="171">
        <v>40938</v>
      </c>
      <c r="F21" s="168" t="s">
        <v>332</v>
      </c>
      <c r="G21" s="168" t="s">
        <v>563</v>
      </c>
      <c r="H21" s="169">
        <v>36200</v>
      </c>
      <c r="I21" s="166" t="s">
        <v>564</v>
      </c>
      <c r="J21" s="181"/>
      <c r="K21" s="169">
        <v>36200</v>
      </c>
      <c r="L21" s="185"/>
      <c r="M21" s="182">
        <f t="shared" si="1"/>
        <v>36200</v>
      </c>
      <c r="N21" s="183"/>
      <c r="O21" s="184" t="s">
        <v>318</v>
      </c>
    </row>
    <row r="22" spans="1:15" s="144" customFormat="1" ht="26.1" customHeight="1">
      <c r="A22" s="163">
        <v>17</v>
      </c>
      <c r="B22" s="164" t="s">
        <v>70</v>
      </c>
      <c r="C22" s="165" t="s">
        <v>562</v>
      </c>
      <c r="D22" s="166" t="s">
        <v>566</v>
      </c>
      <c r="E22" s="171">
        <v>40968</v>
      </c>
      <c r="F22" s="168" t="s">
        <v>333</v>
      </c>
      <c r="G22" s="168" t="s">
        <v>563</v>
      </c>
      <c r="H22" s="169">
        <v>31200</v>
      </c>
      <c r="I22" s="166" t="s">
        <v>564</v>
      </c>
      <c r="J22" s="181"/>
      <c r="K22" s="169">
        <v>31200</v>
      </c>
      <c r="L22" s="185"/>
      <c r="M22" s="182">
        <f t="shared" si="1"/>
        <v>31200</v>
      </c>
      <c r="N22" s="183"/>
      <c r="O22" s="184" t="s">
        <v>318</v>
      </c>
    </row>
    <row r="23" spans="1:15" s="144" customFormat="1">
      <c r="A23" s="163">
        <v>18</v>
      </c>
      <c r="B23" s="164" t="s">
        <v>70</v>
      </c>
      <c r="C23" s="165" t="s">
        <v>562</v>
      </c>
      <c r="D23" s="166" t="s">
        <v>566</v>
      </c>
      <c r="E23" s="171">
        <v>41274</v>
      </c>
      <c r="F23" s="168" t="s">
        <v>334</v>
      </c>
      <c r="G23" s="168" t="s">
        <v>563</v>
      </c>
      <c r="H23" s="169">
        <v>111250.87</v>
      </c>
      <c r="I23" s="166" t="s">
        <v>564</v>
      </c>
      <c r="J23" s="181"/>
      <c r="K23" s="169">
        <v>111250.87</v>
      </c>
      <c r="L23" s="185"/>
      <c r="M23" s="182">
        <f t="shared" si="1"/>
        <v>111250.87</v>
      </c>
      <c r="N23" s="183"/>
      <c r="O23" s="184" t="s">
        <v>318</v>
      </c>
    </row>
    <row r="24" spans="1:15" s="144" customFormat="1">
      <c r="A24" s="163">
        <v>19</v>
      </c>
      <c r="B24" s="164" t="s">
        <v>71</v>
      </c>
      <c r="C24" s="165" t="s">
        <v>562</v>
      </c>
      <c r="D24" s="166" t="s">
        <v>566</v>
      </c>
      <c r="E24" s="167">
        <v>40512</v>
      </c>
      <c r="F24" s="168" t="s">
        <v>335</v>
      </c>
      <c r="G24" s="168" t="s">
        <v>563</v>
      </c>
      <c r="H24" s="169">
        <v>6523.35</v>
      </c>
      <c r="I24" s="166" t="s">
        <v>564</v>
      </c>
      <c r="J24" s="187"/>
      <c r="K24" s="169">
        <v>6523.35</v>
      </c>
      <c r="L24" s="185"/>
      <c r="M24" s="182">
        <f t="shared" si="1"/>
        <v>6523.35</v>
      </c>
      <c r="N24" s="186"/>
      <c r="O24" s="184" t="s">
        <v>100</v>
      </c>
    </row>
    <row r="25" spans="1:15" s="144" customFormat="1">
      <c r="A25" s="163">
        <v>20</v>
      </c>
      <c r="B25" s="164" t="s">
        <v>71</v>
      </c>
      <c r="C25" s="165" t="s">
        <v>562</v>
      </c>
      <c r="D25" s="166" t="s">
        <v>566</v>
      </c>
      <c r="E25" s="167">
        <v>40514</v>
      </c>
      <c r="F25" s="168" t="s">
        <v>336</v>
      </c>
      <c r="G25" s="168" t="s">
        <v>563</v>
      </c>
      <c r="H25" s="169">
        <v>4550</v>
      </c>
      <c r="I25" s="166" t="s">
        <v>564</v>
      </c>
      <c r="J25" s="187"/>
      <c r="K25" s="169">
        <v>4550</v>
      </c>
      <c r="L25" s="185"/>
      <c r="M25" s="182">
        <f t="shared" si="1"/>
        <v>4550</v>
      </c>
      <c r="N25" s="186"/>
      <c r="O25" s="184" t="s">
        <v>100</v>
      </c>
    </row>
    <row r="26" spans="1:15" s="144" customFormat="1">
      <c r="A26" s="163">
        <v>21</v>
      </c>
      <c r="B26" s="164" t="s">
        <v>71</v>
      </c>
      <c r="C26" s="165" t="s">
        <v>562</v>
      </c>
      <c r="D26" s="166" t="s">
        <v>566</v>
      </c>
      <c r="E26" s="167">
        <v>40540</v>
      </c>
      <c r="F26" s="168" t="s">
        <v>337</v>
      </c>
      <c r="G26" s="168" t="s">
        <v>563</v>
      </c>
      <c r="H26" s="169">
        <v>6523.35</v>
      </c>
      <c r="I26" s="166" t="s">
        <v>564</v>
      </c>
      <c r="J26" s="187"/>
      <c r="K26" s="169">
        <v>6523.35</v>
      </c>
      <c r="L26" s="169"/>
      <c r="M26" s="182">
        <f t="shared" si="1"/>
        <v>6523.35</v>
      </c>
      <c r="N26" s="186"/>
      <c r="O26" s="184" t="s">
        <v>100</v>
      </c>
    </row>
    <row r="27" spans="1:15" s="144" customFormat="1">
      <c r="A27" s="163">
        <v>22</v>
      </c>
      <c r="B27" s="164" t="s">
        <v>71</v>
      </c>
      <c r="C27" s="165" t="s">
        <v>562</v>
      </c>
      <c r="D27" s="166" t="s">
        <v>566</v>
      </c>
      <c r="E27" s="167">
        <v>40565</v>
      </c>
      <c r="F27" s="170" t="s">
        <v>338</v>
      </c>
      <c r="G27" s="168" t="s">
        <v>563</v>
      </c>
      <c r="H27" s="169">
        <v>6523.35</v>
      </c>
      <c r="I27" s="166" t="s">
        <v>564</v>
      </c>
      <c r="J27" s="187"/>
      <c r="K27" s="169">
        <v>6523.35</v>
      </c>
      <c r="L27" s="169"/>
      <c r="M27" s="182">
        <f t="shared" si="1"/>
        <v>6523.35</v>
      </c>
      <c r="N27" s="186"/>
      <c r="O27" s="184" t="s">
        <v>100</v>
      </c>
    </row>
    <row r="28" spans="1:15" s="144" customFormat="1">
      <c r="A28" s="163">
        <v>23</v>
      </c>
      <c r="B28" s="164" t="s">
        <v>71</v>
      </c>
      <c r="C28" s="165" t="s">
        <v>562</v>
      </c>
      <c r="D28" s="166" t="s">
        <v>566</v>
      </c>
      <c r="E28" s="167">
        <v>40600</v>
      </c>
      <c r="F28" s="170" t="s">
        <v>339</v>
      </c>
      <c r="G28" s="168" t="s">
        <v>563</v>
      </c>
      <c r="H28" s="169">
        <v>1750</v>
      </c>
      <c r="I28" s="166" t="s">
        <v>564</v>
      </c>
      <c r="J28" s="187"/>
      <c r="K28" s="169">
        <v>1750</v>
      </c>
      <c r="L28" s="185"/>
      <c r="M28" s="182">
        <f t="shared" si="1"/>
        <v>1750</v>
      </c>
      <c r="N28" s="186"/>
      <c r="O28" s="184" t="s">
        <v>100</v>
      </c>
    </row>
    <row r="29" spans="1:15" s="144" customFormat="1">
      <c r="A29" s="163">
        <v>24</v>
      </c>
      <c r="B29" s="164" t="s">
        <v>71</v>
      </c>
      <c r="C29" s="165" t="s">
        <v>562</v>
      </c>
      <c r="D29" s="166" t="s">
        <v>566</v>
      </c>
      <c r="E29" s="167">
        <v>40600</v>
      </c>
      <c r="F29" s="170" t="s">
        <v>340</v>
      </c>
      <c r="G29" s="168" t="s">
        <v>563</v>
      </c>
      <c r="H29" s="169">
        <v>6523.35</v>
      </c>
      <c r="I29" s="166" t="s">
        <v>564</v>
      </c>
      <c r="J29" s="187"/>
      <c r="K29" s="169">
        <v>6523.35</v>
      </c>
      <c r="L29" s="169"/>
      <c r="M29" s="182">
        <f t="shared" si="1"/>
        <v>6523.35</v>
      </c>
      <c r="N29" s="186"/>
      <c r="O29" s="184" t="s">
        <v>100</v>
      </c>
    </row>
    <row r="30" spans="1:15" s="144" customFormat="1">
      <c r="A30" s="163">
        <v>25</v>
      </c>
      <c r="B30" s="164" t="s">
        <v>71</v>
      </c>
      <c r="C30" s="165" t="s">
        <v>562</v>
      </c>
      <c r="D30" s="166" t="s">
        <v>566</v>
      </c>
      <c r="E30" s="167">
        <v>40602</v>
      </c>
      <c r="F30" s="170" t="s">
        <v>341</v>
      </c>
      <c r="G30" s="168" t="s">
        <v>563</v>
      </c>
      <c r="H30" s="169">
        <v>5242.5</v>
      </c>
      <c r="I30" s="166" t="s">
        <v>564</v>
      </c>
      <c r="J30" s="187"/>
      <c r="K30" s="169">
        <v>5242.5</v>
      </c>
      <c r="L30" s="169"/>
      <c r="M30" s="182">
        <f t="shared" si="1"/>
        <v>5242.5</v>
      </c>
      <c r="N30" s="186"/>
      <c r="O30" s="184" t="s">
        <v>100</v>
      </c>
    </row>
    <row r="31" spans="1:15" s="144" customFormat="1">
      <c r="A31" s="163">
        <v>26</v>
      </c>
      <c r="B31" s="164" t="s">
        <v>71</v>
      </c>
      <c r="C31" s="165" t="s">
        <v>562</v>
      </c>
      <c r="D31" s="166" t="s">
        <v>566</v>
      </c>
      <c r="E31" s="167">
        <v>40631</v>
      </c>
      <c r="F31" s="170" t="s">
        <v>342</v>
      </c>
      <c r="G31" s="168" t="s">
        <v>563</v>
      </c>
      <c r="H31" s="169">
        <v>6523.35</v>
      </c>
      <c r="I31" s="166" t="s">
        <v>564</v>
      </c>
      <c r="J31" s="187"/>
      <c r="K31" s="169">
        <v>6523.35</v>
      </c>
      <c r="L31" s="169"/>
      <c r="M31" s="182">
        <f t="shared" si="1"/>
        <v>6523.35</v>
      </c>
      <c r="N31" s="186"/>
      <c r="O31" s="184" t="s">
        <v>100</v>
      </c>
    </row>
    <row r="32" spans="1:15" s="144" customFormat="1">
      <c r="A32" s="163">
        <v>27</v>
      </c>
      <c r="B32" s="164" t="s">
        <v>71</v>
      </c>
      <c r="C32" s="165" t="s">
        <v>562</v>
      </c>
      <c r="D32" s="166" t="s">
        <v>566</v>
      </c>
      <c r="E32" s="167">
        <v>40644</v>
      </c>
      <c r="F32" s="170" t="s">
        <v>343</v>
      </c>
      <c r="G32" s="168" t="s">
        <v>563</v>
      </c>
      <c r="H32" s="169">
        <v>4491.5</v>
      </c>
      <c r="I32" s="166" t="s">
        <v>564</v>
      </c>
      <c r="J32" s="187"/>
      <c r="K32" s="169">
        <v>4491.5</v>
      </c>
      <c r="L32" s="169"/>
      <c r="M32" s="182">
        <f t="shared" si="1"/>
        <v>4491.5</v>
      </c>
      <c r="N32" s="186"/>
      <c r="O32" s="184" t="s">
        <v>100</v>
      </c>
    </row>
    <row r="33" spans="1:15" s="144" customFormat="1">
      <c r="A33" s="163">
        <v>28</v>
      </c>
      <c r="B33" s="164" t="s">
        <v>71</v>
      </c>
      <c r="C33" s="165" t="s">
        <v>562</v>
      </c>
      <c r="D33" s="166" t="s">
        <v>566</v>
      </c>
      <c r="E33" s="167">
        <v>40661</v>
      </c>
      <c r="F33" s="170" t="s">
        <v>344</v>
      </c>
      <c r="G33" s="168" t="s">
        <v>563</v>
      </c>
      <c r="H33" s="169">
        <v>5398.35</v>
      </c>
      <c r="I33" s="166" t="s">
        <v>564</v>
      </c>
      <c r="J33" s="187"/>
      <c r="K33" s="169">
        <v>5398.35</v>
      </c>
      <c r="L33" s="169"/>
      <c r="M33" s="182">
        <f t="shared" si="1"/>
        <v>5398.35</v>
      </c>
      <c r="N33" s="183"/>
      <c r="O33" s="184" t="s">
        <v>100</v>
      </c>
    </row>
    <row r="34" spans="1:15" s="144" customFormat="1">
      <c r="A34" s="163">
        <v>29</v>
      </c>
      <c r="B34" s="164" t="s">
        <v>71</v>
      </c>
      <c r="C34" s="165" t="s">
        <v>562</v>
      </c>
      <c r="D34" s="166" t="s">
        <v>566</v>
      </c>
      <c r="E34" s="167">
        <v>40672</v>
      </c>
      <c r="F34" s="170" t="s">
        <v>345</v>
      </c>
      <c r="G34" s="168" t="s">
        <v>563</v>
      </c>
      <c r="H34" s="169">
        <v>4412</v>
      </c>
      <c r="I34" s="166" t="s">
        <v>564</v>
      </c>
      <c r="J34" s="187"/>
      <c r="K34" s="169">
        <v>4412</v>
      </c>
      <c r="L34" s="169"/>
      <c r="M34" s="182">
        <f t="shared" si="1"/>
        <v>4412</v>
      </c>
      <c r="N34" s="186"/>
      <c r="O34" s="184" t="s">
        <v>100</v>
      </c>
    </row>
    <row r="35" spans="1:15" s="144" customFormat="1">
      <c r="A35" s="163">
        <v>30</v>
      </c>
      <c r="B35" s="164" t="s">
        <v>71</v>
      </c>
      <c r="C35" s="165" t="s">
        <v>562</v>
      </c>
      <c r="D35" s="166" t="s">
        <v>566</v>
      </c>
      <c r="E35" s="167">
        <v>40694</v>
      </c>
      <c r="F35" s="170" t="s">
        <v>346</v>
      </c>
      <c r="G35" s="168" t="s">
        <v>563</v>
      </c>
      <c r="H35" s="169">
        <v>6523.35</v>
      </c>
      <c r="I35" s="166" t="s">
        <v>564</v>
      </c>
      <c r="J35" s="187"/>
      <c r="K35" s="169">
        <v>6523.35</v>
      </c>
      <c r="L35" s="185"/>
      <c r="M35" s="182">
        <f t="shared" si="1"/>
        <v>6523.35</v>
      </c>
      <c r="N35" s="183"/>
      <c r="O35" s="184" t="s">
        <v>100</v>
      </c>
    </row>
    <row r="36" spans="1:15" s="144" customFormat="1">
      <c r="A36" s="163">
        <v>31</v>
      </c>
      <c r="B36" s="164" t="s">
        <v>71</v>
      </c>
      <c r="C36" s="165" t="s">
        <v>562</v>
      </c>
      <c r="D36" s="166" t="s">
        <v>566</v>
      </c>
      <c r="E36" s="167">
        <v>40711</v>
      </c>
      <c r="F36" s="170" t="s">
        <v>347</v>
      </c>
      <c r="G36" s="168" t="s">
        <v>563</v>
      </c>
      <c r="H36" s="169">
        <v>5154.5</v>
      </c>
      <c r="I36" s="166" t="s">
        <v>564</v>
      </c>
      <c r="J36" s="187"/>
      <c r="K36" s="169">
        <v>5154.5</v>
      </c>
      <c r="L36" s="169"/>
      <c r="M36" s="182">
        <f t="shared" si="1"/>
        <v>5154.5</v>
      </c>
      <c r="N36" s="186"/>
      <c r="O36" s="184" t="s">
        <v>100</v>
      </c>
    </row>
    <row r="37" spans="1:15" s="144" customFormat="1">
      <c r="A37" s="163">
        <v>32</v>
      </c>
      <c r="B37" s="164" t="s">
        <v>71</v>
      </c>
      <c r="C37" s="165" t="s">
        <v>562</v>
      </c>
      <c r="D37" s="166" t="s">
        <v>566</v>
      </c>
      <c r="E37" s="167">
        <v>40723</v>
      </c>
      <c r="F37" s="170" t="s">
        <v>348</v>
      </c>
      <c r="G37" s="168" t="s">
        <v>563</v>
      </c>
      <c r="H37" s="169">
        <v>331</v>
      </c>
      <c r="I37" s="166" t="s">
        <v>564</v>
      </c>
      <c r="J37" s="187"/>
      <c r="K37" s="169">
        <v>331</v>
      </c>
      <c r="L37" s="185"/>
      <c r="M37" s="182">
        <f t="shared" si="1"/>
        <v>331</v>
      </c>
      <c r="N37" s="183"/>
      <c r="O37" s="184" t="s">
        <v>100</v>
      </c>
    </row>
    <row r="38" spans="1:15" s="144" customFormat="1">
      <c r="A38" s="163">
        <v>33</v>
      </c>
      <c r="B38" s="164" t="s">
        <v>71</v>
      </c>
      <c r="C38" s="165" t="s">
        <v>562</v>
      </c>
      <c r="D38" s="166" t="s">
        <v>566</v>
      </c>
      <c r="E38" s="167">
        <v>40723</v>
      </c>
      <c r="F38" s="170" t="s">
        <v>349</v>
      </c>
      <c r="G38" s="168" t="s">
        <v>563</v>
      </c>
      <c r="H38" s="169">
        <v>6523.35</v>
      </c>
      <c r="I38" s="166" t="s">
        <v>564</v>
      </c>
      <c r="J38" s="187"/>
      <c r="K38" s="169">
        <v>6523.35</v>
      </c>
      <c r="L38" s="185"/>
      <c r="M38" s="182">
        <f t="shared" si="1"/>
        <v>6523.35</v>
      </c>
      <c r="N38" s="183"/>
      <c r="O38" s="184" t="s">
        <v>100</v>
      </c>
    </row>
    <row r="39" spans="1:15" s="144" customFormat="1" ht="24">
      <c r="A39" s="163">
        <v>34</v>
      </c>
      <c r="B39" s="164" t="s">
        <v>71</v>
      </c>
      <c r="C39" s="165" t="s">
        <v>562</v>
      </c>
      <c r="D39" s="166" t="s">
        <v>566</v>
      </c>
      <c r="E39" s="167">
        <v>40736</v>
      </c>
      <c r="F39" s="170" t="s">
        <v>350</v>
      </c>
      <c r="G39" s="168" t="s">
        <v>563</v>
      </c>
      <c r="H39" s="169">
        <v>5067</v>
      </c>
      <c r="I39" s="166" t="s">
        <v>564</v>
      </c>
      <c r="J39" s="187"/>
      <c r="K39" s="169">
        <v>5067</v>
      </c>
      <c r="L39" s="185"/>
      <c r="M39" s="182">
        <f t="shared" ref="M39:M69" si="2">K39+L39</f>
        <v>5067</v>
      </c>
      <c r="N39" s="186"/>
      <c r="O39" s="184" t="s">
        <v>351</v>
      </c>
    </row>
    <row r="40" spans="1:15" s="144" customFormat="1" ht="24">
      <c r="A40" s="163">
        <v>35</v>
      </c>
      <c r="B40" s="164" t="s">
        <v>71</v>
      </c>
      <c r="C40" s="165" t="s">
        <v>562</v>
      </c>
      <c r="D40" s="166" t="s">
        <v>566</v>
      </c>
      <c r="E40" s="167">
        <v>40765</v>
      </c>
      <c r="F40" s="170" t="s">
        <v>343</v>
      </c>
      <c r="G40" s="168" t="s">
        <v>563</v>
      </c>
      <c r="H40" s="169">
        <v>5540.5</v>
      </c>
      <c r="I40" s="166" t="s">
        <v>564</v>
      </c>
      <c r="J40" s="187"/>
      <c r="K40" s="169">
        <v>5540.5</v>
      </c>
      <c r="L40" s="185"/>
      <c r="M40" s="182">
        <f t="shared" si="2"/>
        <v>5540.5</v>
      </c>
      <c r="N40" s="186"/>
      <c r="O40" s="184" t="s">
        <v>351</v>
      </c>
    </row>
    <row r="41" spans="1:15" s="144" customFormat="1">
      <c r="A41" s="163">
        <v>36</v>
      </c>
      <c r="B41" s="164" t="s">
        <v>71</v>
      </c>
      <c r="C41" s="165" t="s">
        <v>562</v>
      </c>
      <c r="D41" s="166" t="s">
        <v>566</v>
      </c>
      <c r="E41" s="167">
        <v>40767</v>
      </c>
      <c r="F41" s="170" t="s">
        <v>352</v>
      </c>
      <c r="G41" s="168" t="s">
        <v>563</v>
      </c>
      <c r="H41" s="169">
        <v>6516.75</v>
      </c>
      <c r="I41" s="166" t="s">
        <v>564</v>
      </c>
      <c r="J41" s="187"/>
      <c r="K41" s="169">
        <v>6516.75</v>
      </c>
      <c r="L41" s="185"/>
      <c r="M41" s="182">
        <f t="shared" si="2"/>
        <v>6516.75</v>
      </c>
      <c r="N41" s="183"/>
      <c r="O41" s="184" t="s">
        <v>100</v>
      </c>
    </row>
    <row r="42" spans="1:15" s="144" customFormat="1">
      <c r="A42" s="163">
        <v>37</v>
      </c>
      <c r="B42" s="164" t="s">
        <v>71</v>
      </c>
      <c r="C42" s="165" t="s">
        <v>562</v>
      </c>
      <c r="D42" s="166" t="s">
        <v>566</v>
      </c>
      <c r="E42" s="167">
        <v>40786</v>
      </c>
      <c r="F42" s="170" t="s">
        <v>353</v>
      </c>
      <c r="G42" s="168" t="s">
        <v>563</v>
      </c>
      <c r="H42" s="169">
        <v>6516.75</v>
      </c>
      <c r="I42" s="166" t="s">
        <v>564</v>
      </c>
      <c r="J42" s="187"/>
      <c r="K42" s="169">
        <v>6516.75</v>
      </c>
      <c r="L42" s="185"/>
      <c r="M42" s="182">
        <f t="shared" si="2"/>
        <v>6516.75</v>
      </c>
      <c r="N42" s="183"/>
      <c r="O42" s="184" t="s">
        <v>100</v>
      </c>
    </row>
    <row r="43" spans="1:15" s="144" customFormat="1" ht="24">
      <c r="A43" s="163">
        <v>38</v>
      </c>
      <c r="B43" s="164" t="s">
        <v>71</v>
      </c>
      <c r="C43" s="165" t="s">
        <v>562</v>
      </c>
      <c r="D43" s="166" t="s">
        <v>566</v>
      </c>
      <c r="E43" s="167">
        <v>40807</v>
      </c>
      <c r="F43" s="170" t="s">
        <v>354</v>
      </c>
      <c r="G43" s="168" t="s">
        <v>563</v>
      </c>
      <c r="H43" s="169">
        <v>5208</v>
      </c>
      <c r="I43" s="166" t="s">
        <v>564</v>
      </c>
      <c r="J43" s="187"/>
      <c r="K43" s="169">
        <v>5208</v>
      </c>
      <c r="L43" s="185"/>
      <c r="M43" s="182">
        <f t="shared" si="2"/>
        <v>5208</v>
      </c>
      <c r="N43" s="186"/>
      <c r="O43" s="184" t="s">
        <v>351</v>
      </c>
    </row>
    <row r="44" spans="1:15" s="144" customFormat="1" ht="24">
      <c r="A44" s="163">
        <v>39</v>
      </c>
      <c r="B44" s="164" t="s">
        <v>71</v>
      </c>
      <c r="C44" s="165" t="s">
        <v>562</v>
      </c>
      <c r="D44" s="166" t="s">
        <v>566</v>
      </c>
      <c r="E44" s="167">
        <v>40833</v>
      </c>
      <c r="F44" s="170" t="s">
        <v>355</v>
      </c>
      <c r="G44" s="168" t="s">
        <v>563</v>
      </c>
      <c r="H44" s="169">
        <v>4820</v>
      </c>
      <c r="I44" s="166" t="s">
        <v>564</v>
      </c>
      <c r="J44" s="187"/>
      <c r="K44" s="169">
        <v>4820</v>
      </c>
      <c r="L44" s="185"/>
      <c r="M44" s="182">
        <f t="shared" si="2"/>
        <v>4820</v>
      </c>
      <c r="N44" s="186"/>
      <c r="O44" s="184" t="s">
        <v>351</v>
      </c>
    </row>
    <row r="45" spans="1:15" s="144" customFormat="1" ht="24">
      <c r="A45" s="163">
        <v>40</v>
      </c>
      <c r="B45" s="164" t="s">
        <v>71</v>
      </c>
      <c r="C45" s="165" t="s">
        <v>562</v>
      </c>
      <c r="D45" s="166" t="s">
        <v>566</v>
      </c>
      <c r="E45" s="167">
        <v>40858</v>
      </c>
      <c r="F45" s="170" t="s">
        <v>355</v>
      </c>
      <c r="G45" s="168" t="s">
        <v>563</v>
      </c>
      <c r="H45" s="169">
        <v>5026.5</v>
      </c>
      <c r="I45" s="166" t="s">
        <v>564</v>
      </c>
      <c r="J45" s="187"/>
      <c r="K45" s="169">
        <v>5026.5</v>
      </c>
      <c r="L45" s="185"/>
      <c r="M45" s="182">
        <f t="shared" si="2"/>
        <v>5026.5</v>
      </c>
      <c r="N45" s="186"/>
      <c r="O45" s="184" t="s">
        <v>351</v>
      </c>
    </row>
    <row r="46" spans="1:15" s="144" customFormat="1">
      <c r="A46" s="163">
        <v>41</v>
      </c>
      <c r="B46" s="164" t="s">
        <v>71</v>
      </c>
      <c r="C46" s="165" t="s">
        <v>562</v>
      </c>
      <c r="D46" s="166" t="s">
        <v>566</v>
      </c>
      <c r="E46" s="167">
        <v>40890</v>
      </c>
      <c r="F46" s="170" t="s">
        <v>356</v>
      </c>
      <c r="G46" s="168" t="s">
        <v>563</v>
      </c>
      <c r="H46" s="169">
        <v>4602</v>
      </c>
      <c r="I46" s="166" t="s">
        <v>564</v>
      </c>
      <c r="J46" s="187"/>
      <c r="K46" s="169">
        <v>4602</v>
      </c>
      <c r="L46" s="169"/>
      <c r="M46" s="182">
        <f t="shared" si="2"/>
        <v>4602</v>
      </c>
      <c r="N46" s="186"/>
      <c r="O46" s="184" t="s">
        <v>100</v>
      </c>
    </row>
    <row r="47" spans="1:15" s="144" customFormat="1">
      <c r="A47" s="163">
        <v>42</v>
      </c>
      <c r="B47" s="164" t="s">
        <v>71</v>
      </c>
      <c r="C47" s="165" t="s">
        <v>562</v>
      </c>
      <c r="D47" s="166" t="s">
        <v>566</v>
      </c>
      <c r="E47" s="167">
        <v>40903</v>
      </c>
      <c r="F47" s="170" t="s">
        <v>357</v>
      </c>
      <c r="G47" s="168" t="s">
        <v>563</v>
      </c>
      <c r="H47" s="169">
        <v>1600</v>
      </c>
      <c r="I47" s="166" t="s">
        <v>564</v>
      </c>
      <c r="J47" s="187"/>
      <c r="K47" s="169">
        <v>1600</v>
      </c>
      <c r="L47" s="169"/>
      <c r="M47" s="182">
        <f t="shared" si="2"/>
        <v>1600</v>
      </c>
      <c r="N47" s="186"/>
      <c r="O47" s="184" t="s">
        <v>100</v>
      </c>
    </row>
    <row r="48" spans="1:15" s="144" customFormat="1">
      <c r="A48" s="163">
        <v>43</v>
      </c>
      <c r="B48" s="164" t="s">
        <v>71</v>
      </c>
      <c r="C48" s="165" t="s">
        <v>562</v>
      </c>
      <c r="D48" s="166" t="s">
        <v>566</v>
      </c>
      <c r="E48" s="167">
        <v>40939</v>
      </c>
      <c r="F48" s="170" t="s">
        <v>358</v>
      </c>
      <c r="G48" s="168" t="s">
        <v>563</v>
      </c>
      <c r="H48" s="169">
        <v>5107</v>
      </c>
      <c r="I48" s="166" t="s">
        <v>564</v>
      </c>
      <c r="J48" s="187"/>
      <c r="K48" s="169">
        <v>5107</v>
      </c>
      <c r="L48" s="169"/>
      <c r="M48" s="182">
        <f t="shared" si="2"/>
        <v>5107</v>
      </c>
      <c r="N48" s="186"/>
      <c r="O48" s="184" t="s">
        <v>100</v>
      </c>
    </row>
    <row r="49" spans="1:15" s="144" customFormat="1">
      <c r="A49" s="163">
        <v>44</v>
      </c>
      <c r="B49" s="164" t="s">
        <v>71</v>
      </c>
      <c r="C49" s="165" t="s">
        <v>562</v>
      </c>
      <c r="D49" s="166" t="s">
        <v>566</v>
      </c>
      <c r="E49" s="167">
        <v>40939</v>
      </c>
      <c r="F49" s="170" t="s">
        <v>359</v>
      </c>
      <c r="G49" s="168" t="s">
        <v>563</v>
      </c>
      <c r="H49" s="169">
        <v>1600</v>
      </c>
      <c r="I49" s="166" t="s">
        <v>564</v>
      </c>
      <c r="J49" s="187"/>
      <c r="K49" s="169">
        <v>1600</v>
      </c>
      <c r="L49" s="169"/>
      <c r="M49" s="182">
        <f t="shared" si="2"/>
        <v>1600</v>
      </c>
      <c r="N49" s="183"/>
      <c r="O49" s="184" t="s">
        <v>100</v>
      </c>
    </row>
    <row r="50" spans="1:15" s="144" customFormat="1">
      <c r="A50" s="163">
        <v>45</v>
      </c>
      <c r="B50" s="164" t="s">
        <v>71</v>
      </c>
      <c r="C50" s="165" t="s">
        <v>562</v>
      </c>
      <c r="D50" s="166" t="s">
        <v>566</v>
      </c>
      <c r="E50" s="167">
        <v>40954</v>
      </c>
      <c r="F50" s="170" t="s">
        <v>360</v>
      </c>
      <c r="G50" s="168" t="s">
        <v>563</v>
      </c>
      <c r="H50" s="169">
        <v>1026</v>
      </c>
      <c r="I50" s="166" t="s">
        <v>564</v>
      </c>
      <c r="J50" s="187"/>
      <c r="K50" s="169">
        <v>1026</v>
      </c>
      <c r="L50" s="169"/>
      <c r="M50" s="182">
        <f t="shared" si="2"/>
        <v>1026</v>
      </c>
      <c r="N50" s="186"/>
      <c r="O50" s="184" t="s">
        <v>100</v>
      </c>
    </row>
    <row r="51" spans="1:15" s="144" customFormat="1">
      <c r="A51" s="163">
        <v>46</v>
      </c>
      <c r="B51" s="164" t="s">
        <v>71</v>
      </c>
      <c r="C51" s="165" t="s">
        <v>562</v>
      </c>
      <c r="D51" s="166" t="s">
        <v>566</v>
      </c>
      <c r="E51" s="167">
        <v>40960</v>
      </c>
      <c r="F51" s="170" t="s">
        <v>361</v>
      </c>
      <c r="G51" s="168" t="s">
        <v>563</v>
      </c>
      <c r="H51" s="169">
        <v>816</v>
      </c>
      <c r="I51" s="166" t="s">
        <v>564</v>
      </c>
      <c r="J51" s="187"/>
      <c r="K51" s="169">
        <v>816</v>
      </c>
      <c r="L51" s="169"/>
      <c r="M51" s="182">
        <f t="shared" si="2"/>
        <v>816</v>
      </c>
      <c r="N51" s="186"/>
      <c r="O51" s="184" t="s">
        <v>100</v>
      </c>
    </row>
    <row r="52" spans="1:15" s="144" customFormat="1">
      <c r="A52" s="163">
        <v>47</v>
      </c>
      <c r="B52" s="164" t="s">
        <v>71</v>
      </c>
      <c r="C52" s="165" t="s">
        <v>562</v>
      </c>
      <c r="D52" s="166" t="s">
        <v>566</v>
      </c>
      <c r="E52" s="167">
        <v>40961</v>
      </c>
      <c r="F52" s="170" t="s">
        <v>362</v>
      </c>
      <c r="G52" s="168" t="s">
        <v>563</v>
      </c>
      <c r="H52" s="169">
        <v>816</v>
      </c>
      <c r="I52" s="166" t="s">
        <v>564</v>
      </c>
      <c r="J52" s="187"/>
      <c r="K52" s="169">
        <v>816</v>
      </c>
      <c r="L52" s="169"/>
      <c r="M52" s="182">
        <f t="shared" si="2"/>
        <v>816</v>
      </c>
      <c r="N52" s="186"/>
      <c r="O52" s="184" t="s">
        <v>100</v>
      </c>
    </row>
    <row r="53" spans="1:15" s="144" customFormat="1">
      <c r="A53" s="163">
        <v>48</v>
      </c>
      <c r="B53" s="164" t="s">
        <v>71</v>
      </c>
      <c r="C53" s="165" t="s">
        <v>562</v>
      </c>
      <c r="D53" s="166" t="s">
        <v>566</v>
      </c>
      <c r="E53" s="167">
        <v>41274</v>
      </c>
      <c r="F53" s="170" t="s">
        <v>334</v>
      </c>
      <c r="G53" s="168" t="s">
        <v>563</v>
      </c>
      <c r="H53" s="169">
        <v>42382.81</v>
      </c>
      <c r="I53" s="166" t="s">
        <v>564</v>
      </c>
      <c r="J53" s="187"/>
      <c r="K53" s="169">
        <v>42382.81</v>
      </c>
      <c r="L53" s="169"/>
      <c r="M53" s="182">
        <f t="shared" si="2"/>
        <v>42382.81</v>
      </c>
      <c r="N53" s="186"/>
      <c r="O53" s="184" t="s">
        <v>100</v>
      </c>
    </row>
    <row r="54" spans="1:15" s="144" customFormat="1" ht="21" customHeight="1">
      <c r="A54" s="163">
        <v>49</v>
      </c>
      <c r="B54" s="164" t="s">
        <v>72</v>
      </c>
      <c r="C54" s="165" t="s">
        <v>562</v>
      </c>
      <c r="D54" s="166" t="s">
        <v>566</v>
      </c>
      <c r="E54" s="167">
        <v>40602</v>
      </c>
      <c r="F54" s="170" t="s">
        <v>363</v>
      </c>
      <c r="G54" s="168" t="s">
        <v>563</v>
      </c>
      <c r="H54" s="169">
        <v>4382.6499999999996</v>
      </c>
      <c r="I54" s="166" t="s">
        <v>564</v>
      </c>
      <c r="J54" s="187"/>
      <c r="K54" s="169">
        <v>4382.6499999999996</v>
      </c>
      <c r="L54" s="185"/>
      <c r="M54" s="182">
        <f t="shared" si="2"/>
        <v>4382.6499999999996</v>
      </c>
      <c r="N54" s="183"/>
      <c r="O54" s="184" t="s">
        <v>100</v>
      </c>
    </row>
    <row r="55" spans="1:15" s="144" customFormat="1" ht="21" customHeight="1">
      <c r="A55" s="163">
        <v>50</v>
      </c>
      <c r="B55" s="164" t="s">
        <v>72</v>
      </c>
      <c r="C55" s="165" t="s">
        <v>562</v>
      </c>
      <c r="D55" s="166" t="s">
        <v>566</v>
      </c>
      <c r="E55" s="167">
        <v>40663</v>
      </c>
      <c r="F55" s="170" t="s">
        <v>364</v>
      </c>
      <c r="G55" s="168" t="s">
        <v>563</v>
      </c>
      <c r="H55" s="169">
        <v>4398.4799999999996</v>
      </c>
      <c r="I55" s="166" t="s">
        <v>564</v>
      </c>
      <c r="J55" s="187"/>
      <c r="K55" s="169">
        <v>4398.4799999999996</v>
      </c>
      <c r="L55" s="185"/>
      <c r="M55" s="182">
        <f t="shared" si="2"/>
        <v>4398.4799999999996</v>
      </c>
      <c r="N55" s="183"/>
      <c r="O55" s="184" t="s">
        <v>100</v>
      </c>
    </row>
    <row r="56" spans="1:15" s="144" customFormat="1" ht="21" customHeight="1">
      <c r="A56" s="163">
        <v>51</v>
      </c>
      <c r="B56" s="164" t="s">
        <v>72</v>
      </c>
      <c r="C56" s="165" t="s">
        <v>562</v>
      </c>
      <c r="D56" s="166" t="s">
        <v>566</v>
      </c>
      <c r="E56" s="167">
        <v>40694</v>
      </c>
      <c r="F56" s="170" t="s">
        <v>364</v>
      </c>
      <c r="G56" s="168" t="s">
        <v>563</v>
      </c>
      <c r="H56" s="169">
        <v>4450.1499999999996</v>
      </c>
      <c r="I56" s="166" t="s">
        <v>564</v>
      </c>
      <c r="J56" s="187"/>
      <c r="K56" s="169">
        <v>4450.1499999999996</v>
      </c>
      <c r="L56" s="185"/>
      <c r="M56" s="182">
        <f t="shared" si="2"/>
        <v>4450.1499999999996</v>
      </c>
      <c r="N56" s="183"/>
      <c r="O56" s="184" t="s">
        <v>100</v>
      </c>
    </row>
    <row r="57" spans="1:15" s="144" customFormat="1" ht="21" customHeight="1">
      <c r="A57" s="163">
        <v>52</v>
      </c>
      <c r="B57" s="164" t="s">
        <v>72</v>
      </c>
      <c r="C57" s="165" t="s">
        <v>562</v>
      </c>
      <c r="D57" s="166" t="s">
        <v>566</v>
      </c>
      <c r="E57" s="167">
        <v>40724</v>
      </c>
      <c r="F57" s="170" t="s">
        <v>338</v>
      </c>
      <c r="G57" s="168" t="s">
        <v>563</v>
      </c>
      <c r="H57" s="169">
        <v>4450.1499999999996</v>
      </c>
      <c r="I57" s="166" t="s">
        <v>564</v>
      </c>
      <c r="J57" s="187"/>
      <c r="K57" s="169">
        <v>4450.1499999999996</v>
      </c>
      <c r="L57" s="185"/>
      <c r="M57" s="182">
        <f t="shared" si="2"/>
        <v>4450.1499999999996</v>
      </c>
      <c r="N57" s="183"/>
      <c r="O57" s="184" t="s">
        <v>100</v>
      </c>
    </row>
    <row r="58" spans="1:15" s="144" customFormat="1" ht="21" customHeight="1">
      <c r="A58" s="163">
        <v>53</v>
      </c>
      <c r="B58" s="164" t="s">
        <v>72</v>
      </c>
      <c r="C58" s="165" t="s">
        <v>562</v>
      </c>
      <c r="D58" s="166" t="s">
        <v>566</v>
      </c>
      <c r="E58" s="167">
        <v>40755</v>
      </c>
      <c r="F58" s="170" t="s">
        <v>365</v>
      </c>
      <c r="G58" s="168" t="s">
        <v>563</v>
      </c>
      <c r="H58" s="169">
        <v>4450.1499999999996</v>
      </c>
      <c r="I58" s="166" t="s">
        <v>564</v>
      </c>
      <c r="J58" s="187"/>
      <c r="K58" s="169">
        <v>4450.1499999999996</v>
      </c>
      <c r="L58" s="185"/>
      <c r="M58" s="182">
        <f t="shared" si="2"/>
        <v>4450.1499999999996</v>
      </c>
      <c r="N58" s="183"/>
      <c r="O58" s="184" t="s">
        <v>100</v>
      </c>
    </row>
    <row r="59" spans="1:15" s="144" customFormat="1" ht="21" customHeight="1">
      <c r="A59" s="163">
        <v>54</v>
      </c>
      <c r="B59" s="164" t="s">
        <v>72</v>
      </c>
      <c r="C59" s="165" t="s">
        <v>562</v>
      </c>
      <c r="D59" s="166" t="s">
        <v>566</v>
      </c>
      <c r="E59" s="167">
        <v>40785</v>
      </c>
      <c r="F59" s="170" t="s">
        <v>366</v>
      </c>
      <c r="G59" s="168" t="s">
        <v>563</v>
      </c>
      <c r="H59" s="169">
        <v>4450.1499999999996</v>
      </c>
      <c r="I59" s="166" t="s">
        <v>564</v>
      </c>
      <c r="J59" s="187"/>
      <c r="K59" s="169">
        <v>4450.1499999999996</v>
      </c>
      <c r="L59" s="185"/>
      <c r="M59" s="182">
        <f t="shared" si="2"/>
        <v>4450.1499999999996</v>
      </c>
      <c r="N59" s="183"/>
      <c r="O59" s="184" t="s">
        <v>100</v>
      </c>
    </row>
    <row r="60" spans="1:15" s="144" customFormat="1" ht="21" customHeight="1">
      <c r="A60" s="163">
        <v>55</v>
      </c>
      <c r="B60" s="164" t="s">
        <v>72</v>
      </c>
      <c r="C60" s="165" t="s">
        <v>562</v>
      </c>
      <c r="D60" s="166" t="s">
        <v>566</v>
      </c>
      <c r="E60" s="167">
        <v>40808</v>
      </c>
      <c r="F60" s="170" t="s">
        <v>367</v>
      </c>
      <c r="G60" s="168" t="s">
        <v>563</v>
      </c>
      <c r="H60" s="169">
        <v>4450.1499999999996</v>
      </c>
      <c r="I60" s="166" t="s">
        <v>564</v>
      </c>
      <c r="J60" s="187"/>
      <c r="K60" s="169">
        <v>4450.1499999999996</v>
      </c>
      <c r="L60" s="185"/>
      <c r="M60" s="182">
        <f t="shared" si="2"/>
        <v>4450.1499999999996</v>
      </c>
      <c r="N60" s="183"/>
      <c r="O60" s="184" t="s">
        <v>100</v>
      </c>
    </row>
    <row r="61" spans="1:15" s="144" customFormat="1" ht="21" customHeight="1">
      <c r="A61" s="163">
        <v>56</v>
      </c>
      <c r="B61" s="164" t="s">
        <v>72</v>
      </c>
      <c r="C61" s="165" t="s">
        <v>562</v>
      </c>
      <c r="D61" s="166" t="s">
        <v>566</v>
      </c>
      <c r="E61" s="167">
        <v>40847</v>
      </c>
      <c r="F61" s="170" t="s">
        <v>368</v>
      </c>
      <c r="G61" s="168" t="s">
        <v>563</v>
      </c>
      <c r="H61" s="169">
        <v>4450.1499999999996</v>
      </c>
      <c r="I61" s="166" t="s">
        <v>564</v>
      </c>
      <c r="J61" s="187"/>
      <c r="K61" s="169">
        <v>4450.1499999999996</v>
      </c>
      <c r="L61" s="185"/>
      <c r="M61" s="182">
        <f t="shared" si="2"/>
        <v>4450.1499999999996</v>
      </c>
      <c r="N61" s="183"/>
      <c r="O61" s="184" t="s">
        <v>100</v>
      </c>
    </row>
    <row r="62" spans="1:15" s="144" customFormat="1">
      <c r="A62" s="163">
        <v>57</v>
      </c>
      <c r="B62" s="164" t="s">
        <v>72</v>
      </c>
      <c r="C62" s="165" t="s">
        <v>562</v>
      </c>
      <c r="D62" s="166" t="s">
        <v>566</v>
      </c>
      <c r="E62" s="167">
        <v>40856</v>
      </c>
      <c r="F62" s="170" t="s">
        <v>345</v>
      </c>
      <c r="G62" s="168" t="s">
        <v>563</v>
      </c>
      <c r="H62" s="169">
        <v>8765.2999999999993</v>
      </c>
      <c r="I62" s="166" t="s">
        <v>564</v>
      </c>
      <c r="J62" s="187"/>
      <c r="K62" s="169">
        <v>8765.2999999999993</v>
      </c>
      <c r="L62" s="185"/>
      <c r="M62" s="182">
        <f t="shared" si="2"/>
        <v>8765.2999999999993</v>
      </c>
      <c r="N62" s="183"/>
      <c r="O62" s="184" t="s">
        <v>100</v>
      </c>
    </row>
    <row r="63" spans="1:15" s="144" customFormat="1" ht="21" customHeight="1">
      <c r="A63" s="163">
        <v>58</v>
      </c>
      <c r="B63" s="164" t="s">
        <v>72</v>
      </c>
      <c r="C63" s="165" t="s">
        <v>562</v>
      </c>
      <c r="D63" s="166" t="s">
        <v>566</v>
      </c>
      <c r="E63" s="167">
        <v>40877</v>
      </c>
      <c r="F63" s="170" t="s">
        <v>369</v>
      </c>
      <c r="G63" s="168" t="s">
        <v>563</v>
      </c>
      <c r="H63" s="169">
        <v>4450.1499999999996</v>
      </c>
      <c r="I63" s="166" t="s">
        <v>564</v>
      </c>
      <c r="J63" s="187"/>
      <c r="K63" s="169">
        <v>4450.1499999999996</v>
      </c>
      <c r="L63" s="185"/>
      <c r="M63" s="182">
        <f t="shared" si="2"/>
        <v>4450.1499999999996</v>
      </c>
      <c r="N63" s="183"/>
      <c r="O63" s="184" t="s">
        <v>100</v>
      </c>
    </row>
    <row r="64" spans="1:15" s="144" customFormat="1" ht="21" customHeight="1">
      <c r="A64" s="163">
        <v>59</v>
      </c>
      <c r="B64" s="164" t="s">
        <v>72</v>
      </c>
      <c r="C64" s="165" t="s">
        <v>562</v>
      </c>
      <c r="D64" s="166" t="s">
        <v>566</v>
      </c>
      <c r="E64" s="167">
        <v>40897</v>
      </c>
      <c r="F64" s="170" t="s">
        <v>370</v>
      </c>
      <c r="G64" s="168" t="s">
        <v>563</v>
      </c>
      <c r="H64" s="169">
        <v>4450.1499999999996</v>
      </c>
      <c r="I64" s="166" t="s">
        <v>564</v>
      </c>
      <c r="J64" s="187"/>
      <c r="K64" s="169">
        <v>4450.1499999999996</v>
      </c>
      <c r="L64" s="185"/>
      <c r="M64" s="182">
        <f t="shared" si="2"/>
        <v>4450.1499999999996</v>
      </c>
      <c r="N64" s="183"/>
      <c r="O64" s="184" t="s">
        <v>100</v>
      </c>
    </row>
    <row r="65" spans="1:15" s="144" customFormat="1" ht="21" customHeight="1">
      <c r="A65" s="163">
        <v>60</v>
      </c>
      <c r="B65" s="164" t="s">
        <v>72</v>
      </c>
      <c r="C65" s="165" t="s">
        <v>562</v>
      </c>
      <c r="D65" s="166" t="s">
        <v>566</v>
      </c>
      <c r="E65" s="171">
        <v>40927</v>
      </c>
      <c r="F65" s="168" t="s">
        <v>371</v>
      </c>
      <c r="G65" s="168" t="s">
        <v>563</v>
      </c>
      <c r="H65" s="169">
        <v>4450.1499999999996</v>
      </c>
      <c r="I65" s="166" t="s">
        <v>564</v>
      </c>
      <c r="J65" s="187"/>
      <c r="K65" s="169">
        <v>4450.1499999999996</v>
      </c>
      <c r="L65" s="185"/>
      <c r="M65" s="182">
        <f t="shared" si="2"/>
        <v>4450.1499999999996</v>
      </c>
      <c r="N65" s="183"/>
      <c r="O65" s="184" t="s">
        <v>100</v>
      </c>
    </row>
    <row r="66" spans="1:15" s="144" customFormat="1" ht="21" customHeight="1">
      <c r="A66" s="163">
        <v>61</v>
      </c>
      <c r="B66" s="164" t="s">
        <v>72</v>
      </c>
      <c r="C66" s="165" t="s">
        <v>562</v>
      </c>
      <c r="D66" s="166" t="s">
        <v>566</v>
      </c>
      <c r="E66" s="171">
        <v>40967</v>
      </c>
      <c r="F66" s="168" t="s">
        <v>332</v>
      </c>
      <c r="G66" s="168" t="s">
        <v>563</v>
      </c>
      <c r="H66" s="169">
        <v>4450.1499999999996</v>
      </c>
      <c r="I66" s="166" t="s">
        <v>564</v>
      </c>
      <c r="J66" s="187"/>
      <c r="K66" s="169">
        <v>4450.1499999999996</v>
      </c>
      <c r="L66" s="185"/>
      <c r="M66" s="182">
        <f t="shared" si="2"/>
        <v>4450.1499999999996</v>
      </c>
      <c r="N66" s="183"/>
      <c r="O66" s="184" t="s">
        <v>100</v>
      </c>
    </row>
    <row r="67" spans="1:15" s="144" customFormat="1">
      <c r="A67" s="163">
        <v>62</v>
      </c>
      <c r="B67" s="164" t="s">
        <v>72</v>
      </c>
      <c r="C67" s="165" t="s">
        <v>562</v>
      </c>
      <c r="D67" s="166" t="s">
        <v>566</v>
      </c>
      <c r="E67" s="171">
        <v>41639</v>
      </c>
      <c r="F67" s="168" t="s">
        <v>334</v>
      </c>
      <c r="G67" s="168" t="s">
        <v>563</v>
      </c>
      <c r="H67" s="169">
        <v>19478.240000000002</v>
      </c>
      <c r="I67" s="166" t="s">
        <v>564</v>
      </c>
      <c r="J67" s="187"/>
      <c r="K67" s="169">
        <v>19478.240000000002</v>
      </c>
      <c r="L67" s="185"/>
      <c r="M67" s="182">
        <f t="shared" si="2"/>
        <v>19478.240000000002</v>
      </c>
      <c r="N67" s="183"/>
      <c r="O67" s="184" t="s">
        <v>100</v>
      </c>
    </row>
    <row r="68" spans="1:15" s="144" customFormat="1">
      <c r="A68" s="163">
        <v>63</v>
      </c>
      <c r="B68" s="164" t="s">
        <v>73</v>
      </c>
      <c r="C68" s="165" t="s">
        <v>562</v>
      </c>
      <c r="D68" s="166" t="s">
        <v>566</v>
      </c>
      <c r="E68" s="167">
        <v>40574</v>
      </c>
      <c r="F68" s="170" t="s">
        <v>372</v>
      </c>
      <c r="G68" s="168" t="s">
        <v>563</v>
      </c>
      <c r="H68" s="169">
        <v>100000</v>
      </c>
      <c r="I68" s="166" t="s">
        <v>564</v>
      </c>
      <c r="J68" s="187"/>
      <c r="K68" s="169">
        <v>100000</v>
      </c>
      <c r="L68" s="169"/>
      <c r="M68" s="182">
        <f t="shared" si="2"/>
        <v>100000</v>
      </c>
      <c r="N68" s="186"/>
      <c r="O68" s="184" t="s">
        <v>100</v>
      </c>
    </row>
    <row r="69" spans="1:15" s="144" customFormat="1" ht="24">
      <c r="A69" s="163">
        <v>64</v>
      </c>
      <c r="B69" s="164" t="s">
        <v>73</v>
      </c>
      <c r="C69" s="165" t="s">
        <v>562</v>
      </c>
      <c r="D69" s="166" t="s">
        <v>566</v>
      </c>
      <c r="E69" s="167">
        <v>40723</v>
      </c>
      <c r="F69" s="170" t="s">
        <v>373</v>
      </c>
      <c r="G69" s="168" t="s">
        <v>563</v>
      </c>
      <c r="H69" s="169">
        <v>100000</v>
      </c>
      <c r="I69" s="166" t="s">
        <v>564</v>
      </c>
      <c r="J69" s="187" t="s">
        <v>374</v>
      </c>
      <c r="K69" s="169">
        <v>100000</v>
      </c>
      <c r="L69" s="185"/>
      <c r="M69" s="182">
        <f t="shared" si="2"/>
        <v>100000</v>
      </c>
      <c r="N69" s="183"/>
      <c r="O69" s="184" t="s">
        <v>375</v>
      </c>
    </row>
  </sheetData>
  <autoFilter ref="A3:IQ69"/>
  <mergeCells count="3">
    <mergeCell ref="A1:N1"/>
    <mergeCell ref="A2:G2"/>
    <mergeCell ref="M2:N2"/>
  </mergeCells>
  <phoneticPr fontId="22" type="noConversion"/>
  <dataValidations count="2">
    <dataValidation type="list" allowBlank="1" showInputMessage="1" showErrorMessage="1" sqref="B5">
      <formula1>"管理人员工资,职工福利费,折旧费,修理费,办公费,水电费,其他间接费用"</formula1>
    </dataValidation>
    <dataValidation type="list" allowBlank="1" showInputMessage="1" sqref="B6:B69">
      <formula1>"管理人员工资,职工福利费,折旧费,修理费,办公费,水电费,劳动保护费,周转房摊销费,其他发生的间接费用"</formula1>
    </dataValidation>
  </dataValidations>
  <printOptions horizontalCentered="1"/>
  <pageMargins left="0.45" right="0.40902777777777799" top="0.86875000000000002" bottom="0.78888888888888897" header="0.58888888888888902" footer="0.50902777777777797"/>
  <pageSetup paperSize="9" scale="82" fitToHeight="0" orientation="landscape"/>
  <headerFooter alignWithMargins="0">
    <oddHeader>&amp;R附表22</oddHeader>
    <oddFooter>&amp;C&amp;10&amp;P</oddFooter>
  </headerFooter>
  <rowBreaks count="1" manualBreakCount="1">
    <brk id="6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7" sqref="C7"/>
    </sheetView>
  </sheetViews>
  <sheetFormatPr defaultColWidth="9" defaultRowHeight="15"/>
  <cols>
    <col min="1" max="1" width="13.625" style="132" customWidth="1"/>
    <col min="2" max="2" width="16.75" style="132" customWidth="1"/>
    <col min="3" max="4" width="17.25" style="132" customWidth="1"/>
    <col min="5" max="5" width="19" style="133" customWidth="1"/>
    <col min="6" max="7" width="18.5" style="133" customWidth="1"/>
    <col min="8" max="16384" width="9" style="132"/>
  </cols>
  <sheetData>
    <row r="1" spans="1:7" ht="33.950000000000003" customHeight="1">
      <c r="A1" s="763" t="s">
        <v>647</v>
      </c>
      <c r="B1" s="764"/>
      <c r="C1" s="764"/>
      <c r="D1" s="764"/>
      <c r="E1" s="764"/>
      <c r="F1" s="764"/>
      <c r="G1" s="764"/>
    </row>
    <row r="2" spans="1:7" s="129" customFormat="1" ht="30" customHeight="1">
      <c r="A2" s="129" t="s">
        <v>648</v>
      </c>
      <c r="E2" s="134"/>
      <c r="F2" s="134"/>
      <c r="G2" s="134" t="s">
        <v>32</v>
      </c>
    </row>
    <row r="3" spans="1:7" s="130" customFormat="1" ht="43.5" customHeight="1">
      <c r="A3" s="135" t="s">
        <v>376</v>
      </c>
      <c r="B3" s="135" t="s">
        <v>376</v>
      </c>
      <c r="C3" s="135" t="s">
        <v>376</v>
      </c>
      <c r="D3" s="135" t="s">
        <v>376</v>
      </c>
      <c r="E3" s="135" t="s">
        <v>376</v>
      </c>
      <c r="F3" s="135" t="s">
        <v>376</v>
      </c>
      <c r="G3" s="136" t="s">
        <v>377</v>
      </c>
    </row>
    <row r="4" spans="1:7" s="131" customFormat="1" ht="43.5" customHeight="1">
      <c r="A4" s="137"/>
      <c r="B4" s="138"/>
      <c r="C4" s="138"/>
      <c r="D4" s="138">
        <f t="shared" ref="D4:D9" si="0">B4+C4</f>
        <v>0</v>
      </c>
      <c r="E4" s="139">
        <v>0</v>
      </c>
      <c r="F4" s="139"/>
      <c r="G4" s="139"/>
    </row>
    <row r="5" spans="1:7" s="131" customFormat="1" ht="43.5" customHeight="1">
      <c r="A5" s="137"/>
      <c r="B5" s="138"/>
      <c r="C5" s="138"/>
      <c r="D5" s="138">
        <f t="shared" si="0"/>
        <v>0</v>
      </c>
      <c r="E5" s="140">
        <f>D5*0.1633</f>
        <v>0</v>
      </c>
      <c r="F5" s="140">
        <f>D5*0.4318</f>
        <v>0</v>
      </c>
      <c r="G5" s="140">
        <f>D5*0.4049</f>
        <v>0</v>
      </c>
    </row>
    <row r="6" spans="1:7" ht="43.5" customHeight="1">
      <c r="A6" s="141"/>
      <c r="B6" s="138"/>
      <c r="C6" s="138"/>
      <c r="D6" s="138">
        <f t="shared" si="0"/>
        <v>0</v>
      </c>
      <c r="E6" s="140">
        <f>D6*0.1633</f>
        <v>0</v>
      </c>
      <c r="F6" s="140">
        <f>D6*0.4318</f>
        <v>0</v>
      </c>
      <c r="G6" s="140">
        <f>D6*0.4049</f>
        <v>0</v>
      </c>
    </row>
    <row r="7" spans="1:7" ht="43.5" customHeight="1">
      <c r="A7" s="141"/>
      <c r="B7" s="138"/>
      <c r="C7" s="138"/>
      <c r="D7" s="138">
        <f t="shared" si="0"/>
        <v>0</v>
      </c>
      <c r="E7" s="140">
        <f>D7*0.1633</f>
        <v>0</v>
      </c>
      <c r="F7" s="140">
        <f>D7*0.4318</f>
        <v>0</v>
      </c>
      <c r="G7" s="140">
        <f>D7*0.4049</f>
        <v>0</v>
      </c>
    </row>
    <row r="8" spans="1:7" ht="43.5" customHeight="1">
      <c r="A8" s="141"/>
      <c r="B8" s="138"/>
      <c r="C8" s="138"/>
      <c r="D8" s="138">
        <f t="shared" si="0"/>
        <v>0</v>
      </c>
      <c r="E8" s="140">
        <f>D8*0.1633</f>
        <v>0</v>
      </c>
      <c r="F8" s="140">
        <f>D8*0.4318</f>
        <v>0</v>
      </c>
      <c r="G8" s="140">
        <f>D8*0.4049</f>
        <v>0</v>
      </c>
    </row>
    <row r="9" spans="1:7" ht="43.5" customHeight="1">
      <c r="A9" s="141"/>
      <c r="B9" s="138"/>
      <c r="C9" s="138"/>
      <c r="D9" s="138">
        <f t="shared" si="0"/>
        <v>0</v>
      </c>
      <c r="E9" s="140">
        <f>D9*0.1633</f>
        <v>0</v>
      </c>
      <c r="F9" s="140">
        <f>D9*0.4318</f>
        <v>0</v>
      </c>
      <c r="G9" s="140">
        <f>D9*0.4049</f>
        <v>0</v>
      </c>
    </row>
    <row r="10" spans="1:7" ht="43.5" customHeight="1">
      <c r="A10" s="141"/>
      <c r="B10" s="138"/>
      <c r="C10" s="138"/>
      <c r="D10" s="138">
        <f>SUM(D4:D9)</f>
        <v>0</v>
      </c>
      <c r="E10" s="138">
        <f>SUM(E4:E9)</f>
        <v>0</v>
      </c>
      <c r="F10" s="138">
        <f>SUM(F4:F9)</f>
        <v>0</v>
      </c>
      <c r="G10" s="138">
        <f>SUM(G4:G9)</f>
        <v>0</v>
      </c>
    </row>
  </sheetData>
  <mergeCells count="1">
    <mergeCell ref="A1:G1"/>
  </mergeCells>
  <phoneticPr fontId="22" type="noConversion"/>
  <printOptions horizontalCentered="1"/>
  <pageMargins left="0.70902777777777803" right="0.55000000000000004" top="0.93888888888888899" bottom="0.75" header="0.75" footer="0.47916666666666702"/>
  <pageSetup paperSize="9" orientation="landscape"/>
  <headerFooter>
    <oddHeader>&amp;R附表23</oddHeader>
    <oddFooter>&amp;C&amp;10&amp;P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K16" sqref="K16"/>
    </sheetView>
  </sheetViews>
  <sheetFormatPr defaultColWidth="9" defaultRowHeight="15.75"/>
  <cols>
    <col min="1" max="1" width="6.5" style="117" customWidth="1"/>
    <col min="2" max="2" width="24" style="118" customWidth="1"/>
    <col min="3" max="3" width="11.5" style="117" customWidth="1"/>
    <col min="4" max="4" width="14.625" style="119" customWidth="1"/>
    <col min="5" max="5" width="11.875" style="117" customWidth="1"/>
    <col min="6" max="6" width="10.25" style="117" customWidth="1"/>
    <col min="7" max="16384" width="9" style="117"/>
  </cols>
  <sheetData>
    <row r="1" spans="1:6" ht="24">
      <c r="A1" s="765" t="s">
        <v>378</v>
      </c>
      <c r="B1" s="765"/>
      <c r="C1" s="765"/>
      <c r="D1" s="766"/>
      <c r="E1" s="765"/>
      <c r="F1" s="765"/>
    </row>
    <row r="2" spans="1:6" s="115" customFormat="1" ht="12.75">
      <c r="A2" s="115" t="str">
        <f>Sheet2!A2</f>
        <v>看就会立刻就会老客户考虑减</v>
      </c>
      <c r="B2" s="120"/>
      <c r="D2" s="121"/>
      <c r="F2" s="122" t="s">
        <v>32</v>
      </c>
    </row>
    <row r="3" spans="1:6" s="116" customFormat="1" ht="28.5" customHeight="1">
      <c r="A3" s="123" t="s">
        <v>75</v>
      </c>
      <c r="B3" s="123" t="s">
        <v>75</v>
      </c>
      <c r="C3" s="123" t="s">
        <v>75</v>
      </c>
      <c r="D3" s="123" t="s">
        <v>75</v>
      </c>
      <c r="E3" s="123" t="s">
        <v>75</v>
      </c>
      <c r="F3" s="123" t="s">
        <v>75</v>
      </c>
    </row>
    <row r="4" spans="1:6" s="116" customFormat="1" ht="28.5" customHeight="1">
      <c r="A4" s="123">
        <v>1</v>
      </c>
      <c r="B4" s="124" t="s">
        <v>567</v>
      </c>
      <c r="C4" s="125">
        <v>6358000</v>
      </c>
      <c r="D4" s="646">
        <v>2135665351</v>
      </c>
      <c r="E4" s="647" t="s">
        <v>568</v>
      </c>
      <c r="F4" s="126" t="s">
        <v>379</v>
      </c>
    </row>
    <row r="5" spans="1:6" s="116" customFormat="1" ht="28.5" customHeight="1">
      <c r="A5" s="123">
        <v>2</v>
      </c>
      <c r="B5" s="124" t="s">
        <v>567</v>
      </c>
      <c r="C5" s="125">
        <v>2793000</v>
      </c>
      <c r="D5" s="646">
        <v>2135665351</v>
      </c>
      <c r="E5" s="647" t="s">
        <v>569</v>
      </c>
      <c r="F5" s="126" t="s">
        <v>380</v>
      </c>
    </row>
    <row r="6" spans="1:6" s="116" customFormat="1" ht="28.5" customHeight="1">
      <c r="A6" s="123">
        <v>3</v>
      </c>
      <c r="B6" s="124" t="s">
        <v>567</v>
      </c>
      <c r="C6" s="127">
        <v>3310000</v>
      </c>
      <c r="D6" s="646">
        <v>2135665351</v>
      </c>
      <c r="E6" s="647" t="s">
        <v>570</v>
      </c>
      <c r="F6" s="647" t="s">
        <v>381</v>
      </c>
    </row>
    <row r="7" spans="1:6" s="116" customFormat="1" ht="28.5" customHeight="1">
      <c r="A7" s="123">
        <v>4</v>
      </c>
      <c r="B7" s="124" t="s">
        <v>567</v>
      </c>
      <c r="C7" s="127">
        <v>700000</v>
      </c>
      <c r="D7" s="646">
        <v>2135665351</v>
      </c>
      <c r="E7" s="647" t="s">
        <v>571</v>
      </c>
      <c r="F7" s="126" t="s">
        <v>382</v>
      </c>
    </row>
    <row r="8" spans="1:6" s="116" customFormat="1" ht="28.5" customHeight="1">
      <c r="A8" s="123">
        <v>5</v>
      </c>
      <c r="B8" s="124" t="s">
        <v>567</v>
      </c>
      <c r="C8" s="127">
        <v>990000</v>
      </c>
      <c r="D8" s="646">
        <v>2135665351</v>
      </c>
      <c r="E8" s="647" t="s">
        <v>572</v>
      </c>
      <c r="F8" s="126" t="s">
        <v>383</v>
      </c>
    </row>
    <row r="9" spans="1:6" s="116" customFormat="1" ht="28.5" customHeight="1">
      <c r="A9" s="123">
        <v>6</v>
      </c>
      <c r="B9" s="124" t="s">
        <v>567</v>
      </c>
      <c r="C9" s="127">
        <v>116000</v>
      </c>
      <c r="D9" s="646">
        <v>2135665351</v>
      </c>
      <c r="E9" s="647" t="s">
        <v>573</v>
      </c>
      <c r="F9" s="126"/>
    </row>
    <row r="10" spans="1:6" s="116" customFormat="1" ht="28.5" customHeight="1">
      <c r="A10" s="123">
        <v>7</v>
      </c>
      <c r="B10" s="124" t="s">
        <v>567</v>
      </c>
      <c r="C10" s="127">
        <v>116000</v>
      </c>
      <c r="D10" s="646">
        <v>2135665351</v>
      </c>
      <c r="E10" s="647" t="s">
        <v>574</v>
      </c>
      <c r="F10" s="126"/>
    </row>
    <row r="11" spans="1:6" s="116" customFormat="1" ht="28.5" customHeight="1">
      <c r="A11" s="123">
        <v>8</v>
      </c>
      <c r="B11" s="124" t="s">
        <v>567</v>
      </c>
      <c r="C11" s="127">
        <v>116000</v>
      </c>
      <c r="D11" s="646">
        <v>2135665351</v>
      </c>
      <c r="E11" s="647" t="s">
        <v>575</v>
      </c>
      <c r="F11" s="126"/>
    </row>
    <row r="12" spans="1:6" s="116" customFormat="1" ht="28.5" customHeight="1">
      <c r="A12" s="123">
        <v>9</v>
      </c>
      <c r="B12" s="124" t="s">
        <v>567</v>
      </c>
      <c r="C12" s="127">
        <v>116000</v>
      </c>
      <c r="D12" s="646">
        <v>2135665351</v>
      </c>
      <c r="E12" s="647" t="s">
        <v>576</v>
      </c>
      <c r="F12" s="126"/>
    </row>
    <row r="13" spans="1:6" s="116" customFormat="1" ht="28.5" customHeight="1">
      <c r="A13" s="123">
        <v>10</v>
      </c>
      <c r="B13" s="124" t="s">
        <v>567</v>
      </c>
      <c r="C13" s="127">
        <v>116000</v>
      </c>
      <c r="D13" s="646">
        <v>2135665351</v>
      </c>
      <c r="E13" s="647" t="s">
        <v>577</v>
      </c>
      <c r="F13" s="126"/>
    </row>
    <row r="14" spans="1:6" s="116" customFormat="1" ht="28.5" customHeight="1">
      <c r="A14" s="123">
        <v>11</v>
      </c>
      <c r="B14" s="124" t="s">
        <v>567</v>
      </c>
      <c r="C14" s="127">
        <v>116000</v>
      </c>
      <c r="D14" s="646">
        <v>2135665351</v>
      </c>
      <c r="E14" s="647" t="s">
        <v>578</v>
      </c>
      <c r="F14" s="126"/>
    </row>
    <row r="15" spans="1:6" s="116" customFormat="1" ht="28.5" customHeight="1">
      <c r="A15" s="123">
        <v>12</v>
      </c>
      <c r="B15" s="124" t="s">
        <v>567</v>
      </c>
      <c r="C15" s="127">
        <v>116000</v>
      </c>
      <c r="D15" s="646">
        <v>2135665351</v>
      </c>
      <c r="E15" s="647" t="s">
        <v>579</v>
      </c>
      <c r="F15" s="126"/>
    </row>
    <row r="16" spans="1:6" s="116" customFormat="1" ht="28.5" customHeight="1">
      <c r="A16" s="123">
        <v>13</v>
      </c>
      <c r="B16" s="124" t="s">
        <v>567</v>
      </c>
      <c r="C16" s="127">
        <v>84731.5</v>
      </c>
      <c r="D16" s="646">
        <v>2135665351</v>
      </c>
      <c r="E16" s="647" t="s">
        <v>580</v>
      </c>
      <c r="F16" s="126"/>
    </row>
    <row r="17" spans="1:6" s="116" customFormat="1" ht="28.5" customHeight="1">
      <c r="A17" s="123">
        <v>14</v>
      </c>
      <c r="B17" s="124" t="s">
        <v>567</v>
      </c>
      <c r="C17" s="127">
        <v>113920</v>
      </c>
      <c r="D17" s="646">
        <v>2135665351</v>
      </c>
      <c r="E17" s="647" t="s">
        <v>581</v>
      </c>
      <c r="F17" s="126"/>
    </row>
    <row r="18" spans="1:6" s="116" customFormat="1" ht="28.5" customHeight="1">
      <c r="A18" s="123">
        <v>15</v>
      </c>
      <c r="B18" s="124" t="s">
        <v>567</v>
      </c>
      <c r="C18" s="127">
        <v>113920</v>
      </c>
      <c r="D18" s="646">
        <v>2135665351</v>
      </c>
      <c r="E18" s="647" t="s">
        <v>582</v>
      </c>
      <c r="F18" s="126"/>
    </row>
    <row r="19" spans="1:6" s="116" customFormat="1" ht="28.5" customHeight="1">
      <c r="A19" s="123">
        <v>16</v>
      </c>
      <c r="B19" s="124" t="s">
        <v>567</v>
      </c>
      <c r="C19" s="127">
        <v>113920</v>
      </c>
      <c r="D19" s="646">
        <v>2135665351</v>
      </c>
      <c r="E19" s="647" t="s">
        <v>583</v>
      </c>
      <c r="F19" s="126"/>
    </row>
  </sheetData>
  <mergeCells count="1">
    <mergeCell ref="A1:F1"/>
  </mergeCells>
  <phoneticPr fontId="22" type="noConversion"/>
  <printOptions horizontalCentered="1"/>
  <pageMargins left="0.62916666666666698" right="0.38888888888888901" top="1.1000000000000001" bottom="0.9" header="0.75" footer="0.58888888888888902"/>
  <pageSetup paperSize="9" orientation="portrait"/>
  <headerFooter alignWithMargins="0">
    <oddHeader>&amp;R附表24</oddHeader>
    <oddFooter>&amp;C&amp;10&amp;P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151"/>
  <sheetViews>
    <sheetView workbookViewId="0">
      <pane xSplit="3" ySplit="6" topLeftCell="D133" activePane="bottomRight" state="frozen"/>
      <selection pane="topRight"/>
      <selection pane="bottomLeft"/>
      <selection pane="bottomRight" activeCell="F156" sqref="F156"/>
    </sheetView>
  </sheetViews>
  <sheetFormatPr defaultColWidth="9" defaultRowHeight="15.75"/>
  <cols>
    <col min="1" max="1" width="4.625" style="70" customWidth="1"/>
    <col min="2" max="2" width="10.75" style="70" customWidth="1"/>
    <col min="3" max="3" width="9.375" style="71" customWidth="1"/>
    <col min="4" max="4" width="11.375" style="72" customWidth="1"/>
    <col min="5" max="5" width="15.5" style="70" customWidth="1"/>
    <col min="6" max="6" width="14" style="70" customWidth="1"/>
    <col min="7" max="7" width="13.375" style="70" customWidth="1"/>
    <col min="8" max="10" width="11.875" style="70" customWidth="1"/>
    <col min="11" max="11" width="12.375" style="70" customWidth="1"/>
    <col min="12" max="12" width="36" style="70" customWidth="1"/>
    <col min="13" max="13" width="4.875" style="70" customWidth="1"/>
    <col min="14" max="15" width="11.5" style="70" customWidth="1"/>
    <col min="16" max="16384" width="9" style="70"/>
  </cols>
  <sheetData>
    <row r="1" spans="1:13" ht="24">
      <c r="A1" s="768" t="s">
        <v>384</v>
      </c>
      <c r="B1" s="768"/>
      <c r="C1" s="768"/>
      <c r="D1" s="769"/>
      <c r="E1" s="768"/>
      <c r="F1" s="768"/>
      <c r="G1" s="768"/>
      <c r="H1" s="768"/>
      <c r="I1" s="768"/>
      <c r="J1" s="768"/>
      <c r="K1" s="768"/>
      <c r="L1" s="768"/>
    </row>
    <row r="2" spans="1:13" s="67" customFormat="1" ht="18.75" customHeight="1">
      <c r="A2" s="73" t="str">
        <f>Sheet2!A2</f>
        <v>看就会立刻就会老客户考虑减</v>
      </c>
      <c r="B2" s="73"/>
      <c r="C2" s="73"/>
      <c r="D2" s="73"/>
      <c r="E2" s="73"/>
      <c r="F2" s="73"/>
      <c r="G2" s="74"/>
      <c r="H2" s="75"/>
      <c r="I2" s="75"/>
      <c r="J2" s="75"/>
      <c r="K2" s="75"/>
      <c r="L2" s="89" t="s">
        <v>385</v>
      </c>
    </row>
    <row r="3" spans="1:13" s="67" customFormat="1" ht="18.75" customHeight="1">
      <c r="A3" s="770" t="s">
        <v>75</v>
      </c>
      <c r="B3" s="788" t="s">
        <v>585</v>
      </c>
      <c r="C3" s="770"/>
      <c r="D3" s="788" t="s">
        <v>586</v>
      </c>
      <c r="E3" s="770"/>
      <c r="F3" s="770"/>
      <c r="G3" s="788" t="s">
        <v>563</v>
      </c>
      <c r="H3" s="770"/>
      <c r="I3" s="770"/>
      <c r="J3" s="770"/>
      <c r="K3" s="770"/>
      <c r="L3" s="788" t="s">
        <v>587</v>
      </c>
      <c r="M3" s="789" t="s">
        <v>588</v>
      </c>
    </row>
    <row r="4" spans="1:13" s="67" customFormat="1" ht="12.75">
      <c r="A4" s="770"/>
      <c r="B4" s="76" t="s">
        <v>386</v>
      </c>
      <c r="C4" s="648" t="s">
        <v>386</v>
      </c>
      <c r="D4" s="648" t="s">
        <v>386</v>
      </c>
      <c r="E4" s="648" t="s">
        <v>386</v>
      </c>
      <c r="F4" s="648" t="s">
        <v>386</v>
      </c>
      <c r="G4" s="648" t="s">
        <v>386</v>
      </c>
      <c r="H4" s="648" t="s">
        <v>386</v>
      </c>
      <c r="I4" s="648" t="s">
        <v>386</v>
      </c>
      <c r="J4" s="648" t="s">
        <v>386</v>
      </c>
      <c r="K4" s="648" t="s">
        <v>386</v>
      </c>
      <c r="L4" s="770"/>
      <c r="M4" s="767"/>
    </row>
    <row r="5" spans="1:13" s="67" customFormat="1" ht="24.75" customHeight="1">
      <c r="A5" s="76"/>
      <c r="B5" s="76">
        <v>1</v>
      </c>
      <c r="C5" s="76">
        <v>2</v>
      </c>
      <c r="D5" s="77">
        <v>3</v>
      </c>
      <c r="E5" s="78">
        <v>4</v>
      </c>
      <c r="F5" s="76">
        <v>5</v>
      </c>
      <c r="G5" s="79">
        <v>6</v>
      </c>
      <c r="H5" s="76">
        <v>7</v>
      </c>
      <c r="I5" s="76">
        <v>8</v>
      </c>
      <c r="J5" s="79">
        <v>9</v>
      </c>
      <c r="K5" s="76">
        <v>10</v>
      </c>
      <c r="L5" s="76">
        <v>11</v>
      </c>
      <c r="M5" s="90"/>
    </row>
    <row r="6" spans="1:13" s="68" customFormat="1" ht="24.75" customHeight="1">
      <c r="A6" s="80"/>
      <c r="B6" s="80" t="s">
        <v>97</v>
      </c>
      <c r="C6" s="80"/>
      <c r="D6" s="81"/>
      <c r="E6" s="82"/>
      <c r="F6" s="83">
        <f t="shared" ref="F6:K6" si="0">SUM(F7:F150)</f>
        <v>20579411.699999996</v>
      </c>
      <c r="G6" s="84">
        <f t="shared" si="0"/>
        <v>7707666.1999999974</v>
      </c>
      <c r="H6" s="84">
        <f t="shared" si="0"/>
        <v>409975.80999999982</v>
      </c>
      <c r="I6" s="84">
        <f t="shared" si="0"/>
        <v>245228.69</v>
      </c>
      <c r="J6" s="84">
        <f t="shared" si="0"/>
        <v>161180.26999999993</v>
      </c>
      <c r="K6" s="83">
        <f t="shared" si="0"/>
        <v>8524050.9699999988</v>
      </c>
      <c r="L6" s="80"/>
      <c r="M6" s="91"/>
    </row>
    <row r="7" spans="1:13" s="67" customFormat="1" ht="24.75" customHeight="1">
      <c r="A7" s="76">
        <v>1</v>
      </c>
      <c r="B7" s="85">
        <v>40415</v>
      </c>
      <c r="C7" s="86" t="s">
        <v>387</v>
      </c>
      <c r="D7" s="85">
        <v>40401</v>
      </c>
      <c r="E7" s="108" t="s">
        <v>584</v>
      </c>
      <c r="F7" s="87">
        <v>45621.08</v>
      </c>
      <c r="G7" s="87">
        <v>41854.199999999997</v>
      </c>
      <c r="H7" s="87">
        <v>2092.71</v>
      </c>
      <c r="I7" s="87">
        <v>1255.6300000000001</v>
      </c>
      <c r="J7" s="92"/>
      <c r="K7" s="93">
        <f>G7+H7+I7+J7</f>
        <v>45202.539999999994</v>
      </c>
      <c r="L7" s="94"/>
      <c r="M7" s="90"/>
    </row>
    <row r="8" spans="1:13" s="67" customFormat="1" ht="24.75" customHeight="1">
      <c r="A8" s="76">
        <v>2</v>
      </c>
      <c r="B8" s="88">
        <v>40421</v>
      </c>
      <c r="C8" s="86" t="s">
        <v>388</v>
      </c>
      <c r="D8" s="85">
        <v>40420</v>
      </c>
      <c r="E8" s="108" t="s">
        <v>584</v>
      </c>
      <c r="F8" s="87">
        <v>23815.51</v>
      </c>
      <c r="G8" s="87">
        <v>22051.4</v>
      </c>
      <c r="H8" s="87">
        <v>1102.57</v>
      </c>
      <c r="I8" s="87">
        <v>661.54</v>
      </c>
      <c r="J8" s="92"/>
      <c r="K8" s="93">
        <f t="shared" ref="K8:K71" si="1">G8+H8+I8+J8</f>
        <v>23815.510000000002</v>
      </c>
      <c r="L8" s="94"/>
      <c r="M8" s="90"/>
    </row>
    <row r="9" spans="1:13" s="67" customFormat="1" ht="24.75" customHeight="1">
      <c r="A9" s="76">
        <v>3</v>
      </c>
      <c r="B9" s="88">
        <v>40441</v>
      </c>
      <c r="C9" s="86" t="s">
        <v>389</v>
      </c>
      <c r="D9" s="85">
        <v>40440</v>
      </c>
      <c r="E9" s="108" t="s">
        <v>584</v>
      </c>
      <c r="F9" s="87">
        <v>52373.36</v>
      </c>
      <c r="G9" s="87">
        <v>48493.85</v>
      </c>
      <c r="H9" s="87">
        <v>2424.69</v>
      </c>
      <c r="I9" s="87">
        <v>1454.82</v>
      </c>
      <c r="J9" s="92"/>
      <c r="K9" s="93">
        <f t="shared" si="1"/>
        <v>52373.36</v>
      </c>
      <c r="L9" s="94"/>
      <c r="M9" s="90"/>
    </row>
    <row r="10" spans="1:13" s="67" customFormat="1" ht="24.75" customHeight="1">
      <c r="A10" s="76">
        <v>4</v>
      </c>
      <c r="B10" s="88">
        <v>40473</v>
      </c>
      <c r="C10" s="86" t="s">
        <v>390</v>
      </c>
      <c r="D10" s="85">
        <v>40470</v>
      </c>
      <c r="E10" s="108" t="s">
        <v>584</v>
      </c>
      <c r="F10" s="87">
        <v>28177.09</v>
      </c>
      <c r="G10" s="87">
        <v>25851.35</v>
      </c>
      <c r="H10" s="87">
        <v>1292.57</v>
      </c>
      <c r="I10" s="87">
        <v>775.94</v>
      </c>
      <c r="J10" s="92"/>
      <c r="K10" s="93">
        <f t="shared" si="1"/>
        <v>27919.859999999997</v>
      </c>
      <c r="L10" s="94"/>
      <c r="M10" s="90"/>
    </row>
    <row r="11" spans="1:13" s="67" customFormat="1" ht="24.75" customHeight="1">
      <c r="A11" s="76">
        <v>5</v>
      </c>
      <c r="B11" s="88">
        <v>40533</v>
      </c>
      <c r="C11" s="86" t="s">
        <v>391</v>
      </c>
      <c r="D11" s="85">
        <v>40532</v>
      </c>
      <c r="E11" s="108" t="s">
        <v>584</v>
      </c>
      <c r="F11" s="87">
        <v>533474.37</v>
      </c>
      <c r="G11" s="87">
        <v>40114.65</v>
      </c>
      <c r="H11" s="87">
        <v>2005.73</v>
      </c>
      <c r="I11" s="87">
        <v>1203.44</v>
      </c>
      <c r="J11" s="92"/>
      <c r="K11" s="93">
        <f t="shared" si="1"/>
        <v>43323.820000000007</v>
      </c>
      <c r="L11" s="94"/>
      <c r="M11" s="90"/>
    </row>
    <row r="12" spans="1:13" s="67" customFormat="1" ht="24.75" customHeight="1">
      <c r="A12" s="76">
        <v>6</v>
      </c>
      <c r="B12" s="88">
        <v>40654</v>
      </c>
      <c r="C12" s="86" t="s">
        <v>392</v>
      </c>
      <c r="D12" s="85">
        <v>40652</v>
      </c>
      <c r="E12" s="108" t="s">
        <v>584</v>
      </c>
      <c r="F12" s="87">
        <v>222430.27</v>
      </c>
      <c r="G12" s="87">
        <v>5140.6499999999996</v>
      </c>
      <c r="H12" s="87"/>
      <c r="I12" s="87"/>
      <c r="J12" s="92"/>
      <c r="K12" s="93">
        <f t="shared" si="1"/>
        <v>5140.6499999999996</v>
      </c>
      <c r="L12" s="94"/>
      <c r="M12" s="90"/>
    </row>
    <row r="13" spans="1:13" s="67" customFormat="1" ht="24.75" customHeight="1">
      <c r="A13" s="76">
        <v>7</v>
      </c>
      <c r="B13" s="88">
        <v>40654</v>
      </c>
      <c r="C13" s="86" t="s">
        <v>392</v>
      </c>
      <c r="D13" s="85">
        <v>40652</v>
      </c>
      <c r="E13" s="108" t="s">
        <v>584</v>
      </c>
      <c r="F13" s="87">
        <v>11121.51</v>
      </c>
      <c r="G13" s="87"/>
      <c r="H13" s="87">
        <v>257.02999999999997</v>
      </c>
      <c r="I13" s="87"/>
      <c r="J13" s="92"/>
      <c r="K13" s="93">
        <f t="shared" si="1"/>
        <v>257.02999999999997</v>
      </c>
      <c r="L13" s="94"/>
      <c r="M13" s="90"/>
    </row>
    <row r="14" spans="1:13" s="67" customFormat="1" ht="24.75" customHeight="1">
      <c r="A14" s="76">
        <v>8</v>
      </c>
      <c r="B14" s="88">
        <v>40654</v>
      </c>
      <c r="C14" s="86" t="s">
        <v>392</v>
      </c>
      <c r="D14" s="85">
        <v>40652</v>
      </c>
      <c r="E14" s="108" t="s">
        <v>584</v>
      </c>
      <c r="F14" s="87">
        <v>6672.91</v>
      </c>
      <c r="G14" s="87"/>
      <c r="H14" s="87"/>
      <c r="I14" s="87">
        <v>154.22</v>
      </c>
      <c r="J14" s="92"/>
      <c r="K14" s="93">
        <f t="shared" si="1"/>
        <v>154.22</v>
      </c>
      <c r="L14" s="94"/>
      <c r="M14" s="90"/>
    </row>
    <row r="15" spans="1:13" s="67" customFormat="1" ht="24.75" customHeight="1">
      <c r="A15" s="76">
        <v>9</v>
      </c>
      <c r="B15" s="88">
        <v>40654</v>
      </c>
      <c r="C15" s="86" t="s">
        <v>392</v>
      </c>
      <c r="D15" s="85">
        <v>40652</v>
      </c>
      <c r="E15" s="108" t="s">
        <v>584</v>
      </c>
      <c r="F15" s="87">
        <v>4448.6099999999997</v>
      </c>
      <c r="G15" s="87"/>
      <c r="H15" s="87"/>
      <c r="I15" s="87"/>
      <c r="J15" s="92">
        <v>102.81</v>
      </c>
      <c r="K15" s="93">
        <f t="shared" si="1"/>
        <v>102.81</v>
      </c>
      <c r="L15" s="94"/>
      <c r="M15" s="90"/>
    </row>
    <row r="16" spans="1:13" s="67" customFormat="1" ht="24.75" customHeight="1">
      <c r="A16" s="76">
        <v>10</v>
      </c>
      <c r="B16" s="88">
        <v>40689</v>
      </c>
      <c r="C16" s="86" t="s">
        <v>393</v>
      </c>
      <c r="D16" s="85">
        <v>40688</v>
      </c>
      <c r="E16" s="108" t="s">
        <v>584</v>
      </c>
      <c r="F16" s="87">
        <v>27205.25</v>
      </c>
      <c r="G16" s="87">
        <v>27205.25</v>
      </c>
      <c r="H16" s="87"/>
      <c r="I16" s="87"/>
      <c r="J16" s="92"/>
      <c r="K16" s="93">
        <f t="shared" si="1"/>
        <v>27205.25</v>
      </c>
      <c r="L16" s="94"/>
      <c r="M16" s="90"/>
    </row>
    <row r="17" spans="1:13" s="67" customFormat="1" ht="24.75" customHeight="1">
      <c r="A17" s="76">
        <v>11</v>
      </c>
      <c r="B17" s="88">
        <v>40689</v>
      </c>
      <c r="C17" s="86" t="s">
        <v>393</v>
      </c>
      <c r="D17" s="85">
        <v>40688</v>
      </c>
      <c r="E17" s="108" t="s">
        <v>584</v>
      </c>
      <c r="F17" s="87">
        <v>1360.25</v>
      </c>
      <c r="G17" s="87"/>
      <c r="H17" s="87">
        <v>1360.26</v>
      </c>
      <c r="I17" s="87"/>
      <c r="J17" s="92"/>
      <c r="K17" s="93">
        <f t="shared" si="1"/>
        <v>1360.26</v>
      </c>
      <c r="L17" s="94"/>
      <c r="M17" s="90"/>
    </row>
    <row r="18" spans="1:13" s="67" customFormat="1" ht="24.75" customHeight="1">
      <c r="A18" s="76">
        <v>12</v>
      </c>
      <c r="B18" s="88">
        <v>40689</v>
      </c>
      <c r="C18" s="86" t="s">
        <v>393</v>
      </c>
      <c r="D18" s="85">
        <v>40688</v>
      </c>
      <c r="E18" s="108" t="s">
        <v>584</v>
      </c>
      <c r="F18" s="87">
        <v>816.16</v>
      </c>
      <c r="G18" s="87"/>
      <c r="H18" s="87"/>
      <c r="I18" s="87">
        <v>816.16</v>
      </c>
      <c r="J18" s="92"/>
      <c r="K18" s="93">
        <f t="shared" si="1"/>
        <v>816.16</v>
      </c>
      <c r="L18" s="94"/>
      <c r="M18" s="90"/>
    </row>
    <row r="19" spans="1:13" s="67" customFormat="1" ht="24.75" customHeight="1">
      <c r="A19" s="76">
        <v>13</v>
      </c>
      <c r="B19" s="88">
        <v>40689</v>
      </c>
      <c r="C19" s="86" t="s">
        <v>393</v>
      </c>
      <c r="D19" s="85">
        <v>40688</v>
      </c>
      <c r="E19" s="108" t="s">
        <v>584</v>
      </c>
      <c r="F19" s="87">
        <v>544.11</v>
      </c>
      <c r="G19" s="87"/>
      <c r="H19" s="87"/>
      <c r="I19" s="87"/>
      <c r="J19" s="92">
        <v>544.11</v>
      </c>
      <c r="K19" s="93">
        <f t="shared" si="1"/>
        <v>544.11</v>
      </c>
      <c r="L19" s="94"/>
      <c r="M19" s="90"/>
    </row>
    <row r="20" spans="1:13" s="67" customFormat="1" ht="24.75" customHeight="1">
      <c r="A20" s="76">
        <v>14</v>
      </c>
      <c r="B20" s="88">
        <v>40686</v>
      </c>
      <c r="C20" s="86" t="s">
        <v>390</v>
      </c>
      <c r="D20" s="85">
        <v>40679</v>
      </c>
      <c r="E20" s="108" t="s">
        <v>584</v>
      </c>
      <c r="F20" s="87">
        <v>1203652.3</v>
      </c>
      <c r="G20" s="87">
        <v>1078023.75</v>
      </c>
      <c r="H20" s="87"/>
      <c r="I20" s="87"/>
      <c r="J20" s="92"/>
      <c r="K20" s="93">
        <f t="shared" si="1"/>
        <v>1078023.75</v>
      </c>
      <c r="L20" s="94"/>
      <c r="M20" s="90"/>
    </row>
    <row r="21" spans="1:13" s="67" customFormat="1" ht="24.75" customHeight="1">
      <c r="A21" s="76">
        <v>15</v>
      </c>
      <c r="B21" s="88">
        <v>40686</v>
      </c>
      <c r="C21" s="86" t="s">
        <v>390</v>
      </c>
      <c r="D21" s="85">
        <v>40679</v>
      </c>
      <c r="E21" s="108" t="s">
        <v>584</v>
      </c>
      <c r="F21" s="87">
        <v>60162.62</v>
      </c>
      <c r="G21" s="87"/>
      <c r="H21" s="87">
        <v>53901.19</v>
      </c>
      <c r="I21" s="87"/>
      <c r="J21" s="92"/>
      <c r="K21" s="93">
        <f t="shared" si="1"/>
        <v>53901.19</v>
      </c>
      <c r="L21" s="94"/>
      <c r="M21" s="90"/>
    </row>
    <row r="22" spans="1:13" s="67" customFormat="1" ht="24.75" customHeight="1">
      <c r="A22" s="76">
        <v>16</v>
      </c>
      <c r="B22" s="88">
        <v>40686</v>
      </c>
      <c r="C22" s="86" t="s">
        <v>390</v>
      </c>
      <c r="D22" s="85">
        <v>40679</v>
      </c>
      <c r="E22" s="108" t="s">
        <v>584</v>
      </c>
      <c r="F22" s="87"/>
      <c r="G22" s="87"/>
      <c r="H22" s="87"/>
      <c r="I22" s="87">
        <v>32340.71</v>
      </c>
      <c r="J22" s="92"/>
      <c r="K22" s="93">
        <f t="shared" si="1"/>
        <v>32340.71</v>
      </c>
      <c r="L22" s="94"/>
      <c r="M22" s="90"/>
    </row>
    <row r="23" spans="1:13" s="67" customFormat="1" ht="24.75" customHeight="1">
      <c r="A23" s="76">
        <v>17</v>
      </c>
      <c r="B23" s="88">
        <v>40686</v>
      </c>
      <c r="C23" s="86" t="s">
        <v>390</v>
      </c>
      <c r="D23" s="85">
        <v>40679</v>
      </c>
      <c r="E23" s="108" t="s">
        <v>584</v>
      </c>
      <c r="F23" s="87">
        <v>24073.05</v>
      </c>
      <c r="G23" s="87"/>
      <c r="H23" s="87"/>
      <c r="I23" s="87"/>
      <c r="J23" s="92">
        <v>21560.48</v>
      </c>
      <c r="K23" s="93">
        <f t="shared" si="1"/>
        <v>21560.48</v>
      </c>
      <c r="L23" s="94"/>
      <c r="M23" s="90"/>
    </row>
    <row r="24" spans="1:13" s="67" customFormat="1" ht="24.75" customHeight="1">
      <c r="A24" s="76">
        <v>18</v>
      </c>
      <c r="B24" s="88">
        <v>40715</v>
      </c>
      <c r="C24" s="86" t="s">
        <v>392</v>
      </c>
      <c r="D24" s="85">
        <v>40710</v>
      </c>
      <c r="E24" s="108" t="s">
        <v>584</v>
      </c>
      <c r="F24" s="87">
        <v>110980.6</v>
      </c>
      <c r="G24" s="87">
        <v>110980.6</v>
      </c>
      <c r="H24" s="87"/>
      <c r="I24" s="87"/>
      <c r="J24" s="92"/>
      <c r="K24" s="93">
        <f t="shared" si="1"/>
        <v>110980.6</v>
      </c>
      <c r="L24" s="94"/>
      <c r="M24" s="90"/>
    </row>
    <row r="25" spans="1:13" s="67" customFormat="1" ht="24.75" customHeight="1">
      <c r="A25" s="76">
        <v>19</v>
      </c>
      <c r="B25" s="88">
        <v>40715</v>
      </c>
      <c r="C25" s="86" t="s">
        <v>392</v>
      </c>
      <c r="D25" s="85">
        <v>40710</v>
      </c>
      <c r="E25" s="108" t="s">
        <v>584</v>
      </c>
      <c r="F25" s="87">
        <v>5549.03</v>
      </c>
      <c r="G25" s="87"/>
      <c r="H25" s="87">
        <v>5549.03</v>
      </c>
      <c r="I25" s="87"/>
      <c r="J25" s="92"/>
      <c r="K25" s="93">
        <f t="shared" si="1"/>
        <v>5549.03</v>
      </c>
      <c r="L25" s="94"/>
      <c r="M25" s="90"/>
    </row>
    <row r="26" spans="1:13" s="67" customFormat="1" ht="24.75" customHeight="1">
      <c r="A26" s="76">
        <v>20</v>
      </c>
      <c r="B26" s="88">
        <v>40715</v>
      </c>
      <c r="C26" s="86" t="s">
        <v>392</v>
      </c>
      <c r="D26" s="85">
        <v>40710</v>
      </c>
      <c r="E26" s="108" t="s">
        <v>584</v>
      </c>
      <c r="F26" s="87">
        <v>3329.42</v>
      </c>
      <c r="G26" s="87"/>
      <c r="H26" s="87"/>
      <c r="I26" s="87">
        <v>3329.42</v>
      </c>
      <c r="J26" s="92"/>
      <c r="K26" s="93">
        <f t="shared" si="1"/>
        <v>3329.42</v>
      </c>
      <c r="L26" s="94"/>
      <c r="M26" s="90"/>
    </row>
    <row r="27" spans="1:13" s="67" customFormat="1" ht="24.75" customHeight="1">
      <c r="A27" s="76">
        <v>21</v>
      </c>
      <c r="B27" s="88">
        <v>40715</v>
      </c>
      <c r="C27" s="86" t="s">
        <v>392</v>
      </c>
      <c r="D27" s="85">
        <v>40710</v>
      </c>
      <c r="E27" s="108" t="s">
        <v>584</v>
      </c>
      <c r="F27" s="87">
        <v>2219.61</v>
      </c>
      <c r="G27" s="87"/>
      <c r="H27" s="87"/>
      <c r="I27" s="87"/>
      <c r="J27" s="92">
        <v>2219.61</v>
      </c>
      <c r="K27" s="93">
        <f t="shared" si="1"/>
        <v>2219.61</v>
      </c>
      <c r="L27" s="94"/>
      <c r="M27" s="90"/>
    </row>
    <row r="28" spans="1:13" s="67" customFormat="1" ht="24.75" customHeight="1">
      <c r="A28" s="76">
        <v>22</v>
      </c>
      <c r="B28" s="88">
        <v>40746</v>
      </c>
      <c r="C28" s="86" t="s">
        <v>394</v>
      </c>
      <c r="D28" s="85">
        <v>40738</v>
      </c>
      <c r="E28" s="108" t="s">
        <v>584</v>
      </c>
      <c r="F28" s="87">
        <v>37253.9</v>
      </c>
      <c r="G28" s="87">
        <v>22830.15</v>
      </c>
      <c r="H28" s="87"/>
      <c r="I28" s="87"/>
      <c r="J28" s="92"/>
      <c r="K28" s="93">
        <f t="shared" si="1"/>
        <v>22830.15</v>
      </c>
      <c r="L28" s="94"/>
      <c r="M28" s="90"/>
    </row>
    <row r="29" spans="1:13" s="67" customFormat="1" ht="24.75" customHeight="1">
      <c r="A29" s="76">
        <v>23</v>
      </c>
      <c r="B29" s="88">
        <v>40746</v>
      </c>
      <c r="C29" s="86" t="s">
        <v>394</v>
      </c>
      <c r="D29" s="85">
        <v>40738</v>
      </c>
      <c r="E29" s="108" t="s">
        <v>584</v>
      </c>
      <c r="F29" s="87">
        <v>1862.7</v>
      </c>
      <c r="G29" s="87"/>
      <c r="H29" s="87">
        <v>1141.51</v>
      </c>
      <c r="I29" s="87"/>
      <c r="J29" s="92"/>
      <c r="K29" s="93">
        <f t="shared" si="1"/>
        <v>1141.51</v>
      </c>
      <c r="L29" s="94"/>
      <c r="M29" s="90"/>
    </row>
    <row r="30" spans="1:13" s="67" customFormat="1" ht="24.75" customHeight="1">
      <c r="A30" s="76">
        <v>24</v>
      </c>
      <c r="B30" s="88">
        <v>40746</v>
      </c>
      <c r="C30" s="86" t="s">
        <v>394</v>
      </c>
      <c r="D30" s="85">
        <v>40738</v>
      </c>
      <c r="E30" s="108" t="s">
        <v>584</v>
      </c>
      <c r="F30" s="87">
        <v>1117.6199999999999</v>
      </c>
      <c r="G30" s="87"/>
      <c r="H30" s="87"/>
      <c r="I30" s="87">
        <v>684.9</v>
      </c>
      <c r="J30" s="92"/>
      <c r="K30" s="93">
        <f t="shared" si="1"/>
        <v>684.9</v>
      </c>
      <c r="L30" s="94"/>
      <c r="M30" s="90"/>
    </row>
    <row r="31" spans="1:13" s="67" customFormat="1" ht="24.75" customHeight="1">
      <c r="A31" s="76">
        <v>25</v>
      </c>
      <c r="B31" s="88">
        <v>40746</v>
      </c>
      <c r="C31" s="86" t="s">
        <v>394</v>
      </c>
      <c r="D31" s="85">
        <v>40738</v>
      </c>
      <c r="E31" s="108" t="s">
        <v>584</v>
      </c>
      <c r="F31" s="87">
        <v>745.08</v>
      </c>
      <c r="G31" s="87"/>
      <c r="H31" s="87"/>
      <c r="I31" s="87"/>
      <c r="J31" s="92">
        <v>456.6</v>
      </c>
      <c r="K31" s="93">
        <f t="shared" si="1"/>
        <v>456.6</v>
      </c>
      <c r="L31" s="94"/>
      <c r="M31" s="90"/>
    </row>
    <row r="32" spans="1:13" s="67" customFormat="1" ht="24.75" customHeight="1">
      <c r="A32" s="76">
        <v>26</v>
      </c>
      <c r="B32" s="88">
        <v>40755</v>
      </c>
      <c r="C32" s="86" t="s">
        <v>395</v>
      </c>
      <c r="D32" s="85">
        <v>40745</v>
      </c>
      <c r="E32" s="108" t="s">
        <v>584</v>
      </c>
      <c r="F32" s="87">
        <v>100799.35</v>
      </c>
      <c r="G32" s="87">
        <v>100799.35</v>
      </c>
      <c r="H32" s="87"/>
      <c r="I32" s="87"/>
      <c r="J32" s="92"/>
      <c r="K32" s="93">
        <f t="shared" si="1"/>
        <v>100799.35</v>
      </c>
      <c r="L32" s="94"/>
      <c r="M32" s="90"/>
    </row>
    <row r="33" spans="1:13" s="67" customFormat="1" ht="24.75" customHeight="1">
      <c r="A33" s="76">
        <v>27</v>
      </c>
      <c r="B33" s="88">
        <v>40755</v>
      </c>
      <c r="C33" s="86" t="s">
        <v>395</v>
      </c>
      <c r="D33" s="85">
        <v>40745</v>
      </c>
      <c r="E33" s="108" t="s">
        <v>584</v>
      </c>
      <c r="F33" s="87">
        <v>5039.97</v>
      </c>
      <c r="G33" s="87"/>
      <c r="H33" s="87">
        <v>5039.97</v>
      </c>
      <c r="I33" s="87"/>
      <c r="J33" s="92"/>
      <c r="K33" s="93">
        <f t="shared" si="1"/>
        <v>5039.97</v>
      </c>
      <c r="L33" s="94"/>
      <c r="M33" s="90"/>
    </row>
    <row r="34" spans="1:13" s="67" customFormat="1" ht="24.75" customHeight="1">
      <c r="A34" s="76">
        <v>28</v>
      </c>
      <c r="B34" s="88">
        <v>40755</v>
      </c>
      <c r="C34" s="86" t="s">
        <v>395</v>
      </c>
      <c r="D34" s="85">
        <v>40745</v>
      </c>
      <c r="E34" s="108" t="s">
        <v>584</v>
      </c>
      <c r="F34" s="87">
        <v>3023.98</v>
      </c>
      <c r="G34" s="87"/>
      <c r="H34" s="87"/>
      <c r="I34" s="87">
        <v>3023.98</v>
      </c>
      <c r="J34" s="92"/>
      <c r="K34" s="93">
        <f t="shared" si="1"/>
        <v>3023.98</v>
      </c>
      <c r="L34" s="94"/>
      <c r="M34" s="90"/>
    </row>
    <row r="35" spans="1:13" s="67" customFormat="1" ht="24.75" customHeight="1">
      <c r="A35" s="76">
        <v>29</v>
      </c>
      <c r="B35" s="88">
        <v>40755</v>
      </c>
      <c r="C35" s="86" t="s">
        <v>395</v>
      </c>
      <c r="D35" s="85">
        <v>40745</v>
      </c>
      <c r="E35" s="108" t="s">
        <v>584</v>
      </c>
      <c r="F35" s="87">
        <v>2015.99</v>
      </c>
      <c r="G35" s="87"/>
      <c r="H35" s="87"/>
      <c r="I35" s="87"/>
      <c r="J35" s="92">
        <v>2015.99</v>
      </c>
      <c r="K35" s="93">
        <f t="shared" si="1"/>
        <v>2015.99</v>
      </c>
      <c r="L35" s="94"/>
      <c r="M35" s="90"/>
    </row>
    <row r="36" spans="1:13" s="67" customFormat="1" ht="24.75" customHeight="1">
      <c r="A36" s="76">
        <v>30</v>
      </c>
      <c r="B36" s="88">
        <v>40767</v>
      </c>
      <c r="C36" s="86" t="s">
        <v>396</v>
      </c>
      <c r="D36" s="85">
        <v>40760</v>
      </c>
      <c r="E36" s="108" t="s">
        <v>584</v>
      </c>
      <c r="F36" s="87">
        <v>385500.5</v>
      </c>
      <c r="G36" s="87">
        <v>385500.5</v>
      </c>
      <c r="H36" s="87"/>
      <c r="I36" s="87"/>
      <c r="J36" s="92"/>
      <c r="K36" s="93">
        <f t="shared" si="1"/>
        <v>385500.5</v>
      </c>
      <c r="L36" s="94"/>
      <c r="M36" s="90"/>
    </row>
    <row r="37" spans="1:13" s="67" customFormat="1" ht="24.75" customHeight="1">
      <c r="A37" s="76">
        <v>31</v>
      </c>
      <c r="B37" s="88">
        <v>40767</v>
      </c>
      <c r="C37" s="86" t="s">
        <v>396</v>
      </c>
      <c r="D37" s="85">
        <v>40760</v>
      </c>
      <c r="E37" s="108" t="s">
        <v>584</v>
      </c>
      <c r="F37" s="87">
        <v>19275.03</v>
      </c>
      <c r="G37" s="87"/>
      <c r="H37" s="87">
        <v>19275.03</v>
      </c>
      <c r="I37" s="87"/>
      <c r="J37" s="92"/>
      <c r="K37" s="93">
        <f t="shared" si="1"/>
        <v>19275.03</v>
      </c>
      <c r="L37" s="94"/>
      <c r="M37" s="90"/>
    </row>
    <row r="38" spans="1:13" s="67" customFormat="1" ht="24.75" customHeight="1">
      <c r="A38" s="76">
        <v>32</v>
      </c>
      <c r="B38" s="88">
        <v>40767</v>
      </c>
      <c r="C38" s="86" t="s">
        <v>396</v>
      </c>
      <c r="D38" s="85">
        <v>40760</v>
      </c>
      <c r="E38" s="108" t="s">
        <v>584</v>
      </c>
      <c r="F38" s="87">
        <v>11565.02</v>
      </c>
      <c r="G38" s="87"/>
      <c r="H38" s="87"/>
      <c r="I38" s="87">
        <v>11565.02</v>
      </c>
      <c r="J38" s="92"/>
      <c r="K38" s="93">
        <f t="shared" si="1"/>
        <v>11565.02</v>
      </c>
      <c r="L38" s="94"/>
      <c r="M38" s="90"/>
    </row>
    <row r="39" spans="1:13" s="67" customFormat="1" ht="24.75" customHeight="1">
      <c r="A39" s="76">
        <v>33</v>
      </c>
      <c r="B39" s="88">
        <v>40767</v>
      </c>
      <c r="C39" s="86" t="s">
        <v>396</v>
      </c>
      <c r="D39" s="85">
        <v>40760</v>
      </c>
      <c r="E39" s="108" t="s">
        <v>584</v>
      </c>
      <c r="F39" s="87">
        <v>7710.01</v>
      </c>
      <c r="G39" s="87"/>
      <c r="H39" s="87"/>
      <c r="I39" s="87"/>
      <c r="J39" s="92">
        <v>7710.01</v>
      </c>
      <c r="K39" s="93">
        <f t="shared" si="1"/>
        <v>7710.01</v>
      </c>
      <c r="L39" s="94"/>
      <c r="M39" s="90"/>
    </row>
    <row r="40" spans="1:13" s="67" customFormat="1" ht="24.75" customHeight="1">
      <c r="A40" s="76">
        <v>34</v>
      </c>
      <c r="B40" s="88">
        <v>40807</v>
      </c>
      <c r="C40" s="86" t="s">
        <v>294</v>
      </c>
      <c r="D40" s="85">
        <v>40800</v>
      </c>
      <c r="E40" s="108" t="s">
        <v>584</v>
      </c>
      <c r="F40" s="87">
        <v>414636.25</v>
      </c>
      <c r="G40" s="87">
        <v>414636.25</v>
      </c>
      <c r="H40" s="87"/>
      <c r="I40" s="87"/>
      <c r="J40" s="92"/>
      <c r="K40" s="93">
        <f t="shared" si="1"/>
        <v>414636.25</v>
      </c>
      <c r="L40" s="94"/>
      <c r="M40" s="90"/>
    </row>
    <row r="41" spans="1:13" s="67" customFormat="1" ht="24.75" customHeight="1">
      <c r="A41" s="76">
        <v>35</v>
      </c>
      <c r="B41" s="88">
        <v>40807</v>
      </c>
      <c r="C41" s="86" t="s">
        <v>294</v>
      </c>
      <c r="D41" s="85">
        <v>40800</v>
      </c>
      <c r="E41" s="108" t="s">
        <v>584</v>
      </c>
      <c r="F41" s="87">
        <v>20731.810000000001</v>
      </c>
      <c r="G41" s="87"/>
      <c r="H41" s="87">
        <v>20731.810000000001</v>
      </c>
      <c r="I41" s="87"/>
      <c r="J41" s="92"/>
      <c r="K41" s="93">
        <f t="shared" si="1"/>
        <v>20731.810000000001</v>
      </c>
      <c r="L41" s="94"/>
      <c r="M41" s="90"/>
    </row>
    <row r="42" spans="1:13" s="67" customFormat="1" ht="24.75" customHeight="1">
      <c r="A42" s="76">
        <v>36</v>
      </c>
      <c r="B42" s="88">
        <v>40807</v>
      </c>
      <c r="C42" s="86" t="s">
        <v>294</v>
      </c>
      <c r="D42" s="85">
        <v>40800</v>
      </c>
      <c r="E42" s="108" t="s">
        <v>584</v>
      </c>
      <c r="F42" s="87">
        <v>12439.09</v>
      </c>
      <c r="G42" s="87"/>
      <c r="H42" s="87"/>
      <c r="I42" s="87">
        <v>12439.09</v>
      </c>
      <c r="J42" s="92"/>
      <c r="K42" s="93">
        <f t="shared" si="1"/>
        <v>12439.09</v>
      </c>
      <c r="L42" s="94"/>
      <c r="M42" s="90"/>
    </row>
    <row r="43" spans="1:13" s="67" customFormat="1" ht="24.75" customHeight="1">
      <c r="A43" s="76">
        <v>37</v>
      </c>
      <c r="B43" s="88">
        <v>40807</v>
      </c>
      <c r="C43" s="86" t="s">
        <v>294</v>
      </c>
      <c r="D43" s="85">
        <v>40800</v>
      </c>
      <c r="E43" s="108" t="s">
        <v>584</v>
      </c>
      <c r="F43" s="87">
        <v>8292.73</v>
      </c>
      <c r="G43" s="87"/>
      <c r="H43" s="87"/>
      <c r="I43" s="87"/>
      <c r="J43" s="92">
        <v>8292.73</v>
      </c>
      <c r="K43" s="93">
        <f t="shared" si="1"/>
        <v>8292.73</v>
      </c>
      <c r="L43" s="94"/>
      <c r="M43" s="90"/>
    </row>
    <row r="44" spans="1:13" s="67" customFormat="1" ht="24.75" customHeight="1">
      <c r="A44" s="76">
        <v>38</v>
      </c>
      <c r="B44" s="88">
        <v>40816</v>
      </c>
      <c r="C44" s="86" t="s">
        <v>397</v>
      </c>
      <c r="D44" s="85">
        <v>40814</v>
      </c>
      <c r="E44" s="108" t="s">
        <v>584</v>
      </c>
      <c r="F44" s="87">
        <v>455735.05</v>
      </c>
      <c r="G44" s="87">
        <v>455735.05</v>
      </c>
      <c r="H44" s="87"/>
      <c r="I44" s="87"/>
      <c r="J44" s="92"/>
      <c r="K44" s="93">
        <f t="shared" si="1"/>
        <v>455735.05</v>
      </c>
      <c r="L44" s="94"/>
      <c r="M44" s="90"/>
    </row>
    <row r="45" spans="1:13" s="67" customFormat="1" ht="24.75" customHeight="1">
      <c r="A45" s="76">
        <v>39</v>
      </c>
      <c r="B45" s="88">
        <v>40816</v>
      </c>
      <c r="C45" s="86" t="s">
        <v>397</v>
      </c>
      <c r="D45" s="85">
        <v>40814</v>
      </c>
      <c r="E45" s="108" t="s">
        <v>584</v>
      </c>
      <c r="F45" s="87">
        <v>22786.75</v>
      </c>
      <c r="G45" s="87"/>
      <c r="H45" s="87">
        <v>22786.75</v>
      </c>
      <c r="I45" s="87"/>
      <c r="J45" s="92"/>
      <c r="K45" s="93">
        <f t="shared" si="1"/>
        <v>22786.75</v>
      </c>
      <c r="L45" s="94"/>
      <c r="M45" s="90"/>
    </row>
    <row r="46" spans="1:13" s="67" customFormat="1" ht="24.75" customHeight="1">
      <c r="A46" s="76">
        <v>40</v>
      </c>
      <c r="B46" s="88">
        <v>40816</v>
      </c>
      <c r="C46" s="86" t="s">
        <v>397</v>
      </c>
      <c r="D46" s="85">
        <v>40814</v>
      </c>
      <c r="E46" s="108" t="s">
        <v>584</v>
      </c>
      <c r="F46" s="87">
        <v>13672.05</v>
      </c>
      <c r="G46" s="87"/>
      <c r="H46" s="87"/>
      <c r="I46" s="87">
        <v>13672.05</v>
      </c>
      <c r="J46" s="92"/>
      <c r="K46" s="93">
        <f t="shared" si="1"/>
        <v>13672.05</v>
      </c>
      <c r="L46" s="94"/>
      <c r="M46" s="90"/>
    </row>
    <row r="47" spans="1:13" s="67" customFormat="1" ht="24.75" customHeight="1">
      <c r="A47" s="76">
        <v>41</v>
      </c>
      <c r="B47" s="88">
        <v>40816</v>
      </c>
      <c r="C47" s="86" t="s">
        <v>397</v>
      </c>
      <c r="D47" s="85">
        <v>40814</v>
      </c>
      <c r="E47" s="108" t="s">
        <v>584</v>
      </c>
      <c r="F47" s="87">
        <v>9114.7000000000007</v>
      </c>
      <c r="G47" s="87"/>
      <c r="H47" s="87"/>
      <c r="I47" s="87"/>
      <c r="J47" s="92">
        <v>9114.7000000000007</v>
      </c>
      <c r="K47" s="93">
        <f t="shared" si="1"/>
        <v>9114.7000000000007</v>
      </c>
      <c r="L47" s="94"/>
      <c r="M47" s="90"/>
    </row>
    <row r="48" spans="1:13" s="67" customFormat="1" ht="24.75" customHeight="1">
      <c r="A48" s="76">
        <v>42</v>
      </c>
      <c r="B48" s="88">
        <v>40858</v>
      </c>
      <c r="C48" s="86" t="s">
        <v>387</v>
      </c>
      <c r="D48" s="85">
        <v>40858</v>
      </c>
      <c r="E48" s="108" t="s">
        <v>584</v>
      </c>
      <c r="F48" s="87">
        <v>172577.85</v>
      </c>
      <c r="G48" s="87">
        <v>172577.85</v>
      </c>
      <c r="H48" s="87"/>
      <c r="I48" s="87"/>
      <c r="J48" s="92"/>
      <c r="K48" s="93">
        <f t="shared" si="1"/>
        <v>172577.85</v>
      </c>
      <c r="L48" s="94"/>
      <c r="M48" s="90"/>
    </row>
    <row r="49" spans="1:13" s="67" customFormat="1" ht="24.75" customHeight="1">
      <c r="A49" s="76">
        <v>43</v>
      </c>
      <c r="B49" s="88">
        <v>40858</v>
      </c>
      <c r="C49" s="86" t="s">
        <v>387</v>
      </c>
      <c r="D49" s="85">
        <v>40858</v>
      </c>
      <c r="E49" s="108" t="s">
        <v>584</v>
      </c>
      <c r="F49" s="87">
        <v>8628.89</v>
      </c>
      <c r="G49" s="87"/>
      <c r="H49" s="87">
        <v>8628.89</v>
      </c>
      <c r="I49" s="87"/>
      <c r="J49" s="92"/>
      <c r="K49" s="93">
        <f t="shared" si="1"/>
        <v>8628.89</v>
      </c>
      <c r="L49" s="94"/>
      <c r="M49" s="90"/>
    </row>
    <row r="50" spans="1:13" s="67" customFormat="1" ht="24.75" customHeight="1">
      <c r="A50" s="76">
        <v>44</v>
      </c>
      <c r="B50" s="88">
        <v>40858</v>
      </c>
      <c r="C50" s="86" t="s">
        <v>387</v>
      </c>
      <c r="D50" s="85">
        <v>40858</v>
      </c>
      <c r="E50" s="108" t="s">
        <v>584</v>
      </c>
      <c r="F50" s="87">
        <v>5177.34</v>
      </c>
      <c r="G50" s="87"/>
      <c r="H50" s="87"/>
      <c r="I50" s="87">
        <v>5177.34</v>
      </c>
      <c r="J50" s="92"/>
      <c r="K50" s="93">
        <f t="shared" si="1"/>
        <v>5177.34</v>
      </c>
      <c r="L50" s="94"/>
      <c r="M50" s="90"/>
    </row>
    <row r="51" spans="1:13" ht="24.75" customHeight="1">
      <c r="A51" s="76">
        <v>45</v>
      </c>
      <c r="B51" s="88">
        <v>40858</v>
      </c>
      <c r="C51" s="86" t="s">
        <v>387</v>
      </c>
      <c r="D51" s="85">
        <v>40858</v>
      </c>
      <c r="E51" s="108" t="s">
        <v>584</v>
      </c>
      <c r="F51" s="87">
        <v>3451.56</v>
      </c>
      <c r="G51" s="87"/>
      <c r="H51" s="87"/>
      <c r="I51" s="87"/>
      <c r="J51" s="92">
        <v>3451.56</v>
      </c>
      <c r="K51" s="93">
        <f t="shared" si="1"/>
        <v>3451.56</v>
      </c>
      <c r="L51" s="94"/>
      <c r="M51" s="90"/>
    </row>
    <row r="52" spans="1:13">
      <c r="A52" s="76">
        <v>46</v>
      </c>
      <c r="B52" s="88">
        <v>40890</v>
      </c>
      <c r="C52" s="86" t="s">
        <v>398</v>
      </c>
      <c r="D52" s="85">
        <v>40884</v>
      </c>
      <c r="E52" s="108" t="s">
        <v>584</v>
      </c>
      <c r="F52" s="87">
        <v>302841.34999999998</v>
      </c>
      <c r="G52" s="87">
        <v>302841.34999999998</v>
      </c>
      <c r="H52" s="87"/>
      <c r="I52" s="87"/>
      <c r="J52" s="92"/>
      <c r="K52" s="93">
        <f t="shared" si="1"/>
        <v>302841.34999999998</v>
      </c>
      <c r="L52" s="95"/>
      <c r="M52" s="95"/>
    </row>
    <row r="53" spans="1:13">
      <c r="A53" s="76">
        <v>47</v>
      </c>
      <c r="B53" s="88">
        <v>40890</v>
      </c>
      <c r="C53" s="86" t="s">
        <v>398</v>
      </c>
      <c r="D53" s="85">
        <v>40884</v>
      </c>
      <c r="E53" s="108" t="s">
        <v>584</v>
      </c>
      <c r="F53" s="87">
        <v>15142.07</v>
      </c>
      <c r="G53" s="87"/>
      <c r="H53" s="87">
        <v>15142.07</v>
      </c>
      <c r="I53" s="87"/>
      <c r="J53" s="92"/>
      <c r="K53" s="93">
        <f t="shared" si="1"/>
        <v>15142.07</v>
      </c>
      <c r="L53" s="95"/>
      <c r="M53" s="95"/>
    </row>
    <row r="54" spans="1:13">
      <c r="A54" s="76">
        <v>48</v>
      </c>
      <c r="B54" s="88">
        <v>40890</v>
      </c>
      <c r="C54" s="86" t="s">
        <v>398</v>
      </c>
      <c r="D54" s="85">
        <v>40884</v>
      </c>
      <c r="E54" s="108" t="s">
        <v>584</v>
      </c>
      <c r="F54" s="87">
        <v>9085.24</v>
      </c>
      <c r="G54" s="87"/>
      <c r="H54" s="87"/>
      <c r="I54" s="87">
        <v>9085.24</v>
      </c>
      <c r="J54" s="92"/>
      <c r="K54" s="93">
        <f t="shared" si="1"/>
        <v>9085.24</v>
      </c>
      <c r="L54" s="95"/>
      <c r="M54" s="95"/>
    </row>
    <row r="55" spans="1:13">
      <c r="A55" s="76">
        <v>49</v>
      </c>
      <c r="B55" s="88">
        <v>40890</v>
      </c>
      <c r="C55" s="86" t="s">
        <v>398</v>
      </c>
      <c r="D55" s="85">
        <v>40884</v>
      </c>
      <c r="E55" s="108" t="s">
        <v>584</v>
      </c>
      <c r="F55" s="87">
        <v>6056.83</v>
      </c>
      <c r="G55" s="87"/>
      <c r="H55" s="87"/>
      <c r="I55" s="87"/>
      <c r="J55" s="92">
        <v>6056.83</v>
      </c>
      <c r="K55" s="93">
        <f t="shared" si="1"/>
        <v>6056.83</v>
      </c>
      <c r="L55" s="95"/>
      <c r="M55" s="95"/>
    </row>
    <row r="56" spans="1:13">
      <c r="A56" s="76">
        <v>50</v>
      </c>
      <c r="B56" s="88">
        <v>40938</v>
      </c>
      <c r="C56" s="86" t="s">
        <v>399</v>
      </c>
      <c r="D56" s="85">
        <v>40917</v>
      </c>
      <c r="E56" s="108" t="s">
        <v>584</v>
      </c>
      <c r="F56" s="87">
        <v>374131.3</v>
      </c>
      <c r="G56" s="87">
        <v>374131.3</v>
      </c>
      <c r="H56" s="87"/>
      <c r="I56" s="87"/>
      <c r="J56" s="92"/>
      <c r="K56" s="93">
        <f t="shared" si="1"/>
        <v>374131.3</v>
      </c>
      <c r="L56" s="95"/>
      <c r="M56" s="95"/>
    </row>
    <row r="57" spans="1:13">
      <c r="A57" s="76">
        <v>51</v>
      </c>
      <c r="B57" s="88">
        <v>40938</v>
      </c>
      <c r="C57" s="86" t="s">
        <v>399</v>
      </c>
      <c r="D57" s="85">
        <v>40917</v>
      </c>
      <c r="E57" s="108" t="s">
        <v>584</v>
      </c>
      <c r="F57" s="87">
        <v>18706.57</v>
      </c>
      <c r="G57" s="87"/>
      <c r="H57" s="87">
        <v>18706.57</v>
      </c>
      <c r="I57" s="87"/>
      <c r="J57" s="92"/>
      <c r="K57" s="93">
        <f t="shared" si="1"/>
        <v>18706.57</v>
      </c>
      <c r="L57" s="95"/>
      <c r="M57" s="95"/>
    </row>
    <row r="58" spans="1:13">
      <c r="A58" s="76">
        <v>52</v>
      </c>
      <c r="B58" s="88">
        <v>40938</v>
      </c>
      <c r="C58" s="86" t="s">
        <v>399</v>
      </c>
      <c r="D58" s="85">
        <v>40917</v>
      </c>
      <c r="E58" s="108" t="s">
        <v>584</v>
      </c>
      <c r="F58" s="87">
        <v>11223.94</v>
      </c>
      <c r="G58" s="87"/>
      <c r="H58" s="87"/>
      <c r="I58" s="87">
        <v>11223.94</v>
      </c>
      <c r="J58" s="92"/>
      <c r="K58" s="93">
        <f t="shared" si="1"/>
        <v>11223.94</v>
      </c>
      <c r="L58" s="95"/>
      <c r="M58" s="95"/>
    </row>
    <row r="59" spans="1:13">
      <c r="A59" s="76">
        <v>53</v>
      </c>
      <c r="B59" s="88">
        <v>40938</v>
      </c>
      <c r="C59" s="86" t="s">
        <v>399</v>
      </c>
      <c r="D59" s="85">
        <v>40917</v>
      </c>
      <c r="E59" s="108" t="s">
        <v>584</v>
      </c>
      <c r="F59" s="87">
        <v>7482.63</v>
      </c>
      <c r="G59" s="87"/>
      <c r="H59" s="87"/>
      <c r="I59" s="87"/>
      <c r="J59" s="92">
        <v>7482.63</v>
      </c>
      <c r="K59" s="93">
        <f t="shared" si="1"/>
        <v>7482.63</v>
      </c>
      <c r="L59" s="95"/>
      <c r="M59" s="95"/>
    </row>
    <row r="60" spans="1:13">
      <c r="A60" s="76">
        <v>54</v>
      </c>
      <c r="B60" s="86" t="s">
        <v>400</v>
      </c>
      <c r="C60" s="86" t="s">
        <v>401</v>
      </c>
      <c r="D60" s="85">
        <v>40949</v>
      </c>
      <c r="E60" s="108" t="s">
        <v>584</v>
      </c>
      <c r="F60" s="87">
        <v>189901.65</v>
      </c>
      <c r="G60" s="87">
        <v>189901.65</v>
      </c>
      <c r="H60" s="87"/>
      <c r="I60" s="87"/>
      <c r="J60" s="92"/>
      <c r="K60" s="93">
        <f t="shared" si="1"/>
        <v>189901.65</v>
      </c>
      <c r="L60" s="95"/>
      <c r="M60" s="95"/>
    </row>
    <row r="61" spans="1:13">
      <c r="A61" s="76">
        <v>55</v>
      </c>
      <c r="B61" s="86" t="s">
        <v>400</v>
      </c>
      <c r="C61" s="86" t="s">
        <v>401</v>
      </c>
      <c r="D61" s="85">
        <v>40949</v>
      </c>
      <c r="E61" s="108" t="s">
        <v>584</v>
      </c>
      <c r="F61" s="87">
        <v>9495.08</v>
      </c>
      <c r="G61" s="87"/>
      <c r="H61" s="87">
        <v>9495.08</v>
      </c>
      <c r="I61" s="87"/>
      <c r="J61" s="92"/>
      <c r="K61" s="93">
        <f t="shared" si="1"/>
        <v>9495.08</v>
      </c>
      <c r="L61" s="95"/>
      <c r="M61" s="95"/>
    </row>
    <row r="62" spans="1:13">
      <c r="A62" s="76">
        <v>56</v>
      </c>
      <c r="B62" s="86" t="s">
        <v>400</v>
      </c>
      <c r="C62" s="86" t="s">
        <v>401</v>
      </c>
      <c r="D62" s="85">
        <v>40949</v>
      </c>
      <c r="E62" s="108" t="s">
        <v>584</v>
      </c>
      <c r="F62" s="87">
        <v>5697.05</v>
      </c>
      <c r="G62" s="87"/>
      <c r="H62" s="87"/>
      <c r="I62" s="87">
        <v>5697.05</v>
      </c>
      <c r="J62" s="92"/>
      <c r="K62" s="93">
        <f t="shared" si="1"/>
        <v>5697.05</v>
      </c>
      <c r="L62" s="95"/>
      <c r="M62" s="95"/>
    </row>
    <row r="63" spans="1:13">
      <c r="A63" s="76">
        <v>57</v>
      </c>
      <c r="B63" s="86" t="s">
        <v>400</v>
      </c>
      <c r="C63" s="86" t="s">
        <v>401</v>
      </c>
      <c r="D63" s="85">
        <v>40949</v>
      </c>
      <c r="E63" s="108" t="s">
        <v>584</v>
      </c>
      <c r="F63" s="87">
        <v>3798.03</v>
      </c>
      <c r="G63" s="87"/>
      <c r="H63" s="87"/>
      <c r="I63" s="87"/>
      <c r="J63" s="92">
        <v>3798.03</v>
      </c>
      <c r="K63" s="93">
        <f t="shared" si="1"/>
        <v>3798.03</v>
      </c>
      <c r="L63" s="95"/>
      <c r="M63" s="95"/>
    </row>
    <row r="64" spans="1:13">
      <c r="A64" s="76">
        <v>58</v>
      </c>
      <c r="B64" s="88">
        <v>40998</v>
      </c>
      <c r="C64" s="86" t="s">
        <v>402</v>
      </c>
      <c r="D64" s="85">
        <v>40983</v>
      </c>
      <c r="E64" s="108" t="s">
        <v>584</v>
      </c>
      <c r="F64" s="87">
        <v>74686.7</v>
      </c>
      <c r="G64" s="87">
        <v>74686.7</v>
      </c>
      <c r="H64" s="87"/>
      <c r="I64" s="87"/>
      <c r="J64" s="92"/>
      <c r="K64" s="93">
        <f t="shared" si="1"/>
        <v>74686.7</v>
      </c>
      <c r="L64" s="95"/>
      <c r="M64" s="95"/>
    </row>
    <row r="65" spans="1:13">
      <c r="A65" s="76">
        <v>59</v>
      </c>
      <c r="B65" s="88">
        <v>40998</v>
      </c>
      <c r="C65" s="86" t="s">
        <v>402</v>
      </c>
      <c r="D65" s="85">
        <v>40983</v>
      </c>
      <c r="E65" s="108" t="s">
        <v>584</v>
      </c>
      <c r="F65" s="87">
        <v>3734.34</v>
      </c>
      <c r="G65" s="87"/>
      <c r="H65" s="87">
        <v>3734.34</v>
      </c>
      <c r="I65" s="87"/>
      <c r="J65" s="92"/>
      <c r="K65" s="93">
        <f t="shared" si="1"/>
        <v>3734.34</v>
      </c>
      <c r="L65" s="95"/>
      <c r="M65" s="95"/>
    </row>
    <row r="66" spans="1:13">
      <c r="A66" s="76">
        <v>60</v>
      </c>
      <c r="B66" s="88">
        <v>40998</v>
      </c>
      <c r="C66" s="86" t="s">
        <v>402</v>
      </c>
      <c r="D66" s="85">
        <v>40983</v>
      </c>
      <c r="E66" s="108" t="s">
        <v>584</v>
      </c>
      <c r="F66" s="87">
        <v>2240.6</v>
      </c>
      <c r="G66" s="87"/>
      <c r="H66" s="87"/>
      <c r="I66" s="87">
        <v>2240.6</v>
      </c>
      <c r="J66" s="92"/>
      <c r="K66" s="93">
        <f t="shared" si="1"/>
        <v>2240.6</v>
      </c>
      <c r="L66" s="95"/>
      <c r="M66" s="95"/>
    </row>
    <row r="67" spans="1:13">
      <c r="A67" s="76">
        <v>61</v>
      </c>
      <c r="B67" s="88">
        <v>40998</v>
      </c>
      <c r="C67" s="86" t="s">
        <v>402</v>
      </c>
      <c r="D67" s="85">
        <v>40983</v>
      </c>
      <c r="E67" s="108" t="s">
        <v>584</v>
      </c>
      <c r="F67" s="87">
        <v>1493.73</v>
      </c>
      <c r="G67" s="87"/>
      <c r="H67" s="87"/>
      <c r="I67" s="87"/>
      <c r="J67" s="92">
        <v>1493.73</v>
      </c>
      <c r="K67" s="93">
        <f t="shared" si="1"/>
        <v>1493.73</v>
      </c>
      <c r="L67" s="95"/>
      <c r="M67" s="95"/>
    </row>
    <row r="68" spans="1:13">
      <c r="A68" s="76">
        <v>62</v>
      </c>
      <c r="B68" s="88">
        <v>41029</v>
      </c>
      <c r="C68" s="86" t="s">
        <v>403</v>
      </c>
      <c r="D68" s="85">
        <v>41012</v>
      </c>
      <c r="E68" s="108" t="s">
        <v>584</v>
      </c>
      <c r="F68" s="87">
        <v>61588.6</v>
      </c>
      <c r="G68" s="87"/>
      <c r="H68" s="87"/>
      <c r="I68" s="87"/>
      <c r="J68" s="92"/>
      <c r="K68" s="93">
        <f t="shared" si="1"/>
        <v>0</v>
      </c>
      <c r="L68" s="95"/>
      <c r="M68" s="95"/>
    </row>
    <row r="69" spans="1:13">
      <c r="A69" s="76">
        <v>63</v>
      </c>
      <c r="B69" s="88">
        <v>41029</v>
      </c>
      <c r="C69" s="86" t="s">
        <v>403</v>
      </c>
      <c r="D69" s="85">
        <v>41012</v>
      </c>
      <c r="E69" s="108" t="s">
        <v>584</v>
      </c>
      <c r="F69" s="87">
        <v>3079.43</v>
      </c>
      <c r="G69" s="87"/>
      <c r="H69" s="87">
        <v>3079.43</v>
      </c>
      <c r="I69" s="87"/>
      <c r="J69" s="92"/>
      <c r="K69" s="93">
        <f t="shared" si="1"/>
        <v>3079.43</v>
      </c>
      <c r="L69" s="95"/>
      <c r="M69" s="95"/>
    </row>
    <row r="70" spans="1:13">
      <c r="A70" s="76">
        <v>64</v>
      </c>
      <c r="B70" s="88">
        <v>41029</v>
      </c>
      <c r="C70" s="86" t="s">
        <v>403</v>
      </c>
      <c r="D70" s="85">
        <v>41012</v>
      </c>
      <c r="E70" s="108" t="s">
        <v>584</v>
      </c>
      <c r="F70" s="87">
        <v>1847.66</v>
      </c>
      <c r="G70" s="87"/>
      <c r="H70" s="87"/>
      <c r="I70" s="87">
        <v>1847.66</v>
      </c>
      <c r="J70" s="92"/>
      <c r="K70" s="93">
        <f t="shared" si="1"/>
        <v>1847.66</v>
      </c>
      <c r="L70" s="95"/>
      <c r="M70" s="95"/>
    </row>
    <row r="71" spans="1:13">
      <c r="A71" s="76">
        <v>65</v>
      </c>
      <c r="B71" s="88">
        <v>41029</v>
      </c>
      <c r="C71" s="86" t="s">
        <v>403</v>
      </c>
      <c r="D71" s="85">
        <v>41012</v>
      </c>
      <c r="E71" s="108" t="s">
        <v>584</v>
      </c>
      <c r="F71" s="87">
        <v>1231.77</v>
      </c>
      <c r="G71" s="87"/>
      <c r="H71" s="87"/>
      <c r="I71" s="87"/>
      <c r="J71" s="92">
        <v>1231.77</v>
      </c>
      <c r="K71" s="93">
        <f t="shared" si="1"/>
        <v>1231.77</v>
      </c>
      <c r="L71" s="95"/>
      <c r="M71" s="95"/>
    </row>
    <row r="72" spans="1:13">
      <c r="A72" s="76">
        <v>66</v>
      </c>
      <c r="B72" s="88">
        <v>41029</v>
      </c>
      <c r="C72" s="86" t="s">
        <v>404</v>
      </c>
      <c r="D72" s="85">
        <v>41011</v>
      </c>
      <c r="E72" s="108" t="s">
        <v>584</v>
      </c>
      <c r="F72" s="87">
        <v>9592.0499999999993</v>
      </c>
      <c r="G72" s="87">
        <v>9592.0499999999993</v>
      </c>
      <c r="H72" s="87"/>
      <c r="I72" s="87"/>
      <c r="J72" s="92"/>
      <c r="K72" s="93">
        <f t="shared" ref="K72:K135" si="2">G72+H72+I72+J72</f>
        <v>9592.0499999999993</v>
      </c>
      <c r="L72" s="95"/>
      <c r="M72" s="95"/>
    </row>
    <row r="73" spans="1:13">
      <c r="A73" s="76">
        <v>67</v>
      </c>
      <c r="B73" s="88">
        <v>41029</v>
      </c>
      <c r="C73" s="86" t="s">
        <v>404</v>
      </c>
      <c r="D73" s="85">
        <v>41011</v>
      </c>
      <c r="E73" s="108" t="s">
        <v>584</v>
      </c>
      <c r="F73" s="87">
        <v>479.6</v>
      </c>
      <c r="G73" s="87"/>
      <c r="H73" s="87">
        <v>479.6</v>
      </c>
      <c r="I73" s="87"/>
      <c r="J73" s="92"/>
      <c r="K73" s="93">
        <f t="shared" si="2"/>
        <v>479.6</v>
      </c>
      <c r="L73" s="95"/>
      <c r="M73" s="95"/>
    </row>
    <row r="74" spans="1:13">
      <c r="A74" s="76">
        <v>68</v>
      </c>
      <c r="B74" s="88">
        <v>41029</v>
      </c>
      <c r="C74" s="86" t="s">
        <v>404</v>
      </c>
      <c r="D74" s="85">
        <v>41011</v>
      </c>
      <c r="E74" s="108" t="s">
        <v>584</v>
      </c>
      <c r="F74" s="87">
        <v>287.76</v>
      </c>
      <c r="G74" s="87"/>
      <c r="H74" s="87"/>
      <c r="I74" s="87">
        <v>287.76</v>
      </c>
      <c r="J74" s="92"/>
      <c r="K74" s="93">
        <f t="shared" si="2"/>
        <v>287.76</v>
      </c>
      <c r="L74" s="95"/>
      <c r="M74" s="95"/>
    </row>
    <row r="75" spans="1:13">
      <c r="A75" s="76">
        <v>69</v>
      </c>
      <c r="B75" s="88">
        <v>41029</v>
      </c>
      <c r="C75" s="86" t="s">
        <v>404</v>
      </c>
      <c r="D75" s="85">
        <v>41011</v>
      </c>
      <c r="E75" s="108" t="s">
        <v>584</v>
      </c>
      <c r="F75" s="87">
        <v>191.84</v>
      </c>
      <c r="G75" s="87"/>
      <c r="H75" s="87"/>
      <c r="I75" s="87"/>
      <c r="J75" s="92">
        <v>191.84</v>
      </c>
      <c r="K75" s="93">
        <f t="shared" si="2"/>
        <v>191.84</v>
      </c>
      <c r="L75" s="95"/>
      <c r="M75" s="95"/>
    </row>
    <row r="76" spans="1:13">
      <c r="A76" s="76">
        <v>70</v>
      </c>
      <c r="B76" s="88">
        <v>41029</v>
      </c>
      <c r="C76" s="86" t="s">
        <v>405</v>
      </c>
      <c r="D76" s="85">
        <v>41018</v>
      </c>
      <c r="E76" s="108" t="s">
        <v>584</v>
      </c>
      <c r="F76" s="87">
        <v>25240</v>
      </c>
      <c r="G76" s="87">
        <v>25240</v>
      </c>
      <c r="H76" s="87"/>
      <c r="I76" s="87"/>
      <c r="J76" s="92"/>
      <c r="K76" s="93">
        <f t="shared" si="2"/>
        <v>25240</v>
      </c>
      <c r="L76" s="95"/>
      <c r="M76" s="95"/>
    </row>
    <row r="77" spans="1:13">
      <c r="A77" s="76">
        <v>71</v>
      </c>
      <c r="B77" s="88">
        <v>41029</v>
      </c>
      <c r="C77" s="86" t="s">
        <v>405</v>
      </c>
      <c r="D77" s="85">
        <v>41018</v>
      </c>
      <c r="E77" s="108" t="s">
        <v>584</v>
      </c>
      <c r="F77" s="87">
        <v>1262</v>
      </c>
      <c r="G77" s="87"/>
      <c r="H77" s="87">
        <v>1262</v>
      </c>
      <c r="I77" s="87"/>
      <c r="J77" s="92"/>
      <c r="K77" s="93">
        <f t="shared" si="2"/>
        <v>1262</v>
      </c>
      <c r="L77" s="95"/>
      <c r="M77" s="95"/>
    </row>
    <row r="78" spans="1:13">
      <c r="A78" s="76">
        <v>72</v>
      </c>
      <c r="B78" s="88">
        <v>41029</v>
      </c>
      <c r="C78" s="86" t="s">
        <v>405</v>
      </c>
      <c r="D78" s="85">
        <v>41018</v>
      </c>
      <c r="E78" s="108" t="s">
        <v>584</v>
      </c>
      <c r="F78" s="87">
        <v>757.2</v>
      </c>
      <c r="G78" s="87"/>
      <c r="H78" s="87"/>
      <c r="I78" s="87"/>
      <c r="J78" s="92">
        <v>757.2</v>
      </c>
      <c r="K78" s="93">
        <f t="shared" si="2"/>
        <v>757.2</v>
      </c>
      <c r="L78" s="95"/>
      <c r="M78" s="95"/>
    </row>
    <row r="79" spans="1:13">
      <c r="A79" s="76">
        <v>73</v>
      </c>
      <c r="B79" s="88">
        <v>41029</v>
      </c>
      <c r="C79" s="86" t="s">
        <v>405</v>
      </c>
      <c r="D79" s="85">
        <v>41018</v>
      </c>
      <c r="E79" s="108" t="s">
        <v>584</v>
      </c>
      <c r="F79" s="87">
        <v>504.8</v>
      </c>
      <c r="G79" s="87"/>
      <c r="H79" s="87"/>
      <c r="I79" s="87"/>
      <c r="J79" s="92">
        <v>504.8</v>
      </c>
      <c r="K79" s="93">
        <f t="shared" si="2"/>
        <v>504.8</v>
      </c>
      <c r="L79" s="95"/>
      <c r="M79" s="95"/>
    </row>
    <row r="80" spans="1:13">
      <c r="A80" s="76">
        <v>74</v>
      </c>
      <c r="B80" s="88">
        <v>41059</v>
      </c>
      <c r="C80" s="86" t="s">
        <v>406</v>
      </c>
      <c r="D80" s="85">
        <v>41040</v>
      </c>
      <c r="E80" s="108" t="s">
        <v>584</v>
      </c>
      <c r="F80" s="87">
        <v>209106.7</v>
      </c>
      <c r="G80" s="87">
        <v>209106.7</v>
      </c>
      <c r="H80" s="87"/>
      <c r="I80" s="87"/>
      <c r="J80" s="92"/>
      <c r="K80" s="93">
        <f t="shared" si="2"/>
        <v>209106.7</v>
      </c>
      <c r="L80" s="95"/>
      <c r="M80" s="95"/>
    </row>
    <row r="81" spans="1:13">
      <c r="A81" s="76">
        <v>75</v>
      </c>
      <c r="B81" s="88">
        <v>41059</v>
      </c>
      <c r="C81" s="86" t="s">
        <v>406</v>
      </c>
      <c r="D81" s="85">
        <v>41040</v>
      </c>
      <c r="E81" s="108" t="s">
        <v>584</v>
      </c>
      <c r="F81" s="87">
        <v>10455.34</v>
      </c>
      <c r="G81" s="87"/>
      <c r="H81" s="87">
        <v>10455.34</v>
      </c>
      <c r="I81" s="87"/>
      <c r="J81" s="92"/>
      <c r="K81" s="93">
        <f t="shared" si="2"/>
        <v>10455.34</v>
      </c>
      <c r="L81" s="95"/>
      <c r="M81" s="95"/>
    </row>
    <row r="82" spans="1:13">
      <c r="A82" s="76">
        <v>76</v>
      </c>
      <c r="B82" s="88">
        <v>41059</v>
      </c>
      <c r="C82" s="86" t="s">
        <v>406</v>
      </c>
      <c r="D82" s="85">
        <v>41040</v>
      </c>
      <c r="E82" s="108" t="s">
        <v>584</v>
      </c>
      <c r="F82" s="87">
        <v>6273.2</v>
      </c>
      <c r="G82" s="87"/>
      <c r="H82" s="87"/>
      <c r="I82" s="87">
        <v>6273.2</v>
      </c>
      <c r="J82" s="92"/>
      <c r="K82" s="93">
        <f t="shared" si="2"/>
        <v>6273.2</v>
      </c>
      <c r="L82" s="95"/>
      <c r="M82" s="95"/>
    </row>
    <row r="83" spans="1:13">
      <c r="A83" s="76">
        <v>77</v>
      </c>
      <c r="B83" s="88">
        <v>41059</v>
      </c>
      <c r="C83" s="86" t="s">
        <v>406</v>
      </c>
      <c r="D83" s="85">
        <v>41040</v>
      </c>
      <c r="E83" s="108" t="s">
        <v>584</v>
      </c>
      <c r="F83" s="87">
        <v>4182.13</v>
      </c>
      <c r="G83" s="87"/>
      <c r="H83" s="87"/>
      <c r="I83" s="87"/>
      <c r="J83" s="92">
        <v>4182.13</v>
      </c>
      <c r="K83" s="93">
        <f t="shared" si="2"/>
        <v>4182.13</v>
      </c>
      <c r="L83" s="95"/>
      <c r="M83" s="95"/>
    </row>
    <row r="84" spans="1:13">
      <c r="A84" s="76">
        <v>78</v>
      </c>
      <c r="B84" s="88">
        <v>41059</v>
      </c>
      <c r="C84" s="86" t="s">
        <v>406</v>
      </c>
      <c r="D84" s="85">
        <v>41040</v>
      </c>
      <c r="E84" s="108" t="s">
        <v>584</v>
      </c>
      <c r="F84" s="87">
        <v>147679.79999999999</v>
      </c>
      <c r="G84" s="87">
        <v>72887.95</v>
      </c>
      <c r="H84" s="87"/>
      <c r="I84" s="87"/>
      <c r="J84" s="92"/>
      <c r="K84" s="93">
        <f t="shared" si="2"/>
        <v>72887.95</v>
      </c>
      <c r="L84" s="95"/>
      <c r="M84" s="95"/>
    </row>
    <row r="85" spans="1:13">
      <c r="A85" s="76">
        <v>79</v>
      </c>
      <c r="B85" s="88">
        <v>41059</v>
      </c>
      <c r="C85" s="86" t="s">
        <v>406</v>
      </c>
      <c r="D85" s="85">
        <v>41040</v>
      </c>
      <c r="E85" s="108" t="s">
        <v>584</v>
      </c>
      <c r="F85" s="87">
        <v>7383.99</v>
      </c>
      <c r="G85" s="87"/>
      <c r="H85" s="87">
        <v>3644.4</v>
      </c>
      <c r="I85" s="87"/>
      <c r="J85" s="92"/>
      <c r="K85" s="93">
        <f t="shared" si="2"/>
        <v>3644.4</v>
      </c>
      <c r="L85" s="95"/>
      <c r="M85" s="95"/>
    </row>
    <row r="86" spans="1:13">
      <c r="A86" s="76">
        <v>80</v>
      </c>
      <c r="B86" s="88">
        <v>41059</v>
      </c>
      <c r="C86" s="86" t="s">
        <v>406</v>
      </c>
      <c r="D86" s="85">
        <v>41040</v>
      </c>
      <c r="E86" s="108" t="s">
        <v>584</v>
      </c>
      <c r="F86" s="87">
        <v>4430.3900000000003</v>
      </c>
      <c r="G86" s="87"/>
      <c r="H86" s="87"/>
      <c r="I86" s="87">
        <v>2186.64</v>
      </c>
      <c r="J86" s="92"/>
      <c r="K86" s="93">
        <f t="shared" si="2"/>
        <v>2186.64</v>
      </c>
      <c r="L86" s="95"/>
      <c r="M86" s="95"/>
    </row>
    <row r="87" spans="1:13">
      <c r="A87" s="76">
        <v>81</v>
      </c>
      <c r="B87" s="88">
        <v>41059</v>
      </c>
      <c r="C87" s="86" t="s">
        <v>406</v>
      </c>
      <c r="D87" s="85">
        <v>41040</v>
      </c>
      <c r="E87" s="108" t="s">
        <v>584</v>
      </c>
      <c r="F87" s="87">
        <v>2953.6</v>
      </c>
      <c r="G87" s="87"/>
      <c r="H87" s="87"/>
      <c r="I87" s="87"/>
      <c r="J87" s="92">
        <v>1457.76</v>
      </c>
      <c r="K87" s="93">
        <f t="shared" si="2"/>
        <v>1457.76</v>
      </c>
      <c r="L87" s="95"/>
      <c r="M87" s="95"/>
    </row>
    <row r="88" spans="1:13">
      <c r="A88" s="76">
        <v>82</v>
      </c>
      <c r="B88" s="96">
        <v>41090</v>
      </c>
      <c r="C88" s="86" t="s">
        <v>407</v>
      </c>
      <c r="D88" s="85">
        <v>41074</v>
      </c>
      <c r="E88" s="108" t="s">
        <v>584</v>
      </c>
      <c r="F88" s="87">
        <v>119539.45</v>
      </c>
      <c r="G88" s="87">
        <v>76987.25</v>
      </c>
      <c r="H88" s="87"/>
      <c r="I88" s="87"/>
      <c r="J88" s="92"/>
      <c r="K88" s="93">
        <f t="shared" si="2"/>
        <v>76987.25</v>
      </c>
      <c r="L88" s="95"/>
      <c r="M88" s="95"/>
    </row>
    <row r="89" spans="1:13">
      <c r="A89" s="76">
        <v>83</v>
      </c>
      <c r="B89" s="96">
        <v>41090</v>
      </c>
      <c r="C89" s="86" t="s">
        <v>407</v>
      </c>
      <c r="D89" s="85">
        <v>41074</v>
      </c>
      <c r="E89" s="108" t="s">
        <v>584</v>
      </c>
      <c r="F89" s="87">
        <v>5976.97</v>
      </c>
      <c r="G89" s="87"/>
      <c r="H89" s="87">
        <v>3849.36</v>
      </c>
      <c r="I89" s="87"/>
      <c r="J89" s="92"/>
      <c r="K89" s="93">
        <f t="shared" si="2"/>
        <v>3849.36</v>
      </c>
      <c r="L89" s="95"/>
      <c r="M89" s="95"/>
    </row>
    <row r="90" spans="1:13">
      <c r="A90" s="76">
        <v>84</v>
      </c>
      <c r="B90" s="96">
        <v>41090</v>
      </c>
      <c r="C90" s="86" t="s">
        <v>407</v>
      </c>
      <c r="D90" s="85">
        <v>41074</v>
      </c>
      <c r="E90" s="108" t="s">
        <v>584</v>
      </c>
      <c r="F90" s="87">
        <v>3586.18</v>
      </c>
      <c r="G90" s="87"/>
      <c r="H90" s="87"/>
      <c r="I90" s="87">
        <v>2309.62</v>
      </c>
      <c r="J90" s="92"/>
      <c r="K90" s="93">
        <f t="shared" si="2"/>
        <v>2309.62</v>
      </c>
      <c r="L90" s="95"/>
      <c r="M90" s="95"/>
    </row>
    <row r="91" spans="1:13">
      <c r="A91" s="76">
        <v>85</v>
      </c>
      <c r="B91" s="96">
        <v>41090</v>
      </c>
      <c r="C91" s="86" t="s">
        <v>407</v>
      </c>
      <c r="D91" s="85">
        <v>41074</v>
      </c>
      <c r="E91" s="108" t="s">
        <v>584</v>
      </c>
      <c r="F91" s="87">
        <v>2309.79</v>
      </c>
      <c r="G91" s="87"/>
      <c r="H91" s="87"/>
      <c r="I91" s="87"/>
      <c r="J91" s="92">
        <v>1539.75</v>
      </c>
      <c r="K91" s="93">
        <f t="shared" si="2"/>
        <v>1539.75</v>
      </c>
      <c r="L91" s="95"/>
      <c r="M91" s="95"/>
    </row>
    <row r="92" spans="1:13">
      <c r="A92" s="76">
        <v>86</v>
      </c>
      <c r="B92" s="96">
        <v>41090</v>
      </c>
      <c r="C92" s="86" t="s">
        <v>408</v>
      </c>
      <c r="D92" s="85">
        <v>41088</v>
      </c>
      <c r="E92" s="108" t="s">
        <v>584</v>
      </c>
      <c r="F92" s="87">
        <v>285896.09999999998</v>
      </c>
      <c r="G92" s="87">
        <v>285291.25</v>
      </c>
      <c r="H92" s="87"/>
      <c r="I92" s="87"/>
      <c r="J92" s="92"/>
      <c r="K92" s="93">
        <f t="shared" si="2"/>
        <v>285291.25</v>
      </c>
      <c r="L92" s="95"/>
      <c r="M92" s="95"/>
    </row>
    <row r="93" spans="1:13">
      <c r="A93" s="76">
        <v>87</v>
      </c>
      <c r="B93" s="96">
        <v>41090</v>
      </c>
      <c r="C93" s="86" t="s">
        <v>408</v>
      </c>
      <c r="D93" s="85">
        <v>41088</v>
      </c>
      <c r="E93" s="108" t="s">
        <v>584</v>
      </c>
      <c r="F93" s="87">
        <v>14294.81</v>
      </c>
      <c r="G93" s="87"/>
      <c r="H93" s="87">
        <v>14264.56</v>
      </c>
      <c r="I93" s="87"/>
      <c r="J93" s="92"/>
      <c r="K93" s="93">
        <f t="shared" si="2"/>
        <v>14264.56</v>
      </c>
      <c r="L93" s="95"/>
      <c r="M93" s="95"/>
    </row>
    <row r="94" spans="1:13">
      <c r="A94" s="76">
        <v>88</v>
      </c>
      <c r="B94" s="96">
        <v>41090</v>
      </c>
      <c r="C94" s="86" t="s">
        <v>408</v>
      </c>
      <c r="D94" s="85">
        <v>41088</v>
      </c>
      <c r="E94" s="108" t="s">
        <v>584</v>
      </c>
      <c r="F94" s="87">
        <v>8576.8799999999992</v>
      </c>
      <c r="G94" s="87"/>
      <c r="H94" s="87"/>
      <c r="I94" s="87">
        <v>8558.74</v>
      </c>
      <c r="J94" s="92"/>
      <c r="K94" s="93">
        <f t="shared" si="2"/>
        <v>8558.74</v>
      </c>
      <c r="L94" s="95"/>
      <c r="M94" s="95"/>
    </row>
    <row r="95" spans="1:13">
      <c r="A95" s="76">
        <v>89</v>
      </c>
      <c r="B95" s="96">
        <v>41090</v>
      </c>
      <c r="C95" s="86" t="s">
        <v>408</v>
      </c>
      <c r="D95" s="85">
        <v>41088</v>
      </c>
      <c r="E95" s="108" t="s">
        <v>584</v>
      </c>
      <c r="F95" s="87">
        <v>5717.92</v>
      </c>
      <c r="G95" s="87"/>
      <c r="H95" s="87"/>
      <c r="I95" s="87"/>
      <c r="J95" s="92">
        <v>5705.83</v>
      </c>
      <c r="K95" s="93">
        <f t="shared" si="2"/>
        <v>5705.83</v>
      </c>
      <c r="L95" s="95"/>
      <c r="M95" s="95"/>
    </row>
    <row r="96" spans="1:13">
      <c r="A96" s="76">
        <v>90</v>
      </c>
      <c r="B96" s="96">
        <v>41120</v>
      </c>
      <c r="C96" s="86" t="s">
        <v>409</v>
      </c>
      <c r="D96" s="85">
        <v>41094</v>
      </c>
      <c r="E96" s="108" t="s">
        <v>584</v>
      </c>
      <c r="F96" s="87">
        <v>48299.55</v>
      </c>
      <c r="G96" s="87">
        <v>5941.35</v>
      </c>
      <c r="H96" s="87"/>
      <c r="I96" s="87"/>
      <c r="J96" s="92"/>
      <c r="K96" s="93">
        <f t="shared" si="2"/>
        <v>5941.35</v>
      </c>
      <c r="L96" s="95"/>
      <c r="M96" s="95"/>
    </row>
    <row r="97" spans="1:13">
      <c r="A97" s="76">
        <v>91</v>
      </c>
      <c r="B97" s="96">
        <v>41120</v>
      </c>
      <c r="C97" s="86" t="s">
        <v>409</v>
      </c>
      <c r="D97" s="85">
        <v>41094</v>
      </c>
      <c r="E97" s="108" t="s">
        <v>584</v>
      </c>
      <c r="F97" s="87">
        <v>2414.98</v>
      </c>
      <c r="G97" s="87"/>
      <c r="H97" s="87">
        <v>297.07</v>
      </c>
      <c r="I97" s="87"/>
      <c r="J97" s="92"/>
      <c r="K97" s="93">
        <f t="shared" si="2"/>
        <v>297.07</v>
      </c>
      <c r="L97" s="95"/>
      <c r="M97" s="95"/>
    </row>
    <row r="98" spans="1:13">
      <c r="A98" s="76">
        <v>92</v>
      </c>
      <c r="B98" s="96">
        <v>41120</v>
      </c>
      <c r="C98" s="86" t="s">
        <v>409</v>
      </c>
      <c r="D98" s="85">
        <v>41094</v>
      </c>
      <c r="E98" s="108" t="s">
        <v>584</v>
      </c>
      <c r="F98" s="87">
        <v>1448.99</v>
      </c>
      <c r="G98" s="87"/>
      <c r="H98" s="87"/>
      <c r="I98" s="87">
        <v>178.24</v>
      </c>
      <c r="J98" s="92"/>
      <c r="K98" s="93">
        <f t="shared" si="2"/>
        <v>178.24</v>
      </c>
      <c r="L98" s="95"/>
      <c r="M98" s="95"/>
    </row>
    <row r="99" spans="1:13">
      <c r="A99" s="76">
        <v>93</v>
      </c>
      <c r="B99" s="96">
        <v>41120</v>
      </c>
      <c r="C99" s="86" t="s">
        <v>409</v>
      </c>
      <c r="D99" s="85">
        <v>41094</v>
      </c>
      <c r="E99" s="108" t="s">
        <v>584</v>
      </c>
      <c r="F99" s="87">
        <v>965.99</v>
      </c>
      <c r="G99" s="87"/>
      <c r="H99" s="87"/>
      <c r="I99" s="87"/>
      <c r="J99" s="92">
        <v>118.83</v>
      </c>
      <c r="K99" s="93">
        <f t="shared" si="2"/>
        <v>118.83</v>
      </c>
      <c r="L99" s="95"/>
      <c r="M99" s="95"/>
    </row>
    <row r="100" spans="1:13">
      <c r="A100" s="76">
        <v>94</v>
      </c>
      <c r="B100" s="96">
        <v>41120</v>
      </c>
      <c r="C100" s="86" t="s">
        <v>407</v>
      </c>
      <c r="D100" s="85">
        <v>41106</v>
      </c>
      <c r="E100" s="108" t="s">
        <v>584</v>
      </c>
      <c r="F100" s="87">
        <v>11562.7</v>
      </c>
      <c r="G100" s="87">
        <v>11562.7</v>
      </c>
      <c r="H100" s="87"/>
      <c r="I100" s="87"/>
      <c r="J100" s="92"/>
      <c r="K100" s="93">
        <f t="shared" si="2"/>
        <v>11562.7</v>
      </c>
      <c r="L100" s="95"/>
      <c r="M100" s="95"/>
    </row>
    <row r="101" spans="1:13">
      <c r="A101" s="76">
        <v>95</v>
      </c>
      <c r="B101" s="96">
        <v>41120</v>
      </c>
      <c r="C101" s="86" t="s">
        <v>407</v>
      </c>
      <c r="D101" s="85">
        <v>41106</v>
      </c>
      <c r="E101" s="108" t="s">
        <v>584</v>
      </c>
      <c r="F101" s="87">
        <v>578.14</v>
      </c>
      <c r="G101" s="87"/>
      <c r="H101" s="87">
        <v>578.14</v>
      </c>
      <c r="I101" s="87"/>
      <c r="J101" s="92"/>
      <c r="K101" s="93">
        <f t="shared" si="2"/>
        <v>578.14</v>
      </c>
      <c r="L101" s="95"/>
      <c r="M101" s="95"/>
    </row>
    <row r="102" spans="1:13">
      <c r="A102" s="76">
        <v>96</v>
      </c>
      <c r="B102" s="96">
        <v>41120</v>
      </c>
      <c r="C102" s="86" t="s">
        <v>407</v>
      </c>
      <c r="D102" s="85">
        <v>41106</v>
      </c>
      <c r="E102" s="108" t="s">
        <v>584</v>
      </c>
      <c r="F102" s="87">
        <v>346.88</v>
      </c>
      <c r="G102" s="87"/>
      <c r="H102" s="87"/>
      <c r="I102" s="87">
        <v>346.88</v>
      </c>
      <c r="J102" s="92"/>
      <c r="K102" s="93">
        <f t="shared" si="2"/>
        <v>346.88</v>
      </c>
      <c r="L102" s="95"/>
      <c r="M102" s="95"/>
    </row>
    <row r="103" spans="1:13">
      <c r="A103" s="76">
        <v>97</v>
      </c>
      <c r="B103" s="96">
        <v>41120</v>
      </c>
      <c r="C103" s="86" t="s">
        <v>407</v>
      </c>
      <c r="D103" s="85">
        <v>41106</v>
      </c>
      <c r="E103" s="108" t="s">
        <v>584</v>
      </c>
      <c r="F103" s="86">
        <v>231.25</v>
      </c>
      <c r="G103" s="86"/>
      <c r="H103" s="86"/>
      <c r="I103" s="86"/>
      <c r="J103" s="92">
        <v>231.25</v>
      </c>
      <c r="K103" s="93">
        <f t="shared" si="2"/>
        <v>231.25</v>
      </c>
      <c r="L103" s="95"/>
      <c r="M103" s="95"/>
    </row>
    <row r="104" spans="1:13">
      <c r="A104" s="76">
        <v>98</v>
      </c>
      <c r="B104" s="96">
        <v>41134</v>
      </c>
      <c r="C104" s="86" t="s">
        <v>398</v>
      </c>
      <c r="D104" s="85">
        <v>41127</v>
      </c>
      <c r="E104" s="108" t="s">
        <v>584</v>
      </c>
      <c r="F104" s="97">
        <v>85692.5</v>
      </c>
      <c r="G104" s="97">
        <v>65539.7</v>
      </c>
      <c r="H104" s="97"/>
      <c r="I104" s="97"/>
      <c r="J104" s="92"/>
      <c r="K104" s="93">
        <f t="shared" si="2"/>
        <v>65539.7</v>
      </c>
      <c r="L104" s="95"/>
      <c r="M104" s="95"/>
    </row>
    <row r="105" spans="1:13">
      <c r="A105" s="76">
        <v>99</v>
      </c>
      <c r="B105" s="96">
        <v>41134</v>
      </c>
      <c r="C105" s="86" t="s">
        <v>398</v>
      </c>
      <c r="D105" s="85">
        <v>41127</v>
      </c>
      <c r="E105" s="108" t="s">
        <v>584</v>
      </c>
      <c r="F105" s="97">
        <v>4284.63</v>
      </c>
      <c r="G105" s="97"/>
      <c r="H105" s="97">
        <v>3276.99</v>
      </c>
      <c r="I105" s="97"/>
      <c r="J105" s="92"/>
      <c r="K105" s="93">
        <f t="shared" si="2"/>
        <v>3276.99</v>
      </c>
      <c r="L105" s="95"/>
      <c r="M105" s="95"/>
    </row>
    <row r="106" spans="1:13">
      <c r="A106" s="76">
        <v>100</v>
      </c>
      <c r="B106" s="96">
        <v>41134</v>
      </c>
      <c r="C106" s="86" t="s">
        <v>398</v>
      </c>
      <c r="D106" s="85">
        <v>41127</v>
      </c>
      <c r="E106" s="108" t="s">
        <v>584</v>
      </c>
      <c r="F106" s="97">
        <v>2570.7800000000002</v>
      </c>
      <c r="G106" s="97"/>
      <c r="H106" s="97"/>
      <c r="I106" s="97">
        <v>1966.19</v>
      </c>
      <c r="J106" s="92"/>
      <c r="K106" s="93">
        <f t="shared" si="2"/>
        <v>1966.19</v>
      </c>
      <c r="L106" s="95"/>
      <c r="M106" s="95"/>
    </row>
    <row r="107" spans="1:13">
      <c r="A107" s="76">
        <v>101</v>
      </c>
      <c r="B107" s="96">
        <v>41134</v>
      </c>
      <c r="C107" s="86" t="s">
        <v>398</v>
      </c>
      <c r="D107" s="85">
        <v>41127</v>
      </c>
      <c r="E107" s="108" t="s">
        <v>584</v>
      </c>
      <c r="F107" s="97">
        <v>1713.85</v>
      </c>
      <c r="G107" s="97"/>
      <c r="H107" s="97"/>
      <c r="I107" s="97"/>
      <c r="J107" s="92">
        <v>1310.79</v>
      </c>
      <c r="K107" s="93">
        <f t="shared" si="2"/>
        <v>1310.79</v>
      </c>
      <c r="L107" s="95"/>
      <c r="M107" s="95"/>
    </row>
    <row r="108" spans="1:13">
      <c r="A108" s="76">
        <v>102</v>
      </c>
      <c r="B108" s="96">
        <v>41138</v>
      </c>
      <c r="C108" s="86" t="s">
        <v>410</v>
      </c>
      <c r="D108" s="85">
        <v>41131</v>
      </c>
      <c r="E108" s="108" t="s">
        <v>584</v>
      </c>
      <c r="F108" s="97">
        <v>2000</v>
      </c>
      <c r="G108" s="97">
        <v>2000</v>
      </c>
      <c r="H108" s="97"/>
      <c r="I108" s="97"/>
      <c r="J108" s="92"/>
      <c r="K108" s="93">
        <f t="shared" si="2"/>
        <v>2000</v>
      </c>
      <c r="L108" s="95"/>
      <c r="M108" s="95"/>
    </row>
    <row r="109" spans="1:13">
      <c r="A109" s="76">
        <v>103</v>
      </c>
      <c r="B109" s="96">
        <v>41138</v>
      </c>
      <c r="C109" s="86" t="s">
        <v>410</v>
      </c>
      <c r="D109" s="85">
        <v>41131</v>
      </c>
      <c r="E109" s="108" t="s">
        <v>584</v>
      </c>
      <c r="F109" s="97">
        <v>100</v>
      </c>
      <c r="G109" s="97"/>
      <c r="H109" s="97">
        <v>100</v>
      </c>
      <c r="I109" s="97"/>
      <c r="J109" s="92"/>
      <c r="K109" s="93">
        <f t="shared" si="2"/>
        <v>100</v>
      </c>
      <c r="L109" s="95"/>
      <c r="M109" s="95"/>
    </row>
    <row r="110" spans="1:13">
      <c r="A110" s="76">
        <v>104</v>
      </c>
      <c r="B110" s="96">
        <v>41138</v>
      </c>
      <c r="C110" s="86" t="s">
        <v>410</v>
      </c>
      <c r="D110" s="85">
        <v>41131</v>
      </c>
      <c r="E110" s="108" t="s">
        <v>584</v>
      </c>
      <c r="F110" s="97">
        <v>60</v>
      </c>
      <c r="G110" s="97"/>
      <c r="H110" s="97"/>
      <c r="I110" s="97">
        <v>60</v>
      </c>
      <c r="J110" s="92"/>
      <c r="K110" s="93">
        <f t="shared" si="2"/>
        <v>60</v>
      </c>
      <c r="L110" s="95"/>
      <c r="M110" s="95"/>
    </row>
    <row r="111" spans="1:13">
      <c r="A111" s="76">
        <v>105</v>
      </c>
      <c r="B111" s="96">
        <v>41138</v>
      </c>
      <c r="C111" s="86" t="s">
        <v>410</v>
      </c>
      <c r="D111" s="85">
        <v>41131</v>
      </c>
      <c r="E111" s="108" t="s">
        <v>584</v>
      </c>
      <c r="F111" s="97">
        <v>40</v>
      </c>
      <c r="G111" s="97"/>
      <c r="H111" s="97"/>
      <c r="I111" s="97"/>
      <c r="J111" s="92">
        <v>40</v>
      </c>
      <c r="K111" s="93">
        <f t="shared" si="2"/>
        <v>40</v>
      </c>
      <c r="L111" s="95"/>
      <c r="M111" s="95"/>
    </row>
    <row r="112" spans="1:13">
      <c r="A112" s="76">
        <v>106</v>
      </c>
      <c r="B112" s="96">
        <v>41212</v>
      </c>
      <c r="C112" s="86" t="s">
        <v>409</v>
      </c>
      <c r="D112" s="85">
        <v>41199</v>
      </c>
      <c r="E112" s="108" t="s">
        <v>584</v>
      </c>
      <c r="F112" s="97">
        <v>213300.51</v>
      </c>
      <c r="G112" s="97">
        <v>145757.04999999999</v>
      </c>
      <c r="H112" s="97">
        <v>7287.85</v>
      </c>
      <c r="I112" s="97">
        <v>4372.7</v>
      </c>
      <c r="J112" s="92">
        <v>2915.14</v>
      </c>
      <c r="K112" s="93">
        <f t="shared" si="2"/>
        <v>160332.74000000002</v>
      </c>
      <c r="L112" s="95"/>
      <c r="M112" s="95"/>
    </row>
    <row r="113" spans="1:14">
      <c r="A113" s="76">
        <v>107</v>
      </c>
      <c r="B113" s="96">
        <v>41235</v>
      </c>
      <c r="C113" s="86" t="s">
        <v>411</v>
      </c>
      <c r="D113" s="85">
        <v>41229</v>
      </c>
      <c r="E113" s="108" t="s">
        <v>584</v>
      </c>
      <c r="F113" s="97">
        <v>238207.97</v>
      </c>
      <c r="G113" s="97">
        <v>146072.6</v>
      </c>
      <c r="H113" s="97">
        <v>7303.63</v>
      </c>
      <c r="I113" s="97">
        <v>4382.18</v>
      </c>
      <c r="J113" s="92">
        <v>2921.45</v>
      </c>
      <c r="K113" s="93">
        <f t="shared" si="2"/>
        <v>160679.86000000002</v>
      </c>
      <c r="L113" s="95"/>
      <c r="M113" s="95"/>
    </row>
    <row r="114" spans="1:14">
      <c r="A114" s="76">
        <v>108</v>
      </c>
      <c r="B114" s="96">
        <v>41268</v>
      </c>
      <c r="C114" s="86" t="s">
        <v>412</v>
      </c>
      <c r="D114" s="85">
        <v>41260</v>
      </c>
      <c r="E114" s="108" t="s">
        <v>584</v>
      </c>
      <c r="F114" s="97">
        <v>697177.3</v>
      </c>
      <c r="G114" s="97">
        <v>445826.4</v>
      </c>
      <c r="H114" s="97">
        <v>22291.32</v>
      </c>
      <c r="I114" s="97">
        <v>13374.79</v>
      </c>
      <c r="J114" s="92">
        <v>8916.5300000000007</v>
      </c>
      <c r="K114" s="93">
        <f t="shared" si="2"/>
        <v>490409.04000000004</v>
      </c>
      <c r="L114" s="95"/>
      <c r="M114" s="95"/>
    </row>
    <row r="115" spans="1:14">
      <c r="A115" s="76">
        <v>109</v>
      </c>
      <c r="B115" s="88">
        <v>41304</v>
      </c>
      <c r="C115" s="86" t="s">
        <v>404</v>
      </c>
      <c r="D115" s="85">
        <v>41290</v>
      </c>
      <c r="E115" s="108" t="s">
        <v>584</v>
      </c>
      <c r="F115" s="87">
        <v>1689578.12</v>
      </c>
      <c r="G115" s="87">
        <v>484984.85</v>
      </c>
      <c r="H115" s="87">
        <v>24249.24</v>
      </c>
      <c r="I115" s="87">
        <v>14549.55</v>
      </c>
      <c r="J115" s="92">
        <v>9699.7000000000007</v>
      </c>
      <c r="K115" s="93">
        <f t="shared" si="2"/>
        <v>533483.34</v>
      </c>
      <c r="L115" s="95"/>
      <c r="M115" s="95"/>
    </row>
    <row r="116" spans="1:14">
      <c r="A116" s="76">
        <v>110</v>
      </c>
      <c r="B116" s="96">
        <v>41326</v>
      </c>
      <c r="C116" s="86" t="s">
        <v>392</v>
      </c>
      <c r="D116" s="85">
        <v>41330</v>
      </c>
      <c r="E116" s="108" t="s">
        <v>584</v>
      </c>
      <c r="F116" s="97">
        <v>1053373.57</v>
      </c>
      <c r="G116" s="97">
        <v>154091.54999999999</v>
      </c>
      <c r="H116" s="97">
        <v>7704.58</v>
      </c>
      <c r="I116" s="97">
        <v>4622.74</v>
      </c>
      <c r="J116" s="92">
        <v>3081.83</v>
      </c>
      <c r="K116" s="93">
        <f t="shared" si="2"/>
        <v>169500.69999999995</v>
      </c>
      <c r="L116" s="95"/>
      <c r="M116" s="95"/>
    </row>
    <row r="117" spans="1:14" s="69" customFormat="1">
      <c r="A117" s="98">
        <v>111</v>
      </c>
      <c r="B117" s="99">
        <v>41345</v>
      </c>
      <c r="C117" s="100" t="s">
        <v>413</v>
      </c>
      <c r="D117" s="101">
        <v>41352</v>
      </c>
      <c r="E117" s="108" t="s">
        <v>584</v>
      </c>
      <c r="F117" s="102">
        <v>427163.93</v>
      </c>
      <c r="G117" s="103">
        <v>219701.25</v>
      </c>
      <c r="H117" s="103">
        <v>10985.06</v>
      </c>
      <c r="I117" s="103">
        <v>6591.04</v>
      </c>
      <c r="J117" s="104">
        <v>4394.03</v>
      </c>
      <c r="K117" s="105">
        <f t="shared" si="2"/>
        <v>241671.38</v>
      </c>
      <c r="L117" s="790" t="s">
        <v>590</v>
      </c>
      <c r="M117" s="106"/>
      <c r="N117" s="66" t="s">
        <v>589</v>
      </c>
    </row>
    <row r="118" spans="1:14">
      <c r="A118" s="76">
        <v>112</v>
      </c>
      <c r="B118" s="96">
        <v>41371</v>
      </c>
      <c r="C118" s="86" t="s">
        <v>414</v>
      </c>
      <c r="D118" s="85">
        <v>41376</v>
      </c>
      <c r="E118" s="108" t="s">
        <v>584</v>
      </c>
      <c r="F118" s="97">
        <v>1260058.1299999999</v>
      </c>
      <c r="G118" s="97">
        <v>335045.95</v>
      </c>
      <c r="H118" s="97">
        <v>16752.3</v>
      </c>
      <c r="I118" s="97">
        <v>10051.379999999999</v>
      </c>
      <c r="J118" s="92">
        <v>6700.92</v>
      </c>
      <c r="K118" s="93">
        <f t="shared" si="2"/>
        <v>368550.55</v>
      </c>
      <c r="L118" s="95"/>
      <c r="M118" s="95"/>
    </row>
    <row r="119" spans="1:14">
      <c r="A119" s="76">
        <v>113</v>
      </c>
      <c r="B119" s="96">
        <v>41407</v>
      </c>
      <c r="C119" s="86" t="s">
        <v>416</v>
      </c>
      <c r="D119" s="85">
        <v>41410</v>
      </c>
      <c r="E119" s="108" t="s">
        <v>584</v>
      </c>
      <c r="F119" s="87">
        <v>530865.18000000005</v>
      </c>
      <c r="G119" s="97">
        <v>158882.35</v>
      </c>
      <c r="H119" s="97">
        <v>7944.12</v>
      </c>
      <c r="I119" s="97">
        <v>4766.47</v>
      </c>
      <c r="J119" s="92">
        <v>3177.65</v>
      </c>
      <c r="K119" s="93">
        <f t="shared" si="2"/>
        <v>174770.59</v>
      </c>
      <c r="L119" s="95"/>
      <c r="M119" s="95"/>
    </row>
    <row r="120" spans="1:14">
      <c r="A120" s="76">
        <v>114</v>
      </c>
      <c r="B120" s="96">
        <v>41442</v>
      </c>
      <c r="C120" s="86" t="s">
        <v>406</v>
      </c>
      <c r="D120" s="85">
        <v>41452</v>
      </c>
      <c r="E120" s="108" t="s">
        <v>584</v>
      </c>
      <c r="F120" s="97">
        <v>965972.87</v>
      </c>
      <c r="G120" s="97">
        <v>162602.95000000001</v>
      </c>
      <c r="H120" s="97">
        <v>8130.15</v>
      </c>
      <c r="I120" s="97">
        <v>4878.09</v>
      </c>
      <c r="J120" s="92">
        <v>3252.06</v>
      </c>
      <c r="K120" s="93">
        <f t="shared" si="2"/>
        <v>178863.25</v>
      </c>
      <c r="L120" s="95"/>
      <c r="M120" s="95"/>
    </row>
    <row r="121" spans="1:14">
      <c r="A121" s="76">
        <v>115</v>
      </c>
      <c r="B121" s="96">
        <v>41455</v>
      </c>
      <c r="C121" s="86" t="s">
        <v>419</v>
      </c>
      <c r="D121" s="85">
        <v>41453</v>
      </c>
      <c r="E121" s="108" t="s">
        <v>584</v>
      </c>
      <c r="F121" s="87">
        <v>937500</v>
      </c>
      <c r="G121" s="97">
        <v>159653.1</v>
      </c>
      <c r="H121" s="97">
        <v>7982.66</v>
      </c>
      <c r="I121" s="97">
        <v>4789.59</v>
      </c>
      <c r="J121" s="92">
        <v>3193.06</v>
      </c>
      <c r="K121" s="93">
        <f t="shared" si="2"/>
        <v>175618.41</v>
      </c>
      <c r="L121" s="95"/>
      <c r="M121" s="95"/>
    </row>
    <row r="122" spans="1:14">
      <c r="A122" s="76">
        <v>116</v>
      </c>
      <c r="B122" s="96">
        <v>41543</v>
      </c>
      <c r="C122" s="86" t="s">
        <v>405</v>
      </c>
      <c r="D122" s="85">
        <v>41536</v>
      </c>
      <c r="E122" s="108" t="s">
        <v>584</v>
      </c>
      <c r="F122" s="87">
        <v>342853.13</v>
      </c>
      <c r="G122" s="97">
        <v>79754.899999999994</v>
      </c>
      <c r="H122" s="97">
        <v>3987.74</v>
      </c>
      <c r="I122" s="97">
        <v>2392.65</v>
      </c>
      <c r="J122" s="92">
        <v>1595.1</v>
      </c>
      <c r="K122" s="93">
        <f t="shared" si="2"/>
        <v>87730.39</v>
      </c>
      <c r="L122" s="95"/>
      <c r="M122" s="95"/>
    </row>
    <row r="123" spans="1:14">
      <c r="A123" s="76">
        <v>117</v>
      </c>
      <c r="B123" s="96">
        <v>41578</v>
      </c>
      <c r="C123" s="86" t="s">
        <v>422</v>
      </c>
      <c r="D123" s="85">
        <v>41563</v>
      </c>
      <c r="E123" s="108" t="s">
        <v>584</v>
      </c>
      <c r="F123" s="97">
        <v>182504.03</v>
      </c>
      <c r="G123" s="97">
        <v>61123.25</v>
      </c>
      <c r="H123" s="97">
        <v>3056.16</v>
      </c>
      <c r="I123" s="97">
        <v>1833.7</v>
      </c>
      <c r="J123" s="92">
        <v>1222.47</v>
      </c>
      <c r="K123" s="93">
        <f t="shared" si="2"/>
        <v>67235.58</v>
      </c>
      <c r="L123" s="95"/>
      <c r="M123" s="95"/>
    </row>
    <row r="124" spans="1:14">
      <c r="A124" s="76">
        <v>118</v>
      </c>
      <c r="B124" s="96">
        <v>41608</v>
      </c>
      <c r="C124" s="86" t="s">
        <v>424</v>
      </c>
      <c r="D124" s="85">
        <v>41598</v>
      </c>
      <c r="E124" s="108" t="s">
        <v>584</v>
      </c>
      <c r="F124" s="87">
        <v>275365.19</v>
      </c>
      <c r="G124" s="97">
        <v>39266</v>
      </c>
      <c r="H124" s="97">
        <v>1963.3</v>
      </c>
      <c r="I124" s="97">
        <v>1177.98</v>
      </c>
      <c r="J124" s="92">
        <v>785.32</v>
      </c>
      <c r="K124" s="93">
        <f t="shared" si="2"/>
        <v>43192.600000000006</v>
      </c>
      <c r="L124" s="95"/>
      <c r="M124" s="95"/>
    </row>
    <row r="125" spans="1:14">
      <c r="A125" s="76">
        <v>119</v>
      </c>
      <c r="B125" s="96">
        <v>41639</v>
      </c>
      <c r="C125" s="86" t="s">
        <v>426</v>
      </c>
      <c r="D125" s="85" t="s">
        <v>427</v>
      </c>
      <c r="E125" s="108" t="s">
        <v>584</v>
      </c>
      <c r="F125" s="97">
        <v>228304.28</v>
      </c>
      <c r="G125" s="97">
        <v>60978.85</v>
      </c>
      <c r="H125" s="97">
        <v>3048.94</v>
      </c>
      <c r="I125" s="97">
        <v>1829.37</v>
      </c>
      <c r="J125" s="92">
        <v>1219.58</v>
      </c>
      <c r="K125" s="93">
        <f t="shared" si="2"/>
        <v>67076.740000000005</v>
      </c>
      <c r="L125" s="95"/>
      <c r="M125" s="95"/>
    </row>
    <row r="126" spans="1:14">
      <c r="A126" s="76">
        <v>120</v>
      </c>
      <c r="B126" s="96">
        <v>41670</v>
      </c>
      <c r="C126" s="86" t="s">
        <v>429</v>
      </c>
      <c r="D126" s="85">
        <v>41652</v>
      </c>
      <c r="E126" s="108" t="s">
        <v>584</v>
      </c>
      <c r="F126" s="97">
        <v>334689.38</v>
      </c>
      <c r="G126" s="97">
        <v>93057.35</v>
      </c>
      <c r="H126" s="97">
        <v>4652.87</v>
      </c>
      <c r="I126" s="97">
        <v>2791.72</v>
      </c>
      <c r="J126" s="92">
        <v>1861.15</v>
      </c>
      <c r="K126" s="93">
        <f t="shared" si="2"/>
        <v>102363.09</v>
      </c>
      <c r="L126" s="95"/>
      <c r="M126" s="95"/>
    </row>
    <row r="127" spans="1:14">
      <c r="A127" s="76">
        <v>121</v>
      </c>
      <c r="B127" s="96">
        <v>41698</v>
      </c>
      <c r="C127" s="86" t="s">
        <v>431</v>
      </c>
      <c r="D127" s="85">
        <v>41691</v>
      </c>
      <c r="E127" s="108" t="s">
        <v>584</v>
      </c>
      <c r="F127" s="97">
        <v>2456301.83</v>
      </c>
      <c r="G127" s="97">
        <v>53231.35</v>
      </c>
      <c r="H127" s="97">
        <v>2661.57</v>
      </c>
      <c r="I127" s="97">
        <v>1596.94</v>
      </c>
      <c r="J127" s="92">
        <v>1064.6300000000001</v>
      </c>
      <c r="K127" s="93">
        <f t="shared" si="2"/>
        <v>58554.49</v>
      </c>
      <c r="L127" s="95"/>
      <c r="M127" s="95"/>
    </row>
    <row r="128" spans="1:14">
      <c r="A128" s="76">
        <v>122</v>
      </c>
      <c r="B128" s="96">
        <v>41729</v>
      </c>
      <c r="C128" s="86" t="s">
        <v>433</v>
      </c>
      <c r="D128" s="85">
        <v>41717</v>
      </c>
      <c r="E128" s="108" t="s">
        <v>584</v>
      </c>
      <c r="F128" s="87">
        <v>1131188.47</v>
      </c>
      <c r="G128" s="97">
        <v>27650</v>
      </c>
      <c r="H128" s="97">
        <v>1382.5</v>
      </c>
      <c r="I128" s="97">
        <v>829.5</v>
      </c>
      <c r="J128" s="92">
        <v>553</v>
      </c>
      <c r="K128" s="93">
        <f t="shared" si="2"/>
        <v>30415</v>
      </c>
      <c r="L128" s="95"/>
      <c r="M128" s="95"/>
    </row>
    <row r="129" spans="1:13">
      <c r="A129" s="76">
        <v>123</v>
      </c>
      <c r="B129" s="96">
        <v>41759</v>
      </c>
      <c r="C129" s="86" t="s">
        <v>140</v>
      </c>
      <c r="D129" s="85">
        <v>41750</v>
      </c>
      <c r="E129" s="108" t="s">
        <v>584</v>
      </c>
      <c r="F129" s="97">
        <v>20118.669999999998</v>
      </c>
      <c r="G129" s="97">
        <v>13412.45</v>
      </c>
      <c r="H129" s="97">
        <v>670.62</v>
      </c>
      <c r="I129" s="97">
        <v>402.37</v>
      </c>
      <c r="J129" s="92">
        <v>268.25</v>
      </c>
      <c r="K129" s="93">
        <f t="shared" si="2"/>
        <v>14753.690000000002</v>
      </c>
      <c r="L129" s="95"/>
      <c r="M129" s="95"/>
    </row>
    <row r="130" spans="1:13">
      <c r="A130" s="76">
        <v>124</v>
      </c>
      <c r="B130" s="96">
        <v>41790</v>
      </c>
      <c r="C130" s="86" t="s">
        <v>436</v>
      </c>
      <c r="D130" s="85">
        <v>41765</v>
      </c>
      <c r="E130" s="108" t="s">
        <v>584</v>
      </c>
      <c r="F130" s="87">
        <v>382325.97</v>
      </c>
      <c r="G130" s="97">
        <v>66391.45</v>
      </c>
      <c r="H130" s="97">
        <v>3319.57</v>
      </c>
      <c r="I130" s="97">
        <v>1991.74</v>
      </c>
      <c r="J130" s="92">
        <v>1327.83</v>
      </c>
      <c r="K130" s="93">
        <f t="shared" si="2"/>
        <v>73030.590000000011</v>
      </c>
      <c r="L130" s="95"/>
      <c r="M130" s="95"/>
    </row>
    <row r="131" spans="1:13">
      <c r="A131" s="76">
        <v>125</v>
      </c>
      <c r="B131" s="96">
        <v>41943</v>
      </c>
      <c r="C131" s="86" t="s">
        <v>393</v>
      </c>
      <c r="D131" s="85">
        <v>41935</v>
      </c>
      <c r="E131" s="108" t="s">
        <v>584</v>
      </c>
      <c r="F131" s="97">
        <v>42438.76</v>
      </c>
      <c r="G131" s="97">
        <v>28292.5</v>
      </c>
      <c r="H131" s="97">
        <v>1414.63</v>
      </c>
      <c r="I131" s="97">
        <v>848.78</v>
      </c>
      <c r="J131" s="92">
        <v>565.85</v>
      </c>
      <c r="K131" s="93">
        <f t="shared" si="2"/>
        <v>31121.759999999998</v>
      </c>
      <c r="L131" s="95"/>
      <c r="M131" s="95"/>
    </row>
    <row r="132" spans="1:13">
      <c r="A132" s="76">
        <v>126</v>
      </c>
      <c r="B132" s="107">
        <v>41973</v>
      </c>
      <c r="C132" s="86" t="s">
        <v>439</v>
      </c>
      <c r="D132" s="85">
        <v>41961</v>
      </c>
      <c r="E132" s="108" t="s">
        <v>584</v>
      </c>
      <c r="F132" s="87">
        <v>101361.21</v>
      </c>
      <c r="G132" s="87">
        <v>10039.85</v>
      </c>
      <c r="H132" s="87">
        <v>501.99</v>
      </c>
      <c r="I132" s="87">
        <v>301.2</v>
      </c>
      <c r="J132" s="92">
        <v>200.8</v>
      </c>
      <c r="K132" s="93">
        <f t="shared" si="2"/>
        <v>11043.84</v>
      </c>
      <c r="L132" s="95"/>
      <c r="M132" s="95"/>
    </row>
    <row r="133" spans="1:13">
      <c r="A133" s="76">
        <v>127</v>
      </c>
      <c r="B133" s="107">
        <v>42004</v>
      </c>
      <c r="C133" s="86" t="s">
        <v>441</v>
      </c>
      <c r="D133" s="85">
        <v>41998</v>
      </c>
      <c r="E133" s="108" t="s">
        <v>584</v>
      </c>
      <c r="F133" s="87">
        <v>39922.57</v>
      </c>
      <c r="G133" s="87">
        <v>26615.05</v>
      </c>
      <c r="H133" s="87">
        <v>1330.75</v>
      </c>
      <c r="I133" s="87">
        <v>798.45</v>
      </c>
      <c r="J133" s="92">
        <v>532.29999999999995</v>
      </c>
      <c r="K133" s="93">
        <f t="shared" si="2"/>
        <v>29276.55</v>
      </c>
      <c r="L133" s="95"/>
      <c r="M133" s="95"/>
    </row>
    <row r="134" spans="1:13">
      <c r="A134" s="76">
        <v>128</v>
      </c>
      <c r="B134" s="107">
        <v>42035</v>
      </c>
      <c r="C134" s="86" t="s">
        <v>442</v>
      </c>
      <c r="D134" s="85">
        <v>42018</v>
      </c>
      <c r="E134" s="108" t="s">
        <v>584</v>
      </c>
      <c r="F134" s="87">
        <v>216539.1</v>
      </c>
      <c r="G134" s="87">
        <v>9300</v>
      </c>
      <c r="H134" s="87">
        <v>465</v>
      </c>
      <c r="I134" s="87">
        <v>279</v>
      </c>
      <c r="J134" s="92">
        <v>186</v>
      </c>
      <c r="K134" s="93">
        <f t="shared" si="2"/>
        <v>10230</v>
      </c>
      <c r="L134" s="95"/>
      <c r="M134" s="95"/>
    </row>
    <row r="135" spans="1:13">
      <c r="A135" s="76">
        <v>129</v>
      </c>
      <c r="B135" s="109">
        <v>42369</v>
      </c>
      <c r="C135" s="86" t="s">
        <v>444</v>
      </c>
      <c r="D135" s="85">
        <v>42353</v>
      </c>
      <c r="E135" s="108" t="s">
        <v>584</v>
      </c>
      <c r="F135" s="87">
        <v>27254.75</v>
      </c>
      <c r="G135" s="87">
        <v>14751.25</v>
      </c>
      <c r="H135" s="87"/>
      <c r="I135" s="87"/>
      <c r="J135" s="92"/>
      <c r="K135" s="93">
        <f t="shared" si="2"/>
        <v>14751.25</v>
      </c>
      <c r="L135" s="95"/>
      <c r="M135" s="95"/>
    </row>
    <row r="136" spans="1:13">
      <c r="A136" s="76">
        <v>130</v>
      </c>
      <c r="B136" s="109">
        <v>42369</v>
      </c>
      <c r="C136" s="86" t="s">
        <v>444</v>
      </c>
      <c r="D136" s="85">
        <v>42353</v>
      </c>
      <c r="E136" s="108" t="s">
        <v>584</v>
      </c>
      <c r="F136" s="87">
        <v>2725.48</v>
      </c>
      <c r="G136" s="87"/>
      <c r="H136" s="87">
        <v>737.56</v>
      </c>
      <c r="I136" s="87">
        <v>442.54</v>
      </c>
      <c r="J136" s="92">
        <v>295.02999999999997</v>
      </c>
      <c r="K136" s="93">
        <f>G136+H136+I136+J136</f>
        <v>1475.1299999999999</v>
      </c>
      <c r="L136" s="95"/>
      <c r="M136" s="95"/>
    </row>
    <row r="137" spans="1:13">
      <c r="A137" s="76">
        <v>131</v>
      </c>
      <c r="B137" s="109">
        <v>42400</v>
      </c>
      <c r="C137" s="86" t="s">
        <v>445</v>
      </c>
      <c r="D137" s="85">
        <v>42384</v>
      </c>
      <c r="E137" s="108" t="s">
        <v>584</v>
      </c>
      <c r="F137" s="87">
        <v>15215.47</v>
      </c>
      <c r="G137" s="87">
        <v>9909.35</v>
      </c>
      <c r="H137" s="87">
        <v>495.47</v>
      </c>
      <c r="I137" s="87">
        <v>297.27999999999997</v>
      </c>
      <c r="J137" s="92">
        <v>198.19</v>
      </c>
      <c r="K137" s="93">
        <f t="shared" ref="K137:K148" si="3">G137+H137+I137+J137</f>
        <v>10900.29</v>
      </c>
      <c r="L137" s="95"/>
      <c r="M137" s="95"/>
    </row>
    <row r="138" spans="1:13">
      <c r="A138" s="76">
        <v>132</v>
      </c>
      <c r="B138" s="109">
        <v>42490</v>
      </c>
      <c r="C138" s="86" t="s">
        <v>446</v>
      </c>
      <c r="D138" s="85">
        <v>42472</v>
      </c>
      <c r="E138" s="108" t="s">
        <v>584</v>
      </c>
      <c r="F138" s="87">
        <v>114426.62</v>
      </c>
      <c r="G138" s="87">
        <v>10000</v>
      </c>
      <c r="H138" s="87">
        <v>500</v>
      </c>
      <c r="I138" s="87">
        <v>300</v>
      </c>
      <c r="J138" s="92">
        <v>200</v>
      </c>
      <c r="K138" s="93">
        <f t="shared" si="3"/>
        <v>11000</v>
      </c>
      <c r="L138" s="95"/>
      <c r="M138" s="95"/>
    </row>
    <row r="139" spans="1:13">
      <c r="A139" s="76">
        <v>133</v>
      </c>
      <c r="B139" s="109">
        <v>42521</v>
      </c>
      <c r="C139" s="110" t="s">
        <v>447</v>
      </c>
      <c r="D139" s="85">
        <v>42506</v>
      </c>
      <c r="E139" s="108" t="s">
        <v>584</v>
      </c>
      <c r="F139" s="87">
        <v>159542.95000000001</v>
      </c>
      <c r="G139" s="87">
        <v>33769.75</v>
      </c>
      <c r="H139" s="87">
        <v>1688.49</v>
      </c>
      <c r="I139" s="87">
        <v>1013.09</v>
      </c>
      <c r="J139" s="92">
        <v>675.4</v>
      </c>
      <c r="K139" s="93">
        <f t="shared" si="3"/>
        <v>37146.729999999996</v>
      </c>
      <c r="L139" s="95"/>
      <c r="M139" s="95"/>
    </row>
    <row r="140" spans="1:13">
      <c r="A140" s="76">
        <v>134</v>
      </c>
      <c r="B140" s="109">
        <v>42582</v>
      </c>
      <c r="C140" s="111" t="s">
        <v>448</v>
      </c>
      <c r="D140" s="112">
        <v>42566</v>
      </c>
      <c r="E140" s="108" t="s">
        <v>584</v>
      </c>
      <c r="F140" s="113">
        <v>4833.34</v>
      </c>
      <c r="G140" s="87"/>
      <c r="H140" s="87">
        <v>1571.43</v>
      </c>
      <c r="I140" s="87">
        <v>942.86</v>
      </c>
      <c r="J140" s="92">
        <v>628.57000000000005</v>
      </c>
      <c r="K140" s="93">
        <f t="shared" si="3"/>
        <v>3142.86</v>
      </c>
      <c r="L140" s="95"/>
      <c r="M140" s="95"/>
    </row>
    <row r="141" spans="1:13">
      <c r="A141" s="76">
        <v>135</v>
      </c>
      <c r="B141" s="109">
        <v>42704</v>
      </c>
      <c r="C141" s="86" t="s">
        <v>449</v>
      </c>
      <c r="D141" s="85">
        <v>42685</v>
      </c>
      <c r="E141" s="108" t="s">
        <v>584</v>
      </c>
      <c r="F141" s="87">
        <v>6607.61</v>
      </c>
      <c r="G141" s="87"/>
      <c r="H141" s="87">
        <v>313.68</v>
      </c>
      <c r="I141" s="87">
        <v>188.21</v>
      </c>
      <c r="J141" s="92">
        <v>125.47</v>
      </c>
      <c r="K141" s="93">
        <f t="shared" si="3"/>
        <v>627.36</v>
      </c>
      <c r="L141" s="95"/>
      <c r="M141" s="95"/>
    </row>
    <row r="142" spans="1:13">
      <c r="A142" s="76">
        <v>136</v>
      </c>
      <c r="B142" s="109">
        <v>42735</v>
      </c>
      <c r="C142" s="86" t="s">
        <v>450</v>
      </c>
      <c r="D142" s="85">
        <v>42717</v>
      </c>
      <c r="E142" s="108" t="s">
        <v>584</v>
      </c>
      <c r="F142" s="87">
        <v>8683.66</v>
      </c>
      <c r="G142" s="87"/>
      <c r="H142" s="87"/>
      <c r="I142" s="87"/>
      <c r="J142" s="92">
        <v>1309.77</v>
      </c>
      <c r="K142" s="93">
        <f t="shared" si="3"/>
        <v>1309.77</v>
      </c>
      <c r="L142" s="95"/>
      <c r="M142" s="95"/>
    </row>
    <row r="143" spans="1:13">
      <c r="A143" s="76">
        <v>137</v>
      </c>
      <c r="B143" s="109">
        <v>42735</v>
      </c>
      <c r="C143" s="86" t="s">
        <v>450</v>
      </c>
      <c r="D143" s="85">
        <v>42717</v>
      </c>
      <c r="E143" s="108" t="s">
        <v>584</v>
      </c>
      <c r="F143" s="87">
        <v>34734.65</v>
      </c>
      <c r="G143" s="87"/>
      <c r="H143" s="87">
        <v>3274.43</v>
      </c>
      <c r="I143" s="87">
        <v>1964.66</v>
      </c>
      <c r="J143" s="92"/>
      <c r="K143" s="93">
        <f t="shared" si="3"/>
        <v>5239.09</v>
      </c>
      <c r="L143" s="95"/>
      <c r="M143" s="95"/>
    </row>
    <row r="144" spans="1:13">
      <c r="A144" s="76">
        <v>138</v>
      </c>
      <c r="B144" s="109">
        <v>42766</v>
      </c>
      <c r="C144" s="86" t="s">
        <v>451</v>
      </c>
      <c r="D144" s="85">
        <v>42743</v>
      </c>
      <c r="E144" s="108" t="s">
        <v>584</v>
      </c>
      <c r="F144" s="87">
        <v>8803.4699999999993</v>
      </c>
      <c r="G144" s="87"/>
      <c r="H144" s="87">
        <v>1258.9100000000001</v>
      </c>
      <c r="I144" s="87">
        <v>755.35</v>
      </c>
      <c r="J144" s="92">
        <v>503.57</v>
      </c>
      <c r="K144" s="93">
        <f t="shared" si="3"/>
        <v>2517.8300000000004</v>
      </c>
      <c r="L144" s="95"/>
      <c r="M144" s="95"/>
    </row>
    <row r="145" spans="1:13">
      <c r="A145" s="76">
        <v>139</v>
      </c>
      <c r="B145" s="109">
        <v>42825</v>
      </c>
      <c r="C145" s="86" t="s">
        <v>452</v>
      </c>
      <c r="D145" s="85">
        <v>42809</v>
      </c>
      <c r="E145" s="108" t="s">
        <v>584</v>
      </c>
      <c r="F145" s="87">
        <v>17148.54</v>
      </c>
      <c r="G145" s="87"/>
      <c r="H145" s="87">
        <v>3130.19</v>
      </c>
      <c r="I145" s="87">
        <v>1878.11</v>
      </c>
      <c r="J145" s="92">
        <v>1252.08</v>
      </c>
      <c r="K145" s="93">
        <f t="shared" si="3"/>
        <v>6260.38</v>
      </c>
      <c r="L145" s="95"/>
      <c r="M145" s="95"/>
    </row>
    <row r="146" spans="1:13">
      <c r="A146" s="76">
        <v>140</v>
      </c>
      <c r="B146" s="112">
        <v>42855</v>
      </c>
      <c r="C146" s="60" t="s">
        <v>453</v>
      </c>
      <c r="D146" s="85">
        <v>42841</v>
      </c>
      <c r="E146" s="108" t="s">
        <v>584</v>
      </c>
      <c r="F146" s="87">
        <v>91409.18</v>
      </c>
      <c r="G146" s="87"/>
      <c r="H146" s="87">
        <v>9800.1200000000008</v>
      </c>
      <c r="I146" s="87">
        <v>5880.07</v>
      </c>
      <c r="J146" s="92">
        <v>3920.05</v>
      </c>
      <c r="K146" s="93">
        <f t="shared" si="3"/>
        <v>19600.240000000002</v>
      </c>
      <c r="L146" s="95"/>
      <c r="M146" s="95"/>
    </row>
    <row r="147" spans="1:13">
      <c r="A147" s="76">
        <v>141</v>
      </c>
      <c r="B147" s="112">
        <v>43039</v>
      </c>
      <c r="C147" s="60" t="s">
        <v>454</v>
      </c>
      <c r="D147" s="85">
        <v>43028</v>
      </c>
      <c r="E147" s="108" t="s">
        <v>584</v>
      </c>
      <c r="F147" s="87">
        <v>61615.5</v>
      </c>
      <c r="G147" s="87"/>
      <c r="H147" s="87">
        <v>997.62</v>
      </c>
      <c r="I147" s="87">
        <v>598.57000000000005</v>
      </c>
      <c r="J147" s="87">
        <v>399.05</v>
      </c>
      <c r="K147" s="93">
        <f t="shared" si="3"/>
        <v>1995.24</v>
      </c>
      <c r="L147" s="114"/>
      <c r="M147" s="95"/>
    </row>
    <row r="148" spans="1:13">
      <c r="A148" s="76">
        <v>142</v>
      </c>
      <c r="B148" s="112">
        <v>43100</v>
      </c>
      <c r="C148" s="60" t="s">
        <v>455</v>
      </c>
      <c r="D148" s="27">
        <v>43081</v>
      </c>
      <c r="E148" s="108" t="s">
        <v>584</v>
      </c>
      <c r="F148" s="87">
        <f>23333.33+2333.34</f>
        <v>25666.670000000002</v>
      </c>
      <c r="G148" s="87"/>
      <c r="H148" s="87">
        <v>1166.67</v>
      </c>
      <c r="I148" s="87">
        <v>700</v>
      </c>
      <c r="J148" s="87">
        <v>466.67</v>
      </c>
      <c r="K148" s="93">
        <f t="shared" si="3"/>
        <v>2333.34</v>
      </c>
      <c r="L148" s="114"/>
      <c r="M148" s="95"/>
    </row>
    <row r="149" spans="1:13">
      <c r="A149" s="76"/>
      <c r="B149" s="112"/>
      <c r="C149" s="60"/>
      <c r="D149" s="85"/>
      <c r="E149" s="57"/>
      <c r="F149" s="87"/>
      <c r="G149" s="87"/>
      <c r="H149" s="87"/>
      <c r="I149" s="87"/>
      <c r="J149" s="87"/>
      <c r="K149" s="93"/>
      <c r="L149" s="114"/>
      <c r="M149" s="95"/>
    </row>
    <row r="150" spans="1:13">
      <c r="A150" s="76"/>
      <c r="B150" s="112"/>
      <c r="C150" s="60"/>
      <c r="D150" s="85"/>
      <c r="E150" s="57"/>
      <c r="F150" s="87"/>
      <c r="G150" s="87"/>
      <c r="H150" s="87"/>
      <c r="I150" s="87"/>
      <c r="J150" s="87"/>
      <c r="K150" s="93"/>
      <c r="L150" s="114"/>
      <c r="M150" s="95"/>
    </row>
    <row r="151" spans="1:13">
      <c r="A151" s="76"/>
      <c r="B151" s="112"/>
      <c r="C151" s="60"/>
      <c r="D151" s="85"/>
      <c r="E151" s="57"/>
      <c r="F151" s="87"/>
      <c r="G151" s="87"/>
      <c r="H151" s="87"/>
      <c r="I151" s="87"/>
      <c r="J151" s="87"/>
      <c r="K151" s="93"/>
      <c r="L151" s="114"/>
      <c r="M151" s="95"/>
    </row>
  </sheetData>
  <autoFilter ref="A6:M148"/>
  <mergeCells count="7">
    <mergeCell ref="M3:M4"/>
    <mergeCell ref="A1:L1"/>
    <mergeCell ref="B3:C3"/>
    <mergeCell ref="D3:F3"/>
    <mergeCell ref="G3:K3"/>
    <mergeCell ref="A3:A4"/>
    <mergeCell ref="L3:L4"/>
  </mergeCells>
  <phoneticPr fontId="22" type="noConversion"/>
  <printOptions horizontalCentered="1"/>
  <pageMargins left="0.56874999999999998" right="0.46875" top="0.97916666666666696" bottom="0.70902777777777803" header="0.66944444444444495" footer="0.46875"/>
  <pageSetup paperSize="9" scale="94" fitToHeight="0" orientation="landscape"/>
  <headerFooter alignWithMargins="0">
    <oddHeader>&amp;R附表25</oddHeader>
    <oddFooter>&amp;C&amp;10&amp;P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63"/>
  <sheetViews>
    <sheetView workbookViewId="0">
      <pane xSplit="1" ySplit="6" topLeftCell="B7" activePane="bottomRight" state="frozen"/>
      <selection pane="topRight"/>
      <selection pane="bottomLeft"/>
      <selection pane="bottomRight" activeCell="D20" sqref="D20"/>
    </sheetView>
  </sheetViews>
  <sheetFormatPr defaultColWidth="9" defaultRowHeight="15.75"/>
  <cols>
    <col min="1" max="1" width="4.875" style="5" customWidth="1"/>
    <col min="2" max="2" width="10.125" style="5" customWidth="1"/>
    <col min="3" max="3" width="6.375" style="5" customWidth="1"/>
    <col min="4" max="4" width="11.25" style="5" customWidth="1"/>
    <col min="5" max="5" width="16.75" style="6" customWidth="1"/>
    <col min="6" max="6" width="14" style="5" customWidth="1"/>
    <col min="7" max="7" width="11.5" style="5" customWidth="1"/>
    <col min="8" max="8" width="29.375" style="5" customWidth="1"/>
    <col min="9" max="9" width="5.875" style="5" customWidth="1"/>
    <col min="10" max="16384" width="9" style="5"/>
  </cols>
  <sheetData>
    <row r="1" spans="1:10" ht="24">
      <c r="A1" s="791" t="s">
        <v>596</v>
      </c>
      <c r="B1" s="768"/>
      <c r="C1" s="768"/>
      <c r="D1" s="768"/>
      <c r="E1" s="771"/>
      <c r="F1" s="768"/>
      <c r="G1" s="768"/>
      <c r="H1" s="768"/>
      <c r="I1" s="768"/>
    </row>
    <row r="2" spans="1:10" s="1" customFormat="1" ht="12.75">
      <c r="A2" s="7" t="str">
        <f>Sheet2!A2</f>
        <v>看就会立刻就会老客户考虑减</v>
      </c>
      <c r="B2" s="8"/>
      <c r="C2" s="8"/>
      <c r="D2" s="8"/>
      <c r="E2" s="9"/>
      <c r="F2" s="10"/>
      <c r="G2" s="10"/>
      <c r="H2" s="11" t="s">
        <v>32</v>
      </c>
      <c r="I2" s="61"/>
    </row>
    <row r="3" spans="1:10" s="1" customFormat="1" ht="12.75">
      <c r="A3" s="775" t="s">
        <v>34</v>
      </c>
      <c r="B3" s="772" t="s">
        <v>456</v>
      </c>
      <c r="C3" s="773"/>
      <c r="D3" s="772" t="s">
        <v>651</v>
      </c>
      <c r="E3" s="774"/>
      <c r="F3" s="773"/>
      <c r="G3" s="777" t="s">
        <v>651</v>
      </c>
      <c r="H3" s="772" t="s">
        <v>315</v>
      </c>
      <c r="I3" s="775" t="s">
        <v>457</v>
      </c>
    </row>
    <row r="4" spans="1:10" s="1" customFormat="1" ht="12.75">
      <c r="A4" s="776"/>
      <c r="B4" s="13" t="s">
        <v>652</v>
      </c>
      <c r="C4" s="13" t="s">
        <v>651</v>
      </c>
      <c r="D4" s="16" t="s">
        <v>650</v>
      </c>
      <c r="E4" s="17" t="s">
        <v>649</v>
      </c>
      <c r="F4" s="18" t="s">
        <v>651</v>
      </c>
      <c r="G4" s="774"/>
      <c r="H4" s="773"/>
      <c r="I4" s="776"/>
    </row>
    <row r="5" spans="1:10" s="1" customFormat="1" ht="12.75">
      <c r="A5" s="15"/>
      <c r="B5" s="14">
        <v>1</v>
      </c>
      <c r="C5" s="14">
        <v>2</v>
      </c>
      <c r="D5" s="19">
        <v>3</v>
      </c>
      <c r="E5" s="20">
        <v>4</v>
      </c>
      <c r="F5" s="19">
        <v>5</v>
      </c>
      <c r="G5" s="14">
        <v>6</v>
      </c>
      <c r="H5" s="14">
        <v>7</v>
      </c>
      <c r="I5" s="62"/>
    </row>
    <row r="6" spans="1:10" s="2" customFormat="1" ht="12.75">
      <c r="A6" s="21"/>
      <c r="B6" s="22" t="s">
        <v>35</v>
      </c>
      <c r="C6" s="23"/>
      <c r="D6" s="24"/>
      <c r="E6" s="25"/>
      <c r="F6" s="26">
        <f>SUM(F7:F80)</f>
        <v>16679425.280000003</v>
      </c>
      <c r="G6" s="26">
        <f>SUM(G7:G80)</f>
        <v>3021048.3699999996</v>
      </c>
      <c r="H6" s="23"/>
      <c r="I6" s="63"/>
    </row>
    <row r="7" spans="1:10" s="3" customFormat="1" ht="12">
      <c r="A7" s="12">
        <v>1</v>
      </c>
      <c r="B7" s="27">
        <v>40688</v>
      </c>
      <c r="C7" s="53" t="s">
        <v>595</v>
      </c>
      <c r="D7" s="29">
        <v>40688</v>
      </c>
      <c r="E7" s="36" t="s">
        <v>592</v>
      </c>
      <c r="F7" s="31">
        <v>1075115.93</v>
      </c>
      <c r="G7" s="31">
        <f>1075115.93-1039442.84</f>
        <v>35673.089999999967</v>
      </c>
      <c r="H7" s="32"/>
      <c r="I7" s="64"/>
    </row>
    <row r="8" spans="1:10" s="3" customFormat="1" ht="12">
      <c r="A8" s="12">
        <v>2</v>
      </c>
      <c r="B8" s="27">
        <v>40715</v>
      </c>
      <c r="C8" s="53" t="s">
        <v>595</v>
      </c>
      <c r="D8" s="29">
        <v>40708</v>
      </c>
      <c r="E8" s="36" t="s">
        <v>592</v>
      </c>
      <c r="F8" s="31">
        <v>581315.13</v>
      </c>
      <c r="G8" s="31">
        <f>581315.13-137167.27</f>
        <v>444147.86</v>
      </c>
      <c r="H8" s="32"/>
      <c r="I8" s="64"/>
    </row>
    <row r="9" spans="1:10" s="3" customFormat="1" ht="12">
      <c r="A9" s="12">
        <v>3</v>
      </c>
      <c r="B9" s="27">
        <v>40715</v>
      </c>
      <c r="C9" s="53" t="s">
        <v>595</v>
      </c>
      <c r="D9" s="29">
        <v>40710</v>
      </c>
      <c r="E9" s="36" t="s">
        <v>592</v>
      </c>
      <c r="F9" s="31">
        <v>44392.24</v>
      </c>
      <c r="G9" s="31">
        <v>44392.24</v>
      </c>
      <c r="H9" s="32"/>
      <c r="I9" s="64"/>
    </row>
    <row r="10" spans="1:10" s="4" customFormat="1" ht="12">
      <c r="A10" s="33">
        <v>4</v>
      </c>
      <c r="B10" s="34">
        <v>40746</v>
      </c>
      <c r="C10" s="53" t="s">
        <v>595</v>
      </c>
      <c r="D10" s="35">
        <v>40738</v>
      </c>
      <c r="E10" s="36" t="s">
        <v>592</v>
      </c>
      <c r="F10" s="37">
        <v>22352.34</v>
      </c>
      <c r="G10" s="37">
        <f>180772.98-171640.92</f>
        <v>9132.0599999999977</v>
      </c>
      <c r="H10" s="38" t="s">
        <v>458</v>
      </c>
      <c r="I10" s="65"/>
      <c r="J10" s="66" t="s">
        <v>591</v>
      </c>
    </row>
    <row r="11" spans="1:10" s="3" customFormat="1" ht="12">
      <c r="A11" s="12">
        <v>5</v>
      </c>
      <c r="B11" s="27">
        <v>40755</v>
      </c>
      <c r="C11" s="53" t="s">
        <v>595</v>
      </c>
      <c r="D11" s="40">
        <v>40745</v>
      </c>
      <c r="E11" s="36" t="s">
        <v>592</v>
      </c>
      <c r="F11" s="31">
        <v>40319.74</v>
      </c>
      <c r="G11" s="31">
        <v>40319.74</v>
      </c>
      <c r="H11" s="39"/>
      <c r="I11" s="64"/>
    </row>
    <row r="12" spans="1:10" s="3" customFormat="1" ht="12">
      <c r="A12" s="12">
        <v>6</v>
      </c>
      <c r="B12" s="41">
        <v>40767</v>
      </c>
      <c r="C12" s="53" t="s">
        <v>595</v>
      </c>
      <c r="D12" s="40">
        <v>40760</v>
      </c>
      <c r="E12" s="36" t="s">
        <v>592</v>
      </c>
      <c r="F12" s="31">
        <v>154200.20000000001</v>
      </c>
      <c r="G12" s="31">
        <v>154200.20000000001</v>
      </c>
      <c r="H12" s="32"/>
      <c r="I12" s="64"/>
    </row>
    <row r="13" spans="1:10" s="3" customFormat="1" ht="12">
      <c r="A13" s="12">
        <v>7</v>
      </c>
      <c r="B13" s="41">
        <v>40807</v>
      </c>
      <c r="C13" s="53" t="s">
        <v>595</v>
      </c>
      <c r="D13" s="40">
        <v>40800</v>
      </c>
      <c r="E13" s="36" t="s">
        <v>592</v>
      </c>
      <c r="F13" s="31">
        <v>165854.5</v>
      </c>
      <c r="G13" s="31">
        <v>165854.5</v>
      </c>
      <c r="H13" s="39"/>
      <c r="I13" s="64"/>
    </row>
    <row r="14" spans="1:10" s="3" customFormat="1" ht="12">
      <c r="A14" s="12">
        <v>8</v>
      </c>
      <c r="B14" s="42">
        <v>40816</v>
      </c>
      <c r="C14" s="53" t="s">
        <v>595</v>
      </c>
      <c r="D14" s="40">
        <v>40814</v>
      </c>
      <c r="E14" s="36" t="s">
        <v>592</v>
      </c>
      <c r="F14" s="31">
        <v>182294.02</v>
      </c>
      <c r="G14" s="31">
        <v>182294.02</v>
      </c>
      <c r="H14" s="32"/>
      <c r="I14" s="64"/>
    </row>
    <row r="15" spans="1:10" s="3" customFormat="1" ht="12">
      <c r="A15" s="12">
        <v>9</v>
      </c>
      <c r="B15" s="41">
        <v>40858</v>
      </c>
      <c r="C15" s="53" t="s">
        <v>595</v>
      </c>
      <c r="D15" s="40">
        <v>40858</v>
      </c>
      <c r="E15" s="36" t="s">
        <v>592</v>
      </c>
      <c r="F15" s="31">
        <v>69031.14</v>
      </c>
      <c r="G15" s="31">
        <v>69031.14</v>
      </c>
      <c r="H15" s="39"/>
      <c r="I15" s="64"/>
    </row>
    <row r="16" spans="1:10" s="3" customFormat="1" ht="12">
      <c r="A16" s="12">
        <v>10</v>
      </c>
      <c r="B16" s="41">
        <v>40890</v>
      </c>
      <c r="C16" s="53" t="s">
        <v>595</v>
      </c>
      <c r="D16" s="40">
        <v>40884</v>
      </c>
      <c r="E16" s="36" t="s">
        <v>592</v>
      </c>
      <c r="F16" s="31">
        <v>121136.54</v>
      </c>
      <c r="G16" s="31">
        <v>121136.54</v>
      </c>
      <c r="H16" s="32"/>
      <c r="I16" s="64"/>
    </row>
    <row r="17" spans="1:9" s="3" customFormat="1" ht="12">
      <c r="A17" s="12">
        <v>12</v>
      </c>
      <c r="B17" s="43" t="s">
        <v>400</v>
      </c>
      <c r="C17" s="53" t="s">
        <v>595</v>
      </c>
      <c r="D17" s="44">
        <v>40949</v>
      </c>
      <c r="E17" s="36" t="s">
        <v>592</v>
      </c>
      <c r="F17" s="31">
        <v>75960.66</v>
      </c>
      <c r="G17" s="31">
        <v>75960.66</v>
      </c>
      <c r="H17" s="39"/>
      <c r="I17" s="64"/>
    </row>
    <row r="18" spans="1:9" s="3" customFormat="1" ht="12">
      <c r="A18" s="12">
        <v>13</v>
      </c>
      <c r="B18" s="45">
        <v>40998</v>
      </c>
      <c r="C18" s="53" t="s">
        <v>595</v>
      </c>
      <c r="D18" s="44">
        <v>40983</v>
      </c>
      <c r="E18" s="36" t="s">
        <v>592</v>
      </c>
      <c r="F18" s="31">
        <v>29874.68</v>
      </c>
      <c r="G18" s="31">
        <v>29874.68</v>
      </c>
      <c r="H18" s="39"/>
      <c r="I18" s="64"/>
    </row>
    <row r="19" spans="1:9" s="3" customFormat="1" ht="12">
      <c r="A19" s="12">
        <v>14</v>
      </c>
      <c r="B19" s="45">
        <v>41029</v>
      </c>
      <c r="C19" s="53" t="s">
        <v>595</v>
      </c>
      <c r="D19" s="46">
        <v>41012</v>
      </c>
      <c r="E19" s="36" t="s">
        <v>592</v>
      </c>
      <c r="F19" s="31">
        <v>24635.439999999999</v>
      </c>
      <c r="G19" s="31">
        <v>24635.439999999999</v>
      </c>
      <c r="H19" s="39"/>
      <c r="I19" s="64"/>
    </row>
    <row r="20" spans="1:9" s="3" customFormat="1" ht="12">
      <c r="A20" s="12">
        <v>15</v>
      </c>
      <c r="B20" s="45">
        <v>41029</v>
      </c>
      <c r="C20" s="53" t="s">
        <v>595</v>
      </c>
      <c r="D20" s="44">
        <v>41011</v>
      </c>
      <c r="E20" s="36" t="s">
        <v>592</v>
      </c>
      <c r="F20" s="31">
        <v>3836.82</v>
      </c>
      <c r="G20" s="31">
        <v>3836.82</v>
      </c>
      <c r="H20" s="39"/>
      <c r="I20" s="64"/>
    </row>
    <row r="21" spans="1:9" s="3" customFormat="1" ht="12">
      <c r="A21" s="12">
        <v>16</v>
      </c>
      <c r="B21" s="41">
        <v>41029</v>
      </c>
      <c r="C21" s="53" t="s">
        <v>595</v>
      </c>
      <c r="D21" s="44">
        <v>41018</v>
      </c>
      <c r="E21" s="36" t="s">
        <v>592</v>
      </c>
      <c r="F21" s="31">
        <v>10096</v>
      </c>
      <c r="G21" s="31">
        <v>10096</v>
      </c>
      <c r="H21" s="32"/>
      <c r="I21" s="64"/>
    </row>
    <row r="22" spans="1:9" s="3" customFormat="1" ht="12">
      <c r="A22" s="12">
        <v>17</v>
      </c>
      <c r="B22" s="41">
        <v>41059</v>
      </c>
      <c r="C22" s="53" t="s">
        <v>595</v>
      </c>
      <c r="D22" s="44">
        <v>41040</v>
      </c>
      <c r="E22" s="36" t="s">
        <v>592</v>
      </c>
      <c r="F22" s="31">
        <v>83642.48</v>
      </c>
      <c r="G22" s="31">
        <v>83642.48</v>
      </c>
      <c r="H22" s="32"/>
      <c r="I22" s="64"/>
    </row>
    <row r="23" spans="1:9" s="3" customFormat="1" ht="12">
      <c r="A23" s="12">
        <v>18</v>
      </c>
      <c r="B23" s="41">
        <v>41059</v>
      </c>
      <c r="C23" s="53" t="s">
        <v>595</v>
      </c>
      <c r="D23" s="44">
        <v>41040</v>
      </c>
      <c r="E23" s="36" t="s">
        <v>592</v>
      </c>
      <c r="F23" s="31">
        <v>59071.92</v>
      </c>
      <c r="G23" s="31">
        <v>29155.18</v>
      </c>
      <c r="H23" s="32"/>
      <c r="I23" s="64"/>
    </row>
    <row r="24" spans="1:9" s="3" customFormat="1" ht="12">
      <c r="A24" s="12">
        <v>19</v>
      </c>
      <c r="B24" s="42">
        <v>41090</v>
      </c>
      <c r="C24" s="53" t="s">
        <v>595</v>
      </c>
      <c r="D24" s="44">
        <v>41074</v>
      </c>
      <c r="E24" s="36" t="s">
        <v>592</v>
      </c>
      <c r="F24" s="31">
        <v>47815.78</v>
      </c>
      <c r="G24" s="31">
        <v>30794.9</v>
      </c>
      <c r="H24" s="32"/>
      <c r="I24" s="64"/>
    </row>
    <row r="25" spans="1:9" s="3" customFormat="1" ht="12">
      <c r="A25" s="12">
        <v>20</v>
      </c>
      <c r="B25" s="42">
        <v>41090</v>
      </c>
      <c r="C25" s="53" t="s">
        <v>595</v>
      </c>
      <c r="D25" s="27">
        <v>41088</v>
      </c>
      <c r="E25" s="36" t="s">
        <v>592</v>
      </c>
      <c r="F25" s="31">
        <v>114134.65</v>
      </c>
      <c r="G25" s="31">
        <v>114116.5</v>
      </c>
      <c r="H25" s="32"/>
      <c r="I25" s="64"/>
    </row>
    <row r="26" spans="1:9" s="3" customFormat="1" ht="12">
      <c r="A26" s="12">
        <v>21</v>
      </c>
      <c r="B26" s="42">
        <v>41120</v>
      </c>
      <c r="C26" s="53" t="s">
        <v>595</v>
      </c>
      <c r="D26" s="44">
        <v>41094</v>
      </c>
      <c r="E26" s="36" t="s">
        <v>592</v>
      </c>
      <c r="F26" s="31">
        <v>19319.82</v>
      </c>
      <c r="G26" s="31">
        <v>2376.54</v>
      </c>
      <c r="H26" s="32"/>
      <c r="I26" s="64"/>
    </row>
    <row r="27" spans="1:9" s="3" customFormat="1" ht="12">
      <c r="A27" s="12">
        <v>22</v>
      </c>
      <c r="B27" s="42">
        <v>41120</v>
      </c>
      <c r="C27" s="53" t="s">
        <v>595</v>
      </c>
      <c r="D27" s="44">
        <v>41106</v>
      </c>
      <c r="E27" s="36" t="s">
        <v>592</v>
      </c>
      <c r="F27" s="31">
        <v>4625.08</v>
      </c>
      <c r="G27" s="31">
        <v>4625.08</v>
      </c>
      <c r="H27" s="32"/>
      <c r="I27" s="64"/>
    </row>
    <row r="28" spans="1:9" s="3" customFormat="1" ht="12">
      <c r="A28" s="12">
        <v>23</v>
      </c>
      <c r="B28" s="42">
        <v>41134</v>
      </c>
      <c r="C28" s="53" t="s">
        <v>595</v>
      </c>
      <c r="D28" s="46">
        <v>41127</v>
      </c>
      <c r="E28" s="36" t="s">
        <v>592</v>
      </c>
      <c r="F28" s="31">
        <v>34277</v>
      </c>
      <c r="G28" s="31">
        <v>26215.88</v>
      </c>
      <c r="H28" s="32"/>
      <c r="I28" s="64"/>
    </row>
    <row r="29" spans="1:9" s="3" customFormat="1" ht="12">
      <c r="A29" s="12">
        <v>24</v>
      </c>
      <c r="B29" s="42">
        <v>41138</v>
      </c>
      <c r="C29" s="53" t="s">
        <v>595</v>
      </c>
      <c r="D29" s="46">
        <v>41131</v>
      </c>
      <c r="E29" s="36" t="s">
        <v>592</v>
      </c>
      <c r="F29" s="31">
        <v>800</v>
      </c>
      <c r="G29" s="31">
        <v>800</v>
      </c>
      <c r="H29" s="32"/>
      <c r="I29" s="64"/>
    </row>
    <row r="30" spans="1:9" s="3" customFormat="1" ht="12">
      <c r="A30" s="12">
        <v>25</v>
      </c>
      <c r="B30" s="42">
        <v>41268</v>
      </c>
      <c r="C30" s="53" t="s">
        <v>595</v>
      </c>
      <c r="D30" s="46">
        <v>41260</v>
      </c>
      <c r="E30" s="36" t="s">
        <v>592</v>
      </c>
      <c r="F30" s="31">
        <v>153545.85999999999</v>
      </c>
      <c r="G30" s="31">
        <v>153545.85999999999</v>
      </c>
      <c r="H30" s="48"/>
      <c r="I30" s="64"/>
    </row>
    <row r="31" spans="1:9" s="3" customFormat="1" ht="12">
      <c r="A31" s="12">
        <v>26</v>
      </c>
      <c r="B31" s="41">
        <v>41304</v>
      </c>
      <c r="C31" s="53" t="s">
        <v>595</v>
      </c>
      <c r="D31" s="49">
        <v>41290</v>
      </c>
      <c r="E31" s="36" t="s">
        <v>592</v>
      </c>
      <c r="F31" s="31">
        <v>1689578.12</v>
      </c>
      <c r="G31" s="31">
        <v>235874.9</v>
      </c>
      <c r="H31" s="32"/>
      <c r="I31" s="64"/>
    </row>
    <row r="32" spans="1:9" s="3" customFormat="1" ht="12">
      <c r="A32" s="12">
        <v>27</v>
      </c>
      <c r="B32" s="42">
        <v>41326</v>
      </c>
      <c r="C32" s="53" t="s">
        <v>595</v>
      </c>
      <c r="D32" s="46">
        <v>41330</v>
      </c>
      <c r="E32" s="36" t="s">
        <v>592</v>
      </c>
      <c r="F32" s="51">
        <v>1053373.57</v>
      </c>
      <c r="G32" s="31">
        <v>61636.62</v>
      </c>
      <c r="H32" s="32"/>
      <c r="I32" s="64"/>
    </row>
    <row r="33" spans="1:10" s="4" customFormat="1" ht="12">
      <c r="A33" s="33">
        <v>28</v>
      </c>
      <c r="B33" s="52">
        <v>41345</v>
      </c>
      <c r="C33" s="53" t="s">
        <v>595</v>
      </c>
      <c r="D33" s="34">
        <v>41352</v>
      </c>
      <c r="E33" s="36" t="s">
        <v>592</v>
      </c>
      <c r="F33" s="37">
        <v>427163.93</v>
      </c>
      <c r="G33" s="37">
        <v>87880.5</v>
      </c>
      <c r="H33" s="38" t="s">
        <v>559</v>
      </c>
      <c r="I33" s="65" t="s">
        <v>593</v>
      </c>
      <c r="J33" s="4" t="s">
        <v>594</v>
      </c>
    </row>
    <row r="34" spans="1:10" s="3" customFormat="1" ht="33" hidden="1" customHeight="1">
      <c r="A34" s="12">
        <v>29</v>
      </c>
      <c r="B34" s="42">
        <v>41371</v>
      </c>
      <c r="C34" s="39" t="s">
        <v>414</v>
      </c>
      <c r="D34" s="46">
        <v>41376</v>
      </c>
      <c r="E34" s="50" t="s">
        <v>415</v>
      </c>
      <c r="F34" s="51">
        <v>1260058.1299999999</v>
      </c>
      <c r="G34" s="31">
        <v>134018.38</v>
      </c>
      <c r="H34" s="32"/>
      <c r="I34" s="64"/>
    </row>
    <row r="35" spans="1:10" s="3" customFormat="1" ht="33" hidden="1" customHeight="1">
      <c r="A35" s="12">
        <v>30</v>
      </c>
      <c r="B35" s="42">
        <v>41407</v>
      </c>
      <c r="C35" s="39" t="s">
        <v>416</v>
      </c>
      <c r="D35" s="46">
        <v>41410</v>
      </c>
      <c r="E35" s="50" t="s">
        <v>417</v>
      </c>
      <c r="F35" s="31">
        <v>530865.18000000005</v>
      </c>
      <c r="G35" s="31">
        <f>52236.54+22632.8</f>
        <v>74869.34</v>
      </c>
      <c r="H35" s="32"/>
      <c r="I35" s="64"/>
    </row>
    <row r="36" spans="1:10" s="3" customFormat="1" ht="33" hidden="1" customHeight="1">
      <c r="A36" s="12">
        <v>31</v>
      </c>
      <c r="B36" s="42">
        <v>41442</v>
      </c>
      <c r="C36" s="39" t="s">
        <v>406</v>
      </c>
      <c r="D36" s="46">
        <v>41452</v>
      </c>
      <c r="E36" s="50" t="s">
        <v>418</v>
      </c>
      <c r="F36" s="51">
        <v>965972.87</v>
      </c>
      <c r="G36" s="31">
        <v>65041.18</v>
      </c>
      <c r="H36" s="39"/>
      <c r="I36" s="64"/>
    </row>
    <row r="37" spans="1:10" s="3" customFormat="1" ht="33" hidden="1" customHeight="1">
      <c r="A37" s="12">
        <v>32</v>
      </c>
      <c r="B37" s="42">
        <v>41455</v>
      </c>
      <c r="C37" s="48" t="s">
        <v>419</v>
      </c>
      <c r="D37" s="27">
        <v>41453</v>
      </c>
      <c r="E37" s="50" t="s">
        <v>420</v>
      </c>
      <c r="F37" s="31">
        <v>937500</v>
      </c>
      <c r="G37" s="31">
        <v>63861.24</v>
      </c>
      <c r="H37" s="39"/>
      <c r="I37" s="64"/>
    </row>
    <row r="38" spans="1:10" s="3" customFormat="1" ht="33" hidden="1" customHeight="1">
      <c r="A38" s="12">
        <v>33</v>
      </c>
      <c r="B38" s="42">
        <v>41543</v>
      </c>
      <c r="C38" s="48" t="s">
        <v>405</v>
      </c>
      <c r="D38" s="27">
        <v>41536</v>
      </c>
      <c r="E38" s="50" t="s">
        <v>421</v>
      </c>
      <c r="F38" s="31">
        <v>342853.13</v>
      </c>
      <c r="G38" s="31">
        <v>31901.96</v>
      </c>
      <c r="H38" s="32"/>
      <c r="I38" s="64"/>
    </row>
    <row r="39" spans="1:10" s="3" customFormat="1" ht="33" hidden="1" customHeight="1">
      <c r="A39" s="12">
        <v>34</v>
      </c>
      <c r="B39" s="42">
        <v>41578</v>
      </c>
      <c r="C39" s="39" t="s">
        <v>422</v>
      </c>
      <c r="D39" s="46">
        <v>41563</v>
      </c>
      <c r="E39" s="50" t="s">
        <v>423</v>
      </c>
      <c r="F39" s="51">
        <v>182504.03</v>
      </c>
      <c r="G39" s="31">
        <v>24449.3</v>
      </c>
      <c r="H39" s="32"/>
      <c r="I39" s="64"/>
    </row>
    <row r="40" spans="1:10" s="3" customFormat="1" ht="33" hidden="1" customHeight="1">
      <c r="A40" s="12">
        <v>35</v>
      </c>
      <c r="B40" s="42">
        <v>41608</v>
      </c>
      <c r="C40" s="48" t="s">
        <v>424</v>
      </c>
      <c r="D40" s="27">
        <v>41598</v>
      </c>
      <c r="E40" s="50" t="s">
        <v>425</v>
      </c>
      <c r="F40" s="31">
        <v>275365.19</v>
      </c>
      <c r="G40" s="31">
        <v>21718.26</v>
      </c>
      <c r="H40" s="32"/>
      <c r="I40" s="64"/>
    </row>
    <row r="41" spans="1:10" s="3" customFormat="1" ht="33" hidden="1" customHeight="1">
      <c r="A41" s="12">
        <v>36</v>
      </c>
      <c r="B41" s="42">
        <v>41639</v>
      </c>
      <c r="C41" s="39" t="s">
        <v>426</v>
      </c>
      <c r="D41" s="46" t="s">
        <v>427</v>
      </c>
      <c r="E41" s="47" t="s">
        <v>428</v>
      </c>
      <c r="F41" s="51">
        <v>228304.28</v>
      </c>
      <c r="G41" s="31">
        <v>24391.54</v>
      </c>
      <c r="H41" s="32"/>
      <c r="I41" s="64"/>
    </row>
    <row r="42" spans="1:10" s="3" customFormat="1" ht="33" hidden="1" customHeight="1">
      <c r="A42" s="12">
        <v>37</v>
      </c>
      <c r="B42" s="42">
        <v>41670</v>
      </c>
      <c r="C42" s="39" t="s">
        <v>429</v>
      </c>
      <c r="D42" s="46">
        <v>41652</v>
      </c>
      <c r="E42" s="47" t="s">
        <v>430</v>
      </c>
      <c r="F42" s="51">
        <v>334689.38</v>
      </c>
      <c r="G42" s="31">
        <v>37222.94</v>
      </c>
      <c r="H42" s="32"/>
      <c r="I42" s="64"/>
    </row>
    <row r="43" spans="1:10" s="3" customFormat="1" ht="33" hidden="1" customHeight="1">
      <c r="A43" s="12">
        <v>38</v>
      </c>
      <c r="B43" s="42">
        <v>41698</v>
      </c>
      <c r="C43" s="39" t="s">
        <v>431</v>
      </c>
      <c r="D43" s="46">
        <v>41691</v>
      </c>
      <c r="E43" s="47" t="s">
        <v>432</v>
      </c>
      <c r="F43" s="51">
        <v>2456301.83</v>
      </c>
      <c r="G43" s="31">
        <v>21292.54</v>
      </c>
      <c r="H43" s="32"/>
      <c r="I43" s="64"/>
    </row>
    <row r="44" spans="1:10" s="3" customFormat="1" ht="33" hidden="1" customHeight="1">
      <c r="A44" s="12">
        <v>39</v>
      </c>
      <c r="B44" s="42">
        <v>41729</v>
      </c>
      <c r="C44" s="48" t="s">
        <v>433</v>
      </c>
      <c r="D44" s="27">
        <v>41717</v>
      </c>
      <c r="E44" s="47" t="s">
        <v>434</v>
      </c>
      <c r="F44" s="31">
        <v>1131188.47</v>
      </c>
      <c r="G44" s="31">
        <v>11060</v>
      </c>
      <c r="H44" s="32"/>
      <c r="I44" s="64"/>
    </row>
    <row r="45" spans="1:10" s="3" customFormat="1" ht="33" hidden="1" customHeight="1">
      <c r="A45" s="12">
        <v>40</v>
      </c>
      <c r="B45" s="42">
        <v>41759</v>
      </c>
      <c r="C45" s="39" t="s">
        <v>140</v>
      </c>
      <c r="D45" s="46">
        <v>41750</v>
      </c>
      <c r="E45" s="47" t="s">
        <v>435</v>
      </c>
      <c r="F45" s="51">
        <v>20118.669999999998</v>
      </c>
      <c r="G45" s="31">
        <v>5634.98</v>
      </c>
      <c r="H45" s="32"/>
      <c r="I45" s="64"/>
    </row>
    <row r="46" spans="1:10" s="3" customFormat="1" ht="33" hidden="1" customHeight="1">
      <c r="A46" s="12">
        <v>41</v>
      </c>
      <c r="B46" s="42">
        <v>41790</v>
      </c>
      <c r="C46" s="48" t="s">
        <v>436</v>
      </c>
      <c r="D46" s="27">
        <v>41765</v>
      </c>
      <c r="E46" s="47" t="s">
        <v>437</v>
      </c>
      <c r="F46" s="31">
        <v>382325.97</v>
      </c>
      <c r="G46" s="31">
        <v>26556.58</v>
      </c>
      <c r="H46" s="32"/>
      <c r="I46" s="64"/>
    </row>
    <row r="47" spans="1:10" s="3" customFormat="1" ht="33" hidden="1" customHeight="1">
      <c r="A47" s="12">
        <v>42</v>
      </c>
      <c r="B47" s="42">
        <v>41943</v>
      </c>
      <c r="C47" s="39" t="s">
        <v>393</v>
      </c>
      <c r="D47" s="46">
        <v>41935</v>
      </c>
      <c r="E47" s="47" t="s">
        <v>438</v>
      </c>
      <c r="F47" s="51">
        <v>42438.76</v>
      </c>
      <c r="G47" s="31">
        <v>11317</v>
      </c>
      <c r="H47" s="32"/>
      <c r="I47" s="64"/>
    </row>
    <row r="48" spans="1:10" s="3" customFormat="1" ht="33" hidden="1" customHeight="1">
      <c r="A48" s="12">
        <v>43</v>
      </c>
      <c r="B48" s="42">
        <v>41973</v>
      </c>
      <c r="C48" s="54" t="s">
        <v>439</v>
      </c>
      <c r="D48" s="55">
        <v>41961</v>
      </c>
      <c r="E48" s="30" t="s">
        <v>440</v>
      </c>
      <c r="F48" s="31">
        <v>101361.21</v>
      </c>
      <c r="G48" s="31">
        <v>4015.94</v>
      </c>
      <c r="H48" s="32"/>
      <c r="I48" s="64"/>
    </row>
    <row r="49" spans="1:9" s="3" customFormat="1" ht="33" hidden="1" customHeight="1">
      <c r="A49" s="12">
        <v>44</v>
      </c>
      <c r="B49" s="27">
        <v>42004</v>
      </c>
      <c r="C49" s="28" t="s">
        <v>441</v>
      </c>
      <c r="D49" s="55">
        <v>41998</v>
      </c>
      <c r="E49" s="30" t="s">
        <v>459</v>
      </c>
      <c r="F49" s="31">
        <v>39922.57</v>
      </c>
      <c r="G49" s="31">
        <v>10646.02</v>
      </c>
      <c r="H49" s="32"/>
      <c r="I49" s="64"/>
    </row>
    <row r="50" spans="1:9" s="3" customFormat="1" ht="33" hidden="1" customHeight="1">
      <c r="A50" s="12">
        <v>45</v>
      </c>
      <c r="B50" s="41">
        <v>42035</v>
      </c>
      <c r="C50" s="56" t="s">
        <v>442</v>
      </c>
      <c r="D50" s="40">
        <v>42018</v>
      </c>
      <c r="E50" s="57" t="s">
        <v>443</v>
      </c>
      <c r="F50" s="31">
        <v>216539.1</v>
      </c>
      <c r="G50" s="31">
        <v>3720</v>
      </c>
      <c r="H50" s="32"/>
      <c r="I50" s="64"/>
    </row>
    <row r="51" spans="1:9" s="3" customFormat="1" ht="33" hidden="1" customHeight="1">
      <c r="A51" s="12">
        <v>46</v>
      </c>
      <c r="B51" s="27">
        <v>42369</v>
      </c>
      <c r="C51" s="28" t="s">
        <v>444</v>
      </c>
      <c r="D51" s="27">
        <v>42353</v>
      </c>
      <c r="E51" s="57" t="s">
        <v>460</v>
      </c>
      <c r="F51" s="31">
        <v>207837.44</v>
      </c>
      <c r="G51" s="31">
        <v>5900.5</v>
      </c>
      <c r="H51" s="32"/>
      <c r="I51" s="64"/>
    </row>
    <row r="52" spans="1:9" ht="24.75" hidden="1">
      <c r="A52" s="12">
        <v>47</v>
      </c>
      <c r="B52" s="27">
        <v>42400</v>
      </c>
      <c r="C52" s="28" t="s">
        <v>461</v>
      </c>
      <c r="D52" s="27">
        <v>42384</v>
      </c>
      <c r="E52" s="57" t="s">
        <v>462</v>
      </c>
      <c r="F52" s="31">
        <v>6979.06</v>
      </c>
      <c r="G52" s="31">
        <v>3963.74</v>
      </c>
      <c r="H52" s="32"/>
      <c r="I52" s="64"/>
    </row>
    <row r="53" spans="1:9" ht="24" hidden="1">
      <c r="A53" s="12">
        <v>48</v>
      </c>
      <c r="B53" s="27">
        <v>42490</v>
      </c>
      <c r="C53" s="28" t="s">
        <v>463</v>
      </c>
      <c r="D53" s="58">
        <v>42472</v>
      </c>
      <c r="E53" s="47" t="s">
        <v>464</v>
      </c>
      <c r="F53" s="59">
        <v>41609.68</v>
      </c>
      <c r="G53" s="31">
        <v>4000</v>
      </c>
      <c r="H53" s="32"/>
      <c r="I53" s="64"/>
    </row>
    <row r="54" spans="1:9" ht="24.75" hidden="1">
      <c r="A54" s="12">
        <v>49</v>
      </c>
      <c r="B54" s="27">
        <v>42521</v>
      </c>
      <c r="C54" s="28" t="s">
        <v>465</v>
      </c>
      <c r="D54" s="27">
        <v>42506</v>
      </c>
      <c r="E54" s="57" t="s">
        <v>466</v>
      </c>
      <c r="F54" s="31">
        <v>59089.98</v>
      </c>
      <c r="G54" s="31">
        <v>13507.9</v>
      </c>
      <c r="H54" s="32"/>
      <c r="I54" s="64"/>
    </row>
    <row r="55" spans="1:9" ht="24.75" hidden="1">
      <c r="A55" s="12">
        <v>50</v>
      </c>
      <c r="B55" s="27">
        <v>42582</v>
      </c>
      <c r="C55" s="28" t="s">
        <v>467</v>
      </c>
      <c r="D55" s="27">
        <v>42565</v>
      </c>
      <c r="E55" s="57" t="s">
        <v>468</v>
      </c>
      <c r="F55" s="31">
        <v>20300</v>
      </c>
      <c r="G55" s="31">
        <v>13200</v>
      </c>
      <c r="H55" s="32"/>
      <c r="I55" s="64"/>
    </row>
    <row r="56" spans="1:9" ht="24.75" hidden="1">
      <c r="A56" s="12">
        <v>51</v>
      </c>
      <c r="B56" s="27">
        <v>42704</v>
      </c>
      <c r="C56" s="28" t="s">
        <v>469</v>
      </c>
      <c r="D56" s="27">
        <v>42685</v>
      </c>
      <c r="E56" s="57" t="s">
        <v>470</v>
      </c>
      <c r="F56" s="31">
        <v>2634.9</v>
      </c>
      <c r="G56" s="31">
        <v>2634.9</v>
      </c>
      <c r="H56" s="32"/>
      <c r="I56" s="64"/>
    </row>
    <row r="57" spans="1:9" ht="25.5" hidden="1">
      <c r="A57" s="12">
        <v>52</v>
      </c>
      <c r="B57" s="27">
        <v>42735</v>
      </c>
      <c r="C57" s="28" t="s">
        <v>471</v>
      </c>
      <c r="D57" s="27">
        <v>42717</v>
      </c>
      <c r="E57" s="57" t="s">
        <v>472</v>
      </c>
      <c r="F57" s="31">
        <v>27505.22</v>
      </c>
      <c r="G57" s="31">
        <v>27505.22</v>
      </c>
      <c r="H57" s="32"/>
      <c r="I57" s="64"/>
    </row>
    <row r="58" spans="1:9" ht="25.5" hidden="1">
      <c r="A58" s="12">
        <v>53</v>
      </c>
      <c r="B58" s="27">
        <v>42766</v>
      </c>
      <c r="C58" s="28" t="s">
        <v>473</v>
      </c>
      <c r="D58" s="27">
        <v>42743</v>
      </c>
      <c r="E58" s="57" t="s">
        <v>474</v>
      </c>
      <c r="F58" s="31">
        <v>36974.559999999998</v>
      </c>
      <c r="G58" s="31">
        <v>10574.88</v>
      </c>
      <c r="H58" s="32"/>
      <c r="I58" s="64"/>
    </row>
    <row r="59" spans="1:9" ht="25.5" hidden="1">
      <c r="A59" s="12">
        <v>54</v>
      </c>
      <c r="B59" s="27">
        <v>42825</v>
      </c>
      <c r="C59" s="28" t="s">
        <v>475</v>
      </c>
      <c r="D59" s="27">
        <v>42809</v>
      </c>
      <c r="E59" s="57" t="s">
        <v>476</v>
      </c>
      <c r="F59" s="31">
        <v>72023.899999999994</v>
      </c>
      <c r="G59" s="31">
        <v>26293.599999999999</v>
      </c>
      <c r="H59" s="32"/>
      <c r="I59" s="64"/>
    </row>
    <row r="60" spans="1:9" ht="24.75" hidden="1">
      <c r="A60" s="12">
        <v>55</v>
      </c>
      <c r="B60" s="27">
        <v>42855</v>
      </c>
      <c r="C60" s="28" t="s">
        <v>477</v>
      </c>
      <c r="D60" s="27">
        <v>42841</v>
      </c>
      <c r="E60" s="57" t="s">
        <v>478</v>
      </c>
      <c r="F60" s="31">
        <v>383918.54</v>
      </c>
      <c r="G60" s="31">
        <v>82321</v>
      </c>
      <c r="H60" s="32"/>
      <c r="I60" s="64"/>
    </row>
    <row r="61" spans="1:9" ht="24.75" hidden="1">
      <c r="A61" s="12">
        <v>56</v>
      </c>
      <c r="B61" s="27">
        <v>43039</v>
      </c>
      <c r="C61" s="28" t="s">
        <v>479</v>
      </c>
      <c r="D61" s="27">
        <v>43028</v>
      </c>
      <c r="E61" s="57" t="s">
        <v>480</v>
      </c>
      <c r="F61" s="31">
        <v>21764.48</v>
      </c>
      <c r="G61" s="31">
        <v>8380</v>
      </c>
      <c r="H61" s="32"/>
      <c r="I61" s="64"/>
    </row>
    <row r="62" spans="1:9" ht="24.75" hidden="1">
      <c r="A62" s="12">
        <v>57</v>
      </c>
      <c r="B62" s="27">
        <v>43100</v>
      </c>
      <c r="C62" s="60" t="s">
        <v>455</v>
      </c>
      <c r="D62" s="27">
        <v>43081</v>
      </c>
      <c r="E62" s="57" t="s">
        <v>481</v>
      </c>
      <c r="F62" s="31">
        <v>62715.16</v>
      </c>
      <c r="G62" s="31">
        <v>9800</v>
      </c>
      <c r="H62" s="32"/>
      <c r="I62" s="64"/>
    </row>
    <row r="63" spans="1:9">
      <c r="A63" s="12"/>
      <c r="B63" s="27"/>
      <c r="C63" s="28"/>
      <c r="D63" s="27"/>
      <c r="E63" s="57"/>
      <c r="F63" s="31"/>
      <c r="G63" s="31"/>
      <c r="H63" s="32"/>
      <c r="I63" s="64"/>
    </row>
  </sheetData>
  <autoFilter ref="A6:I62">
    <filterColumn colId="5">
      <colorFilter dxfId="0"/>
    </filterColumn>
  </autoFilter>
  <mergeCells count="7">
    <mergeCell ref="A1:I1"/>
    <mergeCell ref="B3:C3"/>
    <mergeCell ref="D3:F3"/>
    <mergeCell ref="A3:A4"/>
    <mergeCell ref="G3:G4"/>
    <mergeCell ref="H3:H4"/>
    <mergeCell ref="I3:I4"/>
  </mergeCells>
  <phoneticPr fontId="22" type="noConversion"/>
  <printOptions horizontalCentered="1"/>
  <pageMargins left="0.75" right="0.46875" top="0.9" bottom="0.82986111111111105" header="0.66944444444444495" footer="0.55000000000000004"/>
  <pageSetup paperSize="9" scale="97" fitToHeight="0" orientation="portrait"/>
  <headerFooter alignWithMargins="0">
    <oddHeader>&amp;R附表26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26</vt:i4>
      </vt:variant>
      <vt:variant>
        <vt:lpstr>命名范围</vt:lpstr>
      </vt:variant>
      <vt:variant>
        <vt:i4>25</vt:i4>
      </vt:variant>
    </vt:vector>
  </HeadingPairs>
  <TitlesOfParts>
    <vt:vector size="5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Sheet12!Print_Area</vt:lpstr>
      <vt:lpstr>Sheet13!Print_Area</vt:lpstr>
      <vt:lpstr>Sheet14!Print_Area</vt:lpstr>
      <vt:lpstr>Sheet16!Print_Area</vt:lpstr>
      <vt:lpstr>Sheet2!Print_Area</vt:lpstr>
      <vt:lpstr>Sheet26!Print_Area</vt:lpstr>
      <vt:lpstr>Sheet5!Print_Area</vt:lpstr>
      <vt:lpstr>Sheet7!Print_Area</vt:lpstr>
      <vt:lpstr>Sheet9!Print_Area</vt:lpstr>
      <vt:lpstr>Sheet10!Print_Titles</vt:lpstr>
      <vt:lpstr>Sheet11!Print_Titles</vt:lpstr>
      <vt:lpstr>Sheet12!Print_Titles</vt:lpstr>
      <vt:lpstr>Sheet13!Print_Titles</vt:lpstr>
      <vt:lpstr>Sheet14!Print_Titles</vt:lpstr>
      <vt:lpstr>Sheet15!Print_Titles</vt:lpstr>
      <vt:lpstr>Sheet16!Print_Titles</vt:lpstr>
      <vt:lpstr>Sheet22!Print_Titles</vt:lpstr>
      <vt:lpstr>Sheet24!Print_Titles</vt:lpstr>
      <vt:lpstr>Sheet25!Print_Titles</vt:lpstr>
      <vt:lpstr>Sheet26!Print_Titles</vt:lpstr>
      <vt:lpstr>Sheet3!Print_Titles</vt:lpstr>
      <vt:lpstr>Sheet4!Print_Titles</vt:lpstr>
      <vt:lpstr>Sheet5!Print_Titles</vt:lpstr>
      <vt:lpstr>Sheet7!Print_Titles</vt:lpstr>
      <vt:lpstr>Sheet9!Print_Titles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2017-10-10T01:26:00Z</cp:lastPrinted>
  <dcterms:created xsi:type="dcterms:W3CDTF">1996-12-17T01:32:00Z</dcterms:created>
  <dcterms:modified xsi:type="dcterms:W3CDTF">2025-11-22T11:12:53Z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KSOReadingLayout">
    <vt:bool>false</vt:bool>
  </property>
  <property fmtid="{D5CDD505-2E9C-101B-9397-08002B2CF9AE}" pid="4" name="ICV">
    <vt:lpwstr>2B3FBF1B62C44F01A9AD2EE7CD7F25B8</vt:lpwstr>
  </property>
</Properties>
</file>