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4.xml" ContentType="application/vnd.openxmlformats-officedocument.drawingml.char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charts/chart2.xml" ContentType="application/vnd.openxmlformats-officedocument.drawingml.chart+xml"/>
  <Override PartName="/xl/charts/chart3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/>
  <bookViews>
    <workbookView xWindow="1845" yWindow="1785" windowWidth="16380" windowHeight="7575" tabRatio="885" activeTab="1"/>
  </bookViews>
  <sheets>
    <sheet name="Short &amp; Simple" sheetId="1" r:id="rId1"/>
    <sheet name="Members Data" sheetId="2" r:id="rId2"/>
    <sheet name="TDCC" sheetId="30" r:id="rId3"/>
    <sheet name="EDCC" sheetId="29" r:id="rId4"/>
    <sheet name="VDCC" sheetId="3" r:id="rId5"/>
    <sheet name="RL" sheetId="21" r:id="rId6"/>
    <sheet name="RA" sheetId="20" r:id="rId7"/>
    <sheet name="RR" sheetId="25" r:id="rId8"/>
    <sheet name="Rec" sheetId="26" r:id="rId9"/>
    <sheet name="Output" sheetId="9" r:id="rId10"/>
    <sheet name="wk1" sheetId="4" r:id="rId11"/>
    <sheet name="wk2" sheetId="5" r:id="rId12"/>
    <sheet name="wk3" sheetId="6" r:id="rId13"/>
    <sheet name="wk4" sheetId="7" r:id="rId14"/>
    <sheet name="wk5" sheetId="8" r:id="rId15"/>
    <sheet name="Pat" sheetId="10" state="hidden" r:id="rId16"/>
    <sheet name="Sign" sheetId="11" r:id="rId17"/>
    <sheet name="Look-up" sheetId="16" r:id="rId18"/>
    <sheet name="Addon" sheetId="19" state="hidden" r:id="rId19"/>
    <sheet name="Temp" sheetId="24" state="hidden" r:id="rId20"/>
    <sheet name="Notepad" sheetId="28" r:id="rId21"/>
  </sheets>
  <definedNames>
    <definedName name="_xlnm._FilterDatabase" localSheetId="3" hidden="1">EDCC!$A$1:$A$103</definedName>
    <definedName name="_xlnm._FilterDatabase" localSheetId="1" hidden="1">'Members Data'!$A$1:$K$128</definedName>
    <definedName name="_xlnm._FilterDatabase" localSheetId="9" hidden="1">Output!$A$103:$D$163</definedName>
    <definedName name="_xlnm._FilterDatabase" localSheetId="5" hidden="1">RL!$B$3:$P$104</definedName>
    <definedName name="_xlnm._FilterDatabase" localSheetId="7" hidden="1">RR!$C$2:$Y$2</definedName>
    <definedName name="_xlnm._FilterDatabase" localSheetId="2" hidden="1">TDCC!$A$1:$A$103</definedName>
    <definedName name="_xlnm._FilterDatabase" localSheetId="4" hidden="1">VDCC!$A$1:$A$103</definedName>
    <definedName name="gearscore">#REF!</definedName>
  </definedNames>
  <calcPr calcId="124519"/>
</workbook>
</file>

<file path=xl/calcChain.xml><?xml version="1.0" encoding="utf-8"?>
<calcChain xmlns="http://schemas.openxmlformats.org/spreadsheetml/2006/main">
  <c r="H7" i="4"/>
  <c r="G7"/>
  <c r="F7"/>
  <c r="E7"/>
  <c r="D7"/>
  <c r="C7"/>
  <c r="B7"/>
  <c r="C100" i="9"/>
  <c r="C99"/>
  <c r="C98"/>
  <c r="C97"/>
  <c r="C96"/>
  <c r="C95"/>
  <c r="C94"/>
  <c r="C93"/>
  <c r="C92"/>
  <c r="C91"/>
  <c r="C90"/>
  <c r="C89"/>
  <c r="C88"/>
  <c r="C87"/>
  <c r="C86"/>
  <c r="C85"/>
  <c r="C84"/>
  <c r="C83"/>
  <c r="C82"/>
  <c r="C81"/>
  <c r="C80"/>
  <c r="C79"/>
  <c r="C78"/>
  <c r="C77"/>
  <c r="C76"/>
  <c r="C75"/>
  <c r="C74"/>
  <c r="C73"/>
  <c r="C72"/>
  <c r="C71"/>
  <c r="C70"/>
  <c r="C69"/>
  <c r="C68"/>
  <c r="C67"/>
  <c r="C66"/>
  <c r="C65"/>
  <c r="C64"/>
  <c r="C63"/>
  <c r="C62"/>
  <c r="C61"/>
  <c r="C60"/>
  <c r="C59"/>
  <c r="C58"/>
  <c r="C57"/>
  <c r="C56"/>
  <c r="C55"/>
  <c r="C54"/>
  <c r="C53"/>
  <c r="C52"/>
  <c r="C51"/>
  <c r="C50"/>
  <c r="C49"/>
  <c r="C48"/>
  <c r="C47"/>
  <c r="C46"/>
  <c r="C45"/>
  <c r="C44"/>
  <c r="C43"/>
  <c r="C42"/>
  <c r="C41"/>
  <c r="C40"/>
  <c r="C39"/>
  <c r="C38"/>
  <c r="C37"/>
  <c r="C36"/>
  <c r="C35"/>
  <c r="C34"/>
  <c r="C33"/>
  <c r="C32"/>
  <c r="C31"/>
  <c r="C30"/>
  <c r="C29"/>
  <c r="C28"/>
  <c r="C27"/>
  <c r="C26"/>
  <c r="C25"/>
  <c r="C24"/>
  <c r="C23"/>
  <c r="C22"/>
  <c r="C21"/>
  <c r="C20"/>
  <c r="C19"/>
  <c r="C18"/>
  <c r="C17"/>
  <c r="C16"/>
  <c r="C15"/>
  <c r="C14"/>
  <c r="C13"/>
  <c r="C12"/>
  <c r="C11"/>
  <c r="C10"/>
  <c r="C9"/>
  <c r="C8"/>
  <c r="C7"/>
  <c r="C6"/>
  <c r="C5"/>
  <c r="C4"/>
  <c r="C3"/>
  <c r="C2"/>
  <c r="AP51" i="11" l="1"/>
  <c r="AO51"/>
  <c r="AN51"/>
  <c r="AM51"/>
  <c r="AL51"/>
  <c r="AK51"/>
  <c r="AJ51"/>
  <c r="AH51"/>
  <c r="AG51"/>
  <c r="AF51"/>
  <c r="AE51"/>
  <c r="AD51"/>
  <c r="AC51"/>
  <c r="AB51"/>
  <c r="Z51"/>
  <c r="Y51"/>
  <c r="X51"/>
  <c r="W51"/>
  <c r="V51"/>
  <c r="U51"/>
  <c r="T51"/>
  <c r="R51"/>
  <c r="Q51"/>
  <c r="P51"/>
  <c r="O51"/>
  <c r="N51"/>
  <c r="M51"/>
  <c r="L51"/>
  <c r="J51"/>
  <c r="I51"/>
  <c r="H51"/>
  <c r="G51"/>
  <c r="F51"/>
  <c r="E51"/>
  <c r="D51"/>
  <c r="AP50"/>
  <c r="AO50"/>
  <c r="AN50"/>
  <c r="AM50"/>
  <c r="AL50"/>
  <c r="AK50"/>
  <c r="AJ50"/>
  <c r="AH50"/>
  <c r="AG50"/>
  <c r="AF50"/>
  <c r="AE50"/>
  <c r="AD50"/>
  <c r="AC50"/>
  <c r="AB50"/>
  <c r="Z50"/>
  <c r="Y50"/>
  <c r="X50"/>
  <c r="W50"/>
  <c r="V50"/>
  <c r="U50"/>
  <c r="T50"/>
  <c r="R50"/>
  <c r="Q50"/>
  <c r="P50"/>
  <c r="O50"/>
  <c r="N50"/>
  <c r="M50"/>
  <c r="L50"/>
  <c r="J50"/>
  <c r="I50"/>
  <c r="H50"/>
  <c r="G50"/>
  <c r="F50"/>
  <c r="E50"/>
  <c r="D50"/>
  <c r="AP47"/>
  <c r="AO47"/>
  <c r="AN47"/>
  <c r="AM47"/>
  <c r="AL47"/>
  <c r="AK47"/>
  <c r="AJ47"/>
  <c r="AH47"/>
  <c r="AG47"/>
  <c r="AF47"/>
  <c r="AE47"/>
  <c r="AD47"/>
  <c r="AC47"/>
  <c r="AB47"/>
  <c r="Z47"/>
  <c r="Y47"/>
  <c r="X47"/>
  <c r="W47"/>
  <c r="V47"/>
  <c r="U47"/>
  <c r="T47"/>
  <c r="R47"/>
  <c r="Q47"/>
  <c r="P47"/>
  <c r="O47"/>
  <c r="N47"/>
  <c r="M47"/>
  <c r="L47"/>
  <c r="J47"/>
  <c r="I47"/>
  <c r="H47"/>
  <c r="G47"/>
  <c r="F47"/>
  <c r="E47"/>
  <c r="D47"/>
  <c r="AP44"/>
  <c r="AO44"/>
  <c r="AN44"/>
  <c r="AM44"/>
  <c r="AL44"/>
  <c r="AK44"/>
  <c r="AJ44"/>
  <c r="AH44"/>
  <c r="AG44"/>
  <c r="AF44"/>
  <c r="AE44"/>
  <c r="AD44"/>
  <c r="AC44"/>
  <c r="AB44"/>
  <c r="Z44"/>
  <c r="Y44"/>
  <c r="X44"/>
  <c r="W44"/>
  <c r="V44"/>
  <c r="U44"/>
  <c r="T44"/>
  <c r="R44"/>
  <c r="Q44"/>
  <c r="P44"/>
  <c r="O44"/>
  <c r="N44"/>
  <c r="M44"/>
  <c r="L44"/>
  <c r="J44"/>
  <c r="I44"/>
  <c r="H44"/>
  <c r="G44"/>
  <c r="F44"/>
  <c r="E44"/>
  <c r="D44"/>
  <c r="AP43"/>
  <c r="AO43"/>
  <c r="AN43"/>
  <c r="AM43"/>
  <c r="AL43"/>
  <c r="AK43"/>
  <c r="AJ43"/>
  <c r="AH43"/>
  <c r="AG43"/>
  <c r="AF43"/>
  <c r="AE43"/>
  <c r="AD43"/>
  <c r="AC43"/>
  <c r="AB43"/>
  <c r="Z43"/>
  <c r="Y43"/>
  <c r="X43"/>
  <c r="W43"/>
  <c r="V43"/>
  <c r="U43"/>
  <c r="T43"/>
  <c r="R43"/>
  <c r="Q43"/>
  <c r="P43"/>
  <c r="O43"/>
  <c r="N43"/>
  <c r="M43"/>
  <c r="L43"/>
  <c r="J43"/>
  <c r="I43"/>
  <c r="H43"/>
  <c r="G43"/>
  <c r="F43"/>
  <c r="E43"/>
  <c r="D43"/>
  <c r="AP42"/>
  <c r="AO42"/>
  <c r="AN42"/>
  <c r="AM42"/>
  <c r="AL42"/>
  <c r="AK42"/>
  <c r="AJ42"/>
  <c r="AH42"/>
  <c r="AG42"/>
  <c r="AF42"/>
  <c r="AE42"/>
  <c r="AD42"/>
  <c r="AC42"/>
  <c r="AB42"/>
  <c r="Z42"/>
  <c r="Y42"/>
  <c r="X42"/>
  <c r="W42"/>
  <c r="V42"/>
  <c r="U42"/>
  <c r="T42"/>
  <c r="R42"/>
  <c r="Q42"/>
  <c r="P42"/>
  <c r="O42"/>
  <c r="N42"/>
  <c r="M42"/>
  <c r="L42"/>
  <c r="J42"/>
  <c r="I42"/>
  <c r="H42"/>
  <c r="G42"/>
  <c r="F42"/>
  <c r="E42"/>
  <c r="D42"/>
  <c r="AP39"/>
  <c r="AO39"/>
  <c r="AN39"/>
  <c r="AM39"/>
  <c r="AL39"/>
  <c r="AK39"/>
  <c r="AJ39"/>
  <c r="AH39"/>
  <c r="AG39"/>
  <c r="AF39"/>
  <c r="AE39"/>
  <c r="AD39"/>
  <c r="AC39"/>
  <c r="AB39"/>
  <c r="Z39"/>
  <c r="Y39"/>
  <c r="X39"/>
  <c r="W39"/>
  <c r="V39"/>
  <c r="U39"/>
  <c r="T39"/>
  <c r="R39"/>
  <c r="Q39"/>
  <c r="P39"/>
  <c r="O39"/>
  <c r="N39"/>
  <c r="M39"/>
  <c r="L39"/>
  <c r="J39"/>
  <c r="I39"/>
  <c r="H39"/>
  <c r="G39"/>
  <c r="F39"/>
  <c r="E39"/>
  <c r="D39"/>
  <c r="AP36"/>
  <c r="AO36"/>
  <c r="AN36"/>
  <c r="AM36"/>
  <c r="AL36"/>
  <c r="AK36"/>
  <c r="AJ36"/>
  <c r="AH36"/>
  <c r="AG36"/>
  <c r="AF36"/>
  <c r="AE36"/>
  <c r="AD36"/>
  <c r="AC36"/>
  <c r="AB36"/>
  <c r="Z36"/>
  <c r="Y36"/>
  <c r="X36"/>
  <c r="W36"/>
  <c r="V36"/>
  <c r="U36"/>
  <c r="T36"/>
  <c r="R36"/>
  <c r="Q36"/>
  <c r="P36"/>
  <c r="O36"/>
  <c r="N36"/>
  <c r="M36"/>
  <c r="L36"/>
  <c r="J36"/>
  <c r="I36"/>
  <c r="H36"/>
  <c r="G36"/>
  <c r="F36"/>
  <c r="E36"/>
  <c r="D36"/>
  <c r="AP35"/>
  <c r="AO35"/>
  <c r="AN35"/>
  <c r="AM35"/>
  <c r="AL35"/>
  <c r="AK35"/>
  <c r="AJ35"/>
  <c r="AH35"/>
  <c r="AG35"/>
  <c r="AF35"/>
  <c r="AE35"/>
  <c r="AD35"/>
  <c r="AC35"/>
  <c r="AB35"/>
  <c r="Z35"/>
  <c r="Y35"/>
  <c r="X35"/>
  <c r="W35"/>
  <c r="V35"/>
  <c r="U35"/>
  <c r="T35"/>
  <c r="R35"/>
  <c r="Q35"/>
  <c r="P35"/>
  <c r="O35"/>
  <c r="N35"/>
  <c r="M35"/>
  <c r="L35"/>
  <c r="J35"/>
  <c r="I35"/>
  <c r="H35"/>
  <c r="G35"/>
  <c r="F35"/>
  <c r="E35"/>
  <c r="D35"/>
  <c r="AP32"/>
  <c r="AO32"/>
  <c r="AN32"/>
  <c r="AM32"/>
  <c r="AL32"/>
  <c r="AK32"/>
  <c r="AJ32"/>
  <c r="AH32"/>
  <c r="AG32"/>
  <c r="AF32"/>
  <c r="AE32"/>
  <c r="AD32"/>
  <c r="AC32"/>
  <c r="AB32"/>
  <c r="Z32"/>
  <c r="Y32"/>
  <c r="X32"/>
  <c r="W32"/>
  <c r="V32"/>
  <c r="U32"/>
  <c r="T32"/>
  <c r="R32"/>
  <c r="Q32"/>
  <c r="P32"/>
  <c r="O32"/>
  <c r="N32"/>
  <c r="M32"/>
  <c r="L32"/>
  <c r="J32"/>
  <c r="I32"/>
  <c r="H32"/>
  <c r="G32"/>
  <c r="F32"/>
  <c r="E32"/>
  <c r="D32"/>
  <c r="AP31"/>
  <c r="AO31"/>
  <c r="AN31"/>
  <c r="AM31"/>
  <c r="AL31"/>
  <c r="AK31"/>
  <c r="AJ31"/>
  <c r="AH31"/>
  <c r="AG31"/>
  <c r="AF31"/>
  <c r="AE31"/>
  <c r="AD31"/>
  <c r="AC31"/>
  <c r="AB31"/>
  <c r="Z31"/>
  <c r="Y31"/>
  <c r="X31"/>
  <c r="W31"/>
  <c r="V31"/>
  <c r="U31"/>
  <c r="T31"/>
  <c r="R31"/>
  <c r="Q31"/>
  <c r="P31"/>
  <c r="O31"/>
  <c r="N31"/>
  <c r="M31"/>
  <c r="L31"/>
  <c r="J31"/>
  <c r="I31"/>
  <c r="H31"/>
  <c r="G31"/>
  <c r="F31"/>
  <c r="E31"/>
  <c r="D31"/>
  <c r="AP30"/>
  <c r="AO30"/>
  <c r="AN30"/>
  <c r="AM30"/>
  <c r="AL30"/>
  <c r="AK30"/>
  <c r="AJ30"/>
  <c r="AH30"/>
  <c r="AG30"/>
  <c r="AF30"/>
  <c r="AE30"/>
  <c r="AD30"/>
  <c r="AC30"/>
  <c r="AB30"/>
  <c r="Z30"/>
  <c r="Y30"/>
  <c r="X30"/>
  <c r="W30"/>
  <c r="V30"/>
  <c r="U30"/>
  <c r="T30"/>
  <c r="R30"/>
  <c r="Q30"/>
  <c r="P30"/>
  <c r="O30"/>
  <c r="N30"/>
  <c r="M30"/>
  <c r="L30"/>
  <c r="J30"/>
  <c r="I30"/>
  <c r="H30"/>
  <c r="G30"/>
  <c r="F30"/>
  <c r="E30"/>
  <c r="D30"/>
  <c r="AP27"/>
  <c r="AO27"/>
  <c r="AN27"/>
  <c r="AM27"/>
  <c r="AL27"/>
  <c r="AK27"/>
  <c r="AJ27"/>
  <c r="AH27"/>
  <c r="AG27"/>
  <c r="AF27"/>
  <c r="AE27"/>
  <c r="AD27"/>
  <c r="AC27"/>
  <c r="AB27"/>
  <c r="Z27"/>
  <c r="Y27"/>
  <c r="X27"/>
  <c r="W27"/>
  <c r="V27"/>
  <c r="U27"/>
  <c r="T27"/>
  <c r="R27"/>
  <c r="Q27"/>
  <c r="P27"/>
  <c r="O27"/>
  <c r="N27"/>
  <c r="M27"/>
  <c r="L27"/>
  <c r="J27"/>
  <c r="I27"/>
  <c r="H27"/>
  <c r="G27"/>
  <c r="F27"/>
  <c r="E27"/>
  <c r="D27"/>
  <c r="AP26"/>
  <c r="AO26"/>
  <c r="AN26"/>
  <c r="AM26"/>
  <c r="AL26"/>
  <c r="AK26"/>
  <c r="AJ26"/>
  <c r="AH26"/>
  <c r="AG26"/>
  <c r="AF26"/>
  <c r="AE26"/>
  <c r="AD26"/>
  <c r="AC26"/>
  <c r="AB26"/>
  <c r="Z26"/>
  <c r="Y26"/>
  <c r="X26"/>
  <c r="W26"/>
  <c r="V26"/>
  <c r="U26"/>
  <c r="T26"/>
  <c r="R26"/>
  <c r="Q26"/>
  <c r="P26"/>
  <c r="O26"/>
  <c r="N26"/>
  <c r="M26"/>
  <c r="L26"/>
  <c r="J26"/>
  <c r="I26"/>
  <c r="H26"/>
  <c r="G26"/>
  <c r="F26"/>
  <c r="E26"/>
  <c r="D26"/>
  <c r="AP25"/>
  <c r="AO25"/>
  <c r="AN25"/>
  <c r="AM25"/>
  <c r="AL25"/>
  <c r="AK25"/>
  <c r="AJ25"/>
  <c r="AH25"/>
  <c r="AG25"/>
  <c r="AF25"/>
  <c r="AE25"/>
  <c r="AD25"/>
  <c r="AC25"/>
  <c r="AB25"/>
  <c r="Z25"/>
  <c r="Y25"/>
  <c r="X25"/>
  <c r="W25"/>
  <c r="V25"/>
  <c r="U25"/>
  <c r="T25"/>
  <c r="R25"/>
  <c r="Q25"/>
  <c r="P25"/>
  <c r="O25"/>
  <c r="N25"/>
  <c r="M25"/>
  <c r="L25"/>
  <c r="J25"/>
  <c r="I25"/>
  <c r="H25"/>
  <c r="G25"/>
  <c r="F25"/>
  <c r="E25"/>
  <c r="D25"/>
  <c r="AP22"/>
  <c r="AO22"/>
  <c r="AN22"/>
  <c r="AM22"/>
  <c r="AL22"/>
  <c r="AK22"/>
  <c r="AJ22"/>
  <c r="AH22"/>
  <c r="AG22"/>
  <c r="AF22"/>
  <c r="AE22"/>
  <c r="AD22"/>
  <c r="AC22"/>
  <c r="AB22"/>
  <c r="Z22"/>
  <c r="Y22"/>
  <c r="X22"/>
  <c r="W22"/>
  <c r="V22"/>
  <c r="U22"/>
  <c r="T22"/>
  <c r="R22"/>
  <c r="Q22"/>
  <c r="P22"/>
  <c r="O22"/>
  <c r="N22"/>
  <c r="M22"/>
  <c r="L22"/>
  <c r="J22"/>
  <c r="I22"/>
  <c r="H22"/>
  <c r="G22"/>
  <c r="F22"/>
  <c r="E22"/>
  <c r="D22"/>
  <c r="AP19"/>
  <c r="AO19"/>
  <c r="AN19"/>
  <c r="AM19"/>
  <c r="AL19"/>
  <c r="AK19"/>
  <c r="AJ19"/>
  <c r="AH19"/>
  <c r="AG19"/>
  <c r="AF19"/>
  <c r="AE19"/>
  <c r="AD19"/>
  <c r="AC19"/>
  <c r="AB19"/>
  <c r="Z19"/>
  <c r="Y19"/>
  <c r="X19"/>
  <c r="W19"/>
  <c r="V19"/>
  <c r="U19"/>
  <c r="T19"/>
  <c r="R19"/>
  <c r="Q19"/>
  <c r="P19"/>
  <c r="O19"/>
  <c r="N19"/>
  <c r="M19"/>
  <c r="L19"/>
  <c r="J19"/>
  <c r="I19"/>
  <c r="H19"/>
  <c r="G19"/>
  <c r="F19"/>
  <c r="E19"/>
  <c r="D19"/>
  <c r="AP16"/>
  <c r="AO16"/>
  <c r="AN16"/>
  <c r="AM16"/>
  <c r="AL16"/>
  <c r="AK16"/>
  <c r="AJ16"/>
  <c r="AH16"/>
  <c r="AG16"/>
  <c r="AF16"/>
  <c r="AE16"/>
  <c r="AD16"/>
  <c r="AC16"/>
  <c r="AB16"/>
  <c r="Z16"/>
  <c r="Y16"/>
  <c r="X16"/>
  <c r="W16"/>
  <c r="V16"/>
  <c r="U16"/>
  <c r="T16"/>
  <c r="R16"/>
  <c r="Q16"/>
  <c r="P16"/>
  <c r="O16"/>
  <c r="N16"/>
  <c r="M16"/>
  <c r="L16"/>
  <c r="J16"/>
  <c r="I16"/>
  <c r="H16"/>
  <c r="G16"/>
  <c r="F16"/>
  <c r="E16"/>
  <c r="D16"/>
  <c r="AP15"/>
  <c r="AO15"/>
  <c r="AN15"/>
  <c r="AM15"/>
  <c r="AL15"/>
  <c r="AK15"/>
  <c r="AJ15"/>
  <c r="AH15"/>
  <c r="AG15"/>
  <c r="AF15"/>
  <c r="AE15"/>
  <c r="AD15"/>
  <c r="AC15"/>
  <c r="AB15"/>
  <c r="Z15"/>
  <c r="Y15"/>
  <c r="X15"/>
  <c r="W15"/>
  <c r="V15"/>
  <c r="U15"/>
  <c r="T15"/>
  <c r="R15"/>
  <c r="Q15"/>
  <c r="P15"/>
  <c r="O15"/>
  <c r="N15"/>
  <c r="M15"/>
  <c r="L15"/>
  <c r="J15"/>
  <c r="I15"/>
  <c r="H15"/>
  <c r="G15"/>
  <c r="F15"/>
  <c r="E15"/>
  <c r="D15"/>
  <c r="AP14"/>
  <c r="AO14"/>
  <c r="AN14"/>
  <c r="AM14"/>
  <c r="AL14"/>
  <c r="AK14"/>
  <c r="AJ14"/>
  <c r="AH14"/>
  <c r="AG14"/>
  <c r="AF14"/>
  <c r="AE14"/>
  <c r="AD14"/>
  <c r="AC14"/>
  <c r="AB14"/>
  <c r="Z14"/>
  <c r="Y14"/>
  <c r="X14"/>
  <c r="W14"/>
  <c r="V14"/>
  <c r="U14"/>
  <c r="T14"/>
  <c r="R14"/>
  <c r="Q14"/>
  <c r="P14"/>
  <c r="O14"/>
  <c r="N14"/>
  <c r="M14"/>
  <c r="L14"/>
  <c r="J14"/>
  <c r="I14"/>
  <c r="H14"/>
  <c r="G14"/>
  <c r="F14"/>
  <c r="E14"/>
  <c r="D14"/>
  <c r="AP13"/>
  <c r="AO13"/>
  <c r="AN13"/>
  <c r="AM13"/>
  <c r="AL13"/>
  <c r="AK13"/>
  <c r="AJ13"/>
  <c r="AH13"/>
  <c r="AG13"/>
  <c r="AF13"/>
  <c r="AE13"/>
  <c r="AD13"/>
  <c r="AC13"/>
  <c r="AB13"/>
  <c r="Z13"/>
  <c r="Y13"/>
  <c r="X13"/>
  <c r="W13"/>
  <c r="V13"/>
  <c r="U13"/>
  <c r="T13"/>
  <c r="R13"/>
  <c r="Q13"/>
  <c r="P13"/>
  <c r="O13"/>
  <c r="N13"/>
  <c r="M13"/>
  <c r="L13"/>
  <c r="J13"/>
  <c r="I13"/>
  <c r="H13"/>
  <c r="G13"/>
  <c r="F13"/>
  <c r="E13"/>
  <c r="D13"/>
  <c r="AP10"/>
  <c r="AO10"/>
  <c r="AN10"/>
  <c r="AM10"/>
  <c r="AL10"/>
  <c r="AK10"/>
  <c r="AJ10"/>
  <c r="AH10"/>
  <c r="AG10"/>
  <c r="AF10"/>
  <c r="AE10"/>
  <c r="AD10"/>
  <c r="AC10"/>
  <c r="AB10"/>
  <c r="Z10"/>
  <c r="Y10"/>
  <c r="X10"/>
  <c r="W10"/>
  <c r="V10"/>
  <c r="U10"/>
  <c r="T10"/>
  <c r="R10"/>
  <c r="Q10"/>
  <c r="P10"/>
  <c r="O10"/>
  <c r="N10"/>
  <c r="M10"/>
  <c r="L10"/>
  <c r="J10"/>
  <c r="I10"/>
  <c r="H10"/>
  <c r="G10"/>
  <c r="F10"/>
  <c r="E10"/>
  <c r="D10"/>
  <c r="AP9"/>
  <c r="AO9"/>
  <c r="AN9"/>
  <c r="AM9"/>
  <c r="AL9"/>
  <c r="AK9"/>
  <c r="AJ9"/>
  <c r="AH9"/>
  <c r="AG9"/>
  <c r="AF9"/>
  <c r="AE9"/>
  <c r="AD9"/>
  <c r="AC9"/>
  <c r="AB9"/>
  <c r="Z9"/>
  <c r="Y9"/>
  <c r="X9"/>
  <c r="W9"/>
  <c r="V9"/>
  <c r="U9"/>
  <c r="T9"/>
  <c r="R9"/>
  <c r="Q9"/>
  <c r="P9"/>
  <c r="O9"/>
  <c r="N9"/>
  <c r="M9"/>
  <c r="L9"/>
  <c r="J9"/>
  <c r="I9"/>
  <c r="H9"/>
  <c r="G9"/>
  <c r="F9"/>
  <c r="E9"/>
  <c r="D9" l="1"/>
  <c r="S3" i="20"/>
  <c r="Q3"/>
  <c r="O3"/>
  <c r="M3"/>
  <c r="K3"/>
  <c r="S71" i="1"/>
  <c r="E48" a="1"/>
  <c r="E48" s="1"/>
  <c r="E47" a="1"/>
  <c r="E47" s="1"/>
  <c r="E46" a="1"/>
  <c r="E46" s="1"/>
  <c r="D48" a="1"/>
  <c r="D48" s="1"/>
  <c r="D47" a="1"/>
  <c r="D47" s="1"/>
  <c r="D46" a="1"/>
  <c r="D46" s="1"/>
  <c r="C48" a="1"/>
  <c r="C48" s="1"/>
  <c r="C47" a="1"/>
  <c r="C47" s="1"/>
  <c r="C46" a="1"/>
  <c r="C46" s="1"/>
  <c r="E61" a="1"/>
  <c r="E61" s="1"/>
  <c r="D59" a="1"/>
  <c r="D59" s="1"/>
  <c r="D57" a="1"/>
  <c r="D57" s="1"/>
  <c r="E56" a="1"/>
  <c r="E56" s="1"/>
  <c r="D56" a="1"/>
  <c r="D56" s="1"/>
  <c r="E55" a="1"/>
  <c r="E55" s="1"/>
  <c r="D55" a="1"/>
  <c r="D55" s="1"/>
  <c r="D52" a="1"/>
  <c r="D52" s="1"/>
  <c r="E52" a="1"/>
  <c r="E52" s="1"/>
  <c r="E51" a="1"/>
  <c r="E51" s="1"/>
  <c r="C61" a="1"/>
  <c r="C61" s="1"/>
  <c r="C60" a="1"/>
  <c r="C60" s="1"/>
  <c r="C59" a="1"/>
  <c r="C59" s="1"/>
  <c r="C58" a="1"/>
  <c r="C58" s="1"/>
  <c r="C57" a="1"/>
  <c r="C57" s="1"/>
  <c r="C56" a="1"/>
  <c r="C56" s="1"/>
  <c r="C55" a="1"/>
  <c r="C55" s="1"/>
  <c r="C54" a="1"/>
  <c r="C54" s="1"/>
  <c r="C53" a="1"/>
  <c r="C53" s="1"/>
  <c r="C52" a="1"/>
  <c r="C52" s="1"/>
  <c r="C51" a="1"/>
  <c r="C51" s="1"/>
  <c r="F48" l="1"/>
  <c r="F47"/>
  <c r="E45"/>
  <c r="F46"/>
  <c r="D45"/>
  <c r="A100" i="3"/>
  <c r="A99"/>
  <c r="A98"/>
  <c r="A97"/>
  <c r="A96"/>
  <c r="A95"/>
  <c r="A94"/>
  <c r="A93"/>
  <c r="A92"/>
  <c r="A91"/>
  <c r="A90"/>
  <c r="A89"/>
  <c r="A88"/>
  <c r="A87"/>
  <c r="A86"/>
  <c r="A85"/>
  <c r="A84"/>
  <c r="A83"/>
  <c r="A82"/>
  <c r="A81"/>
  <c r="A80"/>
  <c r="A79"/>
  <c r="A78"/>
  <c r="A77"/>
  <c r="A76"/>
  <c r="A75"/>
  <c r="A74"/>
  <c r="A73"/>
  <c r="A72"/>
  <c r="A71"/>
  <c r="A70"/>
  <c r="A69"/>
  <c r="A68"/>
  <c r="A67"/>
  <c r="A66"/>
  <c r="A65"/>
  <c r="A64"/>
  <c r="A63"/>
  <c r="A62"/>
  <c r="A61"/>
  <c r="A60"/>
  <c r="A59"/>
  <c r="A58"/>
  <c r="A57"/>
  <c r="A56"/>
  <c r="A55"/>
  <c r="A54"/>
  <c r="A53"/>
  <c r="A52"/>
  <c r="A51"/>
  <c r="A50"/>
  <c r="A49"/>
  <c r="A48"/>
  <c r="A47"/>
  <c r="A46"/>
  <c r="A45"/>
  <c r="A44"/>
  <c r="A43"/>
  <c r="A42"/>
  <c r="A41"/>
  <c r="A40"/>
  <c r="A39"/>
  <c r="A38"/>
  <c r="A37"/>
  <c r="A36"/>
  <c r="A35"/>
  <c r="A34"/>
  <c r="A33"/>
  <c r="A32"/>
  <c r="A31"/>
  <c r="A30"/>
  <c r="A29"/>
  <c r="A28"/>
  <c r="A27"/>
  <c r="A26"/>
  <c r="A25"/>
  <c r="A24"/>
  <c r="A23"/>
  <c r="A22"/>
  <c r="A21"/>
  <c r="A20"/>
  <c r="A19"/>
  <c r="A18"/>
  <c r="A17"/>
  <c r="A16"/>
  <c r="A15"/>
  <c r="A14"/>
  <c r="A13"/>
  <c r="A12"/>
  <c r="A11"/>
  <c r="A10"/>
  <c r="A9"/>
  <c r="A8"/>
  <c r="A7"/>
  <c r="D7" s="1"/>
  <c r="A6"/>
  <c r="A5"/>
  <c r="A4"/>
  <c r="A3"/>
  <c r="A2"/>
  <c r="A100" i="29"/>
  <c r="A99"/>
  <c r="A98"/>
  <c r="A97"/>
  <c r="A96"/>
  <c r="A95"/>
  <c r="A94"/>
  <c r="A93"/>
  <c r="A92"/>
  <c r="A91"/>
  <c r="A90"/>
  <c r="A89"/>
  <c r="A88"/>
  <c r="A87"/>
  <c r="A86"/>
  <c r="A85"/>
  <c r="A84"/>
  <c r="A83"/>
  <c r="A82"/>
  <c r="A81"/>
  <c r="A80"/>
  <c r="A79"/>
  <c r="A78"/>
  <c r="A77"/>
  <c r="A76"/>
  <c r="A75"/>
  <c r="A74"/>
  <c r="A73"/>
  <c r="A72"/>
  <c r="A71"/>
  <c r="A70"/>
  <c r="A69"/>
  <c r="A68"/>
  <c r="A67"/>
  <c r="A66"/>
  <c r="A65"/>
  <c r="A64"/>
  <c r="A63"/>
  <c r="A62"/>
  <c r="A61"/>
  <c r="A60"/>
  <c r="A59"/>
  <c r="A58"/>
  <c r="A57"/>
  <c r="A56"/>
  <c r="A55"/>
  <c r="A54"/>
  <c r="A53"/>
  <c r="A52"/>
  <c r="A51"/>
  <c r="A50"/>
  <c r="A49"/>
  <c r="A48"/>
  <c r="A47"/>
  <c r="A46"/>
  <c r="A45"/>
  <c r="A44"/>
  <c r="A43"/>
  <c r="A42"/>
  <c r="A41"/>
  <c r="A40"/>
  <c r="A39"/>
  <c r="A38"/>
  <c r="A37"/>
  <c r="A36"/>
  <c r="A35"/>
  <c r="A34"/>
  <c r="A33"/>
  <c r="A32"/>
  <c r="A31"/>
  <c r="A30"/>
  <c r="A29"/>
  <c r="A28"/>
  <c r="A27"/>
  <c r="A26"/>
  <c r="A25"/>
  <c r="A24"/>
  <c r="A23"/>
  <c r="A22"/>
  <c r="A21"/>
  <c r="A20"/>
  <c r="A19"/>
  <c r="A18"/>
  <c r="A17"/>
  <c r="A16"/>
  <c r="A15"/>
  <c r="A14"/>
  <c r="A13"/>
  <c r="A12"/>
  <c r="A11"/>
  <c r="A10"/>
  <c r="A9"/>
  <c r="A8"/>
  <c r="D8" s="1"/>
  <c r="A7"/>
  <c r="A6"/>
  <c r="D6" s="1"/>
  <c r="A5"/>
  <c r="D5" s="1"/>
  <c r="A4"/>
  <c r="A3"/>
  <c r="A2"/>
  <c r="A100" i="30"/>
  <c r="A99"/>
  <c r="A98"/>
  <c r="A97"/>
  <c r="A96"/>
  <c r="A95"/>
  <c r="A94"/>
  <c r="A93"/>
  <c r="A92"/>
  <c r="E92" s="1"/>
  <c r="W93" i="25" s="1"/>
  <c r="Y93" s="1"/>
  <c r="A91" i="30"/>
  <c r="E91" s="1"/>
  <c r="W92" i="25" s="1"/>
  <c r="Y92" s="1"/>
  <c r="A90" i="30"/>
  <c r="E90" s="1"/>
  <c r="W91" i="25" s="1"/>
  <c r="Y91" s="1"/>
  <c r="A89" i="30"/>
  <c r="E89" s="1"/>
  <c r="W90" i="25" s="1"/>
  <c r="Y90" s="1"/>
  <c r="A88" i="30"/>
  <c r="E88" s="1"/>
  <c r="W89" i="25" s="1"/>
  <c r="Y89" s="1"/>
  <c r="A87" i="30"/>
  <c r="E87" s="1"/>
  <c r="W88" i="25" s="1"/>
  <c r="Y88" s="1"/>
  <c r="A86" i="30"/>
  <c r="E86" s="1"/>
  <c r="W87" i="25" s="1"/>
  <c r="Y87" s="1"/>
  <c r="A85" i="30"/>
  <c r="E85" s="1"/>
  <c r="W86" i="25" s="1"/>
  <c r="Y86" s="1"/>
  <c r="A84" i="30"/>
  <c r="E84" s="1"/>
  <c r="W85" i="25" s="1"/>
  <c r="Y85" s="1"/>
  <c r="A83" i="30"/>
  <c r="E83" s="1"/>
  <c r="W84" i="25" s="1"/>
  <c r="Y84" s="1"/>
  <c r="A82" i="30"/>
  <c r="E82" s="1"/>
  <c r="W83" i="25" s="1"/>
  <c r="Y83" s="1"/>
  <c r="A81" i="30"/>
  <c r="E81" s="1"/>
  <c r="W82" i="25" s="1"/>
  <c r="Y82" s="1"/>
  <c r="A80" i="30"/>
  <c r="E80" s="1"/>
  <c r="W81" i="25" s="1"/>
  <c r="Y81" s="1"/>
  <c r="A79" i="30"/>
  <c r="E79" s="1"/>
  <c r="W80" i="25" s="1"/>
  <c r="Y80" s="1"/>
  <c r="A78" i="30"/>
  <c r="E78" s="1"/>
  <c r="W79" i="25" s="1"/>
  <c r="Y79" s="1"/>
  <c r="A77" i="30"/>
  <c r="E77" s="1"/>
  <c r="W78" i="25" s="1"/>
  <c r="Y78" s="1"/>
  <c r="A76" i="30"/>
  <c r="E76" s="1"/>
  <c r="W77" i="25" s="1"/>
  <c r="Y77" s="1"/>
  <c r="A75" i="30"/>
  <c r="E75" s="1"/>
  <c r="W76" i="25" s="1"/>
  <c r="Y76" s="1"/>
  <c r="A74" i="30"/>
  <c r="E74" s="1"/>
  <c r="W75" i="25" s="1"/>
  <c r="Y75" s="1"/>
  <c r="A73" i="30"/>
  <c r="E73" s="1"/>
  <c r="W74" i="25" s="1"/>
  <c r="Y74" s="1"/>
  <c r="A72" i="30"/>
  <c r="E72" s="1"/>
  <c r="W73" i="25" s="1"/>
  <c r="Y73" s="1"/>
  <c r="A71" i="30"/>
  <c r="E71" s="1"/>
  <c r="W72" i="25" s="1"/>
  <c r="Y72" s="1"/>
  <c r="A70" i="30"/>
  <c r="E70" s="1"/>
  <c r="W71" i="25" s="1"/>
  <c r="Y71" s="1"/>
  <c r="A69" i="30"/>
  <c r="E69" s="1"/>
  <c r="W70" i="25" s="1"/>
  <c r="Y70" s="1"/>
  <c r="A68" i="30"/>
  <c r="E68" s="1"/>
  <c r="W69" i="25" s="1"/>
  <c r="Y69" s="1"/>
  <c r="A67" i="30"/>
  <c r="E67" s="1"/>
  <c r="W68" i="25" s="1"/>
  <c r="Y68" s="1"/>
  <c r="A66" i="30"/>
  <c r="E66" s="1"/>
  <c r="W67" i="25" s="1"/>
  <c r="Y67" s="1"/>
  <c r="A65" i="30"/>
  <c r="E65" s="1"/>
  <c r="W66" i="25" s="1"/>
  <c r="Y66" s="1"/>
  <c r="A64" i="30"/>
  <c r="E64" s="1"/>
  <c r="W65" i="25" s="1"/>
  <c r="Y65" s="1"/>
  <c r="A63" i="30"/>
  <c r="E63" s="1"/>
  <c r="W64" i="25" s="1"/>
  <c r="Y64" s="1"/>
  <c r="A62" i="30"/>
  <c r="E62" s="1"/>
  <c r="W63" i="25" s="1"/>
  <c r="Y63" s="1"/>
  <c r="A61" i="30"/>
  <c r="E61" s="1"/>
  <c r="W62" i="25" s="1"/>
  <c r="Y62" s="1"/>
  <c r="A60" i="30"/>
  <c r="E60" s="1"/>
  <c r="W61" i="25" s="1"/>
  <c r="Y61" s="1"/>
  <c r="A59" i="30"/>
  <c r="E59" s="1"/>
  <c r="W60" i="25" s="1"/>
  <c r="Y60" s="1"/>
  <c r="A58" i="30"/>
  <c r="E58" s="1"/>
  <c r="W59" i="25" s="1"/>
  <c r="Y59" s="1"/>
  <c r="A57" i="30"/>
  <c r="E57" s="1"/>
  <c r="W58" i="25" s="1"/>
  <c r="Y58" s="1"/>
  <c r="A56" i="30"/>
  <c r="E56" s="1"/>
  <c r="W57" i="25" s="1"/>
  <c r="Y57" s="1"/>
  <c r="A55" i="30"/>
  <c r="A54"/>
  <c r="D54" s="1"/>
  <c r="A53"/>
  <c r="A52"/>
  <c r="D52" s="1"/>
  <c r="A51"/>
  <c r="D51" s="1"/>
  <c r="A50"/>
  <c r="D50" s="1"/>
  <c r="A49"/>
  <c r="A48"/>
  <c r="D48" s="1"/>
  <c r="A47"/>
  <c r="A46"/>
  <c r="A45"/>
  <c r="A44"/>
  <c r="A43"/>
  <c r="D43" s="1"/>
  <c r="A42"/>
  <c r="D42" s="1"/>
  <c r="A41"/>
  <c r="D41" s="1"/>
  <c r="A40"/>
  <c r="D40" s="1"/>
  <c r="A39"/>
  <c r="D39" s="1"/>
  <c r="A38"/>
  <c r="A37"/>
  <c r="A36"/>
  <c r="A35"/>
  <c r="A34"/>
  <c r="D34" s="1"/>
  <c r="A33"/>
  <c r="D33" s="1"/>
  <c r="A32"/>
  <c r="D32" s="1"/>
  <c r="A31"/>
  <c r="D31" s="1"/>
  <c r="A30"/>
  <c r="D30" s="1"/>
  <c r="A29"/>
  <c r="D29" s="1"/>
  <c r="A28"/>
  <c r="D28" s="1"/>
  <c r="A27"/>
  <c r="D27" s="1"/>
  <c r="A26"/>
  <c r="D26" s="1"/>
  <c r="A25"/>
  <c r="D25" s="1"/>
  <c r="A24"/>
  <c r="D24" s="1"/>
  <c r="A23"/>
  <c r="D23" s="1"/>
  <c r="A22"/>
  <c r="D22" s="1"/>
  <c r="A21"/>
  <c r="D21" s="1"/>
  <c r="A20"/>
  <c r="D20" s="1"/>
  <c r="A19"/>
  <c r="D19" s="1"/>
  <c r="A18"/>
  <c r="A17"/>
  <c r="D17" s="1"/>
  <c r="A16"/>
  <c r="A15"/>
  <c r="D15" s="1"/>
  <c r="A14"/>
  <c r="D14" s="1"/>
  <c r="A13"/>
  <c r="D13" s="1"/>
  <c r="A12"/>
  <c r="D12" s="1"/>
  <c r="A11"/>
  <c r="A10"/>
  <c r="A9"/>
  <c r="D9" s="1"/>
  <c r="A8"/>
  <c r="A7"/>
  <c r="D7" s="1"/>
  <c r="A6"/>
  <c r="A5"/>
  <c r="D5" s="1"/>
  <c r="A4"/>
  <c r="A3"/>
  <c r="A2"/>
  <c r="C2" i="4"/>
  <c r="D2" s="1"/>
  <c r="E2" s="1"/>
  <c r="F2" s="1"/>
  <c r="G2" s="1"/>
  <c r="H2" s="1"/>
  <c r="B2" i="5" s="1"/>
  <c r="C2" s="1"/>
  <c r="D2" s="1"/>
  <c r="E2" s="1"/>
  <c r="F2" s="1"/>
  <c r="G2" s="1"/>
  <c r="H2" s="1"/>
  <c r="B2" i="6" s="1"/>
  <c r="C2" s="1"/>
  <c r="D2" s="1"/>
  <c r="E2" s="1"/>
  <c r="F2" s="1"/>
  <c r="G2" s="1"/>
  <c r="H2" s="1"/>
  <c r="B2" i="7" s="1"/>
  <c r="C2" s="1"/>
  <c r="D2" s="1"/>
  <c r="E2" s="1"/>
  <c r="F2" s="1"/>
  <c r="G2" s="1"/>
  <c r="H2" s="1"/>
  <c r="B2" i="8" s="1"/>
  <c r="C2" s="1"/>
  <c r="D2" s="1"/>
  <c r="E2" s="1"/>
  <c r="F2" s="1"/>
  <c r="G2" s="1"/>
  <c r="H2" s="1"/>
  <c r="AB2" i="20"/>
  <c r="O72" i="1"/>
  <c r="O73"/>
  <c r="O74"/>
  <c r="O75"/>
  <c r="O76"/>
  <c r="O79"/>
  <c r="O80"/>
  <c r="O81"/>
  <c r="O82"/>
  <c r="O78"/>
  <c r="O71"/>
  <c r="O48"/>
  <c r="O49"/>
  <c r="O50"/>
  <c r="O51"/>
  <c r="O52"/>
  <c r="O53"/>
  <c r="O54"/>
  <c r="O55"/>
  <c r="O56"/>
  <c r="O57"/>
  <c r="O58"/>
  <c r="O59"/>
  <c r="O60"/>
  <c r="O61"/>
  <c r="O62"/>
  <c r="O63"/>
  <c r="O64"/>
  <c r="O65"/>
  <c r="O66"/>
  <c r="O67"/>
  <c r="O68"/>
  <c r="O69"/>
  <c r="O47"/>
  <c r="L47"/>
  <c r="K49"/>
  <c r="K51"/>
  <c r="K53"/>
  <c r="K55"/>
  <c r="K57"/>
  <c r="K59"/>
  <c r="K61"/>
  <c r="K63"/>
  <c r="K65"/>
  <c r="K67"/>
  <c r="K69"/>
  <c r="A22" i="9"/>
  <c r="D22" s="1"/>
  <c r="J22" s="1"/>
  <c r="A19"/>
  <c r="D19" s="1"/>
  <c r="J19" s="1"/>
  <c r="L80" i="1"/>
  <c r="L82"/>
  <c r="L79"/>
  <c r="L81"/>
  <c r="L72"/>
  <c r="L73"/>
  <c r="L74"/>
  <c r="L75"/>
  <c r="L76"/>
  <c r="L78"/>
  <c r="L71"/>
  <c r="L48"/>
  <c r="L49"/>
  <c r="L50"/>
  <c r="L51"/>
  <c r="L52"/>
  <c r="L53"/>
  <c r="L54"/>
  <c r="L55"/>
  <c r="L56"/>
  <c r="L57"/>
  <c r="L58"/>
  <c r="L59"/>
  <c r="L60"/>
  <c r="L61"/>
  <c r="L62"/>
  <c r="L63"/>
  <c r="L64"/>
  <c r="L65"/>
  <c r="L66"/>
  <c r="L67"/>
  <c r="L68"/>
  <c r="L69"/>
  <c r="K79"/>
  <c r="K80"/>
  <c r="K81"/>
  <c r="K82"/>
  <c r="K78"/>
  <c r="K72"/>
  <c r="K73"/>
  <c r="K74"/>
  <c r="K75"/>
  <c r="K76"/>
  <c r="K71"/>
  <c r="K50"/>
  <c r="K52"/>
  <c r="K54"/>
  <c r="K56"/>
  <c r="K58"/>
  <c r="K60"/>
  <c r="K62"/>
  <c r="K64"/>
  <c r="K66"/>
  <c r="K68"/>
  <c r="K48"/>
  <c r="A23" i="9"/>
  <c r="D23" s="1"/>
  <c r="J23" s="1"/>
  <c r="A15"/>
  <c r="D15" s="1"/>
  <c r="J15" s="1"/>
  <c r="E94" i="30" l="1"/>
  <c r="W95" i="25" s="1"/>
  <c r="Y95" s="1"/>
  <c r="D94" i="30"/>
  <c r="E96"/>
  <c r="W97" i="25" s="1"/>
  <c r="Y97" s="1"/>
  <c r="D96" i="30"/>
  <c r="E98"/>
  <c r="W99" i="25" s="1"/>
  <c r="Y99" s="1"/>
  <c r="D98" i="30"/>
  <c r="E100"/>
  <c r="W101" i="25" s="1"/>
  <c r="Y101" s="1"/>
  <c r="D100" i="30"/>
  <c r="E3" i="29"/>
  <c r="Q4" i="25" s="1"/>
  <c r="S4" s="1"/>
  <c r="C3" i="29"/>
  <c r="D3"/>
  <c r="B3" s="1"/>
  <c r="E11"/>
  <c r="Q12" i="25" s="1"/>
  <c r="S12" s="1"/>
  <c r="C11" i="29"/>
  <c r="D11"/>
  <c r="B11" s="1"/>
  <c r="E13"/>
  <c r="Q14" i="25" s="1"/>
  <c r="S14" s="1"/>
  <c r="C13" i="29"/>
  <c r="D13"/>
  <c r="E17"/>
  <c r="Q18" i="25" s="1"/>
  <c r="S18" s="1"/>
  <c r="C17" i="29"/>
  <c r="D17"/>
  <c r="B17"/>
  <c r="E19"/>
  <c r="Q20" i="25" s="1"/>
  <c r="S20" s="1"/>
  <c r="C19" i="29"/>
  <c r="D19"/>
  <c r="E21"/>
  <c r="Q22" i="25" s="1"/>
  <c r="S22" s="1"/>
  <c r="C21" i="29"/>
  <c r="D21"/>
  <c r="B21" s="1"/>
  <c r="E23"/>
  <c r="Q24" i="25" s="1"/>
  <c r="S24" s="1"/>
  <c r="C23" i="29"/>
  <c r="D23"/>
  <c r="B23" s="1"/>
  <c r="E25"/>
  <c r="Q26" i="25" s="1"/>
  <c r="S26" s="1"/>
  <c r="C25" i="29"/>
  <c r="D25"/>
  <c r="E27"/>
  <c r="Q28" i="25" s="1"/>
  <c r="S28" s="1"/>
  <c r="C27" i="29"/>
  <c r="D27"/>
  <c r="B27" s="1"/>
  <c r="E29"/>
  <c r="Q30" i="25" s="1"/>
  <c r="S30" s="1"/>
  <c r="C29" i="29"/>
  <c r="D29"/>
  <c r="E31"/>
  <c r="Q32" i="25" s="1"/>
  <c r="S32" s="1"/>
  <c r="C31" i="29"/>
  <c r="D31"/>
  <c r="E33"/>
  <c r="Q34" i="25" s="1"/>
  <c r="S34" s="1"/>
  <c r="C33" i="29"/>
  <c r="D33"/>
  <c r="B33"/>
  <c r="E35"/>
  <c r="Q36" i="25" s="1"/>
  <c r="S36" s="1"/>
  <c r="C35" i="29"/>
  <c r="D35"/>
  <c r="B35" s="1"/>
  <c r="E37"/>
  <c r="Q38" i="25" s="1"/>
  <c r="S38" s="1"/>
  <c r="C37" i="29"/>
  <c r="D37"/>
  <c r="B37" s="1"/>
  <c r="E39"/>
  <c r="Q40" i="25" s="1"/>
  <c r="S40" s="1"/>
  <c r="C39" i="29"/>
  <c r="D39"/>
  <c r="B39" s="1"/>
  <c r="E45"/>
  <c r="Q46" i="25" s="1"/>
  <c r="S46" s="1"/>
  <c r="C45" i="29"/>
  <c r="D45"/>
  <c r="B45" s="1"/>
  <c r="E47"/>
  <c r="Q48" i="25" s="1"/>
  <c r="S48" s="1"/>
  <c r="C47" i="29"/>
  <c r="D47"/>
  <c r="B47" s="1"/>
  <c r="E49"/>
  <c r="Q50" i="25" s="1"/>
  <c r="S50" s="1"/>
  <c r="C49" i="29"/>
  <c r="D49"/>
  <c r="B49" s="1"/>
  <c r="E51"/>
  <c r="Q52" i="25" s="1"/>
  <c r="S52" s="1"/>
  <c r="C51" i="29"/>
  <c r="D51"/>
  <c r="B51" s="1"/>
  <c r="E53"/>
  <c r="Q54" i="25" s="1"/>
  <c r="S54" s="1"/>
  <c r="C53" i="29"/>
  <c r="D53"/>
  <c r="E55"/>
  <c r="Q56" i="25" s="1"/>
  <c r="S56" s="1"/>
  <c r="C55" i="29"/>
  <c r="D55"/>
  <c r="B55"/>
  <c r="E57"/>
  <c r="Q58" i="25" s="1"/>
  <c r="S58" s="1"/>
  <c r="C57" i="29"/>
  <c r="D57"/>
  <c r="B57" s="1"/>
  <c r="E59"/>
  <c r="Q60" i="25" s="1"/>
  <c r="S60" s="1"/>
  <c r="C59" i="29"/>
  <c r="D59"/>
  <c r="B59" s="1"/>
  <c r="E61"/>
  <c r="Q62" i="25" s="1"/>
  <c r="S62" s="1"/>
  <c r="C61" i="29"/>
  <c r="D61"/>
  <c r="B61" s="1"/>
  <c r="E63"/>
  <c r="Q64" i="25" s="1"/>
  <c r="S64" s="1"/>
  <c r="C63" i="29"/>
  <c r="D63"/>
  <c r="E65"/>
  <c r="Q66" i="25" s="1"/>
  <c r="S66" s="1"/>
  <c r="C65" i="29"/>
  <c r="D65"/>
  <c r="B65" s="1"/>
  <c r="E67"/>
  <c r="Q68" i="25" s="1"/>
  <c r="S68" s="1"/>
  <c r="C67" i="29"/>
  <c r="D67"/>
  <c r="B67" s="1"/>
  <c r="E69"/>
  <c r="Q70" i="25" s="1"/>
  <c r="S70" s="1"/>
  <c r="C69" i="29"/>
  <c r="D69"/>
  <c r="B69" s="1"/>
  <c r="E71"/>
  <c r="Q72" i="25" s="1"/>
  <c r="S72" s="1"/>
  <c r="C71" i="29"/>
  <c r="D71"/>
  <c r="B71" s="1"/>
  <c r="E73"/>
  <c r="Q74" i="25" s="1"/>
  <c r="S74" s="1"/>
  <c r="C73" i="29"/>
  <c r="D73"/>
  <c r="E75"/>
  <c r="Q76" i="25" s="1"/>
  <c r="S76" s="1"/>
  <c r="C75" i="29"/>
  <c r="D75"/>
  <c r="B75"/>
  <c r="E77"/>
  <c r="Q78" i="25" s="1"/>
  <c r="S78" s="1"/>
  <c r="C77" i="29"/>
  <c r="D77"/>
  <c r="B77"/>
  <c r="E79"/>
  <c r="Q80" i="25" s="1"/>
  <c r="S80" s="1"/>
  <c r="C79" i="29"/>
  <c r="D79"/>
  <c r="B79"/>
  <c r="E81"/>
  <c r="Q82" i="25" s="1"/>
  <c r="S82" s="1"/>
  <c r="C81" i="29"/>
  <c r="D81"/>
  <c r="B81"/>
  <c r="E83"/>
  <c r="Q84" i="25" s="1"/>
  <c r="S84" s="1"/>
  <c r="C83" i="29"/>
  <c r="D83"/>
  <c r="B83"/>
  <c r="E85"/>
  <c r="Q86" i="25" s="1"/>
  <c r="S86" s="1"/>
  <c r="C85" i="29"/>
  <c r="D85"/>
  <c r="B85"/>
  <c r="E87"/>
  <c r="Q88" i="25" s="1"/>
  <c r="S88" s="1"/>
  <c r="C87" i="29"/>
  <c r="D87"/>
  <c r="B87"/>
  <c r="E89"/>
  <c r="Q90" i="25" s="1"/>
  <c r="S90" s="1"/>
  <c r="C89" i="29"/>
  <c r="D89"/>
  <c r="B89"/>
  <c r="E91"/>
  <c r="Q92" i="25" s="1"/>
  <c r="S92" s="1"/>
  <c r="C91" i="29"/>
  <c r="D91"/>
  <c r="B91"/>
  <c r="E93"/>
  <c r="Q94" i="25" s="1"/>
  <c r="S94" s="1"/>
  <c r="C93" i="29"/>
  <c r="D93"/>
  <c r="B93"/>
  <c r="E95"/>
  <c r="Q96" i="25" s="1"/>
  <c r="S96" s="1"/>
  <c r="C95" i="29"/>
  <c r="D95"/>
  <c r="B95"/>
  <c r="E97"/>
  <c r="Q98" i="25" s="1"/>
  <c r="S98" s="1"/>
  <c r="C97" i="29"/>
  <c r="D97"/>
  <c r="B97"/>
  <c r="E99"/>
  <c r="Q100" i="25" s="1"/>
  <c r="S100" s="1"/>
  <c r="C99" i="29"/>
  <c r="D99"/>
  <c r="B99"/>
  <c r="E2" i="3"/>
  <c r="C2"/>
  <c r="D2"/>
  <c r="B2" s="1"/>
  <c r="E4"/>
  <c r="C4"/>
  <c r="D4"/>
  <c r="E10"/>
  <c r="C10"/>
  <c r="D10"/>
  <c r="B10" s="1"/>
  <c r="E16"/>
  <c r="C16"/>
  <c r="D16"/>
  <c r="B16"/>
  <c r="E18"/>
  <c r="C18"/>
  <c r="D18"/>
  <c r="B18"/>
  <c r="E22"/>
  <c r="C22"/>
  <c r="D22"/>
  <c r="B22"/>
  <c r="E26"/>
  <c r="C26"/>
  <c r="D26"/>
  <c r="B26"/>
  <c r="E28"/>
  <c r="C28"/>
  <c r="D28"/>
  <c r="E32"/>
  <c r="C32"/>
  <c r="D32"/>
  <c r="B32"/>
  <c r="E36"/>
  <c r="C36"/>
  <c r="D36"/>
  <c r="E40"/>
  <c r="C40"/>
  <c r="D40"/>
  <c r="B40"/>
  <c r="E44"/>
  <c r="C44"/>
  <c r="D44"/>
  <c r="E52"/>
  <c r="C52"/>
  <c r="D52"/>
  <c r="B52"/>
  <c r="E56"/>
  <c r="C56"/>
  <c r="D56"/>
  <c r="B56"/>
  <c r="E58"/>
  <c r="C58"/>
  <c r="D58"/>
  <c r="B58" s="1"/>
  <c r="E72"/>
  <c r="K73" i="25" s="1"/>
  <c r="M73" s="1"/>
  <c r="C72" i="3"/>
  <c r="D72"/>
  <c r="B72"/>
  <c r="E74"/>
  <c r="K75" i="25" s="1"/>
  <c r="M75" s="1"/>
  <c r="C74" i="3"/>
  <c r="D74"/>
  <c r="B74"/>
  <c r="E76"/>
  <c r="K77" i="25" s="1"/>
  <c r="M77" s="1"/>
  <c r="C76" i="3"/>
  <c r="D76"/>
  <c r="B76"/>
  <c r="E78"/>
  <c r="K79" i="25" s="1"/>
  <c r="M79" s="1"/>
  <c r="C78" i="3"/>
  <c r="D78"/>
  <c r="B78"/>
  <c r="E80"/>
  <c r="K81" i="25" s="1"/>
  <c r="M81" s="1"/>
  <c r="C80" i="3"/>
  <c r="D80"/>
  <c r="B80"/>
  <c r="E82"/>
  <c r="K83" i="25" s="1"/>
  <c r="M83" s="1"/>
  <c r="C82" i="3"/>
  <c r="D82"/>
  <c r="B82"/>
  <c r="E84"/>
  <c r="K85" i="25" s="1"/>
  <c r="M85" s="1"/>
  <c r="C84" i="3"/>
  <c r="D84"/>
  <c r="B84"/>
  <c r="E86"/>
  <c r="K87" i="25" s="1"/>
  <c r="M87" s="1"/>
  <c r="C86" i="3"/>
  <c r="D86"/>
  <c r="B86"/>
  <c r="E88"/>
  <c r="K89" i="25" s="1"/>
  <c r="M89" s="1"/>
  <c r="C88" i="3"/>
  <c r="D88"/>
  <c r="B88"/>
  <c r="E90"/>
  <c r="K91" i="25" s="1"/>
  <c r="M91" s="1"/>
  <c r="C90" i="3"/>
  <c r="D90"/>
  <c r="B90"/>
  <c r="E92"/>
  <c r="K93" i="25" s="1"/>
  <c r="M93" s="1"/>
  <c r="C92" i="3"/>
  <c r="D92"/>
  <c r="B92"/>
  <c r="E94"/>
  <c r="K95" i="25" s="1"/>
  <c r="M95" s="1"/>
  <c r="C94" i="3"/>
  <c r="D94"/>
  <c r="B94"/>
  <c r="E96"/>
  <c r="K97" i="25" s="1"/>
  <c r="M97" s="1"/>
  <c r="C96" i="3"/>
  <c r="D96"/>
  <c r="B96"/>
  <c r="E98"/>
  <c r="K99" i="25" s="1"/>
  <c r="M99" s="1"/>
  <c r="C98" i="3"/>
  <c r="D98"/>
  <c r="B98"/>
  <c r="E100"/>
  <c r="K101" i="25" s="1"/>
  <c r="M101" s="1"/>
  <c r="C100" i="3"/>
  <c r="D100"/>
  <c r="B100"/>
  <c r="B12" i="30"/>
  <c r="B24"/>
  <c r="B28"/>
  <c r="B32"/>
  <c r="B34"/>
  <c r="B48"/>
  <c r="B50"/>
  <c r="B52"/>
  <c r="B58"/>
  <c r="B60"/>
  <c r="B62"/>
  <c r="B70"/>
  <c r="B74"/>
  <c r="B76"/>
  <c r="B78"/>
  <c r="B80"/>
  <c r="B82"/>
  <c r="B84"/>
  <c r="B86"/>
  <c r="B88"/>
  <c r="B90"/>
  <c r="B92"/>
  <c r="B94"/>
  <c r="B96"/>
  <c r="B98"/>
  <c r="B100"/>
  <c r="C12"/>
  <c r="C14"/>
  <c r="B14" s="1"/>
  <c r="C20"/>
  <c r="B20" s="1"/>
  <c r="C22"/>
  <c r="B22" s="1"/>
  <c r="C24"/>
  <c r="C26"/>
  <c r="B26" s="1"/>
  <c r="C28"/>
  <c r="C30"/>
  <c r="B30" s="1"/>
  <c r="C32"/>
  <c r="C34"/>
  <c r="C40"/>
  <c r="B40" s="1"/>
  <c r="C42"/>
  <c r="B42" s="1"/>
  <c r="C48"/>
  <c r="C50"/>
  <c r="C52"/>
  <c r="C54"/>
  <c r="B54" s="1"/>
  <c r="C56"/>
  <c r="B56" s="1"/>
  <c r="C58"/>
  <c r="C60"/>
  <c r="C62"/>
  <c r="C64"/>
  <c r="C66"/>
  <c r="C68"/>
  <c r="C70"/>
  <c r="C72"/>
  <c r="C74"/>
  <c r="C76"/>
  <c r="C78"/>
  <c r="C80"/>
  <c r="C82"/>
  <c r="C84"/>
  <c r="C86"/>
  <c r="C88"/>
  <c r="C90"/>
  <c r="C92"/>
  <c r="C94"/>
  <c r="C96"/>
  <c r="C98"/>
  <c r="C100"/>
  <c r="E9"/>
  <c r="W10" i="25" s="1"/>
  <c r="Y10" s="1"/>
  <c r="E12" i="30"/>
  <c r="W13" i="25" s="1"/>
  <c r="Y13" s="1"/>
  <c r="E13" i="30"/>
  <c r="W14" i="25" s="1"/>
  <c r="Y14" s="1"/>
  <c r="E14" i="30"/>
  <c r="W15" i="25" s="1"/>
  <c r="Y15" s="1"/>
  <c r="E15" i="30"/>
  <c r="W16" i="25" s="1"/>
  <c r="Y16" s="1"/>
  <c r="E17" i="30"/>
  <c r="W18" i="25" s="1"/>
  <c r="Y18" s="1"/>
  <c r="E19" i="30"/>
  <c r="W20" i="25" s="1"/>
  <c r="Y20" s="1"/>
  <c r="E20" i="30"/>
  <c r="W21" i="25" s="1"/>
  <c r="Y21" s="1"/>
  <c r="E21" i="30"/>
  <c r="W22" i="25" s="1"/>
  <c r="Y22" s="1"/>
  <c r="E22" i="30"/>
  <c r="W23" i="25" s="1"/>
  <c r="Y23" s="1"/>
  <c r="E23" i="30"/>
  <c r="W24" i="25" s="1"/>
  <c r="Y24" s="1"/>
  <c r="E24" i="30"/>
  <c r="W25" i="25" s="1"/>
  <c r="Y25" s="1"/>
  <c r="E25" i="30"/>
  <c r="W26" i="25" s="1"/>
  <c r="Y26" s="1"/>
  <c r="E26" i="30"/>
  <c r="W27" i="25" s="1"/>
  <c r="Y27" s="1"/>
  <c r="E27" i="30"/>
  <c r="W28" i="25" s="1"/>
  <c r="Y28" s="1"/>
  <c r="E28" i="30"/>
  <c r="W29" i="25" s="1"/>
  <c r="Y29" s="1"/>
  <c r="E29" i="30"/>
  <c r="W30" i="25" s="1"/>
  <c r="Y30" s="1"/>
  <c r="E30" i="30"/>
  <c r="W31" i="25" s="1"/>
  <c r="Y31" s="1"/>
  <c r="E31" i="30"/>
  <c r="W32" i="25" s="1"/>
  <c r="Y32" s="1"/>
  <c r="E32" i="30"/>
  <c r="W33" i="25" s="1"/>
  <c r="Y33" s="1"/>
  <c r="E33" i="30"/>
  <c r="W34" i="25" s="1"/>
  <c r="Y34" s="1"/>
  <c r="E34" i="30"/>
  <c r="W35" i="25" s="1"/>
  <c r="Y35" s="1"/>
  <c r="E39" i="30"/>
  <c r="W40" i="25" s="1"/>
  <c r="Y40" s="1"/>
  <c r="E40" i="30"/>
  <c r="W41" i="25" s="1"/>
  <c r="Y41" s="1"/>
  <c r="E41" i="30"/>
  <c r="W42" i="25" s="1"/>
  <c r="Y42" s="1"/>
  <c r="E42" i="30"/>
  <c r="W43" i="25" s="1"/>
  <c r="Y43" s="1"/>
  <c r="E43" i="30"/>
  <c r="W44" i="25" s="1"/>
  <c r="Y44" s="1"/>
  <c r="E48" i="30"/>
  <c r="W49" i="25" s="1"/>
  <c r="Y49" s="1"/>
  <c r="E50" i="30"/>
  <c r="W51" i="25" s="1"/>
  <c r="Y51" s="1"/>
  <c r="E51" i="30"/>
  <c r="W52" i="25" s="1"/>
  <c r="Y52" s="1"/>
  <c r="E52" i="30"/>
  <c r="W53" i="25" s="1"/>
  <c r="Y53" s="1"/>
  <c r="E54" i="30"/>
  <c r="W55" i="25" s="1"/>
  <c r="Y55" s="1"/>
  <c r="D56" i="30"/>
  <c r="D58"/>
  <c r="D60"/>
  <c r="D62"/>
  <c r="D64"/>
  <c r="B64" s="1"/>
  <c r="D66"/>
  <c r="D68"/>
  <c r="D70"/>
  <c r="D72"/>
  <c r="D74"/>
  <c r="D76"/>
  <c r="D78"/>
  <c r="D80"/>
  <c r="D82"/>
  <c r="D84"/>
  <c r="D86"/>
  <c r="D88"/>
  <c r="D90"/>
  <c r="D92"/>
  <c r="E93"/>
  <c r="W94" i="25" s="1"/>
  <c r="Y94" s="1"/>
  <c r="D93" i="30"/>
  <c r="E95"/>
  <c r="W96" i="25" s="1"/>
  <c r="Y96" s="1"/>
  <c r="D95" i="30"/>
  <c r="E97"/>
  <c r="W98" i="25" s="1"/>
  <c r="Y98" s="1"/>
  <c r="D97" i="30"/>
  <c r="E99"/>
  <c r="W100" i="25" s="1"/>
  <c r="Y100" s="1"/>
  <c r="D99" i="30"/>
  <c r="E2" i="29"/>
  <c r="Q3" i="25" s="1"/>
  <c r="S3" s="1"/>
  <c r="C2" i="29"/>
  <c r="D2"/>
  <c r="B2"/>
  <c r="E10"/>
  <c r="Q11" i="25" s="1"/>
  <c r="S11" s="1"/>
  <c r="C10" i="29"/>
  <c r="D10"/>
  <c r="E12"/>
  <c r="Q13" i="25" s="1"/>
  <c r="S13" s="1"/>
  <c r="C12" i="29"/>
  <c r="D12"/>
  <c r="E14"/>
  <c r="Q15" i="25" s="1"/>
  <c r="S15" s="1"/>
  <c r="C14" i="29"/>
  <c r="D14"/>
  <c r="E18"/>
  <c r="Q19" i="25" s="1"/>
  <c r="S19" s="1"/>
  <c r="C18" i="29"/>
  <c r="D18"/>
  <c r="B18"/>
  <c r="E20"/>
  <c r="Q21" i="25" s="1"/>
  <c r="S21" s="1"/>
  <c r="C20" i="29"/>
  <c r="D20"/>
  <c r="B20" s="1"/>
  <c r="E24"/>
  <c r="Q25" i="25" s="1"/>
  <c r="S25" s="1"/>
  <c r="C24" i="29"/>
  <c r="D24"/>
  <c r="B24" s="1"/>
  <c r="E30"/>
  <c r="Q31" i="25" s="1"/>
  <c r="S31" s="1"/>
  <c r="C30" i="29"/>
  <c r="D30"/>
  <c r="B30" s="1"/>
  <c r="E34"/>
  <c r="Q35" i="25" s="1"/>
  <c r="S35" s="1"/>
  <c r="C34" i="29"/>
  <c r="D34"/>
  <c r="E36"/>
  <c r="Q37" i="25" s="1"/>
  <c r="S37" s="1"/>
  <c r="C36" i="29"/>
  <c r="D36"/>
  <c r="B36" s="1"/>
  <c r="E38"/>
  <c r="Q39" i="25" s="1"/>
  <c r="S39" s="1"/>
  <c r="C38" i="29"/>
  <c r="D38"/>
  <c r="B38" s="1"/>
  <c r="E42"/>
  <c r="Q43" i="25" s="1"/>
  <c r="S43" s="1"/>
  <c r="C42" i="29"/>
  <c r="D42"/>
  <c r="E44"/>
  <c r="Q45" i="25" s="1"/>
  <c r="S45" s="1"/>
  <c r="C44" i="29"/>
  <c r="D44"/>
  <c r="B44" s="1"/>
  <c r="E46"/>
  <c r="Q47" i="25" s="1"/>
  <c r="S47" s="1"/>
  <c r="C46" i="29"/>
  <c r="D46"/>
  <c r="E48"/>
  <c r="Q49" i="25" s="1"/>
  <c r="S49" s="1"/>
  <c r="C48" i="29"/>
  <c r="D48"/>
  <c r="B48" s="1"/>
  <c r="E50"/>
  <c r="Q51" i="25" s="1"/>
  <c r="S51" s="1"/>
  <c r="C50" i="29"/>
  <c r="D50"/>
  <c r="E54"/>
  <c r="Q55" i="25" s="1"/>
  <c r="S55" s="1"/>
  <c r="C54" i="29"/>
  <c r="D54"/>
  <c r="B54"/>
  <c r="E56"/>
  <c r="Q57" i="25" s="1"/>
  <c r="S57" s="1"/>
  <c r="C56" i="29"/>
  <c r="D56"/>
  <c r="E58"/>
  <c r="Q59" i="25" s="1"/>
  <c r="S59" s="1"/>
  <c r="C58" i="29"/>
  <c r="D58"/>
  <c r="E60"/>
  <c r="Q61" i="25" s="1"/>
  <c r="S61" s="1"/>
  <c r="C60" i="29"/>
  <c r="D60"/>
  <c r="E64"/>
  <c r="Q65" i="25" s="1"/>
  <c r="S65" s="1"/>
  <c r="C64" i="29"/>
  <c r="D64"/>
  <c r="B64" s="1"/>
  <c r="E66"/>
  <c r="Q67" i="25" s="1"/>
  <c r="S67" s="1"/>
  <c r="C66" i="29"/>
  <c r="D66"/>
  <c r="E68"/>
  <c r="Q69" i="25" s="1"/>
  <c r="S69" s="1"/>
  <c r="C68" i="29"/>
  <c r="D68"/>
  <c r="B68" s="1"/>
  <c r="E70"/>
  <c r="Q71" i="25" s="1"/>
  <c r="S71" s="1"/>
  <c r="C70" i="29"/>
  <c r="D70"/>
  <c r="E72"/>
  <c r="Q73" i="25" s="1"/>
  <c r="S73" s="1"/>
  <c r="C72" i="29"/>
  <c r="D72"/>
  <c r="B72" s="1"/>
  <c r="E74"/>
  <c r="Q75" i="25" s="1"/>
  <c r="S75" s="1"/>
  <c r="C74" i="29"/>
  <c r="D74"/>
  <c r="B74"/>
  <c r="E76"/>
  <c r="Q77" i="25" s="1"/>
  <c r="S77" s="1"/>
  <c r="C76" i="29"/>
  <c r="D76"/>
  <c r="B76"/>
  <c r="E78"/>
  <c r="Q79" i="25" s="1"/>
  <c r="S79" s="1"/>
  <c r="C78" i="29"/>
  <c r="D78"/>
  <c r="B78"/>
  <c r="E80"/>
  <c r="Q81" i="25" s="1"/>
  <c r="S81" s="1"/>
  <c r="C80" i="29"/>
  <c r="D80"/>
  <c r="B80"/>
  <c r="E82"/>
  <c r="Q83" i="25" s="1"/>
  <c r="S83" s="1"/>
  <c r="C82" i="29"/>
  <c r="D82"/>
  <c r="B82"/>
  <c r="E84"/>
  <c r="Q85" i="25" s="1"/>
  <c r="S85" s="1"/>
  <c r="C84" i="29"/>
  <c r="D84"/>
  <c r="B84"/>
  <c r="E86"/>
  <c r="Q87" i="25" s="1"/>
  <c r="S87" s="1"/>
  <c r="C86" i="29"/>
  <c r="D86"/>
  <c r="B86"/>
  <c r="E88"/>
  <c r="Q89" i="25" s="1"/>
  <c r="S89" s="1"/>
  <c r="C88" i="29"/>
  <c r="D88"/>
  <c r="B88"/>
  <c r="E90"/>
  <c r="Q91" i="25" s="1"/>
  <c r="S91" s="1"/>
  <c r="C90" i="29"/>
  <c r="D90"/>
  <c r="B90"/>
  <c r="E92"/>
  <c r="Q93" i="25" s="1"/>
  <c r="S93" s="1"/>
  <c r="C92" i="29"/>
  <c r="D92"/>
  <c r="B92"/>
  <c r="E94"/>
  <c r="Q95" i="25" s="1"/>
  <c r="S95" s="1"/>
  <c r="C94" i="29"/>
  <c r="D94"/>
  <c r="B94"/>
  <c r="E96"/>
  <c r="Q97" i="25" s="1"/>
  <c r="S97" s="1"/>
  <c r="C96" i="29"/>
  <c r="D96"/>
  <c r="B96"/>
  <c r="E98"/>
  <c r="Q99" i="25" s="1"/>
  <c r="S99" s="1"/>
  <c r="C98" i="29"/>
  <c r="D98"/>
  <c r="B98"/>
  <c r="E100"/>
  <c r="Q101" i="25" s="1"/>
  <c r="S101" s="1"/>
  <c r="C100" i="29"/>
  <c r="D100"/>
  <c r="B100"/>
  <c r="E9" i="3"/>
  <c r="C9"/>
  <c r="D9"/>
  <c r="E11"/>
  <c r="C11"/>
  <c r="D11"/>
  <c r="B11" s="1"/>
  <c r="E13"/>
  <c r="C13"/>
  <c r="D13"/>
  <c r="B13"/>
  <c r="E15"/>
  <c r="C15"/>
  <c r="D15"/>
  <c r="B15"/>
  <c r="E37"/>
  <c r="C37"/>
  <c r="D37"/>
  <c r="E41"/>
  <c r="C41"/>
  <c r="D41"/>
  <c r="B41"/>
  <c r="E43"/>
  <c r="C43"/>
  <c r="D43"/>
  <c r="B43"/>
  <c r="E45"/>
  <c r="C45"/>
  <c r="D45"/>
  <c r="B45"/>
  <c r="E49"/>
  <c r="C49"/>
  <c r="D49"/>
  <c r="E53"/>
  <c r="C53"/>
  <c r="D53"/>
  <c r="B53"/>
  <c r="E57"/>
  <c r="C57"/>
  <c r="D57"/>
  <c r="B57" s="1"/>
  <c r="E63"/>
  <c r="K64" i="25" s="1"/>
  <c r="M64" s="1"/>
  <c r="C63" i="3"/>
  <c r="D63"/>
  <c r="B63"/>
  <c r="E65"/>
  <c r="K66" i="25" s="1"/>
  <c r="M66" s="1"/>
  <c r="C65" i="3"/>
  <c r="D65"/>
  <c r="E67"/>
  <c r="K68" i="25" s="1"/>
  <c r="M68" s="1"/>
  <c r="C67" i="3"/>
  <c r="D67"/>
  <c r="E69"/>
  <c r="K70" i="25" s="1"/>
  <c r="M70" s="1"/>
  <c r="C69" i="3"/>
  <c r="D69"/>
  <c r="B69"/>
  <c r="E71"/>
  <c r="K72" i="25" s="1"/>
  <c r="M72" s="1"/>
  <c r="C71" i="3"/>
  <c r="D71"/>
  <c r="B71"/>
  <c r="E73"/>
  <c r="K74" i="25" s="1"/>
  <c r="M74" s="1"/>
  <c r="C73" i="3"/>
  <c r="D73"/>
  <c r="B73" s="1"/>
  <c r="E75"/>
  <c r="K76" i="25" s="1"/>
  <c r="M76" s="1"/>
  <c r="C75" i="3"/>
  <c r="D75"/>
  <c r="B75"/>
  <c r="E77"/>
  <c r="K78" i="25" s="1"/>
  <c r="M78" s="1"/>
  <c r="C77" i="3"/>
  <c r="D77"/>
  <c r="B77"/>
  <c r="E79"/>
  <c r="K80" i="25" s="1"/>
  <c r="M80" s="1"/>
  <c r="C79" i="3"/>
  <c r="D79"/>
  <c r="B79"/>
  <c r="E81"/>
  <c r="K82" i="25" s="1"/>
  <c r="M82" s="1"/>
  <c r="C81" i="3"/>
  <c r="D81"/>
  <c r="B81"/>
  <c r="E83"/>
  <c r="K84" i="25" s="1"/>
  <c r="M84" s="1"/>
  <c r="C83" i="3"/>
  <c r="D83"/>
  <c r="B83"/>
  <c r="E85"/>
  <c r="K86" i="25" s="1"/>
  <c r="M86" s="1"/>
  <c r="C85" i="3"/>
  <c r="D85"/>
  <c r="B85"/>
  <c r="E87"/>
  <c r="K88" i="25" s="1"/>
  <c r="M88" s="1"/>
  <c r="C87" i="3"/>
  <c r="D87"/>
  <c r="B87"/>
  <c r="E89"/>
  <c r="K90" i="25" s="1"/>
  <c r="M90" s="1"/>
  <c r="C89" i="3"/>
  <c r="D89"/>
  <c r="B89"/>
  <c r="E91"/>
  <c r="K92" i="25" s="1"/>
  <c r="M92" s="1"/>
  <c r="C91" i="3"/>
  <c r="D91"/>
  <c r="B91"/>
  <c r="E93"/>
  <c r="K94" i="25" s="1"/>
  <c r="M94" s="1"/>
  <c r="C93" i="3"/>
  <c r="D93"/>
  <c r="B93"/>
  <c r="E95"/>
  <c r="K96" i="25" s="1"/>
  <c r="M96" s="1"/>
  <c r="C95" i="3"/>
  <c r="D95"/>
  <c r="B95"/>
  <c r="E97"/>
  <c r="K98" i="25" s="1"/>
  <c r="M98" s="1"/>
  <c r="C97" i="3"/>
  <c r="D97"/>
  <c r="B97"/>
  <c r="E99"/>
  <c r="K100" i="25" s="1"/>
  <c r="M100" s="1"/>
  <c r="C99" i="3"/>
  <c r="D99"/>
  <c r="B99"/>
  <c r="B15" i="30"/>
  <c r="B19"/>
  <c r="B23"/>
  <c r="B27"/>
  <c r="B29"/>
  <c r="B31"/>
  <c r="B39"/>
  <c r="B61"/>
  <c r="B63"/>
  <c r="B73"/>
  <c r="B75"/>
  <c r="B77"/>
  <c r="B79"/>
  <c r="B81"/>
  <c r="B83"/>
  <c r="B85"/>
  <c r="B87"/>
  <c r="B89"/>
  <c r="B91"/>
  <c r="B93"/>
  <c r="B95"/>
  <c r="B97"/>
  <c r="B99"/>
  <c r="C9"/>
  <c r="B9" s="1"/>
  <c r="C13"/>
  <c r="B13" s="1"/>
  <c r="C15"/>
  <c r="C17"/>
  <c r="B17" s="1"/>
  <c r="C19"/>
  <c r="C21"/>
  <c r="B21" s="1"/>
  <c r="C23"/>
  <c r="C25"/>
  <c r="B25" s="1"/>
  <c r="C27"/>
  <c r="C29"/>
  <c r="C31"/>
  <c r="C33"/>
  <c r="B33" s="1"/>
  <c r="C39"/>
  <c r="C41"/>
  <c r="B41" s="1"/>
  <c r="C43"/>
  <c r="B43" s="1"/>
  <c r="C51"/>
  <c r="B51" s="1"/>
  <c r="C57"/>
  <c r="C59"/>
  <c r="C61"/>
  <c r="C63"/>
  <c r="C65"/>
  <c r="C67"/>
  <c r="C69"/>
  <c r="C71"/>
  <c r="C73"/>
  <c r="C75"/>
  <c r="C77"/>
  <c r="C79"/>
  <c r="C81"/>
  <c r="C83"/>
  <c r="C85"/>
  <c r="C87"/>
  <c r="C89"/>
  <c r="C91"/>
  <c r="C93"/>
  <c r="C95"/>
  <c r="C97"/>
  <c r="C99"/>
  <c r="D57"/>
  <c r="D59"/>
  <c r="D61"/>
  <c r="D63"/>
  <c r="D65"/>
  <c r="D67"/>
  <c r="D69"/>
  <c r="D71"/>
  <c r="D73"/>
  <c r="D75"/>
  <c r="D77"/>
  <c r="D79"/>
  <c r="D81"/>
  <c r="D83"/>
  <c r="D85"/>
  <c r="D87"/>
  <c r="D89"/>
  <c r="D91"/>
  <c r="C8" i="29"/>
  <c r="B8" s="1"/>
  <c r="E8"/>
  <c r="Q9" i="25" s="1"/>
  <c r="S9" s="1"/>
  <c r="E7" i="30"/>
  <c r="W8" i="25" s="1"/>
  <c r="Y8" s="1"/>
  <c r="C7" i="3"/>
  <c r="B7" s="1"/>
  <c r="E7"/>
  <c r="B7" i="30"/>
  <c r="C7"/>
  <c r="C6" i="29"/>
  <c r="E6"/>
  <c r="Q7" i="25" s="1"/>
  <c r="S7" s="1"/>
  <c r="B6" i="29"/>
  <c r="E5" i="30"/>
  <c r="W6" i="25" s="1"/>
  <c r="Y6" s="1"/>
  <c r="C5" i="29"/>
  <c r="E5"/>
  <c r="Q6" i="25" s="1"/>
  <c r="S6" s="1"/>
  <c r="B5" i="30"/>
  <c r="C5"/>
  <c r="B5" i="29"/>
  <c r="K47" i="1"/>
  <c r="B67" i="30" l="1"/>
  <c r="B72"/>
  <c r="B71"/>
  <c r="B69"/>
  <c r="B65"/>
  <c r="B58" i="29"/>
  <c r="B14"/>
  <c r="B70"/>
  <c r="B66"/>
  <c r="B60"/>
  <c r="B50"/>
  <c r="B46"/>
  <c r="B42"/>
  <c r="B34"/>
  <c r="B73"/>
  <c r="G73" i="2" s="1"/>
  <c r="B29" i="29"/>
  <c r="B25"/>
  <c r="G58" i="2"/>
  <c r="B57" i="30"/>
  <c r="G57" i="2" s="1"/>
  <c r="B65" i="3"/>
  <c r="G65" i="2" s="1"/>
  <c r="B31" i="29"/>
  <c r="B19"/>
  <c r="B44" i="3"/>
  <c r="B63" i="29"/>
  <c r="G63" i="2" s="1"/>
  <c r="B28" i="3"/>
  <c r="B67"/>
  <c r="G67" i="2" s="1"/>
  <c r="B49" i="3"/>
  <c r="B37"/>
  <c r="B66" i="30"/>
  <c r="B36" i="3"/>
  <c r="B56" i="29"/>
  <c r="G56" i="2" s="1"/>
  <c r="B53" i="29"/>
  <c r="B59" i="30"/>
  <c r="B68"/>
  <c r="B12" i="29"/>
  <c r="B4" i="3"/>
  <c r="G99" i="2"/>
  <c r="C100" i="25"/>
  <c r="E100" s="1"/>
  <c r="G97" i="2"/>
  <c r="C98" i="25"/>
  <c r="E98" s="1"/>
  <c r="G95" i="2"/>
  <c r="C96" i="25"/>
  <c r="E96" s="1"/>
  <c r="G93" i="2"/>
  <c r="C94" i="25"/>
  <c r="E94" s="1"/>
  <c r="G91" i="2"/>
  <c r="C92" i="25"/>
  <c r="E92" s="1"/>
  <c r="G89" i="2"/>
  <c r="C90" i="25"/>
  <c r="E90" s="1"/>
  <c r="G87" i="2"/>
  <c r="C88" i="25"/>
  <c r="E88" s="1"/>
  <c r="G85" i="2"/>
  <c r="C86" i="25"/>
  <c r="E86" s="1"/>
  <c r="G83" i="2"/>
  <c r="C84" i="25"/>
  <c r="E84" s="1"/>
  <c r="G81" i="2"/>
  <c r="C82" i="25"/>
  <c r="E82" s="1"/>
  <c r="G79" i="2"/>
  <c r="C80" i="25"/>
  <c r="E80" s="1"/>
  <c r="G77" i="2"/>
  <c r="C78" i="25"/>
  <c r="E78" s="1"/>
  <c r="G75" i="2"/>
  <c r="C76" i="25"/>
  <c r="E76" s="1"/>
  <c r="C74"/>
  <c r="E74" s="1"/>
  <c r="G71" i="2"/>
  <c r="C72" i="25"/>
  <c r="E72" s="1"/>
  <c r="G69" i="2"/>
  <c r="C70" i="25"/>
  <c r="E70" s="1"/>
  <c r="C68"/>
  <c r="E68" s="1"/>
  <c r="C66"/>
  <c r="E66" s="1"/>
  <c r="C64"/>
  <c r="E64" s="1"/>
  <c r="G100" i="2"/>
  <c r="C101" i="25"/>
  <c r="E101" s="1"/>
  <c r="G98" i="2"/>
  <c r="C99" i="25"/>
  <c r="E99" s="1"/>
  <c r="G96" i="2"/>
  <c r="C97" i="25"/>
  <c r="E97" s="1"/>
  <c r="G94" i="2"/>
  <c r="C95" i="25"/>
  <c r="E95" s="1"/>
  <c r="G92" i="2"/>
  <c r="C93" i="25"/>
  <c r="E93" s="1"/>
  <c r="G90" i="2"/>
  <c r="C91" i="25"/>
  <c r="E91" s="1"/>
  <c r="G88" i="2"/>
  <c r="C89" i="25"/>
  <c r="E89" s="1"/>
  <c r="G86" i="2"/>
  <c r="C87" i="25"/>
  <c r="E87" s="1"/>
  <c r="G84" i="2"/>
  <c r="C85" i="25"/>
  <c r="E85" s="1"/>
  <c r="G82" i="2"/>
  <c r="C83" i="25"/>
  <c r="E83" s="1"/>
  <c r="G80" i="2"/>
  <c r="C81" i="25"/>
  <c r="E81" s="1"/>
  <c r="G78" i="2"/>
  <c r="C79" i="25"/>
  <c r="E79" s="1"/>
  <c r="G76" i="2"/>
  <c r="C77" i="25"/>
  <c r="E77" s="1"/>
  <c r="G74" i="2"/>
  <c r="C75" i="25"/>
  <c r="E75" s="1"/>
  <c r="G72" i="2"/>
  <c r="C73" i="25"/>
  <c r="E73" s="1"/>
  <c r="B10" i="29"/>
  <c r="B13"/>
  <c r="G13" i="2" s="1"/>
  <c r="B9" i="3"/>
  <c r="A13" i="9"/>
  <c r="D13" s="1"/>
  <c r="J13" s="1"/>
  <c r="AG6" i="20"/>
  <c r="I33" i="9"/>
  <c r="I34"/>
  <c r="I35"/>
  <c r="I36"/>
  <c r="C87" i="10" l="1"/>
  <c r="B87"/>
  <c r="C86"/>
  <c r="B86"/>
  <c r="C85"/>
  <c r="B85"/>
  <c r="C84"/>
  <c r="B84"/>
  <c r="C83"/>
  <c r="B83"/>
  <c r="C82"/>
  <c r="B82"/>
  <c r="C81"/>
  <c r="B81"/>
  <c r="C80"/>
  <c r="B80"/>
  <c r="C79"/>
  <c r="B79"/>
  <c r="C78"/>
  <c r="B78"/>
  <c r="C77"/>
  <c r="B77"/>
  <c r="C76"/>
  <c r="B76"/>
  <c r="C75"/>
  <c r="B75"/>
  <c r="C74"/>
  <c r="B74"/>
  <c r="C73"/>
  <c r="B73"/>
  <c r="C72"/>
  <c r="B72"/>
  <c r="C71"/>
  <c r="B71"/>
  <c r="C70"/>
  <c r="B70"/>
  <c r="C69"/>
  <c r="B69"/>
  <c r="C68"/>
  <c r="B68"/>
  <c r="C67"/>
  <c r="B67"/>
  <c r="C66"/>
  <c r="B66"/>
  <c r="C65"/>
  <c r="B65"/>
  <c r="C64"/>
  <c r="B64"/>
  <c r="C63"/>
  <c r="B63"/>
  <c r="C62"/>
  <c r="B62"/>
  <c r="C61"/>
  <c r="B61"/>
  <c r="C60"/>
  <c r="B60"/>
  <c r="C59"/>
  <c r="B59"/>
  <c r="C58"/>
  <c r="B58"/>
  <c r="C57"/>
  <c r="B57"/>
  <c r="C56"/>
  <c r="B56"/>
  <c r="C55"/>
  <c r="B55"/>
  <c r="C54"/>
  <c r="B54"/>
  <c r="C53"/>
  <c r="B53"/>
  <c r="C52"/>
  <c r="B52"/>
  <c r="C51"/>
  <c r="B51"/>
  <c r="C50"/>
  <c r="B50"/>
  <c r="C49"/>
  <c r="B49"/>
  <c r="C48"/>
  <c r="B48"/>
  <c r="C47"/>
  <c r="B47"/>
  <c r="C46"/>
  <c r="B46"/>
  <c r="C45"/>
  <c r="B45"/>
  <c r="C44"/>
  <c r="B44"/>
  <c r="C43"/>
  <c r="B43"/>
  <c r="C42"/>
  <c r="B42"/>
  <c r="C41"/>
  <c r="B41"/>
  <c r="C40"/>
  <c r="B40"/>
  <c r="C39"/>
  <c r="B39"/>
  <c r="C38"/>
  <c r="B38"/>
  <c r="C37"/>
  <c r="B37"/>
  <c r="C36"/>
  <c r="B36"/>
  <c r="C35"/>
  <c r="B35"/>
  <c r="C34"/>
  <c r="B34"/>
  <c r="C33"/>
  <c r="B33"/>
  <c r="C32"/>
  <c r="B32"/>
  <c r="C31"/>
  <c r="B31"/>
  <c r="C30"/>
  <c r="B30"/>
  <c r="C29"/>
  <c r="B29"/>
  <c r="C28"/>
  <c r="B28"/>
  <c r="H9" i="8"/>
  <c r="G9"/>
  <c r="F9"/>
  <c r="E9"/>
  <c r="D9"/>
  <c r="C9"/>
  <c r="B9"/>
  <c r="H8"/>
  <c r="G8"/>
  <c r="F8"/>
  <c r="E8"/>
  <c r="D8"/>
  <c r="C8"/>
  <c r="B8"/>
  <c r="H7"/>
  <c r="G7"/>
  <c r="F7"/>
  <c r="E7"/>
  <c r="D7"/>
  <c r="C7"/>
  <c r="B7"/>
  <c r="H9" i="7"/>
  <c r="G9"/>
  <c r="F9"/>
  <c r="E9"/>
  <c r="D9"/>
  <c r="C9"/>
  <c r="B9"/>
  <c r="H8"/>
  <c r="G8"/>
  <c r="F8"/>
  <c r="E8"/>
  <c r="D8"/>
  <c r="C8"/>
  <c r="B8"/>
  <c r="H7"/>
  <c r="G7"/>
  <c r="F7"/>
  <c r="E7"/>
  <c r="D7"/>
  <c r="C7"/>
  <c r="B7"/>
  <c r="H9" i="6"/>
  <c r="G9"/>
  <c r="F9"/>
  <c r="E9"/>
  <c r="D9"/>
  <c r="C9"/>
  <c r="B9"/>
  <c r="H8"/>
  <c r="G8"/>
  <c r="F8"/>
  <c r="E8"/>
  <c r="D8"/>
  <c r="C8"/>
  <c r="B8"/>
  <c r="H7"/>
  <c r="G7"/>
  <c r="F7"/>
  <c r="E7"/>
  <c r="D7"/>
  <c r="C7"/>
  <c r="B7"/>
  <c r="H9" i="5"/>
  <c r="G9"/>
  <c r="F9"/>
  <c r="E9"/>
  <c r="D9"/>
  <c r="C9"/>
  <c r="B9"/>
  <c r="H8"/>
  <c r="G8"/>
  <c r="F8"/>
  <c r="E8"/>
  <c r="D8"/>
  <c r="C8"/>
  <c r="B8"/>
  <c r="H7"/>
  <c r="G7"/>
  <c r="F7"/>
  <c r="E7"/>
  <c r="D7"/>
  <c r="C7"/>
  <c r="B7"/>
  <c r="H9" i="4"/>
  <c r="G9"/>
  <c r="F9"/>
  <c r="E9"/>
  <c r="D9"/>
  <c r="H8"/>
  <c r="G8"/>
  <c r="F8"/>
  <c r="E8"/>
  <c r="D8"/>
  <c r="C9"/>
  <c r="C8"/>
  <c r="B9"/>
  <c r="B8"/>
  <c r="A11" i="9" l="1"/>
  <c r="D11" s="1"/>
  <c r="J11" s="1"/>
  <c r="G3" i="26"/>
  <c r="C2"/>
  <c r="G25"/>
  <c r="C24"/>
  <c r="E24"/>
  <c r="G24"/>
  <c r="G18"/>
  <c r="G17"/>
  <c r="E17"/>
  <c r="C17"/>
  <c r="I16"/>
  <c r="I15"/>
  <c r="I14"/>
  <c r="I13"/>
  <c r="I12"/>
  <c r="I11"/>
  <c r="I10"/>
  <c r="I9"/>
  <c r="I8"/>
  <c r="I7"/>
  <c r="I6"/>
  <c r="I5"/>
  <c r="I4"/>
  <c r="E30"/>
  <c r="I30" s="1"/>
  <c r="E29"/>
  <c r="I29" s="1"/>
  <c r="E28"/>
  <c r="I28" s="1"/>
  <c r="E27"/>
  <c r="I27" s="1"/>
  <c r="E26"/>
  <c r="I26" s="1"/>
  <c r="E23"/>
  <c r="I23" s="1"/>
  <c r="E22"/>
  <c r="I22" s="1"/>
  <c r="E21"/>
  <c r="I21" s="1"/>
  <c r="E20"/>
  <c r="I20" s="1"/>
  <c r="E19"/>
  <c r="I19" s="1"/>
  <c r="E1048574" i="25"/>
  <c r="K4" i="20"/>
  <c r="M4"/>
  <c r="O4"/>
  <c r="Q4"/>
  <c r="S4"/>
  <c r="AB38"/>
  <c r="AB37"/>
  <c r="AB36"/>
  <c r="AB35"/>
  <c r="AB34"/>
  <c r="AB33"/>
  <c r="AB32"/>
  <c r="AB31"/>
  <c r="AB30"/>
  <c r="AB29"/>
  <c r="AB28"/>
  <c r="AB27"/>
  <c r="AB26"/>
  <c r="AB25"/>
  <c r="A21" i="9"/>
  <c r="D21" s="1"/>
  <c r="J21" s="1"/>
  <c r="A9"/>
  <c r="D9" s="1"/>
  <c r="J9" s="1"/>
  <c r="I21"/>
  <c r="AA26" i="11" l="1"/>
  <c r="AA27"/>
  <c r="K27"/>
  <c r="K26"/>
  <c r="AQ26"/>
  <c r="S27"/>
  <c r="I18" i="26"/>
  <c r="E18" s="1"/>
  <c r="S25" i="11"/>
  <c r="AI27"/>
  <c r="F55" i="1"/>
  <c r="I25" i="26"/>
  <c r="E25" s="1"/>
  <c r="AQ27" i="11"/>
  <c r="AI25"/>
  <c r="K25"/>
  <c r="AA25"/>
  <c r="AQ25"/>
  <c r="S26"/>
  <c r="AI26"/>
  <c r="I3" i="26"/>
  <c r="E3" s="1"/>
  <c r="A26" i="9"/>
  <c r="D26" s="1"/>
  <c r="J26" s="1"/>
  <c r="I12"/>
  <c r="I6"/>
  <c r="I26"/>
  <c r="I23"/>
  <c r="I100"/>
  <c r="I99"/>
  <c r="I98"/>
  <c r="I97"/>
  <c r="I96"/>
  <c r="I95"/>
  <c r="I94"/>
  <c r="I93"/>
  <c r="I92"/>
  <c r="I91"/>
  <c r="I90"/>
  <c r="I89"/>
  <c r="I88"/>
  <c r="I87"/>
  <c r="I86"/>
  <c r="I85"/>
  <c r="I84"/>
  <c r="I83"/>
  <c r="I82"/>
  <c r="I81"/>
  <c r="I80"/>
  <c r="I79"/>
  <c r="I78"/>
  <c r="I77"/>
  <c r="I76"/>
  <c r="I75"/>
  <c r="I74"/>
  <c r="I73"/>
  <c r="I72"/>
  <c r="I71"/>
  <c r="I70"/>
  <c r="I69"/>
  <c r="I68"/>
  <c r="I67"/>
  <c r="I66"/>
  <c r="I65"/>
  <c r="I64"/>
  <c r="I63"/>
  <c r="I62"/>
  <c r="I61"/>
  <c r="I60"/>
  <c r="I59"/>
  <c r="I58"/>
  <c r="I57"/>
  <c r="I56"/>
  <c r="I55"/>
  <c r="I54"/>
  <c r="I53"/>
  <c r="I52"/>
  <c r="I51"/>
  <c r="I50"/>
  <c r="I49"/>
  <c r="I48"/>
  <c r="I47"/>
  <c r="I46"/>
  <c r="I45"/>
  <c r="I44"/>
  <c r="I43"/>
  <c r="I42"/>
  <c r="I41"/>
  <c r="I40"/>
  <c r="I39"/>
  <c r="I38"/>
  <c r="I37"/>
  <c r="I32"/>
  <c r="I31"/>
  <c r="I30"/>
  <c r="I29"/>
  <c r="I28"/>
  <c r="I27"/>
  <c r="I25"/>
  <c r="I24"/>
  <c r="I22"/>
  <c r="I20"/>
  <c r="I19"/>
  <c r="I18"/>
  <c r="I17"/>
  <c r="I16"/>
  <c r="I15"/>
  <c r="I14"/>
  <c r="I13"/>
  <c r="I11"/>
  <c r="I10"/>
  <c r="I9"/>
  <c r="I8"/>
  <c r="I7"/>
  <c r="I5"/>
  <c r="I4"/>
  <c r="I3"/>
  <c r="J56" i="21"/>
  <c r="H56"/>
  <c r="F56"/>
  <c r="D56"/>
  <c r="B56"/>
  <c r="F55"/>
  <c r="D55"/>
  <c r="F54"/>
  <c r="D54"/>
  <c r="B54"/>
  <c r="F4"/>
  <c r="D4"/>
  <c r="B4"/>
  <c r="F53"/>
  <c r="D53"/>
  <c r="B53"/>
  <c r="F52"/>
  <c r="D52"/>
  <c r="B52"/>
  <c r="F51"/>
  <c r="D51"/>
  <c r="B51"/>
  <c r="F50"/>
  <c r="D50"/>
  <c r="B50"/>
  <c r="F49"/>
  <c r="D49"/>
  <c r="B49"/>
  <c r="F48"/>
  <c r="D48"/>
  <c r="B48"/>
  <c r="F47"/>
  <c r="D47"/>
  <c r="B47"/>
  <c r="F46"/>
  <c r="D46"/>
  <c r="B46"/>
  <c r="F45"/>
  <c r="D45"/>
  <c r="B45"/>
  <c r="F44"/>
  <c r="D44"/>
  <c r="B44"/>
  <c r="F43"/>
  <c r="D43"/>
  <c r="B43"/>
  <c r="F42"/>
  <c r="D42"/>
  <c r="B42"/>
  <c r="F41"/>
  <c r="D41"/>
  <c r="B41"/>
  <c r="F40"/>
  <c r="D40"/>
  <c r="B40"/>
  <c r="F39"/>
  <c r="D39"/>
  <c r="B39"/>
  <c r="F38"/>
  <c r="D38"/>
  <c r="B38"/>
  <c r="F37"/>
  <c r="D37"/>
  <c r="B37"/>
  <c r="F5"/>
  <c r="D5"/>
  <c r="B5"/>
  <c r="F36"/>
  <c r="D36"/>
  <c r="B36"/>
  <c r="F35"/>
  <c r="D35"/>
  <c r="B35"/>
  <c r="F34"/>
  <c r="D34"/>
  <c r="B34"/>
  <c r="F33"/>
  <c r="D33"/>
  <c r="B33"/>
  <c r="F32"/>
  <c r="D32"/>
  <c r="B32"/>
  <c r="F31"/>
  <c r="D31"/>
  <c r="B31"/>
  <c r="F30"/>
  <c r="D30"/>
  <c r="B30"/>
  <c r="F29"/>
  <c r="D29"/>
  <c r="B29"/>
  <c r="F28"/>
  <c r="D28"/>
  <c r="B28"/>
  <c r="F27"/>
  <c r="D27"/>
  <c r="B27"/>
  <c r="F26"/>
  <c r="D26"/>
  <c r="B26"/>
  <c r="F25"/>
  <c r="D25"/>
  <c r="B25"/>
  <c r="F24"/>
  <c r="D24"/>
  <c r="B24"/>
  <c r="F23"/>
  <c r="D23"/>
  <c r="B23"/>
  <c r="F22"/>
  <c r="D22"/>
  <c r="B22"/>
  <c r="F21"/>
  <c r="D21"/>
  <c r="B21"/>
  <c r="F20"/>
  <c r="D20"/>
  <c r="B20"/>
  <c r="F19"/>
  <c r="D19"/>
  <c r="B19"/>
  <c r="F18"/>
  <c r="D18"/>
  <c r="B18"/>
  <c r="F17"/>
  <c r="D17"/>
  <c r="B17"/>
  <c r="F16"/>
  <c r="D16"/>
  <c r="B16"/>
  <c r="F15"/>
  <c r="D15"/>
  <c r="B15"/>
  <c r="F14"/>
  <c r="D14"/>
  <c r="B14"/>
  <c r="F13"/>
  <c r="D13"/>
  <c r="B13"/>
  <c r="F12"/>
  <c r="D12"/>
  <c r="B12"/>
  <c r="F11"/>
  <c r="D11"/>
  <c r="B11"/>
  <c r="F10"/>
  <c r="D10"/>
  <c r="B10"/>
  <c r="F9"/>
  <c r="D9"/>
  <c r="B9"/>
  <c r="F8"/>
  <c r="D8"/>
  <c r="B8"/>
  <c r="F69"/>
  <c r="D69"/>
  <c r="B69"/>
  <c r="F90"/>
  <c r="D90"/>
  <c r="B90"/>
  <c r="F83"/>
  <c r="D83"/>
  <c r="B83"/>
  <c r="F63"/>
  <c r="D63"/>
  <c r="B63"/>
  <c r="F62"/>
  <c r="D62"/>
  <c r="B62"/>
  <c r="F103"/>
  <c r="D103"/>
  <c r="B103"/>
  <c r="F99"/>
  <c r="D99"/>
  <c r="B99"/>
  <c r="F80"/>
  <c r="D80"/>
  <c r="B80"/>
  <c r="F68"/>
  <c r="D68"/>
  <c r="B68"/>
  <c r="F74"/>
  <c r="D74"/>
  <c r="B74"/>
  <c r="F79"/>
  <c r="D79"/>
  <c r="B79"/>
  <c r="F98"/>
  <c r="D98"/>
  <c r="B98"/>
  <c r="F97"/>
  <c r="D97"/>
  <c r="B97"/>
  <c r="F67"/>
  <c r="D67"/>
  <c r="B67"/>
  <c r="F85"/>
  <c r="D85"/>
  <c r="B85"/>
  <c r="F89"/>
  <c r="D89"/>
  <c r="B89"/>
  <c r="F91"/>
  <c r="D91"/>
  <c r="B91"/>
  <c r="F66"/>
  <c r="D66"/>
  <c r="B66"/>
  <c r="F94"/>
  <c r="D94"/>
  <c r="B94"/>
  <c r="F61"/>
  <c r="D61"/>
  <c r="B61"/>
  <c r="F78"/>
  <c r="D78"/>
  <c r="B78"/>
  <c r="F7"/>
  <c r="D7"/>
  <c r="B7"/>
  <c r="F72"/>
  <c r="D72"/>
  <c r="B72"/>
  <c r="F71"/>
  <c r="D71"/>
  <c r="B71"/>
  <c r="F60"/>
  <c r="D60"/>
  <c r="B60"/>
  <c r="F95"/>
  <c r="D95"/>
  <c r="B95"/>
  <c r="F87"/>
  <c r="D87"/>
  <c r="B87"/>
  <c r="F64"/>
  <c r="D64"/>
  <c r="B64"/>
  <c r="F102"/>
  <c r="D102"/>
  <c r="B102"/>
  <c r="F65"/>
  <c r="D65"/>
  <c r="B65"/>
  <c r="F59"/>
  <c r="D59"/>
  <c r="B59"/>
  <c r="F81"/>
  <c r="D81"/>
  <c r="B81"/>
  <c r="F58"/>
  <c r="D58"/>
  <c r="B58"/>
  <c r="F70"/>
  <c r="D70"/>
  <c r="B70"/>
  <c r="F75"/>
  <c r="D75"/>
  <c r="B75"/>
  <c r="F73"/>
  <c r="D73"/>
  <c r="B73"/>
  <c r="F57"/>
  <c r="D57"/>
  <c r="B57"/>
  <c r="F88"/>
  <c r="D88"/>
  <c r="B88"/>
  <c r="F96"/>
  <c r="D96"/>
  <c r="B96"/>
  <c r="F84"/>
  <c r="D84"/>
  <c r="B84"/>
  <c r="F93"/>
  <c r="D93"/>
  <c r="B93"/>
  <c r="F77"/>
  <c r="D77"/>
  <c r="B77"/>
  <c r="F86"/>
  <c r="D86"/>
  <c r="B86"/>
  <c r="F6"/>
  <c r="D6"/>
  <c r="B6"/>
  <c r="F101"/>
  <c r="D101"/>
  <c r="B101"/>
  <c r="F76"/>
  <c r="D76"/>
  <c r="B76"/>
  <c r="F100"/>
  <c r="D100"/>
  <c r="B100"/>
  <c r="F82"/>
  <c r="D82"/>
  <c r="B82"/>
  <c r="F92"/>
  <c r="D92"/>
  <c r="AE99" i="2"/>
  <c r="H99" s="1"/>
  <c r="AE98"/>
  <c r="H98" s="1"/>
  <c r="AE97"/>
  <c r="H97" s="1"/>
  <c r="AE96"/>
  <c r="H96" s="1"/>
  <c r="AE95"/>
  <c r="H95" s="1"/>
  <c r="AE94"/>
  <c r="H94" s="1"/>
  <c r="AE93"/>
  <c r="H93" s="1"/>
  <c r="AE92"/>
  <c r="H92" s="1"/>
  <c r="AE91"/>
  <c r="H91" s="1"/>
  <c r="AE90"/>
  <c r="H90" s="1"/>
  <c r="AE89"/>
  <c r="H89" s="1"/>
  <c r="AE88"/>
  <c r="H88" s="1"/>
  <c r="AE87"/>
  <c r="H87" s="1"/>
  <c r="AE86"/>
  <c r="H86" s="1"/>
  <c r="AE85"/>
  <c r="H85" s="1"/>
  <c r="AE84"/>
  <c r="H84" s="1"/>
  <c r="AE83"/>
  <c r="H83" s="1"/>
  <c r="AE82"/>
  <c r="H82" s="1"/>
  <c r="AE81"/>
  <c r="H81" s="1"/>
  <c r="AE80"/>
  <c r="H80" s="1"/>
  <c r="AE79"/>
  <c r="H79" s="1"/>
  <c r="AE78"/>
  <c r="H78" s="1"/>
  <c r="AE77"/>
  <c r="H77" s="1"/>
  <c r="AE76"/>
  <c r="H76" s="1"/>
  <c r="AE75"/>
  <c r="H75" s="1"/>
  <c r="AE74"/>
  <c r="H74" s="1"/>
  <c r="AE73"/>
  <c r="H73" s="1"/>
  <c r="AE72"/>
  <c r="H72" s="1"/>
  <c r="AE71"/>
  <c r="H71" s="1"/>
  <c r="AE70"/>
  <c r="H70" s="1"/>
  <c r="AE69"/>
  <c r="H69" s="1"/>
  <c r="AE68"/>
  <c r="H68" s="1"/>
  <c r="AE67"/>
  <c r="H67" s="1"/>
  <c r="AE66"/>
  <c r="H66" s="1"/>
  <c r="AE65"/>
  <c r="H65" s="1"/>
  <c r="AE64"/>
  <c r="H64" s="1"/>
  <c r="AE63"/>
  <c r="H63" s="1"/>
  <c r="AE62"/>
  <c r="H62" s="1"/>
  <c r="AE61"/>
  <c r="H61" s="1"/>
  <c r="AE60"/>
  <c r="H60" s="1"/>
  <c r="AE59"/>
  <c r="H59" s="1"/>
  <c r="AE58"/>
  <c r="H58" s="1"/>
  <c r="AE57"/>
  <c r="H57" s="1"/>
  <c r="AE56"/>
  <c r="H56" s="1"/>
  <c r="AE55"/>
  <c r="H55" s="1"/>
  <c r="AE54"/>
  <c r="H54" s="1"/>
  <c r="AE53"/>
  <c r="H53" s="1"/>
  <c r="AE52"/>
  <c r="H52" s="1"/>
  <c r="AE51"/>
  <c r="H51" s="1"/>
  <c r="AE50"/>
  <c r="H50" s="1"/>
  <c r="AE49"/>
  <c r="H49" s="1"/>
  <c r="AE48"/>
  <c r="H48" s="1"/>
  <c r="AE47"/>
  <c r="H47" s="1"/>
  <c r="AE46"/>
  <c r="H46" s="1"/>
  <c r="AE45"/>
  <c r="H45" s="1"/>
  <c r="AE44"/>
  <c r="H44" s="1"/>
  <c r="AE43"/>
  <c r="H43" s="1"/>
  <c r="AE42"/>
  <c r="H42" s="1"/>
  <c r="AE41"/>
  <c r="H41" s="1"/>
  <c r="AE40"/>
  <c r="H40" s="1"/>
  <c r="AE39"/>
  <c r="H39" s="1"/>
  <c r="AE38"/>
  <c r="H38" s="1"/>
  <c r="AE37"/>
  <c r="H37" s="1"/>
  <c r="AE36"/>
  <c r="H36" s="1"/>
  <c r="AE35"/>
  <c r="H35" s="1"/>
  <c r="AE34"/>
  <c r="H34" s="1"/>
  <c r="AE33"/>
  <c r="H33" s="1"/>
  <c r="AE32"/>
  <c r="H32" s="1"/>
  <c r="AE31"/>
  <c r="H31" s="1"/>
  <c r="AE30"/>
  <c r="H30" s="1"/>
  <c r="AE29"/>
  <c r="H29" s="1"/>
  <c r="AE28"/>
  <c r="H28" s="1"/>
  <c r="AE27"/>
  <c r="H27" s="1"/>
  <c r="AE26"/>
  <c r="H26" s="1"/>
  <c r="AE25"/>
  <c r="H25" s="1"/>
  <c r="AE24"/>
  <c r="H24" s="1"/>
  <c r="AE23"/>
  <c r="H23" s="1"/>
  <c r="AE22"/>
  <c r="H22" s="1"/>
  <c r="AE21"/>
  <c r="H21" s="1"/>
  <c r="AE20"/>
  <c r="H20" s="1"/>
  <c r="AE19"/>
  <c r="H19" s="1"/>
  <c r="AE18"/>
  <c r="H18" s="1"/>
  <c r="AE17"/>
  <c r="H17" s="1"/>
  <c r="AE16"/>
  <c r="H16" s="1"/>
  <c r="AE15"/>
  <c r="H15" s="1"/>
  <c r="AE14"/>
  <c r="H14" s="1"/>
  <c r="AE13"/>
  <c r="H13" s="1"/>
  <c r="AE12"/>
  <c r="H12" s="1"/>
  <c r="AE11"/>
  <c r="H11" s="1"/>
  <c r="AE10"/>
  <c r="H10" s="1"/>
  <c r="AE9"/>
  <c r="H9" s="1"/>
  <c r="AE8"/>
  <c r="H8" s="1"/>
  <c r="AE7"/>
  <c r="H7" s="1"/>
  <c r="AE6"/>
  <c r="H6" s="1"/>
  <c r="AE5"/>
  <c r="H5" s="1"/>
  <c r="AE4"/>
  <c r="H4" s="1"/>
  <c r="AE3"/>
  <c r="H3" s="1"/>
  <c r="AE2"/>
  <c r="H2" s="1"/>
  <c r="B26" i="11" l="1"/>
  <c r="J9" i="26" s="1"/>
  <c r="G9" s="1"/>
  <c r="B27" i="11"/>
  <c r="J20" i="26" s="1"/>
  <c r="G20" s="1"/>
  <c r="B25" i="11"/>
  <c r="J28" i="26" s="1"/>
  <c r="G28" s="1"/>
  <c r="A107" i="8"/>
  <c r="A106"/>
  <c r="A105"/>
  <c r="A104"/>
  <c r="A103"/>
  <c r="A102"/>
  <c r="A101"/>
  <c r="A100"/>
  <c r="A99"/>
  <c r="A98"/>
  <c r="A97"/>
  <c r="A107" i="7"/>
  <c r="A106"/>
  <c r="A105"/>
  <c r="A104"/>
  <c r="A103"/>
  <c r="A102"/>
  <c r="A101"/>
  <c r="A100"/>
  <c r="A99"/>
  <c r="A98"/>
  <c r="A97"/>
  <c r="A107" i="6"/>
  <c r="A106"/>
  <c r="A105"/>
  <c r="A104"/>
  <c r="A103"/>
  <c r="A102"/>
  <c r="A101"/>
  <c r="A100"/>
  <c r="A99"/>
  <c r="A98"/>
  <c r="A97"/>
  <c r="A107" i="5"/>
  <c r="A106"/>
  <c r="A105"/>
  <c r="A104"/>
  <c r="A103"/>
  <c r="A102"/>
  <c r="A101"/>
  <c r="A100"/>
  <c r="A99"/>
  <c r="A98"/>
  <c r="A97"/>
  <c r="A107" i="4"/>
  <c r="A106"/>
  <c r="A105"/>
  <c r="A104"/>
  <c r="A103"/>
  <c r="A102"/>
  <c r="A101"/>
  <c r="A100"/>
  <c r="A99"/>
  <c r="A98"/>
  <c r="A97"/>
  <c r="B92" i="21"/>
  <c r="T4" l="1"/>
  <c r="S4"/>
  <c r="T5"/>
  <c r="S5"/>
  <c r="T6"/>
  <c r="S6"/>
  <c r="T7"/>
  <c r="S7"/>
  <c r="T8"/>
  <c r="S8"/>
  <c r="T9"/>
  <c r="S9"/>
  <c r="T10"/>
  <c r="S10"/>
  <c r="T11"/>
  <c r="S11"/>
  <c r="T12"/>
  <c r="S12"/>
  <c r="T13"/>
  <c r="S13"/>
  <c r="T14"/>
  <c r="S14"/>
  <c r="T15"/>
  <c r="S15"/>
  <c r="T16"/>
  <c r="S16"/>
  <c r="T17"/>
  <c r="S17"/>
  <c r="T18"/>
  <c r="S18"/>
  <c r="T19"/>
  <c r="S19"/>
  <c r="T20"/>
  <c r="S20"/>
  <c r="T21"/>
  <c r="S21"/>
  <c r="T22"/>
  <c r="S22"/>
  <c r="T23"/>
  <c r="S23"/>
  <c r="T24"/>
  <c r="S24"/>
  <c r="T25"/>
  <c r="S25"/>
  <c r="T26"/>
  <c r="S26"/>
  <c r="T27"/>
  <c r="S27"/>
  <c r="T28"/>
  <c r="S28"/>
  <c r="T29"/>
  <c r="S29"/>
  <c r="T30"/>
  <c r="S30"/>
  <c r="T31"/>
  <c r="S31"/>
  <c r="T32"/>
  <c r="S32"/>
  <c r="T33"/>
  <c r="S33"/>
  <c r="T34"/>
  <c r="S34"/>
  <c r="T35"/>
  <c r="S35"/>
  <c r="T36"/>
  <c r="S36"/>
  <c r="T37"/>
  <c r="S37"/>
  <c r="T38"/>
  <c r="S38"/>
  <c r="T39"/>
  <c r="S39"/>
  <c r="T40"/>
  <c r="S40"/>
  <c r="T41"/>
  <c r="S41"/>
  <c r="T42"/>
  <c r="S42"/>
  <c r="T43"/>
  <c r="S43"/>
  <c r="T44"/>
  <c r="S44"/>
  <c r="T45"/>
  <c r="S45"/>
  <c r="T46"/>
  <c r="S46"/>
  <c r="T47"/>
  <c r="S47"/>
  <c r="T48"/>
  <c r="S48"/>
  <c r="T49"/>
  <c r="S49"/>
  <c r="T50"/>
  <c r="S50"/>
  <c r="T51"/>
  <c r="S51"/>
  <c r="T52"/>
  <c r="S52"/>
  <c r="T53"/>
  <c r="S53"/>
  <c r="T54"/>
  <c r="S54"/>
  <c r="T56"/>
  <c r="S56"/>
  <c r="T57"/>
  <c r="S57"/>
  <c r="T58"/>
  <c r="S58"/>
  <c r="T59"/>
  <c r="S59"/>
  <c r="T60"/>
  <c r="S60"/>
  <c r="T61"/>
  <c r="S61"/>
  <c r="T62"/>
  <c r="S62"/>
  <c r="T63"/>
  <c r="S63"/>
  <c r="T64"/>
  <c r="S64"/>
  <c r="T65"/>
  <c r="S65"/>
  <c r="T66"/>
  <c r="S66"/>
  <c r="T67"/>
  <c r="S67"/>
  <c r="T68"/>
  <c r="S68"/>
  <c r="T69"/>
  <c r="S69"/>
  <c r="T70"/>
  <c r="S70"/>
  <c r="T71"/>
  <c r="S71"/>
  <c r="T72"/>
  <c r="S72"/>
  <c r="T73"/>
  <c r="S73"/>
  <c r="T74"/>
  <c r="S74"/>
  <c r="T75"/>
  <c r="S75"/>
  <c r="T76"/>
  <c r="S76"/>
  <c r="T77"/>
  <c r="S77"/>
  <c r="T78"/>
  <c r="S78"/>
  <c r="T79"/>
  <c r="S79"/>
  <c r="T80"/>
  <c r="S80"/>
  <c r="T81"/>
  <c r="S81"/>
  <c r="T82"/>
  <c r="N5" s="1"/>
  <c r="S82"/>
  <c r="L5" s="1"/>
  <c r="T83"/>
  <c r="S83"/>
  <c r="T84"/>
  <c r="S84"/>
  <c r="T85"/>
  <c r="S85"/>
  <c r="T86"/>
  <c r="S86"/>
  <c r="T87"/>
  <c r="S87"/>
  <c r="T88"/>
  <c r="S88"/>
  <c r="T89"/>
  <c r="S89"/>
  <c r="T90"/>
  <c r="S90"/>
  <c r="T91"/>
  <c r="S91"/>
  <c r="T92"/>
  <c r="S92"/>
  <c r="T93"/>
  <c r="S93"/>
  <c r="T94"/>
  <c r="S94"/>
  <c r="T95"/>
  <c r="S95"/>
  <c r="T96"/>
  <c r="S96"/>
  <c r="T97"/>
  <c r="S97"/>
  <c r="T98"/>
  <c r="S98"/>
  <c r="T99"/>
  <c r="S99"/>
  <c r="T100"/>
  <c r="N4" s="1"/>
  <c r="S100"/>
  <c r="L4" s="1"/>
  <c r="T101"/>
  <c r="N54" s="1"/>
  <c r="S101"/>
  <c r="L54" s="1"/>
  <c r="T103"/>
  <c r="N56" s="1"/>
  <c r="S103"/>
  <c r="L56" s="1"/>
  <c r="N83" l="1"/>
  <c r="N99"/>
  <c r="N80"/>
  <c r="N68"/>
  <c r="N74"/>
  <c r="N79"/>
  <c r="N98"/>
  <c r="N97"/>
  <c r="N67"/>
  <c r="N85"/>
  <c r="N89"/>
  <c r="N91"/>
  <c r="N66"/>
  <c r="N94"/>
  <c r="L83"/>
  <c r="L99"/>
  <c r="L80"/>
  <c r="L68"/>
  <c r="L74"/>
  <c r="L79"/>
  <c r="L98"/>
  <c r="L97"/>
  <c r="L67"/>
  <c r="L85"/>
  <c r="L89"/>
  <c r="L91"/>
  <c r="L66"/>
  <c r="L94"/>
  <c r="N53"/>
  <c r="N52"/>
  <c r="N51"/>
  <c r="N50"/>
  <c r="N49"/>
  <c r="N48"/>
  <c r="N47"/>
  <c r="N46"/>
  <c r="N45"/>
  <c r="N44"/>
  <c r="N43"/>
  <c r="N42"/>
  <c r="N41"/>
  <c r="N40"/>
  <c r="N39"/>
  <c r="N38"/>
  <c r="N37"/>
  <c r="N36"/>
  <c r="N35"/>
  <c r="N34"/>
  <c r="N33"/>
  <c r="N32"/>
  <c r="N31"/>
  <c r="N30"/>
  <c r="N29"/>
  <c r="N28"/>
  <c r="N27"/>
  <c r="N26"/>
  <c r="N25"/>
  <c r="N24"/>
  <c r="N23"/>
  <c r="N22"/>
  <c r="N21"/>
  <c r="N20"/>
  <c r="N19"/>
  <c r="N18"/>
  <c r="N17"/>
  <c r="N16"/>
  <c r="N15"/>
  <c r="N14"/>
  <c r="N13"/>
  <c r="N12"/>
  <c r="N11"/>
  <c r="N10"/>
  <c r="N9"/>
  <c r="N8"/>
  <c r="N69"/>
  <c r="N90"/>
  <c r="L53"/>
  <c r="L52"/>
  <c r="L51"/>
  <c r="L50"/>
  <c r="L49"/>
  <c r="L48"/>
  <c r="L47"/>
  <c r="L46"/>
  <c r="L45"/>
  <c r="L44"/>
  <c r="L43"/>
  <c r="L42"/>
  <c r="L41"/>
  <c r="L40"/>
  <c r="L39"/>
  <c r="L38"/>
  <c r="L37"/>
  <c r="L36"/>
  <c r="L35"/>
  <c r="L34"/>
  <c r="L33"/>
  <c r="L32"/>
  <c r="L31"/>
  <c r="L30"/>
  <c r="L29"/>
  <c r="L28"/>
  <c r="L27"/>
  <c r="L26"/>
  <c r="L25"/>
  <c r="L24"/>
  <c r="L23"/>
  <c r="L22"/>
  <c r="L21"/>
  <c r="L20"/>
  <c r="L19"/>
  <c r="L18"/>
  <c r="L17"/>
  <c r="L16"/>
  <c r="L15"/>
  <c r="L14"/>
  <c r="L13"/>
  <c r="L12"/>
  <c r="L11"/>
  <c r="L10"/>
  <c r="L9"/>
  <c r="L8"/>
  <c r="L69"/>
  <c r="L90"/>
  <c r="L61"/>
  <c r="L78"/>
  <c r="N78"/>
  <c r="N61"/>
  <c r="N59"/>
  <c r="L59"/>
  <c r="P56"/>
  <c r="N71"/>
  <c r="N60"/>
  <c r="N95"/>
  <c r="L71"/>
  <c r="L60"/>
  <c r="L95"/>
  <c r="L72"/>
  <c r="N72"/>
  <c r="L64"/>
  <c r="N64"/>
  <c r="L81"/>
  <c r="N81"/>
  <c r="L73"/>
  <c r="N73"/>
  <c r="L88"/>
  <c r="N88"/>
  <c r="L96"/>
  <c r="N96"/>
  <c r="L70"/>
  <c r="N70"/>
  <c r="L87"/>
  <c r="N87"/>
  <c r="L65"/>
  <c r="N65"/>
  <c r="L58"/>
  <c r="N58"/>
  <c r="L75"/>
  <c r="N75"/>
  <c r="L57"/>
  <c r="N57"/>
  <c r="L84"/>
  <c r="N84"/>
  <c r="L93"/>
  <c r="N93"/>
  <c r="L77"/>
  <c r="N77"/>
  <c r="L86"/>
  <c r="N86"/>
  <c r="L6"/>
  <c r="N6"/>
  <c r="L101"/>
  <c r="N101"/>
  <c r="L76"/>
  <c r="N76"/>
  <c r="L100"/>
  <c r="N100"/>
  <c r="L82"/>
  <c r="N82"/>
  <c r="L92"/>
  <c r="N92"/>
  <c r="I3" i="20" l="1"/>
  <c r="G3"/>
  <c r="E3"/>
  <c r="C3"/>
  <c r="Y3"/>
  <c r="AF10" s="1"/>
  <c r="W3"/>
  <c r="AF9" s="1"/>
  <c r="U3"/>
  <c r="AF8" s="1"/>
  <c r="AB24"/>
  <c r="AB23"/>
  <c r="AB22"/>
  <c r="AB21"/>
  <c r="AB20"/>
  <c r="AB19"/>
  <c r="AB18"/>
  <c r="AB17"/>
  <c r="AB16"/>
  <c r="AB15"/>
  <c r="AB14"/>
  <c r="AB13"/>
  <c r="AB12"/>
  <c r="AB11"/>
  <c r="AB10"/>
  <c r="AB9"/>
  <c r="AB8"/>
  <c r="AB7"/>
  <c r="AB6"/>
  <c r="AB5"/>
  <c r="AB4"/>
  <c r="AB3"/>
  <c r="Y4"/>
  <c r="W4"/>
  <c r="U4"/>
  <c r="A99" i="9"/>
  <c r="D99" s="1"/>
  <c r="J99" s="1"/>
  <c r="A98"/>
  <c r="D98" s="1"/>
  <c r="J98" s="1"/>
  <c r="A97"/>
  <c r="D97" s="1"/>
  <c r="J97" s="1"/>
  <c r="A96"/>
  <c r="D96" s="1"/>
  <c r="J96" s="1"/>
  <c r="A95"/>
  <c r="D95" s="1"/>
  <c r="J95" s="1"/>
  <c r="A94"/>
  <c r="D94" s="1"/>
  <c r="J94" s="1"/>
  <c r="A93"/>
  <c r="D93" s="1"/>
  <c r="J93" s="1"/>
  <c r="A92"/>
  <c r="D92" s="1"/>
  <c r="J92" s="1"/>
  <c r="A91"/>
  <c r="D91" s="1"/>
  <c r="J91" s="1"/>
  <c r="A90"/>
  <c r="D90" s="1"/>
  <c r="J90" s="1"/>
  <c r="A89"/>
  <c r="D89" s="1"/>
  <c r="J89" s="1"/>
  <c r="D100" i="19"/>
  <c r="E100" s="1"/>
  <c r="D99"/>
  <c r="E99" s="1"/>
  <c r="D98"/>
  <c r="D97"/>
  <c r="E97" s="1"/>
  <c r="D96"/>
  <c r="E96" s="1"/>
  <c r="D95"/>
  <c r="E95" s="1"/>
  <c r="D94"/>
  <c r="E94" s="1"/>
  <c r="D93"/>
  <c r="E93" s="1"/>
  <c r="D92"/>
  <c r="E92" s="1"/>
  <c r="D91"/>
  <c r="E91" s="1"/>
  <c r="D90"/>
  <c r="D89"/>
  <c r="E89" s="1"/>
  <c r="D88"/>
  <c r="E88" s="1"/>
  <c r="D87"/>
  <c r="E87" s="1"/>
  <c r="D86"/>
  <c r="E86" s="1"/>
  <c r="D85"/>
  <c r="E85" s="1"/>
  <c r="D84"/>
  <c r="E84" s="1"/>
  <c r="D83"/>
  <c r="E83" s="1"/>
  <c r="D82"/>
  <c r="E82" s="1"/>
  <c r="D81"/>
  <c r="E81" s="1"/>
  <c r="D80"/>
  <c r="E80" s="1"/>
  <c r="D79"/>
  <c r="E79" s="1"/>
  <c r="D78"/>
  <c r="D77"/>
  <c r="E77" s="1"/>
  <c r="D76"/>
  <c r="E76" s="1"/>
  <c r="D75"/>
  <c r="E75" s="1"/>
  <c r="D74"/>
  <c r="E74" s="1"/>
  <c r="D73"/>
  <c r="E73" s="1"/>
  <c r="D72"/>
  <c r="E72" s="1"/>
  <c r="D71"/>
  <c r="E71" s="1"/>
  <c r="D70"/>
  <c r="E70" s="1"/>
  <c r="D69"/>
  <c r="E69" s="1"/>
  <c r="D68"/>
  <c r="E68" s="1"/>
  <c r="D67"/>
  <c r="E67" s="1"/>
  <c r="D66"/>
  <c r="E66" s="1"/>
  <c r="D65"/>
  <c r="E65" s="1"/>
  <c r="D64"/>
  <c r="E64" s="1"/>
  <c r="D63"/>
  <c r="E63" s="1"/>
  <c r="D62"/>
  <c r="D61"/>
  <c r="E61" s="1"/>
  <c r="D60"/>
  <c r="E60" s="1"/>
  <c r="D59"/>
  <c r="E59" s="1"/>
  <c r="D58"/>
  <c r="E58" s="1"/>
  <c r="D57"/>
  <c r="E57" s="1"/>
  <c r="D56"/>
  <c r="E56" s="1"/>
  <c r="D55"/>
  <c r="E55" s="1"/>
  <c r="D54"/>
  <c r="D53"/>
  <c r="E53" s="1"/>
  <c r="D52"/>
  <c r="E52" s="1"/>
  <c r="D51"/>
  <c r="E51" s="1"/>
  <c r="D50"/>
  <c r="E50" s="1"/>
  <c r="D49"/>
  <c r="E49" s="1"/>
  <c r="D48"/>
  <c r="E48" s="1"/>
  <c r="D47"/>
  <c r="E47" s="1"/>
  <c r="D46"/>
  <c r="E46" s="1"/>
  <c r="D45"/>
  <c r="E45" s="1"/>
  <c r="D44"/>
  <c r="E44" s="1"/>
  <c r="D43"/>
  <c r="E43" s="1"/>
  <c r="D42"/>
  <c r="E42" s="1"/>
  <c r="D41"/>
  <c r="E41" s="1"/>
  <c r="D40"/>
  <c r="E40" s="1"/>
  <c r="D39"/>
  <c r="E39" s="1"/>
  <c r="D38"/>
  <c r="E38" s="1"/>
  <c r="D37"/>
  <c r="E37" s="1"/>
  <c r="D36"/>
  <c r="E36" s="1"/>
  <c r="D35"/>
  <c r="E35" s="1"/>
  <c r="D34"/>
  <c r="E34" s="1"/>
  <c r="D33"/>
  <c r="E33" s="1"/>
  <c r="D32"/>
  <c r="E32" s="1"/>
  <c r="D31"/>
  <c r="E31" s="1"/>
  <c r="D30"/>
  <c r="D29"/>
  <c r="E29" s="1"/>
  <c r="D28"/>
  <c r="E28" s="1"/>
  <c r="D27"/>
  <c r="E27" s="1"/>
  <c r="D26"/>
  <c r="E26" s="1"/>
  <c r="D25"/>
  <c r="E25" s="1"/>
  <c r="D24"/>
  <c r="E24" s="1"/>
  <c r="D23"/>
  <c r="E23" s="1"/>
  <c r="D22"/>
  <c r="E22" s="1"/>
  <c r="D21"/>
  <c r="E21" s="1"/>
  <c r="D20"/>
  <c r="E20" s="1"/>
  <c r="D19"/>
  <c r="E19" s="1"/>
  <c r="D18"/>
  <c r="E18" s="1"/>
  <c r="D17"/>
  <c r="E17" s="1"/>
  <c r="D16"/>
  <c r="E16" s="1"/>
  <c r="D15"/>
  <c r="E15" s="1"/>
  <c r="D14"/>
  <c r="E14" s="1"/>
  <c r="D13"/>
  <c r="E13" s="1"/>
  <c r="D12"/>
  <c r="E12" s="1"/>
  <c r="D11"/>
  <c r="E11" s="1"/>
  <c r="D10"/>
  <c r="E10" s="1"/>
  <c r="D9"/>
  <c r="E9" s="1"/>
  <c r="D8"/>
  <c r="E8" s="1"/>
  <c r="D7"/>
  <c r="E7" s="1"/>
  <c r="D6"/>
  <c r="E6" s="1"/>
  <c r="D5"/>
  <c r="E5" s="1"/>
  <c r="D4"/>
  <c r="E4" s="1"/>
  <c r="D3"/>
  <c r="E3" s="1"/>
  <c r="D2"/>
  <c r="E2" s="1"/>
  <c r="B99"/>
  <c r="E98"/>
  <c r="E90"/>
  <c r="E78"/>
  <c r="E62"/>
  <c r="E54"/>
  <c r="E30"/>
  <c r="K87" i="10"/>
  <c r="K86"/>
  <c r="K85"/>
  <c r="K84"/>
  <c r="K83"/>
  <c r="K82"/>
  <c r="K81"/>
  <c r="K80"/>
  <c r="K79"/>
  <c r="K78"/>
  <c r="K77"/>
  <c r="K76"/>
  <c r="K75"/>
  <c r="K74"/>
  <c r="K73"/>
  <c r="K72"/>
  <c r="K71"/>
  <c r="K70"/>
  <c r="K69"/>
  <c r="K68"/>
  <c r="K67"/>
  <c r="K66"/>
  <c r="K65"/>
  <c r="K64"/>
  <c r="K63"/>
  <c r="K62"/>
  <c r="K61"/>
  <c r="K60"/>
  <c r="K59"/>
  <c r="K58"/>
  <c r="K57"/>
  <c r="K56"/>
  <c r="K55"/>
  <c r="K54"/>
  <c r="K53"/>
  <c r="K52"/>
  <c r="K51"/>
  <c r="K50"/>
  <c r="K49"/>
  <c r="K48"/>
  <c r="K47"/>
  <c r="K46"/>
  <c r="K45"/>
  <c r="K44"/>
  <c r="K43"/>
  <c r="K42"/>
  <c r="K41"/>
  <c r="K40"/>
  <c r="K39"/>
  <c r="K38"/>
  <c r="K37"/>
  <c r="K36"/>
  <c r="K35"/>
  <c r="K34"/>
  <c r="K33"/>
  <c r="K32"/>
  <c r="K31"/>
  <c r="K30"/>
  <c r="K29"/>
  <c r="I87"/>
  <c r="I86"/>
  <c r="I85"/>
  <c r="I84"/>
  <c r="I83"/>
  <c r="I82"/>
  <c r="I81"/>
  <c r="I80"/>
  <c r="I79"/>
  <c r="I78"/>
  <c r="I77"/>
  <c r="I76"/>
  <c r="I75"/>
  <c r="I74"/>
  <c r="I73"/>
  <c r="I72"/>
  <c r="I71"/>
  <c r="I70"/>
  <c r="I69"/>
  <c r="I68"/>
  <c r="I67"/>
  <c r="I66"/>
  <c r="I65"/>
  <c r="I64"/>
  <c r="I63"/>
  <c r="I62"/>
  <c r="I61"/>
  <c r="I60"/>
  <c r="I59"/>
  <c r="I58"/>
  <c r="I57"/>
  <c r="I56"/>
  <c r="I55"/>
  <c r="I54"/>
  <c r="I53"/>
  <c r="I52"/>
  <c r="I51"/>
  <c r="I50"/>
  <c r="I49"/>
  <c r="I48"/>
  <c r="I47"/>
  <c r="I46"/>
  <c r="I45"/>
  <c r="I44"/>
  <c r="I43"/>
  <c r="I42"/>
  <c r="I41"/>
  <c r="I40"/>
  <c r="I39"/>
  <c r="I38"/>
  <c r="I37"/>
  <c r="I36"/>
  <c r="I35"/>
  <c r="I34"/>
  <c r="I33"/>
  <c r="I32"/>
  <c r="I31"/>
  <c r="I30"/>
  <c r="I29"/>
  <c r="G87"/>
  <c r="G86"/>
  <c r="G85"/>
  <c r="G84"/>
  <c r="G83"/>
  <c r="G82"/>
  <c r="G81"/>
  <c r="G80"/>
  <c r="G79"/>
  <c r="G78"/>
  <c r="G77"/>
  <c r="G76"/>
  <c r="G75"/>
  <c r="G74"/>
  <c r="G73"/>
  <c r="G72"/>
  <c r="G71"/>
  <c r="G70"/>
  <c r="G69"/>
  <c r="G68"/>
  <c r="G67"/>
  <c r="G66"/>
  <c r="G65"/>
  <c r="G64"/>
  <c r="G63"/>
  <c r="G62"/>
  <c r="G61"/>
  <c r="G60"/>
  <c r="G59"/>
  <c r="G58"/>
  <c r="G57"/>
  <c r="G56"/>
  <c r="G55"/>
  <c r="G54"/>
  <c r="G53"/>
  <c r="G52"/>
  <c r="G51"/>
  <c r="G50"/>
  <c r="G49"/>
  <c r="G48"/>
  <c r="G47"/>
  <c r="G46"/>
  <c r="G45"/>
  <c r="G44"/>
  <c r="G43"/>
  <c r="G42"/>
  <c r="G41"/>
  <c r="G40"/>
  <c r="G39"/>
  <c r="G38"/>
  <c r="G37"/>
  <c r="G36"/>
  <c r="G35"/>
  <c r="G34"/>
  <c r="G33"/>
  <c r="G32"/>
  <c r="G31"/>
  <c r="G30"/>
  <c r="G29"/>
  <c r="E87"/>
  <c r="E86"/>
  <c r="E85"/>
  <c r="E84"/>
  <c r="E83"/>
  <c r="E82"/>
  <c r="E81"/>
  <c r="E80"/>
  <c r="E79"/>
  <c r="E78"/>
  <c r="E77"/>
  <c r="E76"/>
  <c r="E75"/>
  <c r="E74"/>
  <c r="E73"/>
  <c r="E72"/>
  <c r="E71"/>
  <c r="E70"/>
  <c r="E69"/>
  <c r="E68"/>
  <c r="E67"/>
  <c r="E66"/>
  <c r="E65"/>
  <c r="E64"/>
  <c r="E63"/>
  <c r="E62"/>
  <c r="E61"/>
  <c r="E60"/>
  <c r="E59"/>
  <c r="E58"/>
  <c r="E57"/>
  <c r="E56"/>
  <c r="E55"/>
  <c r="E54"/>
  <c r="E53"/>
  <c r="E52"/>
  <c r="E51"/>
  <c r="E50"/>
  <c r="E49"/>
  <c r="E48"/>
  <c r="E47"/>
  <c r="E46"/>
  <c r="E45"/>
  <c r="E44"/>
  <c r="E43"/>
  <c r="E42"/>
  <c r="E41"/>
  <c r="E40"/>
  <c r="E39"/>
  <c r="E38"/>
  <c r="E37"/>
  <c r="E36"/>
  <c r="E35"/>
  <c r="E34"/>
  <c r="E33"/>
  <c r="E32"/>
  <c r="E31"/>
  <c r="E30"/>
  <c r="E29"/>
  <c r="K28"/>
  <c r="I28"/>
  <c r="G28"/>
  <c r="E28"/>
  <c r="A55"/>
  <c r="B89" i="19" l="1"/>
  <c r="B91"/>
  <c r="B93"/>
  <c r="B95"/>
  <c r="B97"/>
  <c r="B90"/>
  <c r="B92"/>
  <c r="B94"/>
  <c r="B96"/>
  <c r="B98"/>
  <c r="S14" i="20"/>
  <c r="K14"/>
  <c r="U14"/>
  <c r="M14"/>
  <c r="W14"/>
  <c r="O14"/>
  <c r="Y14"/>
  <c r="Q14"/>
  <c r="W29"/>
  <c r="S29"/>
  <c r="O29"/>
  <c r="K29"/>
  <c r="W26"/>
  <c r="O26"/>
  <c r="K26"/>
  <c r="W25"/>
  <c r="S25"/>
  <c r="O25"/>
  <c r="W24"/>
  <c r="S24"/>
  <c r="O24"/>
  <c r="K24"/>
  <c r="W22"/>
  <c r="O22"/>
  <c r="K22"/>
  <c r="W18"/>
  <c r="O18"/>
  <c r="K18"/>
  <c r="W16"/>
  <c r="S16"/>
  <c r="O16"/>
  <c r="K16"/>
  <c r="S12"/>
  <c r="Y29"/>
  <c r="U29"/>
  <c r="Q29"/>
  <c r="M29"/>
  <c r="Y26"/>
  <c r="U26"/>
  <c r="Q26"/>
  <c r="M26"/>
  <c r="Y25"/>
  <c r="U25"/>
  <c r="Q25"/>
  <c r="M25"/>
  <c r="Y24"/>
  <c r="U24"/>
  <c r="Q24"/>
  <c r="M24"/>
  <c r="Y22"/>
  <c r="U22"/>
  <c r="Q22"/>
  <c r="M22"/>
  <c r="Y18"/>
  <c r="U18"/>
  <c r="Q18"/>
  <c r="Y16"/>
  <c r="U16"/>
  <c r="Q16"/>
  <c r="M16"/>
  <c r="Y12"/>
  <c r="U12"/>
  <c r="Q12"/>
  <c r="M12"/>
  <c r="W12"/>
  <c r="O12"/>
  <c r="K12"/>
  <c r="A29" i="9"/>
  <c r="D29" s="1"/>
  <c r="J29" s="1"/>
  <c r="A32"/>
  <c r="D32" s="1"/>
  <c r="J32" s="1"/>
  <c r="A16"/>
  <c r="D16" s="1"/>
  <c r="J16" s="1"/>
  <c r="A10"/>
  <c r="D10" s="1"/>
  <c r="J10" s="1"/>
  <c r="A2"/>
  <c r="D2" s="1"/>
  <c r="A3"/>
  <c r="D3" s="1"/>
  <c r="J3" s="1"/>
  <c r="A4"/>
  <c r="D4" s="1"/>
  <c r="J4" s="1"/>
  <c r="A5"/>
  <c r="D5" s="1"/>
  <c r="J5" s="1"/>
  <c r="A6"/>
  <c r="D6" s="1"/>
  <c r="J6" s="1"/>
  <c r="A7"/>
  <c r="D7" s="1"/>
  <c r="J7" s="1"/>
  <c r="A8"/>
  <c r="D8" s="1"/>
  <c r="J8" s="1"/>
  <c r="A12"/>
  <c r="D12" s="1"/>
  <c r="J12" s="1"/>
  <c r="A14"/>
  <c r="D14" s="1"/>
  <c r="J14" s="1"/>
  <c r="A17"/>
  <c r="D17" s="1"/>
  <c r="J17" s="1"/>
  <c r="A18"/>
  <c r="D18" s="1"/>
  <c r="J18" s="1"/>
  <c r="A20"/>
  <c r="D20" s="1"/>
  <c r="J20" s="1"/>
  <c r="A24"/>
  <c r="D24" s="1"/>
  <c r="J24" s="1"/>
  <c r="A25"/>
  <c r="D25" s="1"/>
  <c r="J25" s="1"/>
  <c r="A27"/>
  <c r="D27" s="1"/>
  <c r="J27" s="1"/>
  <c r="A28"/>
  <c r="D28" s="1"/>
  <c r="J28" s="1"/>
  <c r="A30"/>
  <c r="D30" s="1"/>
  <c r="J30" s="1"/>
  <c r="A31"/>
  <c r="D31" s="1"/>
  <c r="J31" s="1"/>
  <c r="A33"/>
  <c r="D33" s="1"/>
  <c r="J33" s="1"/>
  <c r="A34"/>
  <c r="D34" s="1"/>
  <c r="J34" s="1"/>
  <c r="A35"/>
  <c r="D35" s="1"/>
  <c r="J35" s="1"/>
  <c r="A36"/>
  <c r="D36" s="1"/>
  <c r="J36" s="1"/>
  <c r="A37"/>
  <c r="D37" s="1"/>
  <c r="J37" s="1"/>
  <c r="A38"/>
  <c r="D38" s="1"/>
  <c r="J38" s="1"/>
  <c r="A39"/>
  <c r="D39" s="1"/>
  <c r="J39" s="1"/>
  <c r="A40"/>
  <c r="D40" s="1"/>
  <c r="J40" s="1"/>
  <c r="A41"/>
  <c r="D41" s="1"/>
  <c r="J41" s="1"/>
  <c r="A42"/>
  <c r="D42" s="1"/>
  <c r="J42" s="1"/>
  <c r="A43"/>
  <c r="D43" s="1"/>
  <c r="J43" s="1"/>
  <c r="A44"/>
  <c r="D44" s="1"/>
  <c r="J44" s="1"/>
  <c r="A45"/>
  <c r="D45" s="1"/>
  <c r="J45" s="1"/>
  <c r="A46"/>
  <c r="D46" s="1"/>
  <c r="J46" s="1"/>
  <c r="A47"/>
  <c r="D47" s="1"/>
  <c r="J47" s="1"/>
  <c r="A48"/>
  <c r="D48" s="1"/>
  <c r="J48" s="1"/>
  <c r="A49"/>
  <c r="D49" s="1"/>
  <c r="J49" s="1"/>
  <c r="A50"/>
  <c r="D50" s="1"/>
  <c r="J50" s="1"/>
  <c r="A51"/>
  <c r="D51" s="1"/>
  <c r="J51" s="1"/>
  <c r="A52"/>
  <c r="D52" s="1"/>
  <c r="J52" s="1"/>
  <c r="A53"/>
  <c r="D53" s="1"/>
  <c r="J53" s="1"/>
  <c r="A54"/>
  <c r="D54" s="1"/>
  <c r="J54" s="1"/>
  <c r="A55"/>
  <c r="D55" s="1"/>
  <c r="J55" s="1"/>
  <c r="A56"/>
  <c r="D56" s="1"/>
  <c r="J56" s="1"/>
  <c r="A57"/>
  <c r="D57" s="1"/>
  <c r="J57" s="1"/>
  <c r="A58"/>
  <c r="D58" s="1"/>
  <c r="J58" s="1"/>
  <c r="A59"/>
  <c r="D59" s="1"/>
  <c r="J59" s="1"/>
  <c r="A60"/>
  <c r="D60" s="1"/>
  <c r="J60" s="1"/>
  <c r="A61"/>
  <c r="D61" s="1"/>
  <c r="J61" s="1"/>
  <c r="E99"/>
  <c r="E98"/>
  <c r="E97"/>
  <c r="E96"/>
  <c r="E95"/>
  <c r="E95" i="2" s="1"/>
  <c r="J95" s="1"/>
  <c r="E94" i="9"/>
  <c r="E94" i="2" s="1"/>
  <c r="J94" s="1"/>
  <c r="E93" i="9"/>
  <c r="E92"/>
  <c r="E92" i="2" s="1"/>
  <c r="J92" s="1"/>
  <c r="E91" i="9"/>
  <c r="E91" i="2" s="1"/>
  <c r="J91" s="1"/>
  <c r="E90" i="9"/>
  <c r="E90" i="2" s="1"/>
  <c r="J90" s="1"/>
  <c r="E89" i="9"/>
  <c r="E89" i="2" s="1"/>
  <c r="J89" s="1"/>
  <c r="A88" i="9"/>
  <c r="D88" s="1"/>
  <c r="J88" s="1"/>
  <c r="A87"/>
  <c r="D87" s="1"/>
  <c r="J87" s="1"/>
  <c r="A86"/>
  <c r="D86" s="1"/>
  <c r="J86" s="1"/>
  <c r="A85"/>
  <c r="D85" s="1"/>
  <c r="J85" s="1"/>
  <c r="A84"/>
  <c r="D84" s="1"/>
  <c r="J84" s="1"/>
  <c r="A83"/>
  <c r="D83" s="1"/>
  <c r="J83" s="1"/>
  <c r="A82"/>
  <c r="D82" s="1"/>
  <c r="J82" s="1"/>
  <c r="A81"/>
  <c r="D81" s="1"/>
  <c r="J81" s="1"/>
  <c r="A80"/>
  <c r="D80" s="1"/>
  <c r="J80" s="1"/>
  <c r="A79"/>
  <c r="D79" s="1"/>
  <c r="J79" s="1"/>
  <c r="A78"/>
  <c r="D78" s="1"/>
  <c r="J78" s="1"/>
  <c r="A77"/>
  <c r="D77" s="1"/>
  <c r="J77" s="1"/>
  <c r="A76"/>
  <c r="D76" s="1"/>
  <c r="J76" s="1"/>
  <c r="A75"/>
  <c r="D75" s="1"/>
  <c r="J75" s="1"/>
  <c r="A74"/>
  <c r="D74" s="1"/>
  <c r="J74" s="1"/>
  <c r="A73"/>
  <c r="D73" s="1"/>
  <c r="J73" s="1"/>
  <c r="A72"/>
  <c r="D72" s="1"/>
  <c r="J72" s="1"/>
  <c r="A71"/>
  <c r="D71" s="1"/>
  <c r="J71" s="1"/>
  <c r="A70"/>
  <c r="D70" s="1"/>
  <c r="J70" s="1"/>
  <c r="A69"/>
  <c r="D69" s="1"/>
  <c r="J69" s="1"/>
  <c r="A68"/>
  <c r="D68" s="1"/>
  <c r="J68" s="1"/>
  <c r="A67"/>
  <c r="D67" s="1"/>
  <c r="J67" s="1"/>
  <c r="A66"/>
  <c r="D66" s="1"/>
  <c r="J66" s="1"/>
  <c r="A65"/>
  <c r="D65" s="1"/>
  <c r="J65" s="1"/>
  <c r="A64"/>
  <c r="D64" s="1"/>
  <c r="J64" s="1"/>
  <c r="A63"/>
  <c r="D63" s="1"/>
  <c r="J63" s="1"/>
  <c r="A62"/>
  <c r="D62" s="1"/>
  <c r="J62" s="1"/>
  <c r="E13"/>
  <c r="E13" i="2" s="1"/>
  <c r="J13" s="1"/>
  <c r="E9" i="9"/>
  <c r="E9" i="2" s="1"/>
  <c r="J9" s="1"/>
  <c r="A37" i="8"/>
  <c r="A37" i="7"/>
  <c r="A35"/>
  <c r="A36"/>
  <c r="A34" i="6"/>
  <c r="A35"/>
  <c r="A36"/>
  <c r="A37"/>
  <c r="A37" i="5"/>
  <c r="A37" i="4"/>
  <c r="Q2" i="9"/>
  <c r="Q3"/>
  <c r="Q4"/>
  <c r="AC7" i="2"/>
  <c r="Z8"/>
  <c r="Z7"/>
  <c r="AK4" i="11"/>
  <c r="AO4"/>
  <c r="AC4"/>
  <c r="AD4"/>
  <c r="AE4"/>
  <c r="AF4"/>
  <c r="W4"/>
  <c r="Z4"/>
  <c r="O4"/>
  <c r="P4"/>
  <c r="R4"/>
  <c r="E4"/>
  <c r="F4"/>
  <c r="I2" i="9"/>
  <c r="J2" s="1"/>
  <c r="N87" i="10"/>
  <c r="D87"/>
  <c r="F87"/>
  <c r="H87"/>
  <c r="J87"/>
  <c r="A87"/>
  <c r="N86"/>
  <c r="D86"/>
  <c r="F86"/>
  <c r="H86"/>
  <c r="J86"/>
  <c r="A86"/>
  <c r="N85"/>
  <c r="D85"/>
  <c r="F85"/>
  <c r="H85"/>
  <c r="J85"/>
  <c r="A85"/>
  <c r="N84"/>
  <c r="D84"/>
  <c r="F84"/>
  <c r="H84"/>
  <c r="J84"/>
  <c r="A84"/>
  <c r="N83"/>
  <c r="D83"/>
  <c r="F83"/>
  <c r="H83"/>
  <c r="J83"/>
  <c r="A83"/>
  <c r="N82"/>
  <c r="D82"/>
  <c r="F82"/>
  <c r="H82"/>
  <c r="J82"/>
  <c r="A82"/>
  <c r="N81"/>
  <c r="D81"/>
  <c r="F81"/>
  <c r="H81"/>
  <c r="J81"/>
  <c r="A81"/>
  <c r="N80"/>
  <c r="D80"/>
  <c r="F80"/>
  <c r="H80"/>
  <c r="J80"/>
  <c r="A80"/>
  <c r="N79"/>
  <c r="D79"/>
  <c r="F79"/>
  <c r="H79"/>
  <c r="J79"/>
  <c r="A79"/>
  <c r="N78"/>
  <c r="D78"/>
  <c r="F78"/>
  <c r="H78"/>
  <c r="J78"/>
  <c r="A78"/>
  <c r="N77"/>
  <c r="D77"/>
  <c r="F77"/>
  <c r="H77"/>
  <c r="J77"/>
  <c r="A77"/>
  <c r="N76"/>
  <c r="D76"/>
  <c r="F76"/>
  <c r="H76"/>
  <c r="J76"/>
  <c r="A76"/>
  <c r="N75"/>
  <c r="D75"/>
  <c r="F75"/>
  <c r="H75"/>
  <c r="J75"/>
  <c r="A75"/>
  <c r="N74"/>
  <c r="D74"/>
  <c r="F74"/>
  <c r="H74"/>
  <c r="J74"/>
  <c r="A74"/>
  <c r="N73"/>
  <c r="D73"/>
  <c r="F73"/>
  <c r="H73"/>
  <c r="J73"/>
  <c r="A73"/>
  <c r="N72"/>
  <c r="D72"/>
  <c r="F72"/>
  <c r="H72"/>
  <c r="J72"/>
  <c r="A72"/>
  <c r="N71"/>
  <c r="D71"/>
  <c r="F71"/>
  <c r="H71"/>
  <c r="J71"/>
  <c r="A71"/>
  <c r="N70"/>
  <c r="D70"/>
  <c r="F70"/>
  <c r="H70"/>
  <c r="J70"/>
  <c r="A70"/>
  <c r="N69"/>
  <c r="D69"/>
  <c r="F69"/>
  <c r="H69"/>
  <c r="J69"/>
  <c r="A69"/>
  <c r="N68"/>
  <c r="D68"/>
  <c r="F68"/>
  <c r="H68"/>
  <c r="J68"/>
  <c r="A68"/>
  <c r="N67"/>
  <c r="D67"/>
  <c r="F67"/>
  <c r="H67"/>
  <c r="J67"/>
  <c r="A67"/>
  <c r="N66"/>
  <c r="D66"/>
  <c r="F66"/>
  <c r="H66"/>
  <c r="J66"/>
  <c r="A66"/>
  <c r="N65"/>
  <c r="D65"/>
  <c r="F65"/>
  <c r="H65"/>
  <c r="J65"/>
  <c r="A65"/>
  <c r="N64"/>
  <c r="D64"/>
  <c r="F64"/>
  <c r="H64"/>
  <c r="J64"/>
  <c r="A64"/>
  <c r="N63"/>
  <c r="D63"/>
  <c r="F63"/>
  <c r="H63"/>
  <c r="J63"/>
  <c r="A63"/>
  <c r="N62"/>
  <c r="D62"/>
  <c r="F62"/>
  <c r="H62"/>
  <c r="J62"/>
  <c r="A62"/>
  <c r="N61"/>
  <c r="D61"/>
  <c r="F61"/>
  <c r="H61"/>
  <c r="J61"/>
  <c r="A61"/>
  <c r="N60"/>
  <c r="D60"/>
  <c r="F60"/>
  <c r="H60"/>
  <c r="J60"/>
  <c r="A60"/>
  <c r="N59"/>
  <c r="D59"/>
  <c r="F59"/>
  <c r="H59"/>
  <c r="J59"/>
  <c r="A59"/>
  <c r="N58"/>
  <c r="D58"/>
  <c r="F58"/>
  <c r="H58"/>
  <c r="J58"/>
  <c r="A58"/>
  <c r="N57"/>
  <c r="D57"/>
  <c r="F57"/>
  <c r="H57"/>
  <c r="J57"/>
  <c r="A57"/>
  <c r="N56"/>
  <c r="D56"/>
  <c r="F56"/>
  <c r="H56"/>
  <c r="J56"/>
  <c r="A56"/>
  <c r="N55"/>
  <c r="D55"/>
  <c r="F55"/>
  <c r="H55"/>
  <c r="J55"/>
  <c r="N54"/>
  <c r="D54"/>
  <c r="F54"/>
  <c r="H54"/>
  <c r="J54"/>
  <c r="A54"/>
  <c r="N53"/>
  <c r="D53"/>
  <c r="F53"/>
  <c r="H53"/>
  <c r="J53"/>
  <c r="A53"/>
  <c r="N52"/>
  <c r="D52"/>
  <c r="F52"/>
  <c r="H52"/>
  <c r="J52"/>
  <c r="A52"/>
  <c r="N51"/>
  <c r="D51"/>
  <c r="F51"/>
  <c r="H51"/>
  <c r="J51"/>
  <c r="A51"/>
  <c r="N50"/>
  <c r="D50"/>
  <c r="F50"/>
  <c r="H50"/>
  <c r="J50"/>
  <c r="A50"/>
  <c r="N49"/>
  <c r="D49"/>
  <c r="F49"/>
  <c r="H49"/>
  <c r="J49"/>
  <c r="A49"/>
  <c r="N48"/>
  <c r="D48"/>
  <c r="F48"/>
  <c r="H48"/>
  <c r="J48"/>
  <c r="A48"/>
  <c r="N47"/>
  <c r="D47"/>
  <c r="F47"/>
  <c r="H47"/>
  <c r="J47"/>
  <c r="A47"/>
  <c r="N46"/>
  <c r="D46"/>
  <c r="F46"/>
  <c r="H46"/>
  <c r="J46"/>
  <c r="A46"/>
  <c r="N45"/>
  <c r="D45"/>
  <c r="F45"/>
  <c r="H45"/>
  <c r="J45"/>
  <c r="A45"/>
  <c r="N44"/>
  <c r="D44"/>
  <c r="F44"/>
  <c r="H44"/>
  <c r="J44"/>
  <c r="A44"/>
  <c r="N43"/>
  <c r="D43"/>
  <c r="F43"/>
  <c r="H43"/>
  <c r="J43"/>
  <c r="A43"/>
  <c r="N42"/>
  <c r="D42"/>
  <c r="F42"/>
  <c r="H42"/>
  <c r="J42"/>
  <c r="A42"/>
  <c r="N41"/>
  <c r="D41"/>
  <c r="F41"/>
  <c r="H41"/>
  <c r="J41"/>
  <c r="A41"/>
  <c r="N40"/>
  <c r="D40"/>
  <c r="F40"/>
  <c r="H40"/>
  <c r="J40"/>
  <c r="A40"/>
  <c r="N39"/>
  <c r="D39"/>
  <c r="F39"/>
  <c r="H39"/>
  <c r="J39"/>
  <c r="A39"/>
  <c r="N38"/>
  <c r="D38"/>
  <c r="F38"/>
  <c r="H38"/>
  <c r="J38"/>
  <c r="A38"/>
  <c r="N37"/>
  <c r="D37"/>
  <c r="F37"/>
  <c r="H37"/>
  <c r="J37"/>
  <c r="A37"/>
  <c r="N36"/>
  <c r="D36"/>
  <c r="F36"/>
  <c r="H36"/>
  <c r="J36"/>
  <c r="A36"/>
  <c r="N35"/>
  <c r="D35"/>
  <c r="F35"/>
  <c r="H35"/>
  <c r="J35"/>
  <c r="A35"/>
  <c r="N34"/>
  <c r="D34"/>
  <c r="F34"/>
  <c r="H34"/>
  <c r="J34"/>
  <c r="A34"/>
  <c r="N33"/>
  <c r="D33"/>
  <c r="F33"/>
  <c r="H33"/>
  <c r="J33"/>
  <c r="A33"/>
  <c r="N32"/>
  <c r="D32"/>
  <c r="F32"/>
  <c r="H32"/>
  <c r="J32"/>
  <c r="A32"/>
  <c r="N31"/>
  <c r="D31"/>
  <c r="F31"/>
  <c r="H31"/>
  <c r="J31"/>
  <c r="A31"/>
  <c r="N30"/>
  <c r="D30"/>
  <c r="F30"/>
  <c r="H30"/>
  <c r="J30"/>
  <c r="A30"/>
  <c r="N29"/>
  <c r="D29"/>
  <c r="F29"/>
  <c r="H29"/>
  <c r="J29"/>
  <c r="A29"/>
  <c r="N28"/>
  <c r="D28"/>
  <c r="F28"/>
  <c r="H28"/>
  <c r="J28"/>
  <c r="A28"/>
  <c r="K108" i="8"/>
  <c r="J108"/>
  <c r="I108"/>
  <c r="K107"/>
  <c r="J107"/>
  <c r="I107"/>
  <c r="K106"/>
  <c r="J106"/>
  <c r="I106"/>
  <c r="K105"/>
  <c r="J105"/>
  <c r="I105"/>
  <c r="K104"/>
  <c r="J104"/>
  <c r="I104"/>
  <c r="K103"/>
  <c r="J103"/>
  <c r="I103"/>
  <c r="K102"/>
  <c r="J102"/>
  <c r="I102"/>
  <c r="K101"/>
  <c r="J101"/>
  <c r="I101"/>
  <c r="K100"/>
  <c r="J100"/>
  <c r="I100"/>
  <c r="K99"/>
  <c r="J99"/>
  <c r="I99"/>
  <c r="K98"/>
  <c r="J98"/>
  <c r="I98"/>
  <c r="K97"/>
  <c r="J97"/>
  <c r="I97"/>
  <c r="K96"/>
  <c r="J96"/>
  <c r="I96"/>
  <c r="A96"/>
  <c r="K95"/>
  <c r="J95"/>
  <c r="I95"/>
  <c r="A95"/>
  <c r="K94"/>
  <c r="J94"/>
  <c r="I94"/>
  <c r="A94"/>
  <c r="K93"/>
  <c r="J93"/>
  <c r="I93"/>
  <c r="A93"/>
  <c r="K92"/>
  <c r="J92"/>
  <c r="I92"/>
  <c r="A92"/>
  <c r="K91"/>
  <c r="J91"/>
  <c r="I91"/>
  <c r="A91"/>
  <c r="K90"/>
  <c r="J90"/>
  <c r="I90"/>
  <c r="A90"/>
  <c r="K89"/>
  <c r="J89"/>
  <c r="I89"/>
  <c r="A89"/>
  <c r="K88"/>
  <c r="J88"/>
  <c r="I88"/>
  <c r="A88"/>
  <c r="K87"/>
  <c r="J87"/>
  <c r="I87"/>
  <c r="A87"/>
  <c r="K86"/>
  <c r="J86"/>
  <c r="I86"/>
  <c r="A86"/>
  <c r="K85"/>
  <c r="J85"/>
  <c r="I85"/>
  <c r="A85"/>
  <c r="K84"/>
  <c r="J84"/>
  <c r="I84"/>
  <c r="A84"/>
  <c r="K83"/>
  <c r="J83"/>
  <c r="I83"/>
  <c r="A83"/>
  <c r="K82"/>
  <c r="J82"/>
  <c r="I82"/>
  <c r="A82"/>
  <c r="K81"/>
  <c r="J81"/>
  <c r="I81"/>
  <c r="A81"/>
  <c r="K80"/>
  <c r="J80"/>
  <c r="I80"/>
  <c r="A80"/>
  <c r="K79"/>
  <c r="J79"/>
  <c r="I79"/>
  <c r="A79"/>
  <c r="K78"/>
  <c r="J78"/>
  <c r="I78"/>
  <c r="A78"/>
  <c r="K77"/>
  <c r="J77"/>
  <c r="I77"/>
  <c r="A77"/>
  <c r="K76"/>
  <c r="J76"/>
  <c r="I76"/>
  <c r="A76"/>
  <c r="K75"/>
  <c r="J75"/>
  <c r="I75"/>
  <c r="A75"/>
  <c r="K74"/>
  <c r="J74"/>
  <c r="I74"/>
  <c r="A74"/>
  <c r="K73"/>
  <c r="J73"/>
  <c r="I73"/>
  <c r="A73"/>
  <c r="K72"/>
  <c r="J72"/>
  <c r="I72"/>
  <c r="A72"/>
  <c r="K71"/>
  <c r="J71"/>
  <c r="I71"/>
  <c r="A71"/>
  <c r="K70"/>
  <c r="J70"/>
  <c r="I70"/>
  <c r="A70"/>
  <c r="K69"/>
  <c r="J69"/>
  <c r="I69"/>
  <c r="A69"/>
  <c r="K68"/>
  <c r="J68"/>
  <c r="I68"/>
  <c r="A68"/>
  <c r="K67"/>
  <c r="J67"/>
  <c r="I67"/>
  <c r="A67"/>
  <c r="K66"/>
  <c r="J66"/>
  <c r="I66"/>
  <c r="A66"/>
  <c r="K65"/>
  <c r="J65"/>
  <c r="I65"/>
  <c r="A65"/>
  <c r="K64"/>
  <c r="J64"/>
  <c r="I64"/>
  <c r="A64"/>
  <c r="K63"/>
  <c r="J63"/>
  <c r="I63"/>
  <c r="A63"/>
  <c r="K62"/>
  <c r="J62"/>
  <c r="I62"/>
  <c r="A62"/>
  <c r="K61"/>
  <c r="J61"/>
  <c r="I61"/>
  <c r="A61"/>
  <c r="K60"/>
  <c r="J60"/>
  <c r="I60"/>
  <c r="A60"/>
  <c r="K59"/>
  <c r="J59"/>
  <c r="I59"/>
  <c r="A59"/>
  <c r="K58"/>
  <c r="J58"/>
  <c r="I58"/>
  <c r="A58"/>
  <c r="K57"/>
  <c r="J57"/>
  <c r="I57"/>
  <c r="A57"/>
  <c r="K56"/>
  <c r="J56"/>
  <c r="I56"/>
  <c r="A56"/>
  <c r="K55"/>
  <c r="J55"/>
  <c r="I55"/>
  <c r="A55"/>
  <c r="K54"/>
  <c r="J54"/>
  <c r="I54"/>
  <c r="A54"/>
  <c r="K53"/>
  <c r="J53"/>
  <c r="I53"/>
  <c r="A53"/>
  <c r="K52"/>
  <c r="J52"/>
  <c r="I52"/>
  <c r="A52"/>
  <c r="K51"/>
  <c r="J51"/>
  <c r="I51"/>
  <c r="A51"/>
  <c r="K50"/>
  <c r="J50"/>
  <c r="I50"/>
  <c r="A50"/>
  <c r="K49"/>
  <c r="J49"/>
  <c r="I49"/>
  <c r="A49"/>
  <c r="K48"/>
  <c r="J48"/>
  <c r="I48"/>
  <c r="A48"/>
  <c r="K47"/>
  <c r="J47"/>
  <c r="I47"/>
  <c r="A47"/>
  <c r="K46"/>
  <c r="J46"/>
  <c r="I46"/>
  <c r="A46"/>
  <c r="K45"/>
  <c r="J45"/>
  <c r="I45"/>
  <c r="A45"/>
  <c r="K44"/>
  <c r="J44"/>
  <c r="I44"/>
  <c r="A44"/>
  <c r="K43"/>
  <c r="J43"/>
  <c r="I43"/>
  <c r="A43"/>
  <c r="K42"/>
  <c r="J42"/>
  <c r="I42"/>
  <c r="A42"/>
  <c r="K41"/>
  <c r="J41"/>
  <c r="I41"/>
  <c r="A41"/>
  <c r="K40"/>
  <c r="J40"/>
  <c r="I40"/>
  <c r="A40"/>
  <c r="K39"/>
  <c r="J39"/>
  <c r="I39"/>
  <c r="A39"/>
  <c r="K38"/>
  <c r="J38"/>
  <c r="I38"/>
  <c r="A38"/>
  <c r="K37"/>
  <c r="J37"/>
  <c r="I37"/>
  <c r="K36"/>
  <c r="J36"/>
  <c r="I36"/>
  <c r="A36"/>
  <c r="K35"/>
  <c r="J35"/>
  <c r="I35"/>
  <c r="A35"/>
  <c r="K34"/>
  <c r="J34"/>
  <c r="I34"/>
  <c r="A34"/>
  <c r="K33"/>
  <c r="J33"/>
  <c r="I33"/>
  <c r="A33"/>
  <c r="K32"/>
  <c r="J32"/>
  <c r="I32"/>
  <c r="A32"/>
  <c r="K31"/>
  <c r="J31"/>
  <c r="I31"/>
  <c r="A31"/>
  <c r="K30"/>
  <c r="J30"/>
  <c r="I30"/>
  <c r="A30"/>
  <c r="K29"/>
  <c r="J29"/>
  <c r="I29"/>
  <c r="A29"/>
  <c r="K28"/>
  <c r="J28"/>
  <c r="I28"/>
  <c r="A28"/>
  <c r="K27"/>
  <c r="J27"/>
  <c r="I27"/>
  <c r="A27"/>
  <c r="K26"/>
  <c r="J26"/>
  <c r="I26"/>
  <c r="A26"/>
  <c r="K25"/>
  <c r="J25"/>
  <c r="I25"/>
  <c r="A25"/>
  <c r="K24"/>
  <c r="J24"/>
  <c r="I24"/>
  <c r="A24"/>
  <c r="K23"/>
  <c r="J23"/>
  <c r="I23"/>
  <c r="A23"/>
  <c r="K22"/>
  <c r="J22"/>
  <c r="I22"/>
  <c r="A22"/>
  <c r="K21"/>
  <c r="J21"/>
  <c r="I21"/>
  <c r="A21"/>
  <c r="K20"/>
  <c r="J20"/>
  <c r="I20"/>
  <c r="A20"/>
  <c r="K19"/>
  <c r="J19"/>
  <c r="I19"/>
  <c r="A19"/>
  <c r="K18"/>
  <c r="J18"/>
  <c r="I18"/>
  <c r="A18"/>
  <c r="K17"/>
  <c r="J17"/>
  <c r="I17"/>
  <c r="A17"/>
  <c r="K16"/>
  <c r="J16"/>
  <c r="I16"/>
  <c r="A16"/>
  <c r="K15"/>
  <c r="J15"/>
  <c r="I15"/>
  <c r="A15"/>
  <c r="K14"/>
  <c r="J14"/>
  <c r="I14"/>
  <c r="A14"/>
  <c r="K13"/>
  <c r="J13"/>
  <c r="I13"/>
  <c r="A13"/>
  <c r="K12"/>
  <c r="J12"/>
  <c r="I12"/>
  <c r="A12"/>
  <c r="K11"/>
  <c r="J11"/>
  <c r="I11"/>
  <c r="A11"/>
  <c r="K10"/>
  <c r="J10"/>
  <c r="I10"/>
  <c r="A10"/>
  <c r="K108" i="7"/>
  <c r="J108"/>
  <c r="I108"/>
  <c r="K107"/>
  <c r="J107"/>
  <c r="I107"/>
  <c r="K106"/>
  <c r="J106"/>
  <c r="I106"/>
  <c r="K105"/>
  <c r="J105"/>
  <c r="I105"/>
  <c r="K104"/>
  <c r="J104"/>
  <c r="I104"/>
  <c r="K103"/>
  <c r="J103"/>
  <c r="I103"/>
  <c r="K102"/>
  <c r="J102"/>
  <c r="I102"/>
  <c r="K101"/>
  <c r="J101"/>
  <c r="I101"/>
  <c r="K100"/>
  <c r="J100"/>
  <c r="I100"/>
  <c r="K99"/>
  <c r="J99"/>
  <c r="I99"/>
  <c r="K98"/>
  <c r="J98"/>
  <c r="I98"/>
  <c r="K97"/>
  <c r="J97"/>
  <c r="I97"/>
  <c r="K96"/>
  <c r="J96"/>
  <c r="I96"/>
  <c r="A96"/>
  <c r="K95"/>
  <c r="J95"/>
  <c r="I95"/>
  <c r="A95"/>
  <c r="K94"/>
  <c r="J94"/>
  <c r="I94"/>
  <c r="A94"/>
  <c r="K93"/>
  <c r="J93"/>
  <c r="I93"/>
  <c r="A93"/>
  <c r="K92"/>
  <c r="J92"/>
  <c r="I92"/>
  <c r="A92"/>
  <c r="K91"/>
  <c r="J91"/>
  <c r="I91"/>
  <c r="A91"/>
  <c r="K90"/>
  <c r="J90"/>
  <c r="I90"/>
  <c r="A90"/>
  <c r="K89"/>
  <c r="J89"/>
  <c r="I89"/>
  <c r="A89"/>
  <c r="K88"/>
  <c r="J88"/>
  <c r="I88"/>
  <c r="A88"/>
  <c r="K87"/>
  <c r="J87"/>
  <c r="I87"/>
  <c r="A87"/>
  <c r="K86"/>
  <c r="J86"/>
  <c r="I86"/>
  <c r="A86"/>
  <c r="K85"/>
  <c r="J85"/>
  <c r="I85"/>
  <c r="A85"/>
  <c r="K84"/>
  <c r="J84"/>
  <c r="I84"/>
  <c r="A84"/>
  <c r="K83"/>
  <c r="J83"/>
  <c r="I83"/>
  <c r="A83"/>
  <c r="K82"/>
  <c r="J82"/>
  <c r="I82"/>
  <c r="A82"/>
  <c r="K81"/>
  <c r="J81"/>
  <c r="I81"/>
  <c r="A81"/>
  <c r="K80"/>
  <c r="J80"/>
  <c r="I80"/>
  <c r="A80"/>
  <c r="K79"/>
  <c r="J79"/>
  <c r="I79"/>
  <c r="A79"/>
  <c r="K78"/>
  <c r="J78"/>
  <c r="I78"/>
  <c r="A78"/>
  <c r="K77"/>
  <c r="J77"/>
  <c r="I77"/>
  <c r="A77"/>
  <c r="K76"/>
  <c r="J76"/>
  <c r="I76"/>
  <c r="A76"/>
  <c r="K75"/>
  <c r="J75"/>
  <c r="I75"/>
  <c r="A75"/>
  <c r="K74"/>
  <c r="J74"/>
  <c r="I74"/>
  <c r="A74"/>
  <c r="K73"/>
  <c r="J73"/>
  <c r="I73"/>
  <c r="A73"/>
  <c r="K72"/>
  <c r="J72"/>
  <c r="I72"/>
  <c r="A72"/>
  <c r="K71"/>
  <c r="J71"/>
  <c r="I71"/>
  <c r="A71"/>
  <c r="K70"/>
  <c r="J70"/>
  <c r="I70"/>
  <c r="A70"/>
  <c r="K69"/>
  <c r="J69"/>
  <c r="I69"/>
  <c r="A69"/>
  <c r="K68"/>
  <c r="J68"/>
  <c r="I68"/>
  <c r="A68"/>
  <c r="K67"/>
  <c r="J67"/>
  <c r="I67"/>
  <c r="A67"/>
  <c r="K66"/>
  <c r="J66"/>
  <c r="I66"/>
  <c r="A66"/>
  <c r="K65"/>
  <c r="J65"/>
  <c r="I65"/>
  <c r="A65"/>
  <c r="K64"/>
  <c r="J64"/>
  <c r="I64"/>
  <c r="A64"/>
  <c r="K63"/>
  <c r="J63"/>
  <c r="I63"/>
  <c r="A63"/>
  <c r="K62"/>
  <c r="J62"/>
  <c r="I62"/>
  <c r="A62"/>
  <c r="K61"/>
  <c r="J61"/>
  <c r="I61"/>
  <c r="A61"/>
  <c r="K60"/>
  <c r="J60"/>
  <c r="I60"/>
  <c r="A60"/>
  <c r="K59"/>
  <c r="J59"/>
  <c r="I59"/>
  <c r="A59"/>
  <c r="K58"/>
  <c r="J58"/>
  <c r="I58"/>
  <c r="A58"/>
  <c r="K57"/>
  <c r="J57"/>
  <c r="I57"/>
  <c r="A57"/>
  <c r="K56"/>
  <c r="J56"/>
  <c r="I56"/>
  <c r="A56"/>
  <c r="K55"/>
  <c r="J55"/>
  <c r="I55"/>
  <c r="A55"/>
  <c r="K54"/>
  <c r="J54"/>
  <c r="I54"/>
  <c r="A54"/>
  <c r="K53"/>
  <c r="J53"/>
  <c r="I53"/>
  <c r="A53"/>
  <c r="K52"/>
  <c r="J52"/>
  <c r="I52"/>
  <c r="A52"/>
  <c r="K51"/>
  <c r="J51"/>
  <c r="I51"/>
  <c r="A51"/>
  <c r="K50"/>
  <c r="J50"/>
  <c r="I50"/>
  <c r="A50"/>
  <c r="K49"/>
  <c r="J49"/>
  <c r="I49"/>
  <c r="A49"/>
  <c r="K48"/>
  <c r="J48"/>
  <c r="I48"/>
  <c r="A48"/>
  <c r="K47"/>
  <c r="J47"/>
  <c r="I47"/>
  <c r="A47"/>
  <c r="K46"/>
  <c r="J46"/>
  <c r="I46"/>
  <c r="A46"/>
  <c r="K45"/>
  <c r="J45"/>
  <c r="I45"/>
  <c r="A45"/>
  <c r="K44"/>
  <c r="J44"/>
  <c r="I44"/>
  <c r="A44"/>
  <c r="K43"/>
  <c r="J43"/>
  <c r="I43"/>
  <c r="A43"/>
  <c r="K42"/>
  <c r="J42"/>
  <c r="I42"/>
  <c r="A42"/>
  <c r="K41"/>
  <c r="J41"/>
  <c r="I41"/>
  <c r="A41"/>
  <c r="K40"/>
  <c r="J40"/>
  <c r="I40"/>
  <c r="A40"/>
  <c r="K39"/>
  <c r="J39"/>
  <c r="I39"/>
  <c r="A39"/>
  <c r="K38"/>
  <c r="J38"/>
  <c r="I38"/>
  <c r="A38"/>
  <c r="K37"/>
  <c r="J37"/>
  <c r="I37"/>
  <c r="K36"/>
  <c r="J36"/>
  <c r="I36"/>
  <c r="K35"/>
  <c r="J35"/>
  <c r="I35"/>
  <c r="K34"/>
  <c r="J34"/>
  <c r="I34"/>
  <c r="A34"/>
  <c r="K33"/>
  <c r="J33"/>
  <c r="I33"/>
  <c r="A33"/>
  <c r="K32"/>
  <c r="J32"/>
  <c r="I32"/>
  <c r="A32"/>
  <c r="K31"/>
  <c r="J31"/>
  <c r="I31"/>
  <c r="A31"/>
  <c r="K30"/>
  <c r="J30"/>
  <c r="I30"/>
  <c r="A30"/>
  <c r="K29"/>
  <c r="J29"/>
  <c r="I29"/>
  <c r="A29"/>
  <c r="K28"/>
  <c r="J28"/>
  <c r="I28"/>
  <c r="A28"/>
  <c r="K27"/>
  <c r="J27"/>
  <c r="I27"/>
  <c r="A27"/>
  <c r="K26"/>
  <c r="J26"/>
  <c r="I26"/>
  <c r="A26"/>
  <c r="K25"/>
  <c r="J25"/>
  <c r="I25"/>
  <c r="A25"/>
  <c r="K24"/>
  <c r="J24"/>
  <c r="I24"/>
  <c r="A24"/>
  <c r="K23"/>
  <c r="J23"/>
  <c r="I23"/>
  <c r="A23"/>
  <c r="K22"/>
  <c r="J22"/>
  <c r="I22"/>
  <c r="A22"/>
  <c r="K21"/>
  <c r="J21"/>
  <c r="I21"/>
  <c r="A21"/>
  <c r="K20"/>
  <c r="J20"/>
  <c r="I20"/>
  <c r="A20"/>
  <c r="K19"/>
  <c r="J19"/>
  <c r="I19"/>
  <c r="A19"/>
  <c r="K18"/>
  <c r="J18"/>
  <c r="I18"/>
  <c r="A18"/>
  <c r="K17"/>
  <c r="J17"/>
  <c r="I17"/>
  <c r="A17"/>
  <c r="K16"/>
  <c r="J16"/>
  <c r="I16"/>
  <c r="A16"/>
  <c r="K15"/>
  <c r="J15"/>
  <c r="I15"/>
  <c r="A15"/>
  <c r="K14"/>
  <c r="J14"/>
  <c r="I14"/>
  <c r="A14"/>
  <c r="K13"/>
  <c r="J13"/>
  <c r="I13"/>
  <c r="A13"/>
  <c r="K12"/>
  <c r="J12"/>
  <c r="I12"/>
  <c r="A12"/>
  <c r="K11"/>
  <c r="J11"/>
  <c r="I11"/>
  <c r="A11"/>
  <c r="K10"/>
  <c r="J10"/>
  <c r="I10"/>
  <c r="A10"/>
  <c r="K108" i="6"/>
  <c r="J108"/>
  <c r="I108"/>
  <c r="K107"/>
  <c r="J107"/>
  <c r="I107"/>
  <c r="K106"/>
  <c r="J106"/>
  <c r="I106"/>
  <c r="K105"/>
  <c r="J105"/>
  <c r="I105"/>
  <c r="K104"/>
  <c r="J104"/>
  <c r="I104"/>
  <c r="K103"/>
  <c r="J103"/>
  <c r="I103"/>
  <c r="K102"/>
  <c r="J102"/>
  <c r="I102"/>
  <c r="K101"/>
  <c r="J101"/>
  <c r="I101"/>
  <c r="K100"/>
  <c r="J100"/>
  <c r="I100"/>
  <c r="K99"/>
  <c r="J99"/>
  <c r="I99"/>
  <c r="K98"/>
  <c r="J98"/>
  <c r="I98"/>
  <c r="K97"/>
  <c r="J97"/>
  <c r="I97"/>
  <c r="K96"/>
  <c r="J96"/>
  <c r="I96"/>
  <c r="A96"/>
  <c r="K95"/>
  <c r="J95"/>
  <c r="I95"/>
  <c r="A95"/>
  <c r="K94"/>
  <c r="J94"/>
  <c r="I94"/>
  <c r="A94"/>
  <c r="K93"/>
  <c r="J93"/>
  <c r="I93"/>
  <c r="A93"/>
  <c r="K92"/>
  <c r="J92"/>
  <c r="I92"/>
  <c r="A92"/>
  <c r="K91"/>
  <c r="J91"/>
  <c r="I91"/>
  <c r="A91"/>
  <c r="K90"/>
  <c r="J90"/>
  <c r="I90"/>
  <c r="A90"/>
  <c r="K89"/>
  <c r="J89"/>
  <c r="I89"/>
  <c r="A89"/>
  <c r="K88"/>
  <c r="J88"/>
  <c r="I88"/>
  <c r="A88"/>
  <c r="K87"/>
  <c r="J87"/>
  <c r="I87"/>
  <c r="A87"/>
  <c r="K86"/>
  <c r="J86"/>
  <c r="I86"/>
  <c r="A86"/>
  <c r="K85"/>
  <c r="J85"/>
  <c r="I85"/>
  <c r="A85"/>
  <c r="K84"/>
  <c r="J84"/>
  <c r="I84"/>
  <c r="A84"/>
  <c r="K83"/>
  <c r="J83"/>
  <c r="I83"/>
  <c r="A83"/>
  <c r="K82"/>
  <c r="J82"/>
  <c r="I82"/>
  <c r="A82"/>
  <c r="K81"/>
  <c r="J81"/>
  <c r="I81"/>
  <c r="A81"/>
  <c r="K80"/>
  <c r="J80"/>
  <c r="I80"/>
  <c r="A80"/>
  <c r="K79"/>
  <c r="J79"/>
  <c r="I79"/>
  <c r="A79"/>
  <c r="K78"/>
  <c r="J78"/>
  <c r="I78"/>
  <c r="A78"/>
  <c r="K77"/>
  <c r="J77"/>
  <c r="I77"/>
  <c r="A77"/>
  <c r="K76"/>
  <c r="J76"/>
  <c r="I76"/>
  <c r="A76"/>
  <c r="K75"/>
  <c r="J75"/>
  <c r="I75"/>
  <c r="A75"/>
  <c r="K74"/>
  <c r="J74"/>
  <c r="I74"/>
  <c r="A74"/>
  <c r="K73"/>
  <c r="J73"/>
  <c r="I73"/>
  <c r="A73"/>
  <c r="K72"/>
  <c r="J72"/>
  <c r="I72"/>
  <c r="A72"/>
  <c r="K71"/>
  <c r="J71"/>
  <c r="I71"/>
  <c r="A71"/>
  <c r="K70"/>
  <c r="J70"/>
  <c r="I70"/>
  <c r="A70"/>
  <c r="K69"/>
  <c r="J69"/>
  <c r="I69"/>
  <c r="A69"/>
  <c r="K68"/>
  <c r="J68"/>
  <c r="I68"/>
  <c r="A68"/>
  <c r="K67"/>
  <c r="J67"/>
  <c r="I67"/>
  <c r="A67"/>
  <c r="K66"/>
  <c r="J66"/>
  <c r="I66"/>
  <c r="A66"/>
  <c r="K65"/>
  <c r="J65"/>
  <c r="I65"/>
  <c r="A65"/>
  <c r="K64"/>
  <c r="J64"/>
  <c r="I64"/>
  <c r="A64"/>
  <c r="K63"/>
  <c r="J63"/>
  <c r="I63"/>
  <c r="A63"/>
  <c r="K62"/>
  <c r="J62"/>
  <c r="I62"/>
  <c r="A62"/>
  <c r="K61"/>
  <c r="J61"/>
  <c r="I61"/>
  <c r="A61"/>
  <c r="K60"/>
  <c r="J60"/>
  <c r="I60"/>
  <c r="A60"/>
  <c r="K59"/>
  <c r="J59"/>
  <c r="I59"/>
  <c r="A59"/>
  <c r="K58"/>
  <c r="J58"/>
  <c r="I58"/>
  <c r="A58"/>
  <c r="K57"/>
  <c r="J57"/>
  <c r="I57"/>
  <c r="A57"/>
  <c r="K56"/>
  <c r="J56"/>
  <c r="I56"/>
  <c r="A56"/>
  <c r="K55"/>
  <c r="J55"/>
  <c r="I55"/>
  <c r="A55"/>
  <c r="K54"/>
  <c r="J54"/>
  <c r="I54"/>
  <c r="A54"/>
  <c r="K53"/>
  <c r="J53"/>
  <c r="I53"/>
  <c r="A53"/>
  <c r="K52"/>
  <c r="J52"/>
  <c r="I52"/>
  <c r="A52"/>
  <c r="K51"/>
  <c r="J51"/>
  <c r="I51"/>
  <c r="A51"/>
  <c r="K50"/>
  <c r="J50"/>
  <c r="I50"/>
  <c r="A50"/>
  <c r="K49"/>
  <c r="J49"/>
  <c r="I49"/>
  <c r="A49"/>
  <c r="K48"/>
  <c r="J48"/>
  <c r="I48"/>
  <c r="A48"/>
  <c r="K47"/>
  <c r="J47"/>
  <c r="I47"/>
  <c r="A47"/>
  <c r="K46"/>
  <c r="J46"/>
  <c r="I46"/>
  <c r="A46"/>
  <c r="K45"/>
  <c r="J45"/>
  <c r="I45"/>
  <c r="A45"/>
  <c r="K44"/>
  <c r="J44"/>
  <c r="I44"/>
  <c r="A44"/>
  <c r="K43"/>
  <c r="J43"/>
  <c r="I43"/>
  <c r="A43"/>
  <c r="K42"/>
  <c r="J42"/>
  <c r="I42"/>
  <c r="A42"/>
  <c r="K41"/>
  <c r="J41"/>
  <c r="I41"/>
  <c r="A41"/>
  <c r="K40"/>
  <c r="J40"/>
  <c r="I40"/>
  <c r="A40"/>
  <c r="K39"/>
  <c r="J39"/>
  <c r="I39"/>
  <c r="A39"/>
  <c r="K38"/>
  <c r="J38"/>
  <c r="I38"/>
  <c r="A38"/>
  <c r="K37"/>
  <c r="J37"/>
  <c r="I37"/>
  <c r="K36"/>
  <c r="J36"/>
  <c r="I36"/>
  <c r="K35"/>
  <c r="J35"/>
  <c r="I35"/>
  <c r="K34"/>
  <c r="J34"/>
  <c r="I34"/>
  <c r="K33"/>
  <c r="J33"/>
  <c r="I33"/>
  <c r="A33"/>
  <c r="K32"/>
  <c r="J32"/>
  <c r="I32"/>
  <c r="A32"/>
  <c r="K31"/>
  <c r="J31"/>
  <c r="I31"/>
  <c r="A31"/>
  <c r="K30"/>
  <c r="J30"/>
  <c r="I30"/>
  <c r="A30"/>
  <c r="K29"/>
  <c r="J29"/>
  <c r="I29"/>
  <c r="A29"/>
  <c r="K28"/>
  <c r="J28"/>
  <c r="I28"/>
  <c r="A28"/>
  <c r="K27"/>
  <c r="J27"/>
  <c r="I27"/>
  <c r="A27"/>
  <c r="K26"/>
  <c r="J26"/>
  <c r="I26"/>
  <c r="A26"/>
  <c r="K25"/>
  <c r="J25"/>
  <c r="I25"/>
  <c r="A25"/>
  <c r="K24"/>
  <c r="J24"/>
  <c r="I24"/>
  <c r="A24"/>
  <c r="K23"/>
  <c r="J23"/>
  <c r="I23"/>
  <c r="A23"/>
  <c r="K22"/>
  <c r="J22"/>
  <c r="I22"/>
  <c r="A22"/>
  <c r="K21"/>
  <c r="J21"/>
  <c r="I21"/>
  <c r="A21"/>
  <c r="K20"/>
  <c r="J20"/>
  <c r="I20"/>
  <c r="A20"/>
  <c r="K19"/>
  <c r="J19"/>
  <c r="I19"/>
  <c r="A19"/>
  <c r="K18"/>
  <c r="J18"/>
  <c r="I18"/>
  <c r="A18"/>
  <c r="K17"/>
  <c r="J17"/>
  <c r="I17"/>
  <c r="A17"/>
  <c r="K16"/>
  <c r="J16"/>
  <c r="I16"/>
  <c r="A16"/>
  <c r="K15"/>
  <c r="J15"/>
  <c r="I15"/>
  <c r="A15"/>
  <c r="K14"/>
  <c r="J14"/>
  <c r="I14"/>
  <c r="A14"/>
  <c r="K13"/>
  <c r="J13"/>
  <c r="I13"/>
  <c r="A13"/>
  <c r="K12"/>
  <c r="J12"/>
  <c r="I12"/>
  <c r="A12"/>
  <c r="K11"/>
  <c r="J11"/>
  <c r="I11"/>
  <c r="A11"/>
  <c r="K10"/>
  <c r="J10"/>
  <c r="I10"/>
  <c r="A10"/>
  <c r="K108" i="5"/>
  <c r="J108"/>
  <c r="I108"/>
  <c r="K107"/>
  <c r="J107"/>
  <c r="I107"/>
  <c r="K106"/>
  <c r="J106"/>
  <c r="I106"/>
  <c r="K105"/>
  <c r="J105"/>
  <c r="I105"/>
  <c r="K104"/>
  <c r="J104"/>
  <c r="I104"/>
  <c r="K103"/>
  <c r="J103"/>
  <c r="I103"/>
  <c r="K102"/>
  <c r="J102"/>
  <c r="I102"/>
  <c r="K101"/>
  <c r="J101"/>
  <c r="I101"/>
  <c r="K100"/>
  <c r="J100"/>
  <c r="I100"/>
  <c r="K99"/>
  <c r="J99"/>
  <c r="I99"/>
  <c r="K98"/>
  <c r="J98"/>
  <c r="I98"/>
  <c r="K97"/>
  <c r="J97"/>
  <c r="I97"/>
  <c r="K96"/>
  <c r="J96"/>
  <c r="I96"/>
  <c r="A96"/>
  <c r="K95"/>
  <c r="J95"/>
  <c r="I95"/>
  <c r="A95"/>
  <c r="K94"/>
  <c r="J94"/>
  <c r="I94"/>
  <c r="A94"/>
  <c r="K93"/>
  <c r="J93"/>
  <c r="I93"/>
  <c r="A93"/>
  <c r="K92"/>
  <c r="J92"/>
  <c r="I92"/>
  <c r="A92"/>
  <c r="K91"/>
  <c r="J91"/>
  <c r="I91"/>
  <c r="A91"/>
  <c r="K90"/>
  <c r="J90"/>
  <c r="I90"/>
  <c r="A90"/>
  <c r="K89"/>
  <c r="J89"/>
  <c r="I89"/>
  <c r="A89"/>
  <c r="K88"/>
  <c r="J88"/>
  <c r="I88"/>
  <c r="A88"/>
  <c r="K87"/>
  <c r="J87"/>
  <c r="I87"/>
  <c r="A87"/>
  <c r="K86"/>
  <c r="J86"/>
  <c r="I86"/>
  <c r="A86"/>
  <c r="K85"/>
  <c r="J85"/>
  <c r="I85"/>
  <c r="A85"/>
  <c r="K84"/>
  <c r="J84"/>
  <c r="I84"/>
  <c r="A84"/>
  <c r="K83"/>
  <c r="J83"/>
  <c r="I83"/>
  <c r="A83"/>
  <c r="K82"/>
  <c r="J82"/>
  <c r="I82"/>
  <c r="A82"/>
  <c r="K81"/>
  <c r="J81"/>
  <c r="I81"/>
  <c r="A81"/>
  <c r="K80"/>
  <c r="J80"/>
  <c r="I80"/>
  <c r="A80"/>
  <c r="K79"/>
  <c r="J79"/>
  <c r="I79"/>
  <c r="A79"/>
  <c r="K78"/>
  <c r="J78"/>
  <c r="I78"/>
  <c r="A78"/>
  <c r="K77"/>
  <c r="J77"/>
  <c r="I77"/>
  <c r="A77"/>
  <c r="K76"/>
  <c r="J76"/>
  <c r="I76"/>
  <c r="A76"/>
  <c r="K75"/>
  <c r="J75"/>
  <c r="I75"/>
  <c r="A75"/>
  <c r="K74"/>
  <c r="J74"/>
  <c r="I74"/>
  <c r="A74"/>
  <c r="K73"/>
  <c r="J73"/>
  <c r="I73"/>
  <c r="A73"/>
  <c r="K72"/>
  <c r="J72"/>
  <c r="I72"/>
  <c r="A72"/>
  <c r="K71"/>
  <c r="J71"/>
  <c r="I71"/>
  <c r="A71"/>
  <c r="K70"/>
  <c r="J70"/>
  <c r="I70"/>
  <c r="A70"/>
  <c r="K69"/>
  <c r="J69"/>
  <c r="I69"/>
  <c r="A69"/>
  <c r="K68"/>
  <c r="J68"/>
  <c r="I68"/>
  <c r="A68"/>
  <c r="K67"/>
  <c r="J67"/>
  <c r="I67"/>
  <c r="A67"/>
  <c r="K66"/>
  <c r="J66"/>
  <c r="I66"/>
  <c r="A66"/>
  <c r="K65"/>
  <c r="J65"/>
  <c r="I65"/>
  <c r="A65"/>
  <c r="K64"/>
  <c r="J64"/>
  <c r="I64"/>
  <c r="A64"/>
  <c r="K63"/>
  <c r="J63"/>
  <c r="I63"/>
  <c r="A63"/>
  <c r="K62"/>
  <c r="J62"/>
  <c r="I62"/>
  <c r="A62"/>
  <c r="K61"/>
  <c r="J61"/>
  <c r="I61"/>
  <c r="A61"/>
  <c r="K60"/>
  <c r="J60"/>
  <c r="I60"/>
  <c r="A60"/>
  <c r="K59"/>
  <c r="J59"/>
  <c r="I59"/>
  <c r="A59"/>
  <c r="K58"/>
  <c r="J58"/>
  <c r="I58"/>
  <c r="A58"/>
  <c r="K57"/>
  <c r="J57"/>
  <c r="I57"/>
  <c r="A57"/>
  <c r="K56"/>
  <c r="J56"/>
  <c r="I56"/>
  <c r="A56"/>
  <c r="K55"/>
  <c r="J55"/>
  <c r="I55"/>
  <c r="A55"/>
  <c r="K54"/>
  <c r="J54"/>
  <c r="I54"/>
  <c r="A54"/>
  <c r="K53"/>
  <c r="J53"/>
  <c r="I53"/>
  <c r="A53"/>
  <c r="K52"/>
  <c r="J52"/>
  <c r="I52"/>
  <c r="A52"/>
  <c r="K51"/>
  <c r="J51"/>
  <c r="I51"/>
  <c r="A51"/>
  <c r="K50"/>
  <c r="J50"/>
  <c r="I50"/>
  <c r="A50"/>
  <c r="K49"/>
  <c r="J49"/>
  <c r="I49"/>
  <c r="A49"/>
  <c r="K48"/>
  <c r="J48"/>
  <c r="I48"/>
  <c r="A48"/>
  <c r="K47"/>
  <c r="J47"/>
  <c r="I47"/>
  <c r="A47"/>
  <c r="K46"/>
  <c r="J46"/>
  <c r="I46"/>
  <c r="A46"/>
  <c r="K45"/>
  <c r="J45"/>
  <c r="I45"/>
  <c r="A45"/>
  <c r="K44"/>
  <c r="J44"/>
  <c r="I44"/>
  <c r="A44"/>
  <c r="K43"/>
  <c r="J43"/>
  <c r="I43"/>
  <c r="A43"/>
  <c r="K42"/>
  <c r="J42"/>
  <c r="I42"/>
  <c r="A42"/>
  <c r="K41"/>
  <c r="J41"/>
  <c r="I41"/>
  <c r="A41"/>
  <c r="K40"/>
  <c r="J40"/>
  <c r="I40"/>
  <c r="A40"/>
  <c r="K39"/>
  <c r="J39"/>
  <c r="I39"/>
  <c r="A39"/>
  <c r="K38"/>
  <c r="J38"/>
  <c r="I38"/>
  <c r="A38"/>
  <c r="K37"/>
  <c r="J37"/>
  <c r="I37"/>
  <c r="K36"/>
  <c r="J36"/>
  <c r="I36"/>
  <c r="A36"/>
  <c r="K35"/>
  <c r="J35"/>
  <c r="I35"/>
  <c r="A35"/>
  <c r="K34"/>
  <c r="J34"/>
  <c r="I34"/>
  <c r="A34"/>
  <c r="K33"/>
  <c r="J33"/>
  <c r="I33"/>
  <c r="A33"/>
  <c r="K32"/>
  <c r="J32"/>
  <c r="I32"/>
  <c r="A32"/>
  <c r="K31"/>
  <c r="J31"/>
  <c r="I31"/>
  <c r="A31"/>
  <c r="K30"/>
  <c r="J30"/>
  <c r="I30"/>
  <c r="A30"/>
  <c r="K29"/>
  <c r="J29"/>
  <c r="I29"/>
  <c r="A29"/>
  <c r="K28"/>
  <c r="J28"/>
  <c r="I28"/>
  <c r="A28"/>
  <c r="K27"/>
  <c r="J27"/>
  <c r="I27"/>
  <c r="A27"/>
  <c r="K26"/>
  <c r="J26"/>
  <c r="I26"/>
  <c r="A26"/>
  <c r="K25"/>
  <c r="J25"/>
  <c r="I25"/>
  <c r="A25"/>
  <c r="K24"/>
  <c r="J24"/>
  <c r="I24"/>
  <c r="A24"/>
  <c r="K23"/>
  <c r="J23"/>
  <c r="I23"/>
  <c r="A23"/>
  <c r="K22"/>
  <c r="J22"/>
  <c r="I22"/>
  <c r="A22"/>
  <c r="K21"/>
  <c r="J21"/>
  <c r="I21"/>
  <c r="A21"/>
  <c r="K20"/>
  <c r="J20"/>
  <c r="I20"/>
  <c r="A20"/>
  <c r="K19"/>
  <c r="J19"/>
  <c r="I19"/>
  <c r="A19"/>
  <c r="K18"/>
  <c r="J18"/>
  <c r="I18"/>
  <c r="A18"/>
  <c r="K17"/>
  <c r="J17"/>
  <c r="I17"/>
  <c r="A17"/>
  <c r="K16"/>
  <c r="J16"/>
  <c r="I16"/>
  <c r="A16"/>
  <c r="K15"/>
  <c r="J15"/>
  <c r="I15"/>
  <c r="A15"/>
  <c r="K14"/>
  <c r="J14"/>
  <c r="I14"/>
  <c r="A14"/>
  <c r="K13"/>
  <c r="J13"/>
  <c r="I13"/>
  <c r="A13"/>
  <c r="K12"/>
  <c r="J12"/>
  <c r="I12"/>
  <c r="A12"/>
  <c r="K11"/>
  <c r="J11"/>
  <c r="I11"/>
  <c r="A11"/>
  <c r="K10"/>
  <c r="J10"/>
  <c r="I10"/>
  <c r="A10"/>
  <c r="K108" i="4"/>
  <c r="J108"/>
  <c r="I108"/>
  <c r="K107"/>
  <c r="J107"/>
  <c r="I107"/>
  <c r="K106"/>
  <c r="J106"/>
  <c r="I106"/>
  <c r="K105"/>
  <c r="J105"/>
  <c r="I105"/>
  <c r="K104"/>
  <c r="J104"/>
  <c r="I104"/>
  <c r="K103"/>
  <c r="J103"/>
  <c r="I103"/>
  <c r="K102"/>
  <c r="J102"/>
  <c r="I102"/>
  <c r="K101"/>
  <c r="J101"/>
  <c r="I101"/>
  <c r="K100"/>
  <c r="J100"/>
  <c r="I100"/>
  <c r="K99"/>
  <c r="J99"/>
  <c r="I99"/>
  <c r="K98"/>
  <c r="J98"/>
  <c r="I98"/>
  <c r="K97"/>
  <c r="J97"/>
  <c r="I97"/>
  <c r="K96"/>
  <c r="J96"/>
  <c r="I96"/>
  <c r="A96"/>
  <c r="K95"/>
  <c r="J95"/>
  <c r="I95"/>
  <c r="A95"/>
  <c r="K94"/>
  <c r="J94"/>
  <c r="I94"/>
  <c r="A94"/>
  <c r="K93"/>
  <c r="J93"/>
  <c r="I93"/>
  <c r="A93"/>
  <c r="K92"/>
  <c r="J92"/>
  <c r="I92"/>
  <c r="A92"/>
  <c r="K91"/>
  <c r="J91"/>
  <c r="I91"/>
  <c r="A91"/>
  <c r="K90"/>
  <c r="J90"/>
  <c r="I90"/>
  <c r="A90"/>
  <c r="K89"/>
  <c r="J89"/>
  <c r="I89"/>
  <c r="A89"/>
  <c r="K88"/>
  <c r="J88"/>
  <c r="I88"/>
  <c r="A88"/>
  <c r="K87"/>
  <c r="J87"/>
  <c r="I87"/>
  <c r="A87"/>
  <c r="K86"/>
  <c r="J86"/>
  <c r="I86"/>
  <c r="A86"/>
  <c r="K85"/>
  <c r="J85"/>
  <c r="I85"/>
  <c r="A85"/>
  <c r="K84"/>
  <c r="J84"/>
  <c r="I84"/>
  <c r="A84"/>
  <c r="K83"/>
  <c r="J83"/>
  <c r="I83"/>
  <c r="A83"/>
  <c r="K82"/>
  <c r="J82"/>
  <c r="I82"/>
  <c r="A82"/>
  <c r="K81"/>
  <c r="J81"/>
  <c r="I81"/>
  <c r="A81"/>
  <c r="K80"/>
  <c r="J80"/>
  <c r="I80"/>
  <c r="A80"/>
  <c r="K79"/>
  <c r="J79"/>
  <c r="I79"/>
  <c r="A79"/>
  <c r="K78"/>
  <c r="E70" i="3" s="1"/>
  <c r="K71" i="25" s="1"/>
  <c r="M71" s="1"/>
  <c r="J78" i="4"/>
  <c r="D70" i="3" s="1"/>
  <c r="I78" i="4"/>
  <c r="C70" i="3" s="1"/>
  <c r="A78" i="4"/>
  <c r="K77"/>
  <c r="J77"/>
  <c r="I77"/>
  <c r="A77"/>
  <c r="K76"/>
  <c r="E68" i="3" s="1"/>
  <c r="K69" i="25" s="1"/>
  <c r="M69" s="1"/>
  <c r="J76" i="4"/>
  <c r="D68" i="3" s="1"/>
  <c r="I76" i="4"/>
  <c r="C68" i="3" s="1"/>
  <c r="A76" i="4"/>
  <c r="K75"/>
  <c r="J75"/>
  <c r="I75"/>
  <c r="A75"/>
  <c r="K74"/>
  <c r="E66" i="3" s="1"/>
  <c r="K67" i="25" s="1"/>
  <c r="M67" s="1"/>
  <c r="J74" i="4"/>
  <c r="D66" i="3" s="1"/>
  <c r="I74" i="4"/>
  <c r="C66" i="3" s="1"/>
  <c r="A74" i="4"/>
  <c r="K73"/>
  <c r="J73"/>
  <c r="I73"/>
  <c r="A73"/>
  <c r="K72"/>
  <c r="E64" i="3" s="1"/>
  <c r="K65" i="25" s="1"/>
  <c r="M65" s="1"/>
  <c r="J72" i="4"/>
  <c r="D64" i="3" s="1"/>
  <c r="I72" i="4"/>
  <c r="C64" i="3" s="1"/>
  <c r="A72" i="4"/>
  <c r="K71"/>
  <c r="J71"/>
  <c r="I71"/>
  <c r="A71"/>
  <c r="K70"/>
  <c r="J70"/>
  <c r="I70"/>
  <c r="A70"/>
  <c r="K69"/>
  <c r="E61" i="3" s="1"/>
  <c r="K62" i="25" s="1"/>
  <c r="M62" s="1"/>
  <c r="J69" i="4"/>
  <c r="D61" i="3" s="1"/>
  <c r="I69" i="4"/>
  <c r="C61" i="3" s="1"/>
  <c r="A69" i="4"/>
  <c r="K68"/>
  <c r="E60" i="3" s="1"/>
  <c r="J68" i="4"/>
  <c r="D60" i="3" s="1"/>
  <c r="I68" i="4"/>
  <c r="C60" i="3" s="1"/>
  <c r="A68" i="4"/>
  <c r="K67"/>
  <c r="E59" i="3" s="1"/>
  <c r="J67" i="4"/>
  <c r="D59" i="3" s="1"/>
  <c r="I67" i="4"/>
  <c r="C59" i="3" s="1"/>
  <c r="A67" i="4"/>
  <c r="K66"/>
  <c r="J66"/>
  <c r="I66"/>
  <c r="A66"/>
  <c r="K65"/>
  <c r="J65"/>
  <c r="I65"/>
  <c r="A65"/>
  <c r="K64"/>
  <c r="J64"/>
  <c r="I64"/>
  <c r="A64"/>
  <c r="K63"/>
  <c r="J63"/>
  <c r="I63"/>
  <c r="A63"/>
  <c r="K62"/>
  <c r="E54" i="3" s="1"/>
  <c r="J62" i="4"/>
  <c r="D54" i="3" s="1"/>
  <c r="I62" i="4"/>
  <c r="C54" i="3" s="1"/>
  <c r="A62" i="4"/>
  <c r="K61"/>
  <c r="E53" i="30" s="1"/>
  <c r="W54" i="25" s="1"/>
  <c r="Y54" s="1"/>
  <c r="J61" i="4"/>
  <c r="D53" i="30" s="1"/>
  <c r="I61" i="4"/>
  <c r="C53" i="30" s="1"/>
  <c r="B53" s="1"/>
  <c r="G53" i="2" s="1"/>
  <c r="A61" i="4"/>
  <c r="K60"/>
  <c r="E52" i="29" s="1"/>
  <c r="Q53" i="25" s="1"/>
  <c r="S53" s="1"/>
  <c r="J60" i="4"/>
  <c r="D52" i="29" s="1"/>
  <c r="I60" i="4"/>
  <c r="C52" i="29" s="1"/>
  <c r="A60" i="4"/>
  <c r="K59"/>
  <c r="E51" i="3" s="1"/>
  <c r="J59" i="4"/>
  <c r="D51" i="3" s="1"/>
  <c r="I59" i="4"/>
  <c r="C51" i="3" s="1"/>
  <c r="A59" i="4"/>
  <c r="K58"/>
  <c r="E50" i="3" s="1"/>
  <c r="J58" i="4"/>
  <c r="D50" i="3" s="1"/>
  <c r="I58" i="4"/>
  <c r="C50" i="3" s="1"/>
  <c r="A58" i="4"/>
  <c r="K57"/>
  <c r="E49" i="30" s="1"/>
  <c r="W50" i="25" s="1"/>
  <c r="Y50" s="1"/>
  <c r="J57" i="4"/>
  <c r="D49" i="30" s="1"/>
  <c r="I57" i="4"/>
  <c r="C49" i="30" s="1"/>
  <c r="A57" i="4"/>
  <c r="K56"/>
  <c r="E48" i="3" s="1"/>
  <c r="J56" i="4"/>
  <c r="D48" i="3" s="1"/>
  <c r="I56" i="4"/>
  <c r="C48" i="3" s="1"/>
  <c r="A56" i="4"/>
  <c r="K55"/>
  <c r="J55"/>
  <c r="I55"/>
  <c r="A55"/>
  <c r="K54"/>
  <c r="J54"/>
  <c r="I54"/>
  <c r="A54"/>
  <c r="K53"/>
  <c r="E45" i="30" s="1"/>
  <c r="W46" i="25" s="1"/>
  <c r="Y46" s="1"/>
  <c r="J53" i="4"/>
  <c r="D45" i="30" s="1"/>
  <c r="I53" i="4"/>
  <c r="C45" i="30" s="1"/>
  <c r="A53" i="4"/>
  <c r="K52"/>
  <c r="E44" i="30" s="1"/>
  <c r="W45" i="25" s="1"/>
  <c r="Y45" s="1"/>
  <c r="J52" i="4"/>
  <c r="D44" i="30" s="1"/>
  <c r="I52" i="4"/>
  <c r="C44" i="30" s="1"/>
  <c r="B44" s="1"/>
  <c r="G44" i="2" s="1"/>
  <c r="A52" i="4"/>
  <c r="K51"/>
  <c r="E43" i="29" s="1"/>
  <c r="Q44" i="25" s="1"/>
  <c r="S44" s="1"/>
  <c r="J51" i="4"/>
  <c r="D43" i="29" s="1"/>
  <c r="I51" i="4"/>
  <c r="C43" i="29" s="1"/>
  <c r="A51" i="4"/>
  <c r="K50"/>
  <c r="E42" i="3" s="1"/>
  <c r="J50" i="4"/>
  <c r="D42" i="3" s="1"/>
  <c r="I50" i="4"/>
  <c r="C42" i="3" s="1"/>
  <c r="B42" s="1"/>
  <c r="G42" i="2" s="1"/>
  <c r="A50" i="4"/>
  <c r="K49"/>
  <c r="E41" i="29" s="1"/>
  <c r="Q42" i="25" s="1"/>
  <c r="S42" s="1"/>
  <c r="J49" i="4"/>
  <c r="D41" i="29" s="1"/>
  <c r="I49" i="4"/>
  <c r="C41" i="29" s="1"/>
  <c r="B41" s="1"/>
  <c r="G41" i="2" s="1"/>
  <c r="A49" i="4"/>
  <c r="K48"/>
  <c r="E40" i="29" s="1"/>
  <c r="Q41" i="25" s="1"/>
  <c r="S41" s="1"/>
  <c r="J48" i="4"/>
  <c r="D40" i="29" s="1"/>
  <c r="I48" i="4"/>
  <c r="C40" i="29" s="1"/>
  <c r="A48" i="4"/>
  <c r="K47"/>
  <c r="E39" i="3" s="1"/>
  <c r="J47" i="4"/>
  <c r="D39" i="3" s="1"/>
  <c r="I47" i="4"/>
  <c r="C39" i="3" s="1"/>
  <c r="A47" i="4"/>
  <c r="K46"/>
  <c r="J46"/>
  <c r="I46"/>
  <c r="A46"/>
  <c r="K45"/>
  <c r="E37" i="30" s="1"/>
  <c r="W38" i="25" s="1"/>
  <c r="Y38" s="1"/>
  <c r="J45" i="4"/>
  <c r="D37" i="30" s="1"/>
  <c r="I45" i="4"/>
  <c r="C37" i="30" s="1"/>
  <c r="B37" s="1"/>
  <c r="G37" i="2" s="1"/>
  <c r="A45" i="4"/>
  <c r="K44"/>
  <c r="E36" i="30" s="1"/>
  <c r="W37" i="25" s="1"/>
  <c r="Y37" s="1"/>
  <c r="J44" i="4"/>
  <c r="D36" i="30" s="1"/>
  <c r="I44" i="4"/>
  <c r="C36" i="30" s="1"/>
  <c r="B36" s="1"/>
  <c r="G36" i="2" s="1"/>
  <c r="A44" i="4"/>
  <c r="K43"/>
  <c r="J43"/>
  <c r="I43"/>
  <c r="A43"/>
  <c r="K42"/>
  <c r="E34" i="3" s="1"/>
  <c r="J42" i="4"/>
  <c r="D34" i="3" s="1"/>
  <c r="I42" i="4"/>
  <c r="C34" i="3" s="1"/>
  <c r="A42" i="4"/>
  <c r="K41"/>
  <c r="E33" i="3" s="1"/>
  <c r="J41" i="4"/>
  <c r="D33" i="3" s="1"/>
  <c r="I41" i="4"/>
  <c r="C33" i="3" s="1"/>
  <c r="A41" i="4"/>
  <c r="K40"/>
  <c r="E32" i="29" s="1"/>
  <c r="Q33" i="25" s="1"/>
  <c r="S33" s="1"/>
  <c r="J40" i="4"/>
  <c r="D32" i="29" s="1"/>
  <c r="I40" i="4"/>
  <c r="C32" i="29" s="1"/>
  <c r="B32" s="1"/>
  <c r="G32" i="2" s="1"/>
  <c r="A40" i="4"/>
  <c r="K39"/>
  <c r="E31" i="3" s="1"/>
  <c r="J39" i="4"/>
  <c r="D31" i="3" s="1"/>
  <c r="I39" i="4"/>
  <c r="C31" i="3" s="1"/>
  <c r="B31" s="1"/>
  <c r="G31" i="2" s="1"/>
  <c r="A39" i="4"/>
  <c r="K38"/>
  <c r="E30" i="3" s="1"/>
  <c r="J38" i="4"/>
  <c r="D30" i="3" s="1"/>
  <c r="I38" i="4"/>
  <c r="C30" i="3" s="1"/>
  <c r="A38" i="4"/>
  <c r="K37"/>
  <c r="E29" i="3" s="1"/>
  <c r="J37" i="4"/>
  <c r="D29" i="3" s="1"/>
  <c r="I37" i="4"/>
  <c r="C29" i="3" s="1"/>
  <c r="B29" s="1"/>
  <c r="G29" i="2" s="1"/>
  <c r="K36" i="4"/>
  <c r="E28" i="29" s="1"/>
  <c r="Q29" i="25" s="1"/>
  <c r="S29" s="1"/>
  <c r="J36" i="4"/>
  <c r="D28" i="29" s="1"/>
  <c r="B28" s="1"/>
  <c r="G28" i="2" s="1"/>
  <c r="I36" i="4"/>
  <c r="C28" i="29" s="1"/>
  <c r="A36" i="4"/>
  <c r="K35"/>
  <c r="E27" i="3" s="1"/>
  <c r="J35" i="4"/>
  <c r="D27" i="3" s="1"/>
  <c r="I35" i="4"/>
  <c r="C27" i="3" s="1"/>
  <c r="A35" i="4"/>
  <c r="K34"/>
  <c r="E26" i="29" s="1"/>
  <c r="Q27" i="25" s="1"/>
  <c r="S27" s="1"/>
  <c r="J34" i="4"/>
  <c r="D26" i="29" s="1"/>
  <c r="I34" i="4"/>
  <c r="C26" i="29" s="1"/>
  <c r="A34" i="4"/>
  <c r="K33"/>
  <c r="E25" i="3" s="1"/>
  <c r="J33" i="4"/>
  <c r="D25" i="3" s="1"/>
  <c r="I33" i="4"/>
  <c r="C25" i="3" s="1"/>
  <c r="A33" i="4"/>
  <c r="K32"/>
  <c r="E24" i="3" s="1"/>
  <c r="J32" i="4"/>
  <c r="D24" i="3" s="1"/>
  <c r="I32" i="4"/>
  <c r="C24" i="3" s="1"/>
  <c r="A32" i="4"/>
  <c r="K31"/>
  <c r="E23" i="3" s="1"/>
  <c r="J31" i="4"/>
  <c r="D23" i="3" s="1"/>
  <c r="B23" s="1"/>
  <c r="G23" i="2" s="1"/>
  <c r="I31" i="4"/>
  <c r="C23" i="3" s="1"/>
  <c r="A31" i="4"/>
  <c r="K30"/>
  <c r="E22" i="29" s="1"/>
  <c r="Q23" i="25" s="1"/>
  <c r="S23" s="1"/>
  <c r="J30" i="4"/>
  <c r="D22" i="29" s="1"/>
  <c r="I30" i="4"/>
  <c r="C22" i="29" s="1"/>
  <c r="A30" i="4"/>
  <c r="K29"/>
  <c r="E21" i="3" s="1"/>
  <c r="J29" i="4"/>
  <c r="D21" i="3" s="1"/>
  <c r="I29" i="4"/>
  <c r="C21" i="3" s="1"/>
  <c r="A29" i="4"/>
  <c r="K28"/>
  <c r="E20" i="3" s="1"/>
  <c r="J28" i="4"/>
  <c r="D20" i="3" s="1"/>
  <c r="I28" i="4"/>
  <c r="C20" i="3" s="1"/>
  <c r="A28" i="4"/>
  <c r="K27"/>
  <c r="E19" i="3" s="1"/>
  <c r="J27" i="4"/>
  <c r="D19" i="3" s="1"/>
  <c r="I27" i="4"/>
  <c r="C19" i="3" s="1"/>
  <c r="A27" i="4"/>
  <c r="K26"/>
  <c r="E18" i="30" s="1"/>
  <c r="W19" i="25" s="1"/>
  <c r="Y19" s="1"/>
  <c r="J26" i="4"/>
  <c r="D18" i="30" s="1"/>
  <c r="I26" i="4"/>
  <c r="C18" i="30" s="1"/>
  <c r="A26" i="4"/>
  <c r="K25"/>
  <c r="E17" i="3" s="1"/>
  <c r="J25" i="4"/>
  <c r="D17" i="3" s="1"/>
  <c r="I25" i="4"/>
  <c r="C17" i="3" s="1"/>
  <c r="A25" i="4"/>
  <c r="K24"/>
  <c r="J24"/>
  <c r="I24"/>
  <c r="A24"/>
  <c r="K23"/>
  <c r="E15" i="29" s="1"/>
  <c r="Q16" i="25" s="1"/>
  <c r="S16" s="1"/>
  <c r="J23" i="4"/>
  <c r="D15" i="29" s="1"/>
  <c r="B15" s="1"/>
  <c r="G15" i="2" s="1"/>
  <c r="I23" i="4"/>
  <c r="C15" i="29" s="1"/>
  <c r="A23" i="4"/>
  <c r="K22"/>
  <c r="E14" i="3" s="1"/>
  <c r="J22" i="4"/>
  <c r="D14" i="3" s="1"/>
  <c r="B14" s="1"/>
  <c r="G14" i="2" s="1"/>
  <c r="I22" i="4"/>
  <c r="C14" i="3" s="1"/>
  <c r="A22" i="4"/>
  <c r="K21"/>
  <c r="J21"/>
  <c r="I21"/>
  <c r="A21"/>
  <c r="K20"/>
  <c r="E12" i="3" s="1"/>
  <c r="J20" i="4"/>
  <c r="D12" i="3" s="1"/>
  <c r="I20" i="4"/>
  <c r="C12" i="3" s="1"/>
  <c r="A20" i="4"/>
  <c r="K19"/>
  <c r="E11" i="30" s="1"/>
  <c r="W12" i="25" s="1"/>
  <c r="Y12" s="1"/>
  <c r="J19" i="4"/>
  <c r="D11" i="30" s="1"/>
  <c r="I19" i="4"/>
  <c r="C11" i="30" s="1"/>
  <c r="A19" i="4"/>
  <c r="K18"/>
  <c r="E10" i="30" s="1"/>
  <c r="W11" i="25" s="1"/>
  <c r="Y11" s="1"/>
  <c r="J18" i="4"/>
  <c r="D10" i="30" s="1"/>
  <c r="I18" i="4"/>
  <c r="C10" i="30" s="1"/>
  <c r="A18" i="4"/>
  <c r="K17"/>
  <c r="E9" i="29" s="1"/>
  <c r="Q10" i="25" s="1"/>
  <c r="S10" s="1"/>
  <c r="J17" i="4"/>
  <c r="D9" i="29" s="1"/>
  <c r="I17" i="4"/>
  <c r="C9" i="29" s="1"/>
  <c r="A17" i="4"/>
  <c r="K16"/>
  <c r="J16"/>
  <c r="I16"/>
  <c r="A16"/>
  <c r="K15"/>
  <c r="E7" i="29" s="1"/>
  <c r="Q8" i="25" s="1"/>
  <c r="S8" s="1"/>
  <c r="J15" i="4"/>
  <c r="D7" i="29" s="1"/>
  <c r="I15" i="4"/>
  <c r="C7" i="29" s="1"/>
  <c r="A15" i="4"/>
  <c r="K14"/>
  <c r="J14"/>
  <c r="I14"/>
  <c r="A14"/>
  <c r="K13"/>
  <c r="E5" i="3" s="1"/>
  <c r="J13" i="4"/>
  <c r="D5" i="3" s="1"/>
  <c r="I13" i="4"/>
  <c r="C5" i="3" s="1"/>
  <c r="A13" i="4"/>
  <c r="K12"/>
  <c r="J12"/>
  <c r="I12"/>
  <c r="A12"/>
  <c r="K11"/>
  <c r="J11"/>
  <c r="I11"/>
  <c r="A11"/>
  <c r="K10"/>
  <c r="E2" i="30" s="1"/>
  <c r="W3" i="25" s="1"/>
  <c r="Y3" s="1"/>
  <c r="J10" i="4"/>
  <c r="D2" i="30" s="1"/>
  <c r="I10" i="4"/>
  <c r="C2" i="30" s="1"/>
  <c r="A10" i="4"/>
  <c r="F60" i="1"/>
  <c r="F58"/>
  <c r="F54"/>
  <c r="F53"/>
  <c r="C38"/>
  <c r="B49" i="30" l="1"/>
  <c r="G49" i="2" s="1"/>
  <c r="B66" i="3"/>
  <c r="B68"/>
  <c r="C55" i="30"/>
  <c r="B55" s="1"/>
  <c r="C55" i="3"/>
  <c r="E55" i="30"/>
  <c r="W56" i="25" s="1"/>
  <c r="Y56" s="1"/>
  <c r="E55" i="3"/>
  <c r="D55" i="30"/>
  <c r="D55" i="3"/>
  <c r="B55" s="1"/>
  <c r="B70"/>
  <c r="G68" i="2"/>
  <c r="C69" i="25"/>
  <c r="E69" s="1"/>
  <c r="C67"/>
  <c r="E67" s="1"/>
  <c r="G66" i="2"/>
  <c r="B64" i="3"/>
  <c r="G64" i="2" s="1"/>
  <c r="C65" i="25"/>
  <c r="E65" s="1"/>
  <c r="B61" i="3"/>
  <c r="C62" i="25" s="1"/>
  <c r="E62" s="1"/>
  <c r="B60" i="3"/>
  <c r="G60" i="2" s="1"/>
  <c r="B59" i="3"/>
  <c r="G59" i="2" s="1"/>
  <c r="B52" i="29"/>
  <c r="G52" i="2" s="1"/>
  <c r="B50" i="3"/>
  <c r="G50" i="2" s="1"/>
  <c r="B48" i="3"/>
  <c r="G48" i="2" s="1"/>
  <c r="B19" i="3"/>
  <c r="G19" i="2" s="1"/>
  <c r="B17" i="3"/>
  <c r="G17" i="2" s="1"/>
  <c r="C62" i="29"/>
  <c r="C62" i="3"/>
  <c r="E62" i="29"/>
  <c r="Q63" i="25" s="1"/>
  <c r="S63" s="1"/>
  <c r="E62" i="3"/>
  <c r="K63" i="25" s="1"/>
  <c r="M63" s="1"/>
  <c r="D62" i="29"/>
  <c r="D62" i="3"/>
  <c r="B62" s="1"/>
  <c r="C63" i="25" s="1"/>
  <c r="E63" s="1"/>
  <c r="D16" i="29"/>
  <c r="D16" i="30"/>
  <c r="C38" i="3"/>
  <c r="C38" i="30"/>
  <c r="E38" i="3"/>
  <c r="E38" i="30"/>
  <c r="W39" i="25" s="1"/>
  <c r="Y39" s="1"/>
  <c r="C46" i="30"/>
  <c r="C46" i="3"/>
  <c r="E46" i="30"/>
  <c r="W47" i="25" s="1"/>
  <c r="Y47" s="1"/>
  <c r="E46" i="3"/>
  <c r="C47" i="30"/>
  <c r="C47" i="3"/>
  <c r="H63" i="21" s="1"/>
  <c r="E47" i="30"/>
  <c r="W48" i="25" s="1"/>
  <c r="Y48" s="1"/>
  <c r="E47" i="3"/>
  <c r="K48" i="25" s="1"/>
  <c r="M48" s="1"/>
  <c r="C16" i="29"/>
  <c r="C16" i="30"/>
  <c r="B16" s="1"/>
  <c r="E16" i="29"/>
  <c r="Q17" i="25" s="1"/>
  <c r="S17" s="1"/>
  <c r="E16" i="30"/>
  <c r="W17" i="25" s="1"/>
  <c r="Y17" s="1"/>
  <c r="D38" i="3"/>
  <c r="D38" i="30"/>
  <c r="D46"/>
  <c r="D46" i="3"/>
  <c r="B46" s="1"/>
  <c r="D47" i="30"/>
  <c r="D47" i="3"/>
  <c r="B47" s="1"/>
  <c r="B9" i="29"/>
  <c r="G9" i="2" s="1"/>
  <c r="B10" i="30"/>
  <c r="G10" i="2" s="1"/>
  <c r="B11" i="30"/>
  <c r="G11" i="2" s="1"/>
  <c r="B12" i="3"/>
  <c r="G12" i="2" s="1"/>
  <c r="B18" i="30"/>
  <c r="G18" i="2" s="1"/>
  <c r="B20" i="3"/>
  <c r="G20" i="2" s="1"/>
  <c r="B21" i="3"/>
  <c r="G21" i="2" s="1"/>
  <c r="B22" i="29"/>
  <c r="G22" i="2" s="1"/>
  <c r="B24" i="3"/>
  <c r="G24" i="2" s="1"/>
  <c r="B25" i="3"/>
  <c r="G25" i="2" s="1"/>
  <c r="B26" i="29"/>
  <c r="G26" i="2" s="1"/>
  <c r="B27" i="3"/>
  <c r="G27" i="2" s="1"/>
  <c r="B30" i="3"/>
  <c r="G30" i="2" s="1"/>
  <c r="B33" i="3"/>
  <c r="G33" i="2" s="1"/>
  <c r="B40" i="29"/>
  <c r="G40" i="2" s="1"/>
  <c r="B43" i="29"/>
  <c r="G43" i="2" s="1"/>
  <c r="B51" i="3"/>
  <c r="G51" i="2" s="1"/>
  <c r="B54" i="3"/>
  <c r="G54" i="2" s="1"/>
  <c r="E35" i="3"/>
  <c r="E35" i="30"/>
  <c r="W36" i="25" s="1"/>
  <c r="Y36" s="1"/>
  <c r="C35" i="3"/>
  <c r="C35" i="30"/>
  <c r="D35" i="3"/>
  <c r="D35" i="30"/>
  <c r="K5" i="20"/>
  <c r="U15"/>
  <c r="Y35"/>
  <c r="Y6"/>
  <c r="M6"/>
  <c r="Y20"/>
  <c r="W6"/>
  <c r="B63" i="19"/>
  <c r="K63" i="9"/>
  <c r="K63" i="2" s="1"/>
  <c r="B65" i="19"/>
  <c r="K65" i="9"/>
  <c r="K65" i="2" s="1"/>
  <c r="B67" i="19"/>
  <c r="B69"/>
  <c r="F69" i="2"/>
  <c r="B71" i="19"/>
  <c r="K71" i="9"/>
  <c r="K71" i="2" s="1"/>
  <c r="B73" i="19"/>
  <c r="F73" i="2"/>
  <c r="B75" i="19"/>
  <c r="K75" i="9"/>
  <c r="K75" i="2" s="1"/>
  <c r="B77" i="19"/>
  <c r="F77" i="2"/>
  <c r="B79" i="19"/>
  <c r="K79" i="9"/>
  <c r="K79" i="2" s="1"/>
  <c r="B81" i="19"/>
  <c r="K81" i="9"/>
  <c r="K81" i="2" s="1"/>
  <c r="B83" i="19"/>
  <c r="K83" i="9"/>
  <c r="K83" i="2" s="1"/>
  <c r="B85" i="19"/>
  <c r="K85" i="9"/>
  <c r="K85" i="2" s="1"/>
  <c r="B87" i="19"/>
  <c r="K87" i="9"/>
  <c r="K87" i="2" s="1"/>
  <c r="A162" i="9"/>
  <c r="A160"/>
  <c r="A158"/>
  <c r="A156"/>
  <c r="A154"/>
  <c r="Y53" i="20"/>
  <c r="Q53"/>
  <c r="W53"/>
  <c r="O53"/>
  <c r="K50" i="9"/>
  <c r="K50" i="2" s="1"/>
  <c r="U53" i="20"/>
  <c r="M53"/>
  <c r="S53"/>
  <c r="K53"/>
  <c r="K46" i="9"/>
  <c r="K46" i="2" s="1"/>
  <c r="S49" i="20"/>
  <c r="K49"/>
  <c r="U49"/>
  <c r="M49"/>
  <c r="W49"/>
  <c r="O49"/>
  <c r="Y49"/>
  <c r="Q49"/>
  <c r="W43"/>
  <c r="O43"/>
  <c r="Y43"/>
  <c r="Q43"/>
  <c r="K40" i="9"/>
  <c r="K40" i="2" s="1"/>
  <c r="S43" i="20"/>
  <c r="K43"/>
  <c r="U43"/>
  <c r="M43"/>
  <c r="W41"/>
  <c r="M41"/>
  <c r="U41"/>
  <c r="K41"/>
  <c r="K38" i="9"/>
  <c r="K38" i="2" s="1"/>
  <c r="Q41" i="20"/>
  <c r="Y41"/>
  <c r="O41"/>
  <c r="E31" i="9"/>
  <c r="E31" i="2" s="1"/>
  <c r="J31" s="1"/>
  <c r="O34" i="20"/>
  <c r="W13"/>
  <c r="M7"/>
  <c r="M11"/>
  <c r="U13"/>
  <c r="Y15"/>
  <c r="Y19"/>
  <c r="M21"/>
  <c r="M23"/>
  <c r="U27"/>
  <c r="U28"/>
  <c r="M31"/>
  <c r="U31"/>
  <c r="M32"/>
  <c r="U33"/>
  <c r="U37"/>
  <c r="S7"/>
  <c r="W15"/>
  <c r="W17"/>
  <c r="K20"/>
  <c r="O21"/>
  <c r="K27"/>
  <c r="O28"/>
  <c r="W30"/>
  <c r="O31"/>
  <c r="O32"/>
  <c r="W33"/>
  <c r="W37"/>
  <c r="U10"/>
  <c r="W10"/>
  <c r="M48"/>
  <c r="M42"/>
  <c r="S51"/>
  <c r="U51"/>
  <c r="U47"/>
  <c r="W47"/>
  <c r="W45"/>
  <c r="Y45"/>
  <c r="U52"/>
  <c r="U46"/>
  <c r="S48"/>
  <c r="O51"/>
  <c r="Q51"/>
  <c r="Q47"/>
  <c r="S47"/>
  <c r="K45"/>
  <c r="Q52"/>
  <c r="Q46"/>
  <c r="S39"/>
  <c r="O39"/>
  <c r="K39"/>
  <c r="Y39"/>
  <c r="B62" i="19"/>
  <c r="K62" i="9"/>
  <c r="K62" i="2" s="1"/>
  <c r="B64" i="19"/>
  <c r="K64" i="9"/>
  <c r="K64" i="2" s="1"/>
  <c r="B66" i="19"/>
  <c r="K66" i="9"/>
  <c r="K66" i="2" s="1"/>
  <c r="B68" i="19"/>
  <c r="K68" i="9"/>
  <c r="K68" i="2" s="1"/>
  <c r="B70" i="19"/>
  <c r="K70" i="9"/>
  <c r="K70" i="2" s="1"/>
  <c r="B72" i="19"/>
  <c r="K72" i="9"/>
  <c r="K72" i="2" s="1"/>
  <c r="B74" i="19"/>
  <c r="K74" i="9"/>
  <c r="K74" i="2" s="1"/>
  <c r="B76" i="19"/>
  <c r="K76" i="9"/>
  <c r="K76" i="2" s="1"/>
  <c r="B78" i="19"/>
  <c r="F78" i="2"/>
  <c r="B80" i="19"/>
  <c r="K80" i="9"/>
  <c r="K80" i="2" s="1"/>
  <c r="B82" i="19"/>
  <c r="K82" i="9"/>
  <c r="K82" i="2" s="1"/>
  <c r="B84" i="19"/>
  <c r="K84" i="9"/>
  <c r="K84" i="2" s="1"/>
  <c r="B86" i="19"/>
  <c r="K86" i="9"/>
  <c r="K86" i="2" s="1"/>
  <c r="B88" i="19"/>
  <c r="K88" i="9"/>
  <c r="K88" i="2" s="1"/>
  <c r="A163" i="9"/>
  <c r="A161"/>
  <c r="A159"/>
  <c r="A157"/>
  <c r="A155"/>
  <c r="A153"/>
  <c r="E47"/>
  <c r="F41" i="2"/>
  <c r="U44" i="20"/>
  <c r="M44"/>
  <c r="S44"/>
  <c r="K44"/>
  <c r="Y44"/>
  <c r="Q44"/>
  <c r="W44"/>
  <c r="O44"/>
  <c r="U40"/>
  <c r="M40"/>
  <c r="S40"/>
  <c r="K40"/>
  <c r="F37" i="2"/>
  <c r="Y40" i="20"/>
  <c r="Q40"/>
  <c r="W40"/>
  <c r="O40"/>
  <c r="E35" i="9"/>
  <c r="E35" i="2" s="1"/>
  <c r="J35" s="1"/>
  <c r="M38" i="20"/>
  <c r="S11"/>
  <c r="Y7"/>
  <c r="Y11"/>
  <c r="Y17"/>
  <c r="Q21"/>
  <c r="Q27"/>
  <c r="Q28"/>
  <c r="Y28"/>
  <c r="Y30"/>
  <c r="Q31"/>
  <c r="Y31"/>
  <c r="M33"/>
  <c r="M37"/>
  <c r="Y37"/>
  <c r="W11"/>
  <c r="S15"/>
  <c r="K17"/>
  <c r="W19"/>
  <c r="O20"/>
  <c r="K21"/>
  <c r="K23"/>
  <c r="W23"/>
  <c r="O27"/>
  <c r="K28"/>
  <c r="W28"/>
  <c r="K31"/>
  <c r="W31"/>
  <c r="W32"/>
  <c r="S37"/>
  <c r="Q10"/>
  <c r="Y10"/>
  <c r="S10"/>
  <c r="Q42"/>
  <c r="U48"/>
  <c r="W48"/>
  <c r="W42"/>
  <c r="K51"/>
  <c r="M47"/>
  <c r="O47"/>
  <c r="M45"/>
  <c r="O45"/>
  <c r="K52"/>
  <c r="M52"/>
  <c r="K46"/>
  <c r="M46"/>
  <c r="K48"/>
  <c r="Y48"/>
  <c r="K42"/>
  <c r="S42"/>
  <c r="W51"/>
  <c r="Y51"/>
  <c r="Y47"/>
  <c r="S45"/>
  <c r="U45"/>
  <c r="W52"/>
  <c r="Y52"/>
  <c r="W46"/>
  <c r="Y46"/>
  <c r="U39"/>
  <c r="M39"/>
  <c r="W39"/>
  <c r="B62" i="29"/>
  <c r="G62" i="2" s="1"/>
  <c r="B39" i="3"/>
  <c r="G39" i="2" s="1"/>
  <c r="B38" i="3"/>
  <c r="B34"/>
  <c r="G34" i="2" s="1"/>
  <c r="B16" i="29"/>
  <c r="G16" i="2" s="1"/>
  <c r="B45" i="30"/>
  <c r="G45" i="2" s="1"/>
  <c r="B47" i="30"/>
  <c r="G47" i="2" s="1"/>
  <c r="B46" i="30"/>
  <c r="G46" i="2" s="1"/>
  <c r="B35" i="3"/>
  <c r="D3"/>
  <c r="D3" i="30"/>
  <c r="D4" i="29"/>
  <c r="D4" i="30"/>
  <c r="D6" i="3"/>
  <c r="D6" i="30"/>
  <c r="D8"/>
  <c r="D8" i="3"/>
  <c r="C3"/>
  <c r="C3" i="30"/>
  <c r="B3" s="1"/>
  <c r="E3" i="3"/>
  <c r="K4" i="25" s="1"/>
  <c r="M4" s="1"/>
  <c r="E3" i="30"/>
  <c r="W4" i="25" s="1"/>
  <c r="Y4" s="1"/>
  <c r="C4" i="29"/>
  <c r="C4" i="30"/>
  <c r="B4" s="1"/>
  <c r="E4" i="29"/>
  <c r="Q5" i="25" s="1"/>
  <c r="S5" s="1"/>
  <c r="E4" i="30"/>
  <c r="W5" i="25" s="1"/>
  <c r="Y5" s="1"/>
  <c r="C6" i="3"/>
  <c r="C6" i="30"/>
  <c r="B6" s="1"/>
  <c r="E6" i="3"/>
  <c r="K7" i="25" s="1"/>
  <c r="M7" s="1"/>
  <c r="E6" i="30"/>
  <c r="W7" i="25" s="1"/>
  <c r="Y7" s="1"/>
  <c r="C8" i="30"/>
  <c r="C8" i="3"/>
  <c r="B8" s="1"/>
  <c r="E8" i="30"/>
  <c r="W9" i="25" s="1"/>
  <c r="Y9" s="1"/>
  <c r="E8" i="3"/>
  <c r="K9" i="25" s="1"/>
  <c r="M9" s="1"/>
  <c r="E55" i="9"/>
  <c r="E55" i="2" s="1"/>
  <c r="J55" s="1"/>
  <c r="E2" i="9"/>
  <c r="E2" i="2" s="1"/>
  <c r="B5" i="3"/>
  <c r="G5" i="2" s="1"/>
  <c r="B7" i="29"/>
  <c r="G7" i="2" s="1"/>
  <c r="B8" i="30"/>
  <c r="B6" i="3"/>
  <c r="K99" i="9"/>
  <c r="K99" i="2" s="1"/>
  <c r="K96" i="9"/>
  <c r="K96" i="2" s="1"/>
  <c r="K94" i="9"/>
  <c r="K94" i="2" s="1"/>
  <c r="K92" i="9"/>
  <c r="K92" i="2" s="1"/>
  <c r="K90" i="9"/>
  <c r="K90" i="2" s="1"/>
  <c r="K77" i="9"/>
  <c r="K77" i="2" s="1"/>
  <c r="K23" i="9"/>
  <c r="K23" i="2" s="1"/>
  <c r="K21" i="9"/>
  <c r="K21" i="2" s="1"/>
  <c r="K19" i="9"/>
  <c r="K19" i="2" s="1"/>
  <c r="K15" i="9"/>
  <c r="K15" i="2" s="1"/>
  <c r="K13" i="9"/>
  <c r="K13" i="2" s="1"/>
  <c r="K11" i="9"/>
  <c r="K11" i="2" s="1"/>
  <c r="K9" i="9"/>
  <c r="K9" i="2" s="1"/>
  <c r="K97" i="9"/>
  <c r="K97" i="2" s="1"/>
  <c r="K95" i="9"/>
  <c r="K95" i="2" s="1"/>
  <c r="K93" i="9"/>
  <c r="K93" i="2" s="1"/>
  <c r="K91" i="9"/>
  <c r="K91" i="2" s="1"/>
  <c r="K89" i="9"/>
  <c r="K89" i="2" s="1"/>
  <c r="K26" i="9"/>
  <c r="K26" i="2" s="1"/>
  <c r="K22" i="9"/>
  <c r="K22" i="2" s="1"/>
  <c r="K2" i="9"/>
  <c r="K2" i="2" s="1"/>
  <c r="K98" i="9"/>
  <c r="K98" i="2" s="1"/>
  <c r="B3" i="3"/>
  <c r="B4" i="29"/>
  <c r="G4" i="2" s="1"/>
  <c r="B2" i="30"/>
  <c r="G2" i="2" s="1"/>
  <c r="G55" i="19"/>
  <c r="G93"/>
  <c r="I93" s="1"/>
  <c r="E93" i="2"/>
  <c r="J93" s="1"/>
  <c r="G97" i="19"/>
  <c r="I97" s="1"/>
  <c r="E97" i="2"/>
  <c r="J97" s="1"/>
  <c r="G99" i="19"/>
  <c r="I99" s="1"/>
  <c r="E99" i="2"/>
  <c r="J99" s="1"/>
  <c r="G47" i="19"/>
  <c r="E47" i="2"/>
  <c r="J47" s="1"/>
  <c r="G96" i="19"/>
  <c r="I96" s="1"/>
  <c r="E96" i="2"/>
  <c r="J96" s="1"/>
  <c r="G98" i="19"/>
  <c r="I98" s="1"/>
  <c r="E98" i="2"/>
  <c r="J98" s="1"/>
  <c r="E39" i="9"/>
  <c r="E39" i="2" s="1"/>
  <c r="J39" s="1"/>
  <c r="E51" i="9"/>
  <c r="E59"/>
  <c r="K32" i="20"/>
  <c r="K37"/>
  <c r="Q6"/>
  <c r="V4" i="11"/>
  <c r="M51" i="20"/>
  <c r="K47"/>
  <c r="Q45"/>
  <c r="S41"/>
  <c r="M18"/>
  <c r="M27"/>
  <c r="M30"/>
  <c r="O11"/>
  <c r="K19"/>
  <c r="O7"/>
  <c r="M13"/>
  <c r="K25"/>
  <c r="K35"/>
  <c r="G39" i="19"/>
  <c r="G35"/>
  <c r="E43" i="9"/>
  <c r="E30"/>
  <c r="E30" i="2" s="1"/>
  <c r="J30" s="1"/>
  <c r="K7" i="20"/>
  <c r="Q30"/>
  <c r="S23"/>
  <c r="Q17"/>
  <c r="S6"/>
  <c r="Q13"/>
  <c r="S19"/>
  <c r="S28"/>
  <c r="Q34"/>
  <c r="S21"/>
  <c r="S31"/>
  <c r="O35"/>
  <c r="O5"/>
  <c r="M5"/>
  <c r="U5"/>
  <c r="S5"/>
  <c r="W5"/>
  <c r="Q5"/>
  <c r="Y5"/>
  <c r="Q33"/>
  <c r="S27"/>
  <c r="AP4" i="11"/>
  <c r="E27" i="9"/>
  <c r="E27" i="2" s="1"/>
  <c r="J27" s="1"/>
  <c r="G94" i="19"/>
  <c r="I94" s="1"/>
  <c r="G89"/>
  <c r="I89" s="1"/>
  <c r="G91"/>
  <c r="I91" s="1"/>
  <c r="G95"/>
  <c r="I95" s="1"/>
  <c r="K10" i="20"/>
  <c r="M15"/>
  <c r="Q19"/>
  <c r="Q32"/>
  <c r="S18"/>
  <c r="S20"/>
  <c r="O33"/>
  <c r="K11"/>
  <c r="S26"/>
  <c r="Q39"/>
  <c r="O37"/>
  <c r="E5" i="9"/>
  <c r="Q20" i="20"/>
  <c r="Q23"/>
  <c r="Q35"/>
  <c r="Q37"/>
  <c r="K6"/>
  <c r="M19"/>
  <c r="K13"/>
  <c r="K15"/>
  <c r="S22"/>
  <c r="S30"/>
  <c r="S32"/>
  <c r="T4" i="11"/>
  <c r="E29" i="9"/>
  <c r="N4" i="11"/>
  <c r="I4"/>
  <c r="E32" i="9"/>
  <c r="K12" i="25"/>
  <c r="M12" s="1"/>
  <c r="AL4" i="11"/>
  <c r="AM4"/>
  <c r="AH4"/>
  <c r="E19" i="9"/>
  <c r="E19" i="2" s="1"/>
  <c r="J19" s="1"/>
  <c r="D4" i="11"/>
  <c r="Q4"/>
  <c r="J4"/>
  <c r="G4"/>
  <c r="E6" i="9"/>
  <c r="E6" i="2" s="1"/>
  <c r="J6" s="1"/>
  <c r="AQ51" i="11"/>
  <c r="AI51"/>
  <c r="AN4"/>
  <c r="D163" i="9"/>
  <c r="D162"/>
  <c r="D161"/>
  <c r="D160"/>
  <c r="D159"/>
  <c r="D158"/>
  <c r="D157"/>
  <c r="D156"/>
  <c r="D155"/>
  <c r="D154"/>
  <c r="D153"/>
  <c r="E37"/>
  <c r="E37" i="2" s="1"/>
  <c r="J37" s="1"/>
  <c r="K21" i="25"/>
  <c r="M21" s="1"/>
  <c r="G92" i="19"/>
  <c r="I92" s="1"/>
  <c r="K10" i="25"/>
  <c r="M10" s="1"/>
  <c r="Y4" i="11"/>
  <c r="K23" i="25"/>
  <c r="M23" s="1"/>
  <c r="G9" i="19"/>
  <c r="G13"/>
  <c r="G19"/>
  <c r="G27"/>
  <c r="G30"/>
  <c r="G31"/>
  <c r="G90"/>
  <c r="I90" s="1"/>
  <c r="AO5" i="11"/>
  <c r="K31" i="25"/>
  <c r="M31" s="1"/>
  <c r="K34"/>
  <c r="M34" s="1"/>
  <c r="K35"/>
  <c r="M35" s="1"/>
  <c r="K36"/>
  <c r="M36" s="1"/>
  <c r="K37"/>
  <c r="M37" s="1"/>
  <c r="K38"/>
  <c r="M38" s="1"/>
  <c r="K39"/>
  <c r="M39" s="1"/>
  <c r="K40"/>
  <c r="M40" s="1"/>
  <c r="K41"/>
  <c r="M41" s="1"/>
  <c r="K42"/>
  <c r="M42" s="1"/>
  <c r="K43"/>
  <c r="M43" s="1"/>
  <c r="K44"/>
  <c r="M44" s="1"/>
  <c r="K45"/>
  <c r="M45" s="1"/>
  <c r="K46"/>
  <c r="M46" s="1"/>
  <c r="K47"/>
  <c r="M47" s="1"/>
  <c r="K49"/>
  <c r="M49" s="1"/>
  <c r="K50"/>
  <c r="M50" s="1"/>
  <c r="K51"/>
  <c r="M51" s="1"/>
  <c r="K52"/>
  <c r="M52" s="1"/>
  <c r="K53"/>
  <c r="M53" s="1"/>
  <c r="K54"/>
  <c r="M54" s="1"/>
  <c r="K55"/>
  <c r="M55" s="1"/>
  <c r="K56"/>
  <c r="M56" s="1"/>
  <c r="K57"/>
  <c r="M57" s="1"/>
  <c r="K58"/>
  <c r="M58" s="1"/>
  <c r="K59"/>
  <c r="M59" s="1"/>
  <c r="K60"/>
  <c r="M60" s="1"/>
  <c r="K61"/>
  <c r="M61" s="1"/>
  <c r="K13"/>
  <c r="M13" s="1"/>
  <c r="K28"/>
  <c r="M28" s="1"/>
  <c r="K20"/>
  <c r="M20" s="1"/>
  <c r="E4" i="9"/>
  <c r="E8"/>
  <c r="E11"/>
  <c r="E15"/>
  <c r="K32" i="25"/>
  <c r="M32" s="1"/>
  <c r="K18"/>
  <c r="M18" s="1"/>
  <c r="K25"/>
  <c r="M25" s="1"/>
  <c r="K16"/>
  <c r="M16" s="1"/>
  <c r="K8"/>
  <c r="M8" s="1"/>
  <c r="I5" i="11"/>
  <c r="F57" i="1"/>
  <c r="AK5" i="11"/>
  <c r="AN6"/>
  <c r="J6"/>
  <c r="AH6"/>
  <c r="F5"/>
  <c r="D5"/>
  <c r="Z5"/>
  <c r="V5"/>
  <c r="AD5"/>
  <c r="AM5"/>
  <c r="E7" i="9"/>
  <c r="W6" i="11"/>
  <c r="G5"/>
  <c r="R5"/>
  <c r="N5"/>
  <c r="W5"/>
  <c r="AH5"/>
  <c r="AB5"/>
  <c r="F51" i="1"/>
  <c r="E23" i="9"/>
  <c r="E3"/>
  <c r="E10"/>
  <c r="E12"/>
  <c r="E14"/>
  <c r="E17"/>
  <c r="E21"/>
  <c r="E25"/>
  <c r="E33"/>
  <c r="G37" i="19"/>
  <c r="E41" i="9"/>
  <c r="E45"/>
  <c r="E49"/>
  <c r="E53"/>
  <c r="E57"/>
  <c r="E61"/>
  <c r="E16"/>
  <c r="E18"/>
  <c r="E20"/>
  <c r="E22"/>
  <c r="E24"/>
  <c r="E26"/>
  <c r="E28"/>
  <c r="E34"/>
  <c r="E36"/>
  <c r="E38"/>
  <c r="E40"/>
  <c r="E42"/>
  <c r="E44"/>
  <c r="E46"/>
  <c r="E48"/>
  <c r="E50"/>
  <c r="E52"/>
  <c r="E54"/>
  <c r="E56"/>
  <c r="E58"/>
  <c r="E60"/>
  <c r="F61" i="1"/>
  <c r="Q6" i="11"/>
  <c r="P5"/>
  <c r="C45" i="1"/>
  <c r="F45" s="1"/>
  <c r="E6" i="11"/>
  <c r="F59" i="1"/>
  <c r="G6" i="11"/>
  <c r="AD6"/>
  <c r="E5"/>
  <c r="O6"/>
  <c r="T6"/>
  <c r="AP6"/>
  <c r="AL6"/>
  <c r="AP5"/>
  <c r="AN5"/>
  <c r="AL5"/>
  <c r="F56" i="1"/>
  <c r="F52"/>
  <c r="F6" i="11"/>
  <c r="D6"/>
  <c r="Z6"/>
  <c r="V6"/>
  <c r="AE6"/>
  <c r="AC6"/>
  <c r="J5"/>
  <c r="Q5"/>
  <c r="O5"/>
  <c r="T5"/>
  <c r="AE5"/>
  <c r="AC5"/>
  <c r="I6"/>
  <c r="R6"/>
  <c r="P6"/>
  <c r="N6"/>
  <c r="AO6"/>
  <c r="AM6"/>
  <c r="AK6"/>
  <c r="AF6"/>
  <c r="AF5"/>
  <c r="M4"/>
  <c r="M6"/>
  <c r="M5"/>
  <c r="S9"/>
  <c r="S13"/>
  <c r="S15"/>
  <c r="S19"/>
  <c r="S30"/>
  <c r="S32"/>
  <c r="S36"/>
  <c r="S42"/>
  <c r="S44"/>
  <c r="S50"/>
  <c r="S10"/>
  <c r="S14"/>
  <c r="S16"/>
  <c r="S22"/>
  <c r="S31"/>
  <c r="S35"/>
  <c r="S39"/>
  <c r="S43"/>
  <c r="S47"/>
  <c r="S51"/>
  <c r="L4"/>
  <c r="L5"/>
  <c r="L6"/>
  <c r="E62" i="9"/>
  <c r="E63"/>
  <c r="E63" i="2" s="1"/>
  <c r="J63" s="1"/>
  <c r="E64" i="9"/>
  <c r="E65"/>
  <c r="E66"/>
  <c r="E67"/>
  <c r="E68"/>
  <c r="E69"/>
  <c r="E70"/>
  <c r="E71"/>
  <c r="E72"/>
  <c r="E73"/>
  <c r="E74"/>
  <c r="E75"/>
  <c r="E76"/>
  <c r="E77"/>
  <c r="E78"/>
  <c r="E79"/>
  <c r="E80"/>
  <c r="E81"/>
  <c r="E81" i="2" s="1"/>
  <c r="J81" s="1"/>
  <c r="E82" i="9"/>
  <c r="E83"/>
  <c r="E84"/>
  <c r="E85"/>
  <c r="E86"/>
  <c r="E87"/>
  <c r="E88"/>
  <c r="F2" i="2"/>
  <c r="F89"/>
  <c r="F94"/>
  <c r="F98"/>
  <c r="F91"/>
  <c r="F96"/>
  <c r="F71"/>
  <c r="F87"/>
  <c r="F90"/>
  <c r="F92"/>
  <c r="F93"/>
  <c r="F95"/>
  <c r="F97"/>
  <c r="F99"/>
  <c r="F13"/>
  <c r="F15"/>
  <c r="F19"/>
  <c r="F21"/>
  <c r="F22"/>
  <c r="F23"/>
  <c r="F26"/>
  <c r="F9"/>
  <c r="F11"/>
  <c r="F50"/>
  <c r="F65"/>
  <c r="K9" i="11"/>
  <c r="K10"/>
  <c r="K13"/>
  <c r="K14"/>
  <c r="K15"/>
  <c r="K16"/>
  <c r="K19"/>
  <c r="K22"/>
  <c r="K30"/>
  <c r="K31"/>
  <c r="K32"/>
  <c r="K35"/>
  <c r="K36"/>
  <c r="K39"/>
  <c r="K42"/>
  <c r="K43"/>
  <c r="K44"/>
  <c r="K47"/>
  <c r="K50"/>
  <c r="K51"/>
  <c r="H5"/>
  <c r="H6"/>
  <c r="H4"/>
  <c r="B61" i="19"/>
  <c r="B60"/>
  <c r="B59"/>
  <c r="B58"/>
  <c r="B57"/>
  <c r="B56"/>
  <c r="B55"/>
  <c r="B54"/>
  <c r="B53"/>
  <c r="B52"/>
  <c r="B51"/>
  <c r="B50"/>
  <c r="B49"/>
  <c r="B48"/>
  <c r="B47"/>
  <c r="B46"/>
  <c r="B45"/>
  <c r="B44"/>
  <c r="B43"/>
  <c r="B42"/>
  <c r="B41"/>
  <c r="B40"/>
  <c r="B39"/>
  <c r="I39" s="1"/>
  <c r="B38"/>
  <c r="B37"/>
  <c r="B36"/>
  <c r="B35"/>
  <c r="B34"/>
  <c r="B33"/>
  <c r="B31"/>
  <c r="B30"/>
  <c r="B28"/>
  <c r="B27"/>
  <c r="I27" s="1"/>
  <c r="B26"/>
  <c r="B25"/>
  <c r="B24"/>
  <c r="B23"/>
  <c r="B22"/>
  <c r="B21"/>
  <c r="B20"/>
  <c r="B19"/>
  <c r="B18"/>
  <c r="B17"/>
  <c r="B15"/>
  <c r="B14"/>
  <c r="B13"/>
  <c r="B12"/>
  <c r="B11"/>
  <c r="B9"/>
  <c r="B8"/>
  <c r="B7"/>
  <c r="B6"/>
  <c r="B5"/>
  <c r="B4"/>
  <c r="B3"/>
  <c r="B2"/>
  <c r="B10"/>
  <c r="B16"/>
  <c r="B32"/>
  <c r="B29"/>
  <c r="K30" i="25"/>
  <c r="M30" s="1"/>
  <c r="K33"/>
  <c r="M33" s="1"/>
  <c r="K29"/>
  <c r="M29" s="1"/>
  <c r="AQ9" i="11"/>
  <c r="AQ10"/>
  <c r="AQ13"/>
  <c r="AQ14"/>
  <c r="AQ15"/>
  <c r="AQ16"/>
  <c r="AQ19"/>
  <c r="AQ22"/>
  <c r="AQ30"/>
  <c r="AQ31"/>
  <c r="AQ32"/>
  <c r="AQ35"/>
  <c r="AQ36"/>
  <c r="AQ39"/>
  <c r="AQ42"/>
  <c r="AQ43"/>
  <c r="AQ44"/>
  <c r="AQ47"/>
  <c r="AQ50"/>
  <c r="J42" i="21"/>
  <c r="J44"/>
  <c r="J47"/>
  <c r="J52"/>
  <c r="H4"/>
  <c r="J4"/>
  <c r="AG6" i="11"/>
  <c r="AG5"/>
  <c r="AJ4"/>
  <c r="AJ5"/>
  <c r="AJ6"/>
  <c r="AG4"/>
  <c r="K15" i="25"/>
  <c r="M15" s="1"/>
  <c r="K22"/>
  <c r="M22" s="1"/>
  <c r="K3"/>
  <c r="M3" s="1"/>
  <c r="K5"/>
  <c r="M5" s="1"/>
  <c r="K6"/>
  <c r="M6" s="1"/>
  <c r="K11"/>
  <c r="M11" s="1"/>
  <c r="K14"/>
  <c r="M14" s="1"/>
  <c r="K17"/>
  <c r="M17" s="1"/>
  <c r="K19"/>
  <c r="M19" s="1"/>
  <c r="K24"/>
  <c r="M24" s="1"/>
  <c r="K26"/>
  <c r="M26" s="1"/>
  <c r="J92" i="21"/>
  <c r="H100"/>
  <c r="H76"/>
  <c r="H84"/>
  <c r="J58"/>
  <c r="J81"/>
  <c r="H7"/>
  <c r="J7"/>
  <c r="H66"/>
  <c r="J68"/>
  <c r="J103"/>
  <c r="H90"/>
  <c r="H17"/>
  <c r="J18"/>
  <c r="J19"/>
  <c r="H25"/>
  <c r="J64"/>
  <c r="J85"/>
  <c r="J99"/>
  <c r="J69"/>
  <c r="H16"/>
  <c r="H34"/>
  <c r="AI9" i="11"/>
  <c r="AI10"/>
  <c r="AI13"/>
  <c r="AI14"/>
  <c r="AI15"/>
  <c r="AI16"/>
  <c r="AI19"/>
  <c r="AI22"/>
  <c r="AI30"/>
  <c r="AI31"/>
  <c r="AI32"/>
  <c r="AI35"/>
  <c r="AI36"/>
  <c r="AI39"/>
  <c r="AI42"/>
  <c r="AI43"/>
  <c r="AI44"/>
  <c r="AI47"/>
  <c r="AI50"/>
  <c r="K27" i="25"/>
  <c r="M27" s="1"/>
  <c r="AB4" i="11"/>
  <c r="AB6"/>
  <c r="M28" i="10"/>
  <c r="M30"/>
  <c r="M32"/>
  <c r="M34"/>
  <c r="M36"/>
  <c r="M38"/>
  <c r="M40"/>
  <c r="M42"/>
  <c r="M44"/>
  <c r="M46"/>
  <c r="M48"/>
  <c r="M50"/>
  <c r="M52"/>
  <c r="M54"/>
  <c r="M55"/>
  <c r="M57"/>
  <c r="M59"/>
  <c r="M61"/>
  <c r="M63"/>
  <c r="M65"/>
  <c r="M67"/>
  <c r="M69"/>
  <c r="M71"/>
  <c r="M73"/>
  <c r="M75"/>
  <c r="M77"/>
  <c r="M79"/>
  <c r="M81"/>
  <c r="M83"/>
  <c r="M85"/>
  <c r="M29"/>
  <c r="M31"/>
  <c r="M33"/>
  <c r="M35"/>
  <c r="M37"/>
  <c r="M39"/>
  <c r="M41"/>
  <c r="M43"/>
  <c r="M45"/>
  <c r="M47"/>
  <c r="M49"/>
  <c r="M51"/>
  <c r="M53"/>
  <c r="M56"/>
  <c r="M58"/>
  <c r="M60"/>
  <c r="M62"/>
  <c r="M64"/>
  <c r="M66"/>
  <c r="M68"/>
  <c r="M70"/>
  <c r="M72"/>
  <c r="M74"/>
  <c r="M76"/>
  <c r="M78"/>
  <c r="M80"/>
  <c r="M82"/>
  <c r="M84"/>
  <c r="M86"/>
  <c r="M87"/>
  <c r="AA10" i="11"/>
  <c r="AA14"/>
  <c r="Y6"/>
  <c r="AA16"/>
  <c r="AA22"/>
  <c r="AA31"/>
  <c r="Y5"/>
  <c r="AA35"/>
  <c r="AA39"/>
  <c r="AA43"/>
  <c r="AA47"/>
  <c r="AA9"/>
  <c r="AA13"/>
  <c r="AA15"/>
  <c r="AA19"/>
  <c r="AA30"/>
  <c r="AA32"/>
  <c r="AA42"/>
  <c r="AA44"/>
  <c r="AA50"/>
  <c r="AA51"/>
  <c r="X5"/>
  <c r="X4"/>
  <c r="X6"/>
  <c r="AA36"/>
  <c r="H53" i="21"/>
  <c r="U5" i="11"/>
  <c r="U4"/>
  <c r="U6"/>
  <c r="E40" i="1" l="1" a="1"/>
  <c r="E40" s="1"/>
  <c r="E39" a="1"/>
  <c r="E39" s="1"/>
  <c r="E41" a="1"/>
  <c r="F40" a="1"/>
  <c r="F40" s="1"/>
  <c r="F41" a="1"/>
  <c r="F39" a="1"/>
  <c r="D39" a="1"/>
  <c r="D40" a="1"/>
  <c r="D40" s="1"/>
  <c r="D41" a="1"/>
  <c r="G55" i="2"/>
  <c r="C71" i="25"/>
  <c r="E71" s="1"/>
  <c r="G70" i="2"/>
  <c r="G61"/>
  <c r="B38" i="30"/>
  <c r="G38" i="2" s="1"/>
  <c r="B35" i="30"/>
  <c r="G35" i="2" s="1"/>
  <c r="F79"/>
  <c r="F38"/>
  <c r="F40"/>
  <c r="F83"/>
  <c r="F75"/>
  <c r="K69" i="9"/>
  <c r="K69" i="2" s="1"/>
  <c r="K41" i="9"/>
  <c r="K41" i="2" s="1"/>
  <c r="K29" i="9"/>
  <c r="K29" i="2" s="1"/>
  <c r="F29"/>
  <c r="K4" i="9"/>
  <c r="K4" i="2" s="1"/>
  <c r="F4"/>
  <c r="K14" i="9"/>
  <c r="K14" i="2" s="1"/>
  <c r="F14"/>
  <c r="K24" i="9"/>
  <c r="K24" i="2" s="1"/>
  <c r="F24"/>
  <c r="K30" i="9"/>
  <c r="K30" i="2" s="1"/>
  <c r="F30"/>
  <c r="K43" i="9"/>
  <c r="K43" i="2" s="1"/>
  <c r="F43"/>
  <c r="K49" i="9"/>
  <c r="K49" i="2" s="1"/>
  <c r="F49"/>
  <c r="K10" i="9"/>
  <c r="K10" i="2" s="1"/>
  <c r="F10"/>
  <c r="K7" i="9"/>
  <c r="K7" i="2" s="1"/>
  <c r="F7"/>
  <c r="K17" i="9"/>
  <c r="K17" i="2" s="1"/>
  <c r="F17"/>
  <c r="K25" i="9"/>
  <c r="K25" i="2" s="1"/>
  <c r="F25"/>
  <c r="K34" i="9"/>
  <c r="K34" i="2" s="1"/>
  <c r="F34"/>
  <c r="K42" i="9"/>
  <c r="K42" i="2" s="1"/>
  <c r="F42"/>
  <c r="K48" i="9"/>
  <c r="K48" i="2" s="1"/>
  <c r="F48"/>
  <c r="K16" i="9"/>
  <c r="K16" i="2" s="1"/>
  <c r="F16"/>
  <c r="K8" i="9"/>
  <c r="K8" i="2" s="1"/>
  <c r="F8"/>
  <c r="K18" i="9"/>
  <c r="K18" i="2" s="1"/>
  <c r="F18"/>
  <c r="K27" i="9"/>
  <c r="K27" i="2" s="1"/>
  <c r="F27"/>
  <c r="K39" i="9"/>
  <c r="K39" i="2" s="1"/>
  <c r="F39"/>
  <c r="K45" i="9"/>
  <c r="K45" i="2" s="1"/>
  <c r="F45"/>
  <c r="K32" i="9"/>
  <c r="K32" i="2" s="1"/>
  <c r="F32"/>
  <c r="K3" i="9"/>
  <c r="K3" i="2" s="1"/>
  <c r="F3"/>
  <c r="K12" i="9"/>
  <c r="K12" i="2" s="1"/>
  <c r="F12"/>
  <c r="K20" i="9"/>
  <c r="K20" i="2" s="1"/>
  <c r="F20"/>
  <c r="K28" i="9"/>
  <c r="K28" i="2" s="1"/>
  <c r="F28"/>
  <c r="K36" i="9"/>
  <c r="K36" i="2" s="1"/>
  <c r="F36"/>
  <c r="K44" i="9"/>
  <c r="K44" i="2" s="1"/>
  <c r="F44"/>
  <c r="K73" i="9"/>
  <c r="K73" i="2" s="1"/>
  <c r="O42" i="20"/>
  <c r="S33"/>
  <c r="O30"/>
  <c r="W21"/>
  <c r="S17"/>
  <c r="Y33"/>
  <c r="U32"/>
  <c r="Y27"/>
  <c r="Y21"/>
  <c r="U19"/>
  <c r="M17"/>
  <c r="Q11"/>
  <c r="Q7"/>
  <c r="O46"/>
  <c r="O52"/>
  <c r="U42"/>
  <c r="O48"/>
  <c r="S46"/>
  <c r="S52"/>
  <c r="Y42"/>
  <c r="Q48"/>
  <c r="O10"/>
  <c r="M10"/>
  <c r="S35"/>
  <c r="K33"/>
  <c r="K30"/>
  <c r="W27"/>
  <c r="O23"/>
  <c r="W20"/>
  <c r="O19"/>
  <c r="O17"/>
  <c r="O15"/>
  <c r="O6"/>
  <c r="U35"/>
  <c r="Y32"/>
  <c r="U30"/>
  <c r="M28"/>
  <c r="Y23"/>
  <c r="U21"/>
  <c r="U20"/>
  <c r="U17"/>
  <c r="Q15"/>
  <c r="U11"/>
  <c r="U7"/>
  <c r="U6"/>
  <c r="W7"/>
  <c r="S13"/>
  <c r="M35"/>
  <c r="Y13"/>
  <c r="U23"/>
  <c r="W35"/>
  <c r="M20"/>
  <c r="O13"/>
  <c r="I55" i="19"/>
  <c r="F74" i="2"/>
  <c r="K78" i="9"/>
  <c r="K78" i="2" s="1"/>
  <c r="F63"/>
  <c r="F66"/>
  <c r="F64"/>
  <c r="F62"/>
  <c r="F46"/>
  <c r="F85"/>
  <c r="F81"/>
  <c r="F72"/>
  <c r="F68"/>
  <c r="F82"/>
  <c r="F80"/>
  <c r="F88"/>
  <c r="F86"/>
  <c r="F84"/>
  <c r="F70"/>
  <c r="F76"/>
  <c r="I47" i="19"/>
  <c r="K37" i="9"/>
  <c r="K37" i="2" s="1"/>
  <c r="Y9" i="20"/>
  <c r="Q9"/>
  <c r="W9"/>
  <c r="U9"/>
  <c r="M9"/>
  <c r="S36"/>
  <c r="U36"/>
  <c r="W36"/>
  <c r="K36"/>
  <c r="Y36"/>
  <c r="M36"/>
  <c r="S38"/>
  <c r="Y38"/>
  <c r="O38"/>
  <c r="W38"/>
  <c r="U38"/>
  <c r="K38"/>
  <c r="S50"/>
  <c r="K50"/>
  <c r="U50"/>
  <c r="M50"/>
  <c r="W50"/>
  <c r="O50"/>
  <c r="Y50"/>
  <c r="Q50"/>
  <c r="W54"/>
  <c r="Y54"/>
  <c r="U54"/>
  <c r="Q54"/>
  <c r="M54"/>
  <c r="S54"/>
  <c r="O54"/>
  <c r="K54"/>
  <c r="Y56"/>
  <c r="U56"/>
  <c r="Q56"/>
  <c r="M56"/>
  <c r="W56"/>
  <c r="S56"/>
  <c r="O56"/>
  <c r="K56"/>
  <c r="Y58"/>
  <c r="U58"/>
  <c r="Q58"/>
  <c r="M58"/>
  <c r="W58"/>
  <c r="S58"/>
  <c r="O58"/>
  <c r="K58"/>
  <c r="Y60"/>
  <c r="U60"/>
  <c r="Q60"/>
  <c r="M60"/>
  <c r="W60"/>
  <c r="S60"/>
  <c r="O60"/>
  <c r="K60"/>
  <c r="S62"/>
  <c r="Y62"/>
  <c r="U62"/>
  <c r="Q62"/>
  <c r="M62"/>
  <c r="W62"/>
  <c r="O62"/>
  <c r="K62"/>
  <c r="W64"/>
  <c r="S64"/>
  <c r="O64"/>
  <c r="K64"/>
  <c r="Y64"/>
  <c r="U64"/>
  <c r="Q64"/>
  <c r="M64"/>
  <c r="W8"/>
  <c r="U8"/>
  <c r="O8"/>
  <c r="M8"/>
  <c r="Y8"/>
  <c r="Q8"/>
  <c r="W34"/>
  <c r="K34"/>
  <c r="U34"/>
  <c r="S34"/>
  <c r="Y34"/>
  <c r="M34"/>
  <c r="Y55"/>
  <c r="U55"/>
  <c r="Q55"/>
  <c r="M55"/>
  <c r="W55"/>
  <c r="S55"/>
  <c r="O55"/>
  <c r="K55"/>
  <c r="O57"/>
  <c r="Y57"/>
  <c r="U57"/>
  <c r="Q57"/>
  <c r="M57"/>
  <c r="W57"/>
  <c r="S57"/>
  <c r="K57"/>
  <c r="K59"/>
  <c r="Y59"/>
  <c r="U59"/>
  <c r="Q59"/>
  <c r="M59"/>
  <c r="W59"/>
  <c r="S59"/>
  <c r="O59"/>
  <c r="O61"/>
  <c r="Y61"/>
  <c r="U61"/>
  <c r="Q61"/>
  <c r="M61"/>
  <c r="W61"/>
  <c r="S61"/>
  <c r="K61"/>
  <c r="S63"/>
  <c r="Y63"/>
  <c r="U63"/>
  <c r="Q63"/>
  <c r="M63"/>
  <c r="W63"/>
  <c r="O63"/>
  <c r="K63"/>
  <c r="Q38"/>
  <c r="Q36"/>
  <c r="O9"/>
  <c r="K9"/>
  <c r="S8"/>
  <c r="S9"/>
  <c r="O36"/>
  <c r="K8"/>
  <c r="J2" i="2"/>
  <c r="G3"/>
  <c r="G6"/>
  <c r="D41" i="1"/>
  <c r="F41"/>
  <c r="E41"/>
  <c r="D39"/>
  <c r="H86" i="21"/>
  <c r="F39" i="1"/>
  <c r="G8" i="2"/>
  <c r="G87" i="19"/>
  <c r="I87" s="1"/>
  <c r="E87" i="2"/>
  <c r="J87" s="1"/>
  <c r="G85" i="19"/>
  <c r="I85" s="1"/>
  <c r="E85" i="2"/>
  <c r="J85" s="1"/>
  <c r="G83" i="19"/>
  <c r="I83" s="1"/>
  <c r="E83" i="2"/>
  <c r="J83" s="1"/>
  <c r="G79" i="19"/>
  <c r="I79" s="1"/>
  <c r="E79" i="2"/>
  <c r="J79" s="1"/>
  <c r="G77" i="19"/>
  <c r="I77" s="1"/>
  <c r="E77" i="2"/>
  <c r="J77" s="1"/>
  <c r="G75" i="19"/>
  <c r="I75" s="1"/>
  <c r="E75" i="2"/>
  <c r="J75" s="1"/>
  <c r="G73" i="19"/>
  <c r="I73" s="1"/>
  <c r="E73" i="2"/>
  <c r="J73" s="1"/>
  <c r="G71" i="19"/>
  <c r="I71" s="1"/>
  <c r="E71" i="2"/>
  <c r="J71" s="1"/>
  <c r="G69" i="19"/>
  <c r="I69" s="1"/>
  <c r="E69" i="2"/>
  <c r="J69" s="1"/>
  <c r="G67" i="19"/>
  <c r="I67" s="1"/>
  <c r="E67" i="2"/>
  <c r="J67" s="1"/>
  <c r="G65" i="19"/>
  <c r="I65" s="1"/>
  <c r="E65" i="2"/>
  <c r="J65" s="1"/>
  <c r="G58" i="19"/>
  <c r="I58" s="1"/>
  <c r="E58" i="2"/>
  <c r="J58" s="1"/>
  <c r="G54" i="19"/>
  <c r="I54" s="1"/>
  <c r="E54" i="2"/>
  <c r="J54" s="1"/>
  <c r="G50" i="19"/>
  <c r="I50" s="1"/>
  <c r="E50" i="2"/>
  <c r="J50" s="1"/>
  <c r="G46" i="19"/>
  <c r="I46" s="1"/>
  <c r="E46" i="2"/>
  <c r="J46" s="1"/>
  <c r="G42" i="19"/>
  <c r="I42" s="1"/>
  <c r="E42" i="2"/>
  <c r="J42" s="1"/>
  <c r="G38" i="19"/>
  <c r="E38" i="2"/>
  <c r="J38" s="1"/>
  <c r="G34" i="19"/>
  <c r="E34" i="2"/>
  <c r="J34" s="1"/>
  <c r="G26" i="19"/>
  <c r="I26" s="1"/>
  <c r="E26" i="2"/>
  <c r="J26" s="1"/>
  <c r="G22" i="19"/>
  <c r="E22" i="2"/>
  <c r="J22" s="1"/>
  <c r="G18" i="19"/>
  <c r="I18" s="1"/>
  <c r="E18" i="2"/>
  <c r="J18" s="1"/>
  <c r="G61" i="19"/>
  <c r="I61" s="1"/>
  <c r="E61" i="2"/>
  <c r="J61" s="1"/>
  <c r="G53" i="19"/>
  <c r="I53" s="1"/>
  <c r="E53" i="2"/>
  <c r="J53" s="1"/>
  <c r="G45" i="19"/>
  <c r="I45" s="1"/>
  <c r="E45" i="2"/>
  <c r="J45" s="1"/>
  <c r="G25" i="19"/>
  <c r="I25" s="1"/>
  <c r="E25" i="2"/>
  <c r="J25" s="1"/>
  <c r="G17" i="19"/>
  <c r="E17" i="2"/>
  <c r="J17" s="1"/>
  <c r="G12" i="19"/>
  <c r="I12" s="1"/>
  <c r="E12" i="2"/>
  <c r="J12" s="1"/>
  <c r="G3" i="19"/>
  <c r="E3" i="2"/>
  <c r="G7" i="19"/>
  <c r="I7" s="1"/>
  <c r="E7" i="2"/>
  <c r="J7" s="1"/>
  <c r="G11" i="19"/>
  <c r="E11" i="2"/>
  <c r="J11" s="1"/>
  <c r="G4" i="19"/>
  <c r="I4" s="1"/>
  <c r="E4" i="2"/>
  <c r="J4" s="1"/>
  <c r="G32" i="19"/>
  <c r="I32" s="1"/>
  <c r="E32" i="2"/>
  <c r="J32" s="1"/>
  <c r="G29" i="19"/>
  <c r="I29" s="1"/>
  <c r="E29" i="2"/>
  <c r="J29" s="1"/>
  <c r="G51" i="19"/>
  <c r="I51" s="1"/>
  <c r="E51" i="2"/>
  <c r="J51" s="1"/>
  <c r="G88" i="19"/>
  <c r="I88" s="1"/>
  <c r="E88" i="2"/>
  <c r="J88" s="1"/>
  <c r="G86" i="19"/>
  <c r="I86" s="1"/>
  <c r="E86" i="2"/>
  <c r="J86" s="1"/>
  <c r="G84" i="19"/>
  <c r="I84" s="1"/>
  <c r="E84" i="2"/>
  <c r="J84" s="1"/>
  <c r="G82" i="19"/>
  <c r="I82" s="1"/>
  <c r="E82" i="2"/>
  <c r="J82" s="1"/>
  <c r="G80" i="19"/>
  <c r="I80" s="1"/>
  <c r="E80" i="2"/>
  <c r="J80" s="1"/>
  <c r="G78" i="19"/>
  <c r="I78" s="1"/>
  <c r="E78" i="2"/>
  <c r="J78" s="1"/>
  <c r="G76" i="19"/>
  <c r="I76" s="1"/>
  <c r="E76" i="2"/>
  <c r="J76" s="1"/>
  <c r="G74" i="19"/>
  <c r="I74" s="1"/>
  <c r="E74" i="2"/>
  <c r="J74" s="1"/>
  <c r="G72" i="19"/>
  <c r="I72" s="1"/>
  <c r="E72" i="2"/>
  <c r="J72" s="1"/>
  <c r="G70" i="19"/>
  <c r="I70" s="1"/>
  <c r="E70" i="2"/>
  <c r="J70" s="1"/>
  <c r="G68" i="19"/>
  <c r="I68" s="1"/>
  <c r="E68" i="2"/>
  <c r="J68" s="1"/>
  <c r="G66" i="19"/>
  <c r="I66" s="1"/>
  <c r="E66" i="2"/>
  <c r="J66" s="1"/>
  <c r="G64" i="19"/>
  <c r="I64" s="1"/>
  <c r="E64" i="2"/>
  <c r="J64" s="1"/>
  <c r="G62" i="19"/>
  <c r="I62" s="1"/>
  <c r="E62" i="2"/>
  <c r="J62" s="1"/>
  <c r="G60" i="19"/>
  <c r="I60" s="1"/>
  <c r="E60" i="2"/>
  <c r="J60" s="1"/>
  <c r="G56" i="19"/>
  <c r="I56" s="1"/>
  <c r="E56" i="2"/>
  <c r="J56" s="1"/>
  <c r="G52" i="19"/>
  <c r="I52" s="1"/>
  <c r="E52" i="2"/>
  <c r="J52" s="1"/>
  <c r="G48" i="19"/>
  <c r="E48" i="2"/>
  <c r="J48" s="1"/>
  <c r="G44" i="19"/>
  <c r="E44" i="2"/>
  <c r="J44" s="1"/>
  <c r="G40" i="19"/>
  <c r="I40" s="1"/>
  <c r="E40" i="2"/>
  <c r="J40" s="1"/>
  <c r="G36" i="19"/>
  <c r="E36" i="2"/>
  <c r="J36" s="1"/>
  <c r="G28" i="19"/>
  <c r="I28" s="1"/>
  <c r="E28" i="2"/>
  <c r="J28" s="1"/>
  <c r="G24" i="19"/>
  <c r="I24" s="1"/>
  <c r="E24" i="2"/>
  <c r="J24" s="1"/>
  <c r="G20" i="19"/>
  <c r="E20" i="2"/>
  <c r="J20" s="1"/>
  <c r="G16" i="19"/>
  <c r="E16" i="2"/>
  <c r="J16" s="1"/>
  <c r="G57" i="19"/>
  <c r="I57" s="1"/>
  <c r="E57" i="2"/>
  <c r="J57" s="1"/>
  <c r="G49" i="19"/>
  <c r="I49" s="1"/>
  <c r="E49" i="2"/>
  <c r="J49" s="1"/>
  <c r="G41" i="19"/>
  <c r="I41" s="1"/>
  <c r="E41" i="2"/>
  <c r="J41" s="1"/>
  <c r="G33" i="19"/>
  <c r="I33" s="1"/>
  <c r="E33" i="2"/>
  <c r="J33" s="1"/>
  <c r="G21" i="19"/>
  <c r="I21" s="1"/>
  <c r="E21" i="2"/>
  <c r="J21" s="1"/>
  <c r="G14" i="19"/>
  <c r="E14" i="2"/>
  <c r="G10" i="19"/>
  <c r="I10" s="1"/>
  <c r="E10" i="2"/>
  <c r="G23" i="19"/>
  <c r="I23" s="1"/>
  <c r="E23" i="2"/>
  <c r="J23" s="1"/>
  <c r="G15" i="19"/>
  <c r="E15" i="2"/>
  <c r="J15" s="1"/>
  <c r="G8" i="19"/>
  <c r="I8" s="1"/>
  <c r="E8" i="2"/>
  <c r="J8" s="1"/>
  <c r="G5" i="19"/>
  <c r="I5" s="1"/>
  <c r="E5" i="2"/>
  <c r="G43" i="19"/>
  <c r="I43" s="1"/>
  <c r="E43" i="2"/>
  <c r="J43" s="1"/>
  <c r="G59" i="19"/>
  <c r="I59" s="1"/>
  <c r="E59" i="2"/>
  <c r="J59" s="1"/>
  <c r="I34" i="19"/>
  <c r="I35"/>
  <c r="I37"/>
  <c r="J89" i="21"/>
  <c r="G2" i="19"/>
  <c r="I2" s="1"/>
  <c r="J83" i="21"/>
  <c r="J6"/>
  <c r="I48" i="19"/>
  <c r="J23" i="21"/>
  <c r="J90"/>
  <c r="P90" s="1"/>
  <c r="J74"/>
  <c r="I44" i="19"/>
  <c r="J9" i="21"/>
  <c r="J8"/>
  <c r="J67"/>
  <c r="J38"/>
  <c r="H36"/>
  <c r="J82"/>
  <c r="G6" i="19"/>
  <c r="I6" s="1"/>
  <c r="H96" i="21"/>
  <c r="J54"/>
  <c r="H62"/>
  <c r="J5"/>
  <c r="J43"/>
  <c r="H42"/>
  <c r="P42" s="1"/>
  <c r="I9" i="19"/>
  <c r="I19"/>
  <c r="I30"/>
  <c r="I13"/>
  <c r="J14" i="21"/>
  <c r="H29"/>
  <c r="J88"/>
  <c r="H13"/>
  <c r="H80"/>
  <c r="H93"/>
  <c r="J26"/>
  <c r="H70"/>
  <c r="H88"/>
  <c r="H77"/>
  <c r="J48"/>
  <c r="J62"/>
  <c r="J73"/>
  <c r="H57"/>
  <c r="H74"/>
  <c r="J78"/>
  <c r="I38" i="19"/>
  <c r="J98" i="21"/>
  <c r="H32"/>
  <c r="I36" i="19"/>
  <c r="J102" i="21"/>
  <c r="H87"/>
  <c r="J86"/>
  <c r="J91"/>
  <c r="I31" i="19"/>
  <c r="H55" i="21"/>
  <c r="H19"/>
  <c r="P19" s="1"/>
  <c r="H9"/>
  <c r="H67"/>
  <c r="J77"/>
  <c r="H82"/>
  <c r="I15" i="19"/>
  <c r="H33" i="21"/>
  <c r="J30"/>
  <c r="H89"/>
  <c r="H102"/>
  <c r="H81"/>
  <c r="P81" s="1"/>
  <c r="J84"/>
  <c r="P84" s="1"/>
  <c r="J76"/>
  <c r="P76" s="1"/>
  <c r="H52"/>
  <c r="P52" s="1"/>
  <c r="J35"/>
  <c r="H27"/>
  <c r="H18"/>
  <c r="P18" s="1"/>
  <c r="H8"/>
  <c r="H103"/>
  <c r="H97"/>
  <c r="J66"/>
  <c r="P66" s="1"/>
  <c r="J59"/>
  <c r="J29"/>
  <c r="J25"/>
  <c r="P25" s="1"/>
  <c r="J72"/>
  <c r="H64"/>
  <c r="P64" s="1"/>
  <c r="H58"/>
  <c r="P58" s="1"/>
  <c r="J100"/>
  <c r="P100" s="1"/>
  <c r="J80"/>
  <c r="H98"/>
  <c r="J65"/>
  <c r="H6"/>
  <c r="H59"/>
  <c r="J46"/>
  <c r="J31"/>
  <c r="J15"/>
  <c r="J40"/>
  <c r="H39"/>
  <c r="H47"/>
  <c r="P47" s="1"/>
  <c r="H35"/>
  <c r="J33"/>
  <c r="H10"/>
  <c r="H61"/>
  <c r="H73"/>
  <c r="J27"/>
  <c r="H22"/>
  <c r="J10"/>
  <c r="H83"/>
  <c r="H68"/>
  <c r="P68" s="1"/>
  <c r="H91"/>
  <c r="I11" i="19"/>
  <c r="H31" i="21"/>
  <c r="H14"/>
  <c r="J12"/>
  <c r="K4" i="11"/>
  <c r="H12" i="21"/>
  <c r="J45"/>
  <c r="J50"/>
  <c r="H44"/>
  <c r="P44" s="1"/>
  <c r="H43"/>
  <c r="J17"/>
  <c r="P17" s="1"/>
  <c r="J55"/>
  <c r="J51"/>
  <c r="J32"/>
  <c r="H26"/>
  <c r="H20"/>
  <c r="H15"/>
  <c r="H51"/>
  <c r="J37"/>
  <c r="J49"/>
  <c r="H69"/>
  <c r="P69" s="1"/>
  <c r="J53"/>
  <c r="P53" s="1"/>
  <c r="I14" i="19"/>
  <c r="H99" i="21"/>
  <c r="P99" s="1"/>
  <c r="H23"/>
  <c r="J16"/>
  <c r="P16" s="1"/>
  <c r="H49"/>
  <c r="H45"/>
  <c r="J41"/>
  <c r="J20"/>
  <c r="J97"/>
  <c r="J61"/>
  <c r="H40"/>
  <c r="J39"/>
  <c r="H24"/>
  <c r="J96"/>
  <c r="H41"/>
  <c r="H38"/>
  <c r="J24"/>
  <c r="H21"/>
  <c r="H11"/>
  <c r="J63"/>
  <c r="H79"/>
  <c r="H85"/>
  <c r="P85" s="1"/>
  <c r="H94"/>
  <c r="J70"/>
  <c r="H48"/>
  <c r="H46"/>
  <c r="H54"/>
  <c r="J87"/>
  <c r="J57"/>
  <c r="H50"/>
  <c r="H37"/>
  <c r="J11"/>
  <c r="J79"/>
  <c r="I20" i="19"/>
  <c r="I3"/>
  <c r="I17"/>
  <c r="H75" i="21"/>
  <c r="J75"/>
  <c r="I16" i="19"/>
  <c r="G81"/>
  <c r="I81" s="1"/>
  <c r="G63"/>
  <c r="I63" s="1"/>
  <c r="P4" i="21"/>
  <c r="C18" i="25"/>
  <c r="E18" s="1"/>
  <c r="AA4" i="11"/>
  <c r="C17" i="25"/>
  <c r="E17" s="1"/>
  <c r="J93" i="21"/>
  <c r="H92"/>
  <c r="P92" s="1"/>
  <c r="I22" i="19"/>
  <c r="C22" i="25"/>
  <c r="E22" s="1"/>
  <c r="AQ5" i="11"/>
  <c r="C6" i="25"/>
  <c r="E6" s="1"/>
  <c r="AQ6" i="11"/>
  <c r="AA6"/>
  <c r="S5"/>
  <c r="S6"/>
  <c r="S4"/>
  <c r="H5" i="21"/>
  <c r="H28"/>
  <c r="J13"/>
  <c r="C16" i="25"/>
  <c r="E16" s="1"/>
  <c r="J101" i="21"/>
  <c r="J21"/>
  <c r="J34"/>
  <c r="P34" s="1"/>
  <c r="C58" i="25"/>
  <c r="E58" s="1"/>
  <c r="H101" i="21"/>
  <c r="B51" i="11"/>
  <c r="J16" i="26" s="1"/>
  <c r="G16" s="1"/>
  <c r="C20" i="25"/>
  <c r="E20" s="1"/>
  <c r="K5" i="11"/>
  <c r="K6"/>
  <c r="J36" i="21"/>
  <c r="J94"/>
  <c r="C12" i="25"/>
  <c r="E12" s="1"/>
  <c r="C26"/>
  <c r="E26" s="1"/>
  <c r="J28" i="21"/>
  <c r="AQ4" i="11"/>
  <c r="C15" i="25"/>
  <c r="E15" s="1"/>
  <c r="B50" i="11"/>
  <c r="J30" i="26" s="1"/>
  <c r="G30" s="1"/>
  <c r="B42" i="11"/>
  <c r="J13" i="26" s="1"/>
  <c r="G13" s="1"/>
  <c r="B30" i="11"/>
  <c r="J29" i="26" s="1"/>
  <c r="G29" s="1"/>
  <c r="B15" i="11"/>
  <c r="J6" i="26" s="1"/>
  <c r="G6" s="1"/>
  <c r="B9" i="11"/>
  <c r="J26" i="26" s="1"/>
  <c r="G26" s="1"/>
  <c r="H30" i="21"/>
  <c r="J22"/>
  <c r="H78"/>
  <c r="H72"/>
  <c r="J71"/>
  <c r="H71"/>
  <c r="J60"/>
  <c r="H60"/>
  <c r="J95"/>
  <c r="H95"/>
  <c r="H65"/>
  <c r="B36" i="11"/>
  <c r="J22" i="26" s="1"/>
  <c r="G22" s="1"/>
  <c r="B44" i="11"/>
  <c r="J23" i="26" s="1"/>
  <c r="G23" s="1"/>
  <c r="B32" i="11"/>
  <c r="J21" i="26" s="1"/>
  <c r="G21" s="1"/>
  <c r="B19" i="11"/>
  <c r="J7" i="26" s="1"/>
  <c r="G7" s="1"/>
  <c r="B13" i="11"/>
  <c r="J27" i="26" s="1"/>
  <c r="G27" s="1"/>
  <c r="B43" i="11"/>
  <c r="J14" i="26" s="1"/>
  <c r="G14" s="1"/>
  <c r="B35" i="11"/>
  <c r="J11" i="26" s="1"/>
  <c r="G11" s="1"/>
  <c r="B31" i="11"/>
  <c r="J10" i="26" s="1"/>
  <c r="G10" s="1"/>
  <c r="B16" i="11"/>
  <c r="B14"/>
  <c r="J5" i="26" s="1"/>
  <c r="G5" s="1"/>
  <c r="AI6" i="11"/>
  <c r="B47"/>
  <c r="J15" i="26" s="1"/>
  <c r="G15" s="1"/>
  <c r="B39" i="11"/>
  <c r="J12" i="26" s="1"/>
  <c r="G12" s="1"/>
  <c r="B22" i="11"/>
  <c r="J8" i="26" s="1"/>
  <c r="G8" s="1"/>
  <c r="B10" i="11"/>
  <c r="AI4"/>
  <c r="AI5"/>
  <c r="AA5"/>
  <c r="J3" i="2" l="1"/>
  <c r="F67"/>
  <c r="K67" i="9"/>
  <c r="K67" i="2" s="1"/>
  <c r="K60" i="9"/>
  <c r="K60" i="2" s="1"/>
  <c r="F60"/>
  <c r="K56" i="9"/>
  <c r="K56" i="2" s="1"/>
  <c r="F56"/>
  <c r="K52" i="9"/>
  <c r="K52" i="2" s="1"/>
  <c r="F52"/>
  <c r="K31" i="9"/>
  <c r="K31" i="2" s="1"/>
  <c r="F31"/>
  <c r="F61"/>
  <c r="K61" i="9"/>
  <c r="K61" i="2" s="1"/>
  <c r="F57"/>
  <c r="K57" i="9"/>
  <c r="K57" i="2" s="1"/>
  <c r="F53"/>
  <c r="K53" i="9"/>
  <c r="K53" i="2" s="1"/>
  <c r="K47" i="9"/>
  <c r="K47" i="2" s="1"/>
  <c r="F47"/>
  <c r="F33"/>
  <c r="K33" i="9"/>
  <c r="K33" i="2" s="1"/>
  <c r="K6" i="9"/>
  <c r="K6" i="2" s="1"/>
  <c r="F6"/>
  <c r="K58" i="9"/>
  <c r="K58" i="2" s="1"/>
  <c r="F58"/>
  <c r="K54" i="9"/>
  <c r="K54" i="2" s="1"/>
  <c r="F54"/>
  <c r="F5"/>
  <c r="K5" i="9"/>
  <c r="K59"/>
  <c r="K59" i="2" s="1"/>
  <c r="F59"/>
  <c r="K55" i="9"/>
  <c r="K55" i="2" s="1"/>
  <c r="F55"/>
  <c r="K51" i="9"/>
  <c r="K51" i="2" s="1"/>
  <c r="F51"/>
  <c r="K35" i="9"/>
  <c r="K35" i="2" s="1"/>
  <c r="F35"/>
  <c r="C69" i="1"/>
  <c r="J5" i="2"/>
  <c r="C74" i="1"/>
  <c r="J10" i="2"/>
  <c r="C39" i="1"/>
  <c r="C41"/>
  <c r="C67"/>
  <c r="J14" i="2"/>
  <c r="C40" i="1"/>
  <c r="P86" i="21"/>
  <c r="P88"/>
  <c r="C65" i="1"/>
  <c r="C66"/>
  <c r="F42"/>
  <c r="C75"/>
  <c r="C76"/>
  <c r="C79"/>
  <c r="C73"/>
  <c r="P36" i="21"/>
  <c r="C78" i="1"/>
  <c r="C77"/>
  <c r="C70"/>
  <c r="C72"/>
  <c r="C71"/>
  <c r="P43" i="21"/>
  <c r="P6"/>
  <c r="P8"/>
  <c r="P23"/>
  <c r="P89"/>
  <c r="P37"/>
  <c r="P54"/>
  <c r="P96"/>
  <c r="P26"/>
  <c r="P73"/>
  <c r="P87"/>
  <c r="P67"/>
  <c r="P101"/>
  <c r="P9"/>
  <c r="P13"/>
  <c r="P38"/>
  <c r="P29"/>
  <c r="P83"/>
  <c r="P74"/>
  <c r="P82"/>
  <c r="P22"/>
  <c r="P5"/>
  <c r="P14"/>
  <c r="P35"/>
  <c r="P39"/>
  <c r="P30"/>
  <c r="P48"/>
  <c r="P32"/>
  <c r="P80"/>
  <c r="P78"/>
  <c r="P93"/>
  <c r="P57"/>
  <c r="P70"/>
  <c r="P77"/>
  <c r="P98"/>
  <c r="P46"/>
  <c r="P97"/>
  <c r="P12"/>
  <c r="P10"/>
  <c r="P27"/>
  <c r="P59"/>
  <c r="P91"/>
  <c r="P65"/>
  <c r="P40"/>
  <c r="P45"/>
  <c r="P33"/>
  <c r="P72"/>
  <c r="P15"/>
  <c r="P31"/>
  <c r="C24" i="25"/>
  <c r="E24" s="1"/>
  <c r="C7"/>
  <c r="E7" s="1"/>
  <c r="C57"/>
  <c r="E57" s="1"/>
  <c r="C10"/>
  <c r="E10" s="1"/>
  <c r="C13"/>
  <c r="E13" s="1"/>
  <c r="C48"/>
  <c r="E48" s="1"/>
  <c r="C34"/>
  <c r="E34" s="1"/>
  <c r="C45"/>
  <c r="E45" s="1"/>
  <c r="C25"/>
  <c r="E25" s="1"/>
  <c r="C31"/>
  <c r="E31" s="1"/>
  <c r="C35"/>
  <c r="E35" s="1"/>
  <c r="C42"/>
  <c r="E42" s="1"/>
  <c r="C46"/>
  <c r="E46" s="1"/>
  <c r="C50"/>
  <c r="E50" s="1"/>
  <c r="C53"/>
  <c r="E53" s="1"/>
  <c r="C56"/>
  <c r="E56" s="1"/>
  <c r="C30"/>
  <c r="E30" s="1"/>
  <c r="C19"/>
  <c r="E19" s="1"/>
  <c r="C14"/>
  <c r="E14" s="1"/>
  <c r="C33"/>
  <c r="E33" s="1"/>
  <c r="C40"/>
  <c r="E40" s="1"/>
  <c r="C49"/>
  <c r="E49" s="1"/>
  <c r="C3"/>
  <c r="E3" s="1"/>
  <c r="C21"/>
  <c r="E21" s="1"/>
  <c r="C54"/>
  <c r="E54" s="1"/>
  <c r="C47"/>
  <c r="E47" s="1"/>
  <c r="C37"/>
  <c r="E37" s="1"/>
  <c r="C27"/>
  <c r="E27" s="1"/>
  <c r="C60"/>
  <c r="E60" s="1"/>
  <c r="C43"/>
  <c r="E43" s="1"/>
  <c r="C55"/>
  <c r="E55" s="1"/>
  <c r="C51"/>
  <c r="E51" s="1"/>
  <c r="C8"/>
  <c r="E8" s="1"/>
  <c r="C28"/>
  <c r="E28" s="1"/>
  <c r="C36"/>
  <c r="E36" s="1"/>
  <c r="C44"/>
  <c r="E44" s="1"/>
  <c r="C52"/>
  <c r="E52" s="1"/>
  <c r="C41"/>
  <c r="E41" s="1"/>
  <c r="C11"/>
  <c r="E11" s="1"/>
  <c r="C9"/>
  <c r="E9" s="1"/>
  <c r="C5"/>
  <c r="E5" s="1"/>
  <c r="C32"/>
  <c r="E32" s="1"/>
  <c r="C39"/>
  <c r="E39" s="1"/>
  <c r="C29"/>
  <c r="E29" s="1"/>
  <c r="C4"/>
  <c r="E4" s="1"/>
  <c r="C23"/>
  <c r="E23" s="1"/>
  <c r="C61"/>
  <c r="E61" s="1"/>
  <c r="C38"/>
  <c r="E38" s="1"/>
  <c r="C59"/>
  <c r="E59" s="1"/>
  <c r="B6" i="11"/>
  <c r="J4" i="26"/>
  <c r="B5" i="11"/>
  <c r="J19" i="26"/>
  <c r="J25"/>
  <c r="B4" i="11"/>
  <c r="P61" i="21"/>
  <c r="P50"/>
  <c r="P20"/>
  <c r="P51"/>
  <c r="P49"/>
  <c r="P79"/>
  <c r="P24"/>
  <c r="P41"/>
  <c r="P21"/>
  <c r="P75"/>
  <c r="P11"/>
  <c r="P28"/>
  <c r="P94"/>
  <c r="P95"/>
  <c r="P71"/>
  <c r="P60"/>
  <c r="E42" i="1"/>
  <c r="D42"/>
  <c r="K5" i="2" l="1"/>
  <c r="O2" i="9"/>
  <c r="O3"/>
  <c r="O4"/>
  <c r="J18" i="26"/>
  <c r="G19"/>
  <c r="J3"/>
  <c r="G4"/>
  <c r="C42" i="1"/>
  <c r="G40" l="1"/>
  <c r="G39"/>
  <c r="G41"/>
  <c r="G33" i="26"/>
  <c r="G34" s="1"/>
  <c r="A108" i="4" l="1"/>
  <c r="A108" i="7"/>
  <c r="A108" i="6"/>
  <c r="A108" i="8"/>
  <c r="A108" i="5"/>
  <c r="AE100" i="2"/>
  <c r="H100" s="1"/>
  <c r="B55" i="21"/>
  <c r="A100" i="9"/>
  <c r="D100" s="1"/>
  <c r="J100" s="1"/>
  <c r="B100" i="19" l="1"/>
  <c r="T102" i="21"/>
  <c r="S55"/>
  <c r="T55"/>
  <c r="E100" i="9"/>
  <c r="E100" i="2" s="1"/>
  <c r="D73" i="1" s="1" a="1"/>
  <c r="D73" s="1"/>
  <c r="S102" i="21"/>
  <c r="E77" i="1" l="1" a="1"/>
  <c r="E77" s="1"/>
  <c r="E71" a="1"/>
  <c r="E71" s="1"/>
  <c r="E78" a="1"/>
  <c r="E78" s="1"/>
  <c r="F100" i="2"/>
  <c r="K100" i="9"/>
  <c r="K100" i="2" s="1"/>
  <c r="J100"/>
  <c r="D75" i="1" a="1"/>
  <c r="D75" s="1"/>
  <c r="E72" a="1"/>
  <c r="E72" s="1"/>
  <c r="F71" a="1"/>
  <c r="F71" s="1"/>
  <c r="F79" a="1"/>
  <c r="F79" s="1"/>
  <c r="D78" a="1"/>
  <c r="D78" s="1"/>
  <c r="E79" a="1"/>
  <c r="E79" s="1"/>
  <c r="F76" a="1"/>
  <c r="F76" s="1"/>
  <c r="D69" a="1"/>
  <c r="D69" s="1"/>
  <c r="D77" a="1"/>
  <c r="D77" s="1"/>
  <c r="E74" a="1"/>
  <c r="E74" s="1"/>
  <c r="F73" a="1"/>
  <c r="F73" s="1"/>
  <c r="D70" a="1"/>
  <c r="D70" s="1"/>
  <c r="E69" a="1"/>
  <c r="E69" s="1"/>
  <c r="F70" a="1"/>
  <c r="F70" s="1"/>
  <c r="F78" a="1"/>
  <c r="F78" s="1"/>
  <c r="D71" a="1"/>
  <c r="D71" s="1"/>
  <c r="D79" a="1"/>
  <c r="D79" s="1"/>
  <c r="E76" a="1"/>
  <c r="E76" s="1"/>
  <c r="F75" a="1"/>
  <c r="F75" s="1"/>
  <c r="D74" a="1"/>
  <c r="D74" s="1"/>
  <c r="E73" a="1"/>
  <c r="E73" s="1"/>
  <c r="F72" a="1"/>
  <c r="F72" s="1"/>
  <c r="D72" a="1"/>
  <c r="D72" s="1"/>
  <c r="E70" a="1"/>
  <c r="E70" s="1"/>
  <c r="F69" a="1"/>
  <c r="F69" s="1"/>
  <c r="F77" a="1"/>
  <c r="F77" s="1"/>
  <c r="D76" a="1"/>
  <c r="D76" s="1"/>
  <c r="E75" a="1"/>
  <c r="E75" s="1"/>
  <c r="F74" a="1"/>
  <c r="F74" s="1"/>
  <c r="E67" a="1"/>
  <c r="E67" s="1"/>
  <c r="F67" a="1"/>
  <c r="F67" s="1"/>
  <c r="D66" a="1"/>
  <c r="D66" s="1"/>
  <c r="E65" a="1"/>
  <c r="E65" s="1"/>
  <c r="E66" a="1"/>
  <c r="E66" s="1"/>
  <c r="F65" a="1"/>
  <c r="F65" s="1"/>
  <c r="F66" a="1"/>
  <c r="F66" s="1"/>
  <c r="D65" a="1"/>
  <c r="D65" s="1"/>
  <c r="D67" a="1"/>
  <c r="D67" s="1"/>
  <c r="L62" i="21"/>
  <c r="L102"/>
  <c r="N62"/>
  <c r="N102"/>
  <c r="N7"/>
  <c r="N103"/>
  <c r="L7"/>
  <c r="L103"/>
  <c r="P103" s="1"/>
  <c r="N55"/>
  <c r="N63"/>
  <c r="L55"/>
  <c r="P55" s="1"/>
  <c r="L63"/>
  <c r="P63" s="1"/>
  <c r="G100" i="19"/>
  <c r="I100" s="1"/>
  <c r="P7" i="21" l="1"/>
  <c r="P102"/>
  <c r="P62"/>
</calcChain>
</file>

<file path=xl/sharedStrings.xml><?xml version="1.0" encoding="utf-8"?>
<sst xmlns="http://schemas.openxmlformats.org/spreadsheetml/2006/main" count="4656" uniqueCount="409">
  <si>
    <t>Raids</t>
  </si>
  <si>
    <t>Healers</t>
  </si>
  <si>
    <t>DPS</t>
  </si>
  <si>
    <t>Tanks</t>
  </si>
  <si>
    <t>Total</t>
  </si>
  <si>
    <t>Class</t>
  </si>
  <si>
    <t>Amount</t>
  </si>
  <si>
    <t>Healer</t>
  </si>
  <si>
    <t>Tank</t>
  </si>
  <si>
    <t>Death Knight</t>
  </si>
  <si>
    <t>Druid</t>
  </si>
  <si>
    <t>Hunter</t>
  </si>
  <si>
    <t>Mage</t>
  </si>
  <si>
    <t>Paladin</t>
  </si>
  <si>
    <t>Priest</t>
  </si>
  <si>
    <t>Rogue</t>
  </si>
  <si>
    <t>Shaman</t>
  </si>
  <si>
    <t>Warrior</t>
  </si>
  <si>
    <t>Gear Averages</t>
  </si>
  <si>
    <t>Name</t>
  </si>
  <si>
    <t>Rank</t>
  </si>
  <si>
    <t>Mainspec</t>
  </si>
  <si>
    <t>Warlock</t>
  </si>
  <si>
    <t>Venturer</t>
  </si>
  <si>
    <t>Traveler</t>
  </si>
  <si>
    <t>Signups this Month</t>
  </si>
  <si>
    <t>Out</t>
  </si>
  <si>
    <t>Total Confirmed</t>
  </si>
  <si>
    <t>Total Standby</t>
  </si>
  <si>
    <t>Total Out</t>
  </si>
  <si>
    <t>Date</t>
  </si>
  <si>
    <t>Where</t>
  </si>
  <si>
    <t>How many</t>
  </si>
  <si>
    <t>RL's</t>
  </si>
  <si>
    <t>Standby</t>
  </si>
  <si>
    <t>Confirmed</t>
  </si>
  <si>
    <t>Raid Leader</t>
  </si>
  <si>
    <t>Week 1</t>
  </si>
  <si>
    <t>Week 2</t>
  </si>
  <si>
    <t>Week 3</t>
  </si>
  <si>
    <t>Week 4</t>
  </si>
  <si>
    <t>Week 5</t>
  </si>
  <si>
    <t>Raiding Totals</t>
  </si>
  <si>
    <t>Wed</t>
  </si>
  <si>
    <t>Thur</t>
  </si>
  <si>
    <t>Fri</t>
  </si>
  <si>
    <t>Sat</t>
  </si>
  <si>
    <t>Sun</t>
  </si>
  <si>
    <t>Mon</t>
  </si>
  <si>
    <t>Tue</t>
  </si>
  <si>
    <t>DK</t>
  </si>
  <si>
    <t>RDPS</t>
  </si>
  <si>
    <t>MDPS</t>
  </si>
  <si>
    <t>Class/Role</t>
  </si>
  <si>
    <t>Gear lvl</t>
  </si>
  <si>
    <t>Class/spec</t>
  </si>
  <si>
    <t>DPS/HPS</t>
  </si>
  <si>
    <t>Death Knight - Frost</t>
  </si>
  <si>
    <t>Death Knight - Unholy</t>
  </si>
  <si>
    <t>Druid - Balance</t>
  </si>
  <si>
    <t>Hunter - Survival</t>
  </si>
  <si>
    <t>Mage - Fire</t>
  </si>
  <si>
    <t>Mage - Arcane</t>
  </si>
  <si>
    <t>Mage - Frost</t>
  </si>
  <si>
    <t>Paladin - Retribution</t>
  </si>
  <si>
    <t>Priest - Shadow</t>
  </si>
  <si>
    <t>Rogue - Assassination</t>
  </si>
  <si>
    <t>Rogue - Combat</t>
  </si>
  <si>
    <t>Rogue - Subtlety</t>
  </si>
  <si>
    <t>Shaman - Elemental</t>
  </si>
  <si>
    <t>Shaman - Enhancement</t>
  </si>
  <si>
    <t>Warlock - Destruction</t>
  </si>
  <si>
    <t>Warlock - Affliction</t>
  </si>
  <si>
    <t>Warlock - Daemonology</t>
  </si>
  <si>
    <t>Warrior - Arms</t>
  </si>
  <si>
    <t>Warrior - Fury</t>
  </si>
  <si>
    <t>Priest - Holy</t>
  </si>
  <si>
    <t>Priest - Discipline</t>
  </si>
  <si>
    <t>Druid - Restoration</t>
  </si>
  <si>
    <t>Paladin - Holy</t>
  </si>
  <si>
    <t>Shaman - Restoration</t>
  </si>
  <si>
    <t>Death Knight - Blood</t>
  </si>
  <si>
    <t>Paladin - Protection</t>
  </si>
  <si>
    <t>Warrior - Protection</t>
  </si>
  <si>
    <t>Output 1</t>
  </si>
  <si>
    <t>Average</t>
  </si>
  <si>
    <t>World %</t>
  </si>
  <si>
    <t>%</t>
  </si>
  <si>
    <t>Target</t>
  </si>
  <si>
    <t>Output 2</t>
  </si>
  <si>
    <t>Output 3</t>
  </si>
  <si>
    <t>Output Ranking</t>
  </si>
  <si>
    <t>Raid Output</t>
  </si>
  <si>
    <t>Attendance</t>
  </si>
  <si>
    <t>Present Month</t>
  </si>
  <si>
    <t>Last Month</t>
  </si>
  <si>
    <t>Muckyfloor</t>
  </si>
  <si>
    <t>Drakodin</t>
  </si>
  <si>
    <t>Wow-heroes</t>
  </si>
  <si>
    <t>Previous sign-up</t>
  </si>
  <si>
    <t xml:space="preserve">NEMData = { </t>
  </si>
  <si>
    <t>["</t>
  </si>
  <si>
    <t>"] = { ["note"] = "</t>
  </si>
  <si>
    <t>(</t>
  </si>
  <si>
    <t>)"}</t>
  </si>
  <si>
    <t>,["</t>
  </si>
  <si>
    <t>}</t>
  </si>
  <si>
    <t>Step 1</t>
  </si>
  <si>
    <t>Step 2</t>
  </si>
  <si>
    <t>Step 3</t>
  </si>
  <si>
    <t>Step 4</t>
  </si>
  <si>
    <t>Successful</t>
  </si>
  <si>
    <t>Pending</t>
  </si>
  <si>
    <t>Unsuccessful</t>
  </si>
  <si>
    <t>[Table][tr][td][center][b]</t>
  </si>
  <si>
    <t>[tr][td][center]</t>
  </si>
  <si>
    <t>[/b][/center][/td][td][center][b]</t>
  </si>
  <si>
    <t>[/center][/td][td][center]</t>
  </si>
  <si>
    <t>[/b][/center][/td][/tr]</t>
  </si>
  <si>
    <t>[/center][/td][/tr]</t>
  </si>
  <si>
    <t>--------------</t>
  </si>
  <si>
    <t>[/Table]</t>
  </si>
  <si>
    <t>------------</t>
  </si>
  <si>
    <t>Raid PR</t>
  </si>
  <si>
    <t>Role</t>
  </si>
  <si>
    <t>Confirm</t>
  </si>
  <si>
    <t>Raider</t>
  </si>
  <si>
    <t>Monk - Brewmaster</t>
  </si>
  <si>
    <t>Druid - Guardian</t>
  </si>
  <si>
    <t>Monk - Mistweaver</t>
  </si>
  <si>
    <t>Monk - Windwalker</t>
  </si>
  <si>
    <t>This</t>
  </si>
  <si>
    <t>Month</t>
  </si>
  <si>
    <t>Last</t>
  </si>
  <si>
    <t>Insufficent Attendance</t>
  </si>
  <si>
    <t>Total Outs</t>
  </si>
  <si>
    <t>Monk</t>
  </si>
  <si>
    <t>Role Total</t>
  </si>
  <si>
    <t>HEALER</t>
  </si>
  <si>
    <t>TANK</t>
  </si>
  <si>
    <t>Signs</t>
  </si>
  <si>
    <t>Potentially Recruit</t>
  </si>
  <si>
    <t>[tr][td][center][b]</t>
  </si>
  <si>
    <t>Potential</t>
  </si>
  <si>
    <t>Note</t>
  </si>
  <si>
    <t>CAT</t>
  </si>
  <si>
    <t>Altrezza</t>
  </si>
  <si>
    <t>Drakoman</t>
  </si>
  <si>
    <t>Halfhorns</t>
  </si>
  <si>
    <t>Izzabelle</t>
  </si>
  <si>
    <t>Rcane</t>
  </si>
  <si>
    <t>Shinkai</t>
  </si>
  <si>
    <t>Normal</t>
  </si>
  <si>
    <t>Heroic</t>
  </si>
  <si>
    <t>60% of HC</t>
  </si>
  <si>
    <t>70% of HC</t>
  </si>
  <si>
    <t>SCORE</t>
  </si>
  <si>
    <t>Desor</t>
  </si>
  <si>
    <t>Hyperïon</t>
  </si>
  <si>
    <t>Craving</t>
  </si>
  <si>
    <t>25 Man Normal MSV - Feng the Cursed</t>
  </si>
  <si>
    <t>25 Man Normal MSV - Currently Unknown</t>
  </si>
  <si>
    <t>ILvl Score</t>
  </si>
  <si>
    <t>Thu</t>
  </si>
  <si>
    <t>Errant</t>
  </si>
  <si>
    <t>Xytree</t>
  </si>
  <si>
    <t>Kinkiey</t>
  </si>
  <si>
    <t>% act</t>
  </si>
  <si>
    <t>Salti</t>
  </si>
  <si>
    <t>Axit</t>
  </si>
  <si>
    <t>Octavìus</t>
  </si>
  <si>
    <t>Thiana</t>
  </si>
  <si>
    <t>Nazgol</t>
  </si>
  <si>
    <t>Dracoar</t>
  </si>
  <si>
    <t>Madros</t>
  </si>
  <si>
    <t>Harìbo</t>
  </si>
  <si>
    <t>Landforce</t>
  </si>
  <si>
    <t>Axecutor</t>
  </si>
  <si>
    <t>Musketeerone</t>
  </si>
  <si>
    <t>Bloodanger</t>
  </si>
  <si>
    <t>Masher</t>
  </si>
  <si>
    <t>Tsali</t>
  </si>
  <si>
    <t>Harkar</t>
  </si>
  <si>
    <t>Khuzn</t>
  </si>
  <si>
    <t>Kádiz</t>
  </si>
  <si>
    <t>Overqtie</t>
  </si>
  <si>
    <t>Lanfeár</t>
  </si>
  <si>
    <t>Andarial</t>
  </si>
  <si>
    <t>Wafire</t>
  </si>
  <si>
    <t>Vyscr</t>
  </si>
  <si>
    <t>Littlexan</t>
  </si>
  <si>
    <t>Bloodfrost</t>
  </si>
  <si>
    <t>Yse</t>
  </si>
  <si>
    <t>Ríanne</t>
  </si>
  <si>
    <t>Ellabelle</t>
  </si>
  <si>
    <t>Svicane</t>
  </si>
  <si>
    <t>Esmentia</t>
  </si>
  <si>
    <t>Xamandria</t>
  </si>
  <si>
    <t>Laggwagon</t>
  </si>
  <si>
    <t>Coinage</t>
  </si>
  <si>
    <t>Mojomáster</t>
  </si>
  <si>
    <t>Ayshaa</t>
  </si>
  <si>
    <t>Eárendíl</t>
  </si>
  <si>
    <t>Hlianna</t>
  </si>
  <si>
    <t>Alimai</t>
  </si>
  <si>
    <t>Sayce</t>
  </si>
  <si>
    <t>Stabbyxan</t>
  </si>
  <si>
    <t>Raíven</t>
  </si>
  <si>
    <t>Snowies</t>
  </si>
  <si>
    <t>Ablon</t>
  </si>
  <si>
    <t>Ánja</t>
  </si>
  <si>
    <t>Psh</t>
  </si>
  <si>
    <t>Xeari</t>
  </si>
  <si>
    <t>Duskmire</t>
  </si>
  <si>
    <t>Katalá</t>
  </si>
  <si>
    <t>Shinlakeel</t>
  </si>
  <si>
    <t>Hillean</t>
  </si>
  <si>
    <t>Drpheal</t>
  </si>
  <si>
    <t>Darkxan</t>
  </si>
  <si>
    <t>Sanaa</t>
  </si>
  <si>
    <t>Madlips</t>
  </si>
  <si>
    <t>Dottiee</t>
  </si>
  <si>
    <t>Avane</t>
  </si>
  <si>
    <t>Sanangol</t>
  </si>
  <si>
    <t>Malaize</t>
  </si>
  <si>
    <t>Holyguard</t>
  </si>
  <si>
    <t>Galaind</t>
  </si>
  <si>
    <t>Paulíen</t>
  </si>
  <si>
    <t>Thaisa</t>
  </si>
  <si>
    <t>Hylee</t>
  </si>
  <si>
    <t>Solerez</t>
  </si>
  <si>
    <t>Shinaria</t>
  </si>
  <si>
    <t>Sarabelle</t>
  </si>
  <si>
    <t>Xanadaria</t>
  </si>
  <si>
    <t>Hemira</t>
  </si>
  <si>
    <t>Brucelethal</t>
  </si>
  <si>
    <t>Halftoday</t>
  </si>
  <si>
    <t>Astrona</t>
  </si>
  <si>
    <t>Rahwin</t>
  </si>
  <si>
    <t>Akilta</t>
  </si>
  <si>
    <t>Spruch</t>
  </si>
  <si>
    <t>Càrétàkér</t>
  </si>
  <si>
    <t>Ishímura</t>
  </si>
  <si>
    <t>Maltrus</t>
  </si>
  <si>
    <t>Soolabelle</t>
  </si>
  <si>
    <t>Gigglewiggle</t>
  </si>
  <si>
    <t>Xanablink</t>
  </si>
  <si>
    <t>Mílamber</t>
  </si>
  <si>
    <t>Amaras</t>
  </si>
  <si>
    <t>Blackcheeta</t>
  </si>
  <si>
    <t>Wainesha</t>
  </si>
  <si>
    <t>Whapap</t>
  </si>
  <si>
    <t>Oncemore</t>
  </si>
  <si>
    <t>Shikarey</t>
  </si>
  <si>
    <t>Halfzize</t>
  </si>
  <si>
    <t>Áegis</t>
  </si>
  <si>
    <t>Johnsole</t>
  </si>
  <si>
    <t>Quapaw</t>
  </si>
  <si>
    <t>Creasey</t>
  </si>
  <si>
    <t>Lauraa</t>
  </si>
  <si>
    <t>Xaniana</t>
  </si>
  <si>
    <t>Brownale</t>
  </si>
  <si>
    <t>Kimikie</t>
  </si>
  <si>
    <t>Hôlyshift</t>
  </si>
  <si>
    <t>Firefoxy</t>
  </si>
  <si>
    <t>Twicemore</t>
  </si>
  <si>
    <t>Plonja</t>
  </si>
  <si>
    <t>Moonhoof</t>
  </si>
  <si>
    <t>Calís</t>
  </si>
  <si>
    <t>Halfthings</t>
  </si>
  <si>
    <t>Terbee</t>
  </si>
  <si>
    <t>Bòmmýs</t>
  </si>
  <si>
    <t>Devenco</t>
  </si>
  <si>
    <t>Vanama</t>
  </si>
  <si>
    <t>Rednik</t>
  </si>
  <si>
    <t>Gleepa</t>
  </si>
  <si>
    <t>Lunabelle</t>
  </si>
  <si>
    <t>Cowbells</t>
  </si>
  <si>
    <t>Dragonpower</t>
  </si>
  <si>
    <t>Ghalmaraz</t>
  </si>
  <si>
    <t>Tomrexx</t>
  </si>
  <si>
    <t>Blomoo</t>
  </si>
  <si>
    <t>Vyscerus</t>
  </si>
  <si>
    <t>Morkanvir</t>
  </si>
  <si>
    <t>Zordán</t>
  </si>
  <si>
    <t>Garkosh</t>
  </si>
  <si>
    <t>Emojeans</t>
  </si>
  <si>
    <t>Nerugal</t>
  </si>
  <si>
    <t>Shinichi</t>
  </si>
  <si>
    <t>Dokix</t>
  </si>
  <si>
    <t>Althonios</t>
  </si>
  <si>
    <t>Avaintha</t>
  </si>
  <si>
    <t>Bubblyqt</t>
  </si>
  <si>
    <t>Drewie</t>
  </si>
  <si>
    <t>Sacredblade</t>
  </si>
  <si>
    <t>Xanadin</t>
  </si>
  <si>
    <t>Rokix</t>
  </si>
  <si>
    <t>Páula</t>
  </si>
  <si>
    <t>Maxeii</t>
  </si>
  <si>
    <t>Jimentoez</t>
  </si>
  <si>
    <t>Bofe</t>
  </si>
  <si>
    <t>Xigit</t>
  </si>
  <si>
    <t>Venturer Failed Attendance</t>
  </si>
  <si>
    <t>Errant Failed Attendance</t>
  </si>
  <si>
    <t>Traveler Failed Attendance</t>
  </si>
  <si>
    <t>Eithell</t>
  </si>
  <si>
    <t>Rhinoru</t>
  </si>
  <si>
    <t>Totals</t>
  </si>
  <si>
    <t>Guild Total</t>
  </si>
  <si>
    <t>Ilvl Req</t>
  </si>
  <si>
    <t>Ilvl Ranking</t>
  </si>
  <si>
    <t>Frost</t>
  </si>
  <si>
    <t>Assassination</t>
  </si>
  <si>
    <t>Discipline</t>
  </si>
  <si>
    <t>Restoration</t>
  </si>
  <si>
    <t>Fire</t>
  </si>
  <si>
    <t>Destruction</t>
  </si>
  <si>
    <t>Elemental</t>
  </si>
  <si>
    <t>Fury</t>
  </si>
  <si>
    <t>Beast Mastery</t>
  </si>
  <si>
    <t>Survival</t>
  </si>
  <si>
    <t>Holy</t>
  </si>
  <si>
    <t>Shadow</t>
  </si>
  <si>
    <t>Guardian</t>
  </si>
  <si>
    <t>Retribution</t>
  </si>
  <si>
    <t>Windwalker</t>
  </si>
  <si>
    <t>Remidina</t>
  </si>
  <si>
    <t>Combat</t>
  </si>
  <si>
    <t>Arcane</t>
  </si>
  <si>
    <t>Enhancement</t>
  </si>
  <si>
    <t>Protection</t>
  </si>
  <si>
    <t>Blood</t>
  </si>
  <si>
    <t>Balance</t>
  </si>
  <si>
    <t>Mistweaver</t>
  </si>
  <si>
    <t>Arms</t>
  </si>
  <si>
    <t>Hyunâ</t>
  </si>
  <si>
    <t>Feral</t>
  </si>
  <si>
    <t>Brewmaster</t>
  </si>
  <si>
    <t>Evoke</t>
  </si>
  <si>
    <t>Affliction</t>
  </si>
  <si>
    <t>Subtlety</t>
  </si>
  <si>
    <t>Best Spec</t>
  </si>
  <si>
    <t>Spec</t>
  </si>
  <si>
    <t>Druid - Feral</t>
  </si>
  <si>
    <t>Hunter - Beast Mastery</t>
  </si>
  <si>
    <t>Angelhoof</t>
  </si>
  <si>
    <t>Marksmanship</t>
  </si>
  <si>
    <t>Asch</t>
  </si>
  <si>
    <t>Beargrels</t>
  </si>
  <si>
    <t>Bigounce</t>
  </si>
  <si>
    <t>Clungetoad</t>
  </si>
  <si>
    <t>Draknoka</t>
  </si>
  <si>
    <t>Drakohunt</t>
  </si>
  <si>
    <t>Drugged</t>
  </si>
  <si>
    <t>Emril</t>
  </si>
  <si>
    <t>Feyson</t>
  </si>
  <si>
    <t>Hormones</t>
  </si>
  <si>
    <t>Demonology</t>
  </si>
  <si>
    <t>Judge</t>
  </si>
  <si>
    <t>Kaboof</t>
  </si>
  <si>
    <t>Kanoni</t>
  </si>
  <si>
    <t>Kirane</t>
  </si>
  <si>
    <t>Kristofix</t>
  </si>
  <si>
    <t>Lactating</t>
  </si>
  <si>
    <t>Mardazur</t>
  </si>
  <si>
    <t>Matusalem</t>
  </si>
  <si>
    <t>Mezzolina</t>
  </si>
  <si>
    <t>Monomaniac</t>
  </si>
  <si>
    <t>Morenna</t>
  </si>
  <si>
    <t>Naliyas</t>
  </si>
  <si>
    <t>Overtake</t>
  </si>
  <si>
    <t>Paolin</t>
  </si>
  <si>
    <t>Predictable</t>
  </si>
  <si>
    <t>Saltycream</t>
  </si>
  <si>
    <t>Sidac</t>
  </si>
  <si>
    <t>Teasé</t>
  </si>
  <si>
    <t>Thundrage</t>
  </si>
  <si>
    <t>Tonitrum</t>
  </si>
  <si>
    <t>Téasey</t>
  </si>
  <si>
    <t>Téasé</t>
  </si>
  <si>
    <t>Tíra</t>
  </si>
  <si>
    <t>Vereen</t>
  </si>
  <si>
    <t>Xian</t>
  </si>
  <si>
    <t>Yardk</t>
  </si>
  <si>
    <t>Zantias</t>
  </si>
  <si>
    <t>Zigz</t>
  </si>
  <si>
    <t>Niiwa</t>
  </si>
  <si>
    <t>Briedictable</t>
  </si>
  <si>
    <t>Maggimay</t>
  </si>
  <si>
    <t>Sarjezzar</t>
  </si>
  <si>
    <t>Shaohealin</t>
  </si>
  <si>
    <t>Bougelofatsa</t>
  </si>
  <si>
    <t>Green</t>
  </si>
  <si>
    <t>Koralya</t>
  </si>
  <si>
    <t>Lokrysh</t>
  </si>
  <si>
    <t>Mezzalina</t>
  </si>
  <si>
    <t>Mierin</t>
  </si>
  <si>
    <t>Méatshield</t>
  </si>
  <si>
    <t>Rayhh</t>
  </si>
  <si>
    <t>Unholy</t>
  </si>
  <si>
    <t>Script</t>
  </si>
  <si>
    <t>Standka</t>
  </si>
  <si>
    <t>Tinycow</t>
  </si>
  <si>
    <t>Téase</t>
  </si>
  <si>
    <t>Voidheart</t>
  </si>
  <si>
    <t>Weld</t>
  </si>
  <si>
    <t>Hunter - Marksmanship</t>
  </si>
  <si>
    <t>Highmaul</t>
  </si>
  <si>
    <t>Higmaul</t>
  </si>
</sst>
</file>

<file path=xl/styles.xml><?xml version="1.0" encoding="utf-8"?>
<styleSheet xmlns="http://schemas.openxmlformats.org/spreadsheetml/2006/main">
  <numFmts count="3">
    <numFmt numFmtId="164" formatCode="0.0"/>
    <numFmt numFmtId="165" formatCode="dd/mm/yy"/>
    <numFmt numFmtId="166" formatCode="0.0%"/>
  </numFmts>
  <fonts count="26"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17"/>
      <name val="Arial"/>
      <family val="2"/>
    </font>
    <font>
      <sz val="10"/>
      <color indexed="60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  <font>
      <b/>
      <sz val="10"/>
      <name val="Arial"/>
      <family val="2"/>
    </font>
    <font>
      <u/>
      <sz val="10"/>
      <color theme="10"/>
      <name val="Arial"/>
      <family val="2"/>
    </font>
  </fonts>
  <fills count="32">
    <fill>
      <patternFill patternType="none"/>
    </fill>
    <fill>
      <patternFill patternType="gray125"/>
    </fill>
    <fill>
      <patternFill patternType="solid">
        <fgColor indexed="31"/>
        <bgColor indexed="13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45"/>
      </patternFill>
    </fill>
    <fill>
      <patternFill patternType="solid">
        <fgColor indexed="27"/>
        <bgColor indexed="42"/>
      </patternFill>
    </fill>
    <fill>
      <patternFill patternType="solid">
        <fgColor indexed="47"/>
        <bgColor indexed="13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34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50"/>
      </patternFill>
    </fill>
    <fill>
      <patternFill patternType="solid">
        <fgColor indexed="55"/>
        <bgColor indexed="24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24"/>
        <bgColor indexed="55"/>
      </patternFill>
    </fill>
    <fill>
      <patternFill patternType="solid">
        <fgColor indexed="54"/>
        <bgColor indexed="23"/>
      </patternFill>
    </fill>
    <fill>
      <patternFill patternType="solid">
        <fgColor indexed="41"/>
        <bgColor indexed="13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1" tint="0.34998626667073579"/>
        <bgColor indexed="24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1" tint="0.499984740745262"/>
        <bgColor indexed="64"/>
      </patternFill>
    </fill>
  </fills>
  <borders count="24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/>
      <top/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double">
        <color indexed="8"/>
      </left>
      <right style="medium">
        <color indexed="8"/>
      </right>
      <top style="double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double">
        <color indexed="8"/>
      </top>
      <bottom style="medium">
        <color indexed="8"/>
      </bottom>
      <diagonal/>
    </border>
    <border>
      <left style="medium">
        <color indexed="8"/>
      </left>
      <right style="double">
        <color indexed="8"/>
      </right>
      <top style="double">
        <color indexed="8"/>
      </top>
      <bottom style="medium">
        <color indexed="8"/>
      </bottom>
      <diagonal/>
    </border>
    <border>
      <left style="double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double">
        <color indexed="8"/>
      </right>
      <top style="medium">
        <color indexed="8"/>
      </top>
      <bottom style="medium">
        <color indexed="8"/>
      </bottom>
      <diagonal/>
    </border>
    <border>
      <left style="double">
        <color indexed="8"/>
      </left>
      <right style="medium">
        <color indexed="8"/>
      </right>
      <top style="medium">
        <color indexed="8"/>
      </top>
      <bottom style="double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double">
        <color indexed="8"/>
      </bottom>
      <diagonal/>
    </border>
    <border>
      <left style="medium">
        <color indexed="8"/>
      </left>
      <right style="double">
        <color indexed="8"/>
      </right>
      <top style="medium">
        <color indexed="8"/>
      </top>
      <bottom style="double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double">
        <color indexed="8"/>
      </bottom>
      <diagonal/>
    </border>
    <border>
      <left style="medium">
        <color indexed="8"/>
      </left>
      <right style="medium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double">
        <color indexed="8"/>
      </bottom>
      <diagonal/>
    </border>
    <border>
      <left style="medium">
        <color indexed="8"/>
      </left>
      <right style="medium">
        <color indexed="8"/>
      </right>
      <top/>
      <bottom style="double">
        <color indexed="8"/>
      </bottom>
      <diagonal/>
    </border>
    <border>
      <left/>
      <right style="thin">
        <color indexed="8"/>
      </right>
      <top style="thin">
        <color indexed="8"/>
      </top>
      <bottom style="double">
        <color indexed="8"/>
      </bottom>
      <diagonal/>
    </border>
    <border>
      <left style="medium">
        <color indexed="8"/>
      </left>
      <right/>
      <top style="thin">
        <color indexed="8"/>
      </top>
      <bottom style="double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medium">
        <color indexed="8"/>
      </left>
      <right style="medium">
        <color indexed="8"/>
      </right>
      <top style="double">
        <color indexed="8"/>
      </top>
      <bottom style="thin">
        <color indexed="8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8"/>
      </left>
      <right/>
      <top style="thin">
        <color indexed="8"/>
      </top>
      <bottom style="medium">
        <color indexed="8"/>
      </bottom>
      <diagonal/>
    </border>
    <border>
      <left/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double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 style="medium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double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double">
        <color auto="1"/>
      </right>
      <top/>
      <bottom style="double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/>
      <diagonal/>
    </border>
    <border>
      <left style="double">
        <color auto="1"/>
      </left>
      <right style="thin">
        <color auto="1"/>
      </right>
      <top/>
      <bottom/>
      <diagonal/>
    </border>
    <border>
      <left style="thin">
        <color auto="1"/>
      </left>
      <right style="double">
        <color auto="1"/>
      </right>
      <top/>
      <bottom/>
      <diagonal/>
    </border>
    <border>
      <left style="double">
        <color auto="1"/>
      </left>
      <right style="thin">
        <color auto="1"/>
      </right>
      <top/>
      <bottom style="double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/>
      <right style="double">
        <color auto="1"/>
      </right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  <border>
      <left style="double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double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double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medium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double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/>
      <diagonal/>
    </border>
    <border>
      <left style="double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8"/>
      </bottom>
      <diagonal/>
    </border>
    <border>
      <left style="medium">
        <color indexed="8"/>
      </left>
      <right/>
      <top style="medium">
        <color indexed="64"/>
      </top>
      <bottom style="medium">
        <color indexed="8"/>
      </bottom>
      <diagonal/>
    </border>
    <border>
      <left style="medium">
        <color indexed="64"/>
      </left>
      <right style="medium">
        <color indexed="8"/>
      </right>
      <top/>
      <bottom style="thin">
        <color indexed="8"/>
      </bottom>
      <diagonal/>
    </border>
    <border>
      <left style="medium">
        <color indexed="64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64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64"/>
      </left>
      <right style="medium">
        <color indexed="8"/>
      </right>
      <top style="thin">
        <color indexed="8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64"/>
      </left>
      <right/>
      <top style="medium">
        <color indexed="8"/>
      </top>
      <bottom style="medium">
        <color indexed="8"/>
      </bottom>
      <diagonal/>
    </border>
    <border>
      <left style="medium">
        <color indexed="64"/>
      </left>
      <right style="medium">
        <color indexed="8"/>
      </right>
      <top/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64"/>
      </left>
      <right/>
      <top/>
      <bottom style="medium">
        <color indexed="8"/>
      </bottom>
      <diagonal/>
    </border>
    <border>
      <left style="medium">
        <color indexed="64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medium">
        <color indexed="64"/>
      </left>
      <right/>
      <top style="medium">
        <color indexed="8"/>
      </top>
      <bottom/>
      <diagonal/>
    </border>
    <border>
      <left style="medium">
        <color indexed="64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/>
      <diagonal/>
    </border>
    <border>
      <left style="medium">
        <color indexed="8"/>
      </left>
      <right/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/>
      <top style="thin">
        <color indexed="8"/>
      </top>
      <bottom style="double">
        <color indexed="8"/>
      </bottom>
      <diagonal/>
    </border>
    <border>
      <left style="medium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medium">
        <color indexed="64"/>
      </bottom>
      <diagonal/>
    </border>
    <border>
      <left/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/>
      <top style="thin">
        <color indexed="8"/>
      </top>
      <bottom/>
      <diagonal/>
    </border>
    <border>
      <left/>
      <right style="medium">
        <color indexed="64"/>
      </right>
      <top style="thin">
        <color indexed="8"/>
      </top>
      <bottom/>
      <diagonal/>
    </border>
  </borders>
  <cellStyleXfs count="48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3" borderId="0" applyNumberFormat="0" applyBorder="0" applyAlignment="0" applyProtection="0"/>
    <xf numFmtId="0" fontId="6" fillId="20" borderId="1" applyNumberFormat="0" applyAlignment="0" applyProtection="0"/>
    <xf numFmtId="0" fontId="7" fillId="21" borderId="2" applyNumberFormat="0" applyAlignment="0" applyProtection="0"/>
    <xf numFmtId="0" fontId="3" fillId="0" borderId="0"/>
    <xf numFmtId="0" fontId="3" fillId="0" borderId="0"/>
    <xf numFmtId="0" fontId="8" fillId="0" borderId="0" applyNumberFormat="0" applyFill="0" applyBorder="0" applyAlignment="0" applyProtection="0"/>
    <xf numFmtId="0" fontId="9" fillId="4" borderId="0" applyNumberFormat="0" applyBorder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2" fillId="0" borderId="0" applyNumberFormat="0" applyFill="0" applyBorder="0" applyAlignment="0" applyProtection="0"/>
    <xf numFmtId="0" fontId="13" fillId="7" borderId="1" applyNumberFormat="0" applyAlignment="0" applyProtection="0"/>
    <xf numFmtId="0" fontId="14" fillId="0" borderId="6" applyNumberFormat="0" applyFill="0" applyAlignment="0" applyProtection="0"/>
    <xf numFmtId="0" fontId="15" fillId="22" borderId="0" applyNumberFormat="0" applyBorder="0" applyAlignment="0" applyProtection="0"/>
    <xf numFmtId="0" fontId="22" fillId="23" borderId="7" applyNumberFormat="0" applyAlignment="0" applyProtection="0"/>
    <xf numFmtId="0" fontId="16" fillId="20" borderId="8" applyNumberFormat="0" applyAlignment="0" applyProtection="0"/>
    <xf numFmtId="9" fontId="2" fillId="0" borderId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0" borderId="0" applyNumberFormat="0" applyFill="0" applyBorder="0" applyAlignment="0" applyProtection="0"/>
    <xf numFmtId="0" fontId="1" fillId="0" borderId="0"/>
    <xf numFmtId="0" fontId="1" fillId="0" borderId="0"/>
    <xf numFmtId="0" fontId="25" fillId="0" borderId="0" applyNumberFormat="0" applyFill="0" applyBorder="0" applyAlignment="0" applyProtection="0">
      <alignment vertical="top"/>
      <protection locked="0"/>
    </xf>
  </cellStyleXfs>
  <cellXfs count="551">
    <xf numFmtId="0" fontId="0" fillId="0" borderId="0" xfId="0"/>
    <xf numFmtId="0" fontId="3" fillId="0" borderId="0" xfId="28" applyAlignment="1">
      <alignment horizontal="center" vertical="center"/>
    </xf>
    <xf numFmtId="0" fontId="18" fillId="21" borderId="10" xfId="28" applyFont="1" applyFill="1" applyBorder="1" applyAlignment="1">
      <alignment horizontal="center" vertical="center"/>
    </xf>
    <xf numFmtId="0" fontId="18" fillId="0" borderId="0" xfId="28" applyFont="1" applyAlignment="1">
      <alignment horizontal="center" vertical="center"/>
    </xf>
    <xf numFmtId="0" fontId="3" fillId="0" borderId="11" xfId="28" applyFont="1" applyBorder="1" applyAlignment="1">
      <alignment horizontal="center" vertical="center"/>
    </xf>
    <xf numFmtId="0" fontId="3" fillId="0" borderId="12" xfId="28" applyFont="1" applyBorder="1" applyAlignment="1">
      <alignment horizontal="center" vertical="center"/>
    </xf>
    <xf numFmtId="0" fontId="3" fillId="0" borderId="0" xfId="28" applyFont="1" applyAlignment="1">
      <alignment horizontal="center" vertical="center"/>
    </xf>
    <xf numFmtId="0" fontId="18" fillId="20" borderId="13" xfId="28" applyFont="1" applyFill="1" applyBorder="1" applyAlignment="1">
      <alignment horizontal="center" vertical="center"/>
    </xf>
    <xf numFmtId="0" fontId="3" fillId="0" borderId="13" xfId="28" applyBorder="1" applyAlignment="1">
      <alignment horizontal="center" vertical="center"/>
    </xf>
    <xf numFmtId="0" fontId="3" fillId="0" borderId="13" xfId="28" applyFont="1" applyBorder="1" applyAlignment="1">
      <alignment horizontal="center" vertical="center"/>
    </xf>
    <xf numFmtId="0" fontId="3" fillId="0" borderId="10" xfId="28" applyBorder="1" applyAlignment="1">
      <alignment horizontal="center" vertical="center"/>
    </xf>
    <xf numFmtId="0" fontId="3" fillId="0" borderId="12" xfId="28" applyBorder="1" applyAlignment="1">
      <alignment horizontal="center" vertical="center"/>
    </xf>
    <xf numFmtId="0" fontId="3" fillId="0" borderId="17" xfId="28" applyBorder="1" applyAlignment="1">
      <alignment horizontal="center" vertical="center"/>
    </xf>
    <xf numFmtId="0" fontId="3" fillId="0" borderId="18" xfId="28" applyBorder="1" applyAlignment="1">
      <alignment horizontal="center" vertical="center"/>
    </xf>
    <xf numFmtId="0" fontId="3" fillId="21" borderId="10" xfId="28" applyFont="1" applyFill="1" applyBorder="1" applyAlignment="1">
      <alignment horizontal="center" vertical="center"/>
    </xf>
    <xf numFmtId="0" fontId="3" fillId="21" borderId="22" xfId="28" applyFont="1" applyFill="1" applyBorder="1" applyAlignment="1">
      <alignment horizontal="center" vertical="center"/>
    </xf>
    <xf numFmtId="0" fontId="3" fillId="0" borderId="0" xfId="28" applyFill="1" applyAlignment="1">
      <alignment horizontal="center" vertical="center"/>
    </xf>
    <xf numFmtId="0" fontId="3" fillId="0" borderId="24" xfId="28" applyBorder="1" applyAlignment="1">
      <alignment horizontal="center" vertical="center"/>
    </xf>
    <xf numFmtId="0" fontId="3" fillId="21" borderId="12" xfId="28" applyFill="1" applyBorder="1" applyAlignment="1">
      <alignment horizontal="center" vertical="center"/>
    </xf>
    <xf numFmtId="0" fontId="3" fillId="0" borderId="25" xfId="28" applyBorder="1" applyAlignment="1">
      <alignment horizontal="center" vertical="center"/>
    </xf>
    <xf numFmtId="0" fontId="3" fillId="0" borderId="29" xfId="28" applyBorder="1" applyAlignment="1">
      <alignment horizontal="center" vertical="center"/>
    </xf>
    <xf numFmtId="0" fontId="3" fillId="0" borderId="19" xfId="28" applyBorder="1" applyAlignment="1">
      <alignment horizontal="center" vertical="center"/>
    </xf>
    <xf numFmtId="0" fontId="3" fillId="0" borderId="30" xfId="28" applyBorder="1" applyAlignment="1">
      <alignment horizontal="center" vertical="center"/>
    </xf>
    <xf numFmtId="0" fontId="18" fillId="21" borderId="31" xfId="28" applyFont="1" applyFill="1" applyBorder="1" applyAlignment="1">
      <alignment horizontal="center" vertical="center"/>
    </xf>
    <xf numFmtId="0" fontId="18" fillId="20" borderId="12" xfId="28" applyFont="1" applyFill="1" applyBorder="1" applyAlignment="1">
      <alignment horizontal="center" vertical="center"/>
    </xf>
    <xf numFmtId="164" fontId="3" fillId="0" borderId="12" xfId="28" applyNumberFormat="1" applyBorder="1" applyAlignment="1">
      <alignment horizontal="center" vertical="center"/>
    </xf>
    <xf numFmtId="164" fontId="3" fillId="0" borderId="13" xfId="28" applyNumberFormat="1" applyBorder="1" applyAlignment="1">
      <alignment horizontal="center" vertical="center"/>
    </xf>
    <xf numFmtId="0" fontId="18" fillId="20" borderId="19" xfId="28" applyFont="1" applyFill="1" applyBorder="1" applyAlignment="1">
      <alignment horizontal="center" vertical="center"/>
    </xf>
    <xf numFmtId="164" fontId="3" fillId="0" borderId="19" xfId="28" applyNumberFormat="1" applyBorder="1" applyAlignment="1">
      <alignment horizontal="center" vertical="center"/>
    </xf>
    <xf numFmtId="0" fontId="18" fillId="21" borderId="32" xfId="28" applyFont="1" applyFill="1" applyBorder="1" applyAlignment="1">
      <alignment horizontal="center" vertical="center" wrapText="1"/>
    </xf>
    <xf numFmtId="0" fontId="18" fillId="21" borderId="31" xfId="28" applyFont="1" applyFill="1" applyBorder="1" applyAlignment="1">
      <alignment horizontal="center" vertical="center" wrapText="1"/>
    </xf>
    <xf numFmtId="0" fontId="18" fillId="21" borderId="10" xfId="28" applyFont="1" applyFill="1" applyBorder="1" applyAlignment="1">
      <alignment horizontal="center" vertical="center" wrapText="1"/>
    </xf>
    <xf numFmtId="0" fontId="3" fillId="0" borderId="12" xfId="28" applyFont="1" applyBorder="1" applyAlignment="1" applyProtection="1">
      <alignment horizontal="center" vertical="center"/>
      <protection locked="0"/>
    </xf>
    <xf numFmtId="0" fontId="3" fillId="20" borderId="34" xfId="28" applyFont="1" applyFill="1" applyBorder="1" applyAlignment="1" applyProtection="1">
      <alignment horizontal="center" vertical="center"/>
      <protection locked="0"/>
    </xf>
    <xf numFmtId="0" fontId="3" fillId="0" borderId="13" xfId="28" applyFont="1" applyBorder="1" applyAlignment="1" applyProtection="1">
      <alignment horizontal="center" vertical="center"/>
      <protection locked="0"/>
    </xf>
    <xf numFmtId="0" fontId="3" fillId="20" borderId="35" xfId="28" applyFont="1" applyFill="1" applyBorder="1" applyAlignment="1" applyProtection="1">
      <alignment horizontal="center" vertical="center"/>
      <protection locked="0"/>
    </xf>
    <xf numFmtId="0" fontId="3" fillId="20" borderId="36" xfId="28" applyFont="1" applyFill="1" applyBorder="1" applyAlignment="1" applyProtection="1">
      <alignment horizontal="center" vertical="center"/>
      <protection locked="0"/>
    </xf>
    <xf numFmtId="0" fontId="3" fillId="20" borderId="24" xfId="28" applyFont="1" applyFill="1" applyBorder="1" applyAlignment="1" applyProtection="1">
      <alignment horizontal="center" vertical="center"/>
      <protection locked="0"/>
    </xf>
    <xf numFmtId="0" fontId="3" fillId="0" borderId="11" xfId="28" applyFont="1" applyBorder="1" applyAlignment="1" applyProtection="1">
      <alignment horizontal="center" vertical="center"/>
      <protection locked="0"/>
    </xf>
    <xf numFmtId="0" fontId="3" fillId="0" borderId="17" xfId="28" applyFont="1" applyBorder="1" applyAlignment="1">
      <alignment horizontal="center" vertical="center"/>
    </xf>
    <xf numFmtId="0" fontId="18" fillId="21" borderId="37" xfId="28" applyFont="1" applyFill="1" applyBorder="1" applyAlignment="1">
      <alignment horizontal="center" vertical="center"/>
    </xf>
    <xf numFmtId="0" fontId="18" fillId="21" borderId="14" xfId="28" applyFont="1" applyFill="1" applyBorder="1" applyAlignment="1">
      <alignment horizontal="center" vertical="center" wrapText="1"/>
    </xf>
    <xf numFmtId="0" fontId="18" fillId="21" borderId="15" xfId="28" applyFont="1" applyFill="1" applyBorder="1" applyAlignment="1">
      <alignment horizontal="center" vertical="center" wrapText="1"/>
    </xf>
    <xf numFmtId="0" fontId="3" fillId="0" borderId="0" xfId="28" applyBorder="1" applyAlignment="1">
      <alignment horizontal="center" vertical="center"/>
    </xf>
    <xf numFmtId="0" fontId="3" fillId="0" borderId="23" xfId="28" applyFont="1" applyBorder="1" applyAlignment="1">
      <alignment horizontal="center" vertical="center"/>
    </xf>
    <xf numFmtId="0" fontId="3" fillId="0" borderId="38" xfId="28" applyFont="1" applyBorder="1" applyAlignment="1">
      <alignment horizontal="center" vertical="center"/>
    </xf>
    <xf numFmtId="0" fontId="3" fillId="0" borderId="39" xfId="28" applyFont="1" applyBorder="1" applyAlignment="1">
      <alignment horizontal="center" vertical="center"/>
    </xf>
    <xf numFmtId="0" fontId="3" fillId="0" borderId="20" xfId="28" applyFont="1" applyBorder="1" applyAlignment="1">
      <alignment horizontal="center" vertical="center"/>
    </xf>
    <xf numFmtId="0" fontId="3" fillId="0" borderId="0" xfId="28"/>
    <xf numFmtId="0" fontId="18" fillId="21" borderId="12" xfId="28" applyFont="1" applyFill="1" applyBorder="1" applyAlignment="1">
      <alignment horizontal="center" vertical="center"/>
    </xf>
    <xf numFmtId="0" fontId="18" fillId="20" borderId="40" xfId="28" applyFont="1" applyFill="1" applyBorder="1" applyAlignment="1">
      <alignment horizontal="center" vertical="center"/>
    </xf>
    <xf numFmtId="0" fontId="18" fillId="20" borderId="41" xfId="28" applyFont="1" applyFill="1" applyBorder="1" applyAlignment="1">
      <alignment horizontal="center" vertical="center"/>
    </xf>
    <xf numFmtId="0" fontId="18" fillId="20" borderId="42" xfId="28" applyFont="1" applyFill="1" applyBorder="1" applyAlignment="1">
      <alignment horizontal="center" vertical="center"/>
    </xf>
    <xf numFmtId="0" fontId="18" fillId="21" borderId="13" xfId="28" applyFont="1" applyFill="1" applyBorder="1" applyAlignment="1">
      <alignment horizontal="center" vertical="center"/>
    </xf>
    <xf numFmtId="14" fontId="3" fillId="0" borderId="43" xfId="28" applyNumberFormat="1" applyBorder="1" applyAlignment="1" applyProtection="1">
      <alignment horizontal="center" vertical="center"/>
      <protection locked="0"/>
    </xf>
    <xf numFmtId="0" fontId="3" fillId="0" borderId="43" xfId="28" applyFont="1" applyBorder="1" applyAlignment="1" applyProtection="1">
      <alignment horizontal="center" vertical="center"/>
      <protection locked="0"/>
    </xf>
    <xf numFmtId="0" fontId="3" fillId="0" borderId="17" xfId="28" applyBorder="1" applyAlignment="1" applyProtection="1">
      <alignment horizontal="center" vertical="center"/>
      <protection locked="0"/>
    </xf>
    <xf numFmtId="0" fontId="3" fillId="0" borderId="36" xfId="28" applyBorder="1" applyAlignment="1" applyProtection="1">
      <alignment horizontal="center" vertical="center"/>
      <protection locked="0"/>
    </xf>
    <xf numFmtId="0" fontId="18" fillId="21" borderId="19" xfId="28" applyFont="1" applyFill="1" applyBorder="1" applyAlignment="1">
      <alignment horizontal="center" vertical="center"/>
    </xf>
    <xf numFmtId="0" fontId="3" fillId="0" borderId="44" xfId="28" applyFont="1" applyBorder="1" applyAlignment="1" applyProtection="1">
      <alignment horizontal="center" vertical="center" wrapText="1"/>
      <protection locked="0"/>
    </xf>
    <xf numFmtId="0" fontId="3" fillId="0" borderId="20" xfId="28" applyFont="1" applyBorder="1" applyAlignment="1" applyProtection="1">
      <alignment horizontal="center" vertical="center" wrapText="1"/>
      <protection locked="0"/>
    </xf>
    <xf numFmtId="0" fontId="3" fillId="0" borderId="45" xfId="28" applyFont="1" applyBorder="1" applyAlignment="1" applyProtection="1">
      <alignment horizontal="center" vertical="center" wrapText="1"/>
      <protection locked="0"/>
    </xf>
    <xf numFmtId="0" fontId="3" fillId="0" borderId="41" xfId="28" applyFont="1" applyBorder="1" applyAlignment="1">
      <alignment horizontal="center" vertical="center"/>
    </xf>
    <xf numFmtId="0" fontId="3" fillId="0" borderId="47" xfId="28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17" xfId="29" applyBorder="1" applyAlignment="1">
      <alignment horizontal="center" vertical="center"/>
    </xf>
    <xf numFmtId="0" fontId="3" fillId="0" borderId="18" xfId="29" applyBorder="1" applyAlignment="1">
      <alignment horizontal="center" vertical="center"/>
    </xf>
    <xf numFmtId="0" fontId="3" fillId="0" borderId="11" xfId="29" applyFont="1" applyBorder="1" applyAlignment="1">
      <alignment horizontal="center" vertical="center"/>
    </xf>
    <xf numFmtId="0" fontId="3" fillId="0" borderId="13" xfId="29" applyFont="1" applyBorder="1" applyAlignment="1">
      <alignment horizontal="center" vertical="center"/>
    </xf>
    <xf numFmtId="0" fontId="0" fillId="0" borderId="0" xfId="0" applyFont="1"/>
    <xf numFmtId="0" fontId="3" fillId="0" borderId="20" xfId="29" applyBorder="1" applyAlignment="1">
      <alignment horizontal="center" vertical="center"/>
    </xf>
    <xf numFmtId="0" fontId="3" fillId="0" borderId="21" xfId="29" applyBorder="1" applyAlignment="1">
      <alignment horizontal="center" vertical="center"/>
    </xf>
    <xf numFmtId="0" fontId="18" fillId="21" borderId="48" xfId="28" applyFont="1" applyFill="1" applyBorder="1" applyAlignment="1">
      <alignment horizontal="center" vertical="center"/>
    </xf>
    <xf numFmtId="0" fontId="0" fillId="0" borderId="0" xfId="0" applyFont="1" applyAlignment="1">
      <alignment horizontal="left" vertical="top"/>
    </xf>
    <xf numFmtId="0" fontId="0" fillId="0" borderId="49" xfId="0" applyBorder="1"/>
    <xf numFmtId="0" fontId="0" fillId="0" borderId="50" xfId="0" applyFont="1" applyBorder="1"/>
    <xf numFmtId="0" fontId="0" fillId="0" borderId="50" xfId="0" applyFont="1" applyBorder="1" applyAlignment="1">
      <alignment horizontal="left" vertical="top"/>
    </xf>
    <xf numFmtId="0" fontId="0" fillId="0" borderId="51" xfId="0" applyFont="1" applyBorder="1"/>
    <xf numFmtId="0" fontId="0" fillId="0" borderId="52" xfId="0" applyBorder="1"/>
    <xf numFmtId="0" fontId="0" fillId="0" borderId="10" xfId="0" applyFont="1" applyBorder="1" applyAlignment="1">
      <alignment horizontal="center"/>
    </xf>
    <xf numFmtId="0" fontId="0" fillId="0" borderId="10" xfId="0" applyFont="1" applyBorder="1"/>
    <xf numFmtId="0" fontId="0" fillId="0" borderId="53" xfId="0" applyFont="1" applyBorder="1" applyAlignment="1">
      <alignment horizontal="center"/>
    </xf>
    <xf numFmtId="0" fontId="20" fillId="0" borderId="10" xfId="0" applyNumberFormat="1" applyFont="1" applyBorder="1" applyAlignment="1">
      <alignment horizontal="center"/>
    </xf>
    <xf numFmtId="0" fontId="21" fillId="0" borderId="10" xfId="0" applyNumberFormat="1" applyFont="1" applyBorder="1" applyAlignment="1">
      <alignment horizontal="center"/>
    </xf>
    <xf numFmtId="0" fontId="20" fillId="0" borderId="10" xfId="0" applyFont="1" applyBorder="1" applyAlignment="1">
      <alignment horizontal="center"/>
    </xf>
    <xf numFmtId="0" fontId="21" fillId="0" borderId="10" xfId="0" applyFont="1" applyBorder="1" applyAlignment="1">
      <alignment horizontal="center"/>
    </xf>
    <xf numFmtId="20" fontId="0" fillId="0" borderId="0" xfId="0" applyNumberFormat="1" applyFont="1" applyAlignment="1">
      <alignment horizontal="left"/>
    </xf>
    <xf numFmtId="0" fontId="0" fillId="0" borderId="0" xfId="0" applyFont="1" applyAlignment="1">
      <alignment horizontal="left"/>
    </xf>
    <xf numFmtId="0" fontId="0" fillId="0" borderId="0" xfId="29" applyFont="1" applyAlignment="1">
      <alignment horizontal="left" vertical="top"/>
    </xf>
    <xf numFmtId="0" fontId="0" fillId="0" borderId="54" xfId="0" applyBorder="1"/>
    <xf numFmtId="0" fontId="0" fillId="0" borderId="55" xfId="0" applyFont="1" applyBorder="1" applyAlignment="1">
      <alignment horizontal="center"/>
    </xf>
    <xf numFmtId="0" fontId="0" fillId="0" borderId="56" xfId="0" applyFont="1" applyBorder="1" applyAlignment="1">
      <alignment horizontal="center"/>
    </xf>
    <xf numFmtId="0" fontId="0" fillId="0" borderId="37" xfId="0" applyFont="1" applyBorder="1"/>
    <xf numFmtId="0" fontId="0" fillId="0" borderId="14" xfId="0" applyFont="1" applyBorder="1"/>
    <xf numFmtId="0" fontId="0" fillId="0" borderId="15" xfId="0" applyFont="1" applyBorder="1"/>
    <xf numFmtId="0" fontId="0" fillId="0" borderId="57" xfId="0" applyBorder="1"/>
    <xf numFmtId="0" fontId="0" fillId="0" borderId="46" xfId="0" applyFont="1" applyBorder="1"/>
    <xf numFmtId="0" fontId="0" fillId="0" borderId="47" xfId="0" applyBorder="1"/>
    <xf numFmtId="0" fontId="0" fillId="0" borderId="41" xfId="0" applyBorder="1"/>
    <xf numFmtId="0" fontId="0" fillId="25" borderId="41" xfId="0" applyFill="1" applyBorder="1"/>
    <xf numFmtId="0" fontId="0" fillId="26" borderId="12" xfId="0" applyFill="1" applyBorder="1"/>
    <xf numFmtId="0" fontId="0" fillId="0" borderId="26" xfId="0" applyFont="1" applyBorder="1"/>
    <xf numFmtId="0" fontId="0" fillId="0" borderId="18" xfId="0" applyBorder="1"/>
    <xf numFmtId="0" fontId="0" fillId="0" borderId="17" xfId="0" applyBorder="1"/>
    <xf numFmtId="0" fontId="0" fillId="25" borderId="17" xfId="0" applyFill="1" applyBorder="1"/>
    <xf numFmtId="0" fontId="0" fillId="26" borderId="13" xfId="0" applyFill="1" applyBorder="1"/>
    <xf numFmtId="0" fontId="0" fillId="0" borderId="28" xfId="0" applyFont="1" applyBorder="1"/>
    <xf numFmtId="0" fontId="0" fillId="0" borderId="21" xfId="0" applyBorder="1"/>
    <xf numFmtId="0" fontId="0" fillId="0" borderId="20" xfId="0" applyBorder="1"/>
    <xf numFmtId="0" fontId="0" fillId="25" borderId="20" xfId="0" applyFill="1" applyBorder="1"/>
    <xf numFmtId="0" fontId="0" fillId="26" borderId="19" xfId="0" applyFill="1" applyBorder="1"/>
    <xf numFmtId="0" fontId="0" fillId="0" borderId="0" xfId="0" applyBorder="1"/>
    <xf numFmtId="0" fontId="3" fillId="0" borderId="46" xfId="0" applyFont="1" applyBorder="1"/>
    <xf numFmtId="0" fontId="3" fillId="0" borderId="41" xfId="0" applyFont="1" applyBorder="1"/>
    <xf numFmtId="0" fontId="0" fillId="0" borderId="28" xfId="0" applyBorder="1"/>
    <xf numFmtId="0" fontId="0" fillId="0" borderId="26" xfId="0" applyBorder="1"/>
    <xf numFmtId="0" fontId="18" fillId="21" borderId="58" xfId="28" applyFont="1" applyFill="1" applyBorder="1" applyAlignment="1">
      <alignment horizontal="center" vertical="center" wrapText="1"/>
    </xf>
    <xf numFmtId="0" fontId="3" fillId="0" borderId="59" xfId="28" applyFont="1" applyBorder="1" applyAlignment="1" applyProtection="1">
      <alignment horizontal="center" vertical="center"/>
      <protection locked="0"/>
    </xf>
    <xf numFmtId="0" fontId="3" fillId="0" borderId="27" xfId="28" applyFont="1" applyBorder="1" applyAlignment="1" applyProtection="1">
      <alignment horizontal="center" vertical="center"/>
      <protection locked="0"/>
    </xf>
    <xf numFmtId="0" fontId="3" fillId="0" borderId="25" xfId="28" applyFont="1" applyBorder="1" applyAlignment="1" applyProtection="1">
      <alignment horizontal="center" vertical="center"/>
      <protection locked="0"/>
    </xf>
    <xf numFmtId="0" fontId="3" fillId="0" borderId="38" xfId="29" applyBorder="1" applyAlignment="1">
      <alignment horizontal="center" vertical="center"/>
    </xf>
    <xf numFmtId="0" fontId="3" fillId="0" borderId="39" xfId="29" applyBorder="1" applyAlignment="1">
      <alignment horizontal="center" vertical="center"/>
    </xf>
    <xf numFmtId="0" fontId="3" fillId="0" borderId="60" xfId="29" applyFont="1" applyBorder="1" applyAlignment="1">
      <alignment horizontal="center" vertical="center"/>
    </xf>
    <xf numFmtId="0" fontId="3" fillId="0" borderId="61" xfId="29" applyBorder="1" applyAlignment="1">
      <alignment horizontal="center" vertical="center"/>
    </xf>
    <xf numFmtId="0" fontId="3" fillId="0" borderId="62" xfId="29" applyBorder="1" applyAlignment="1">
      <alignment horizontal="center" vertical="center"/>
    </xf>
    <xf numFmtId="0" fontId="3" fillId="0" borderId="18" xfId="28" applyFont="1" applyBorder="1" applyAlignment="1">
      <alignment horizontal="center" vertical="center"/>
    </xf>
    <xf numFmtId="0" fontId="3" fillId="0" borderId="21" xfId="28" applyFont="1" applyBorder="1" applyAlignment="1">
      <alignment horizontal="center" vertical="center"/>
    </xf>
    <xf numFmtId="0" fontId="18" fillId="21" borderId="22" xfId="28" applyFont="1" applyFill="1" applyBorder="1" applyAlignment="1">
      <alignment horizontal="center" vertical="center" wrapText="1"/>
    </xf>
    <xf numFmtId="0" fontId="3" fillId="0" borderId="40" xfId="28" applyFont="1" applyBorder="1" applyAlignment="1">
      <alignment horizontal="center" vertical="center"/>
    </xf>
    <xf numFmtId="0" fontId="3" fillId="0" borderId="43" xfId="28" applyFont="1" applyBorder="1" applyAlignment="1">
      <alignment horizontal="center" vertical="center"/>
    </xf>
    <xf numFmtId="0" fontId="3" fillId="0" borderId="44" xfId="28" applyFont="1" applyBorder="1" applyAlignment="1">
      <alignment horizontal="center" vertical="center"/>
    </xf>
    <xf numFmtId="0" fontId="3" fillId="27" borderId="63" xfId="28" applyFont="1" applyFill="1" applyBorder="1" applyAlignment="1">
      <alignment horizontal="center" vertical="center"/>
    </xf>
    <xf numFmtId="0" fontId="3" fillId="27" borderId="63" xfId="28" applyFill="1" applyBorder="1" applyAlignment="1">
      <alignment horizontal="center" vertical="center"/>
    </xf>
    <xf numFmtId="0" fontId="3" fillId="27" borderId="16" xfId="28" applyFill="1" applyBorder="1" applyAlignment="1">
      <alignment horizontal="center" vertical="center"/>
    </xf>
    <xf numFmtId="0" fontId="3" fillId="0" borderId="19" xfId="29" applyFont="1" applyBorder="1" applyAlignment="1">
      <alignment horizontal="center" vertical="center"/>
    </xf>
    <xf numFmtId="0" fontId="3" fillId="0" borderId="64" xfId="28" applyFont="1" applyBorder="1" applyAlignment="1">
      <alignment horizontal="center" vertical="center"/>
    </xf>
    <xf numFmtId="0" fontId="3" fillId="0" borderId="65" xfId="28" applyFont="1" applyBorder="1" applyAlignment="1">
      <alignment horizontal="center" vertical="center"/>
    </xf>
    <xf numFmtId="0" fontId="3" fillId="0" borderId="61" xfId="28" applyFont="1" applyBorder="1" applyAlignment="1">
      <alignment horizontal="center" vertical="center"/>
    </xf>
    <xf numFmtId="0" fontId="3" fillId="27" borderId="66" xfId="28" applyFill="1" applyBorder="1" applyAlignment="1">
      <alignment horizontal="center" vertical="center"/>
    </xf>
    <xf numFmtId="0" fontId="3" fillId="0" borderId="67" xfId="28" applyFont="1" applyBorder="1" applyAlignment="1">
      <alignment horizontal="center" vertical="center"/>
    </xf>
    <xf numFmtId="0" fontId="3" fillId="0" borderId="62" xfId="28" applyFont="1" applyBorder="1" applyAlignment="1">
      <alignment horizontal="center" vertical="center"/>
    </xf>
    <xf numFmtId="0" fontId="3" fillId="0" borderId="69" xfId="28" applyFont="1" applyBorder="1" applyAlignment="1">
      <alignment horizontal="center" vertical="center"/>
    </xf>
    <xf numFmtId="0" fontId="3" fillId="0" borderId="60" xfId="28" applyFont="1" applyBorder="1" applyAlignment="1">
      <alignment horizontal="center" vertical="center"/>
    </xf>
    <xf numFmtId="0" fontId="3" fillId="0" borderId="60" xfId="28" applyBorder="1" applyAlignment="1">
      <alignment horizontal="center" vertical="center"/>
    </xf>
    <xf numFmtId="0" fontId="3" fillId="0" borderId="70" xfId="28" applyBorder="1" applyAlignment="1">
      <alignment horizontal="center" vertical="center"/>
    </xf>
    <xf numFmtId="0" fontId="3" fillId="0" borderId="33" xfId="28" applyFont="1" applyBorder="1" applyAlignment="1">
      <alignment horizontal="center" vertical="center"/>
    </xf>
    <xf numFmtId="0" fontId="3" fillId="24" borderId="48" xfId="28" applyFill="1" applyBorder="1" applyAlignment="1">
      <alignment horizontal="center" vertical="center"/>
    </xf>
    <xf numFmtId="0" fontId="18" fillId="21" borderId="48" xfId="28" applyNumberFormat="1" applyFont="1" applyFill="1" applyBorder="1" applyAlignment="1" applyProtection="1">
      <alignment horizontal="center" vertical="center"/>
    </xf>
    <xf numFmtId="0" fontId="3" fillId="0" borderId="0" xfId="28" applyNumberFormat="1" applyAlignment="1" applyProtection="1">
      <alignment horizontal="center" vertical="center"/>
    </xf>
    <xf numFmtId="3" fontId="3" fillId="0" borderId="13" xfId="28" applyNumberFormat="1" applyBorder="1" applyAlignment="1">
      <alignment horizontal="center" vertical="center"/>
    </xf>
    <xf numFmtId="3" fontId="3" fillId="0" borderId="19" xfId="28" applyNumberFormat="1" applyBorder="1" applyAlignment="1">
      <alignment horizontal="center" vertical="center"/>
    </xf>
    <xf numFmtId="3" fontId="3" fillId="0" borderId="60" xfId="28" applyNumberFormat="1" applyBorder="1" applyAlignment="1">
      <alignment horizontal="center" vertical="center"/>
    </xf>
    <xf numFmtId="3" fontId="3" fillId="0" borderId="70" xfId="28" applyNumberFormat="1" applyBorder="1" applyAlignment="1">
      <alignment horizontal="center" vertical="center"/>
    </xf>
    <xf numFmtId="166" fontId="3" fillId="0" borderId="13" xfId="28" applyNumberFormat="1" applyBorder="1" applyAlignment="1">
      <alignment horizontal="center" vertical="center"/>
    </xf>
    <xf numFmtId="166" fontId="3" fillId="0" borderId="60" xfId="28" applyNumberFormat="1" applyBorder="1" applyAlignment="1">
      <alignment horizontal="center" vertical="center"/>
    </xf>
    <xf numFmtId="166" fontId="3" fillId="0" borderId="70" xfId="28" applyNumberFormat="1" applyBorder="1" applyAlignment="1">
      <alignment horizontal="center" vertical="center"/>
    </xf>
    <xf numFmtId="166" fontId="3" fillId="0" borderId="19" xfId="28" applyNumberFormat="1" applyBorder="1" applyAlignment="1">
      <alignment horizontal="center" vertical="center"/>
    </xf>
    <xf numFmtId="166" fontId="3" fillId="0" borderId="31" xfId="28" applyNumberFormat="1" applyBorder="1" applyAlignment="1">
      <alignment horizontal="center" vertical="center"/>
    </xf>
    <xf numFmtId="0" fontId="3" fillId="28" borderId="0" xfId="28" applyFill="1" applyBorder="1" applyAlignment="1">
      <alignment horizontal="center" vertical="center"/>
    </xf>
    <xf numFmtId="0" fontId="3" fillId="28" borderId="72" xfId="28" applyFont="1" applyFill="1" applyBorder="1" applyAlignment="1">
      <alignment horizontal="center" vertical="center"/>
    </xf>
    <xf numFmtId="0" fontId="3" fillId="28" borderId="72" xfId="28" applyFill="1" applyBorder="1" applyAlignment="1">
      <alignment horizontal="center" vertical="center"/>
    </xf>
    <xf numFmtId="0" fontId="3" fillId="28" borderId="73" xfId="28" applyFill="1" applyBorder="1" applyAlignment="1">
      <alignment horizontal="center" vertical="center"/>
    </xf>
    <xf numFmtId="0" fontId="3" fillId="28" borderId="74" xfId="28" applyFill="1" applyBorder="1" applyAlignment="1">
      <alignment horizontal="center" vertical="center"/>
    </xf>
    <xf numFmtId="0" fontId="3" fillId="28" borderId="76" xfId="28" applyFill="1" applyBorder="1" applyAlignment="1">
      <alignment horizontal="center" vertical="center"/>
    </xf>
    <xf numFmtId="166" fontId="3" fillId="0" borderId="0" xfId="28" applyNumberFormat="1" applyAlignment="1">
      <alignment horizontal="center" vertical="center"/>
    </xf>
    <xf numFmtId="166" fontId="0" fillId="0" borderId="0" xfId="0" applyNumberFormat="1"/>
    <xf numFmtId="164" fontId="0" fillId="0" borderId="0" xfId="0" applyNumberFormat="1"/>
    <xf numFmtId="0" fontId="18" fillId="29" borderId="0" xfId="28" applyFont="1" applyFill="1" applyBorder="1" applyAlignment="1">
      <alignment horizontal="center" vertical="center"/>
    </xf>
    <xf numFmtId="0" fontId="3" fillId="28" borderId="57" xfId="28" applyFill="1" applyBorder="1" applyAlignment="1">
      <alignment horizontal="center" vertical="center"/>
    </xf>
    <xf numFmtId="164" fontId="3" fillId="0" borderId="12" xfId="28" applyNumberFormat="1" applyBorder="1" applyAlignment="1" applyProtection="1">
      <alignment horizontal="center" vertical="center"/>
      <protection locked="0"/>
    </xf>
    <xf numFmtId="0" fontId="3" fillId="20" borderId="77" xfId="28" applyFont="1" applyFill="1" applyBorder="1" applyAlignment="1" applyProtection="1">
      <alignment horizontal="center" vertical="center"/>
      <protection locked="0"/>
    </xf>
    <xf numFmtId="0" fontId="3" fillId="0" borderId="78" xfId="28" applyFont="1" applyBorder="1" applyAlignment="1" applyProtection="1">
      <alignment horizontal="center" vertical="center"/>
      <protection locked="0"/>
    </xf>
    <xf numFmtId="0" fontId="3" fillId="0" borderId="19" xfId="28" applyFont="1" applyBorder="1" applyAlignment="1" applyProtection="1">
      <alignment horizontal="center" vertical="center"/>
      <protection locked="0"/>
    </xf>
    <xf numFmtId="0" fontId="3" fillId="0" borderId="57" xfId="28" applyBorder="1" applyAlignment="1">
      <alignment horizontal="center" vertical="center"/>
    </xf>
    <xf numFmtId="0" fontId="3" fillId="0" borderId="31" xfId="28" applyFont="1" applyBorder="1" applyAlignment="1" applyProtection="1">
      <alignment horizontal="center" vertical="center"/>
    </xf>
    <xf numFmtId="166" fontId="3" fillId="0" borderId="31" xfId="28" applyNumberFormat="1" applyFont="1" applyBorder="1" applyAlignment="1" applyProtection="1">
      <alignment horizontal="center" vertical="center"/>
    </xf>
    <xf numFmtId="0" fontId="3" fillId="0" borderId="13" xfId="28" applyFont="1" applyBorder="1" applyAlignment="1" applyProtection="1">
      <alignment horizontal="center" vertical="center"/>
    </xf>
    <xf numFmtId="166" fontId="3" fillId="0" borderId="13" xfId="28" applyNumberFormat="1" applyFont="1" applyBorder="1" applyAlignment="1" applyProtection="1">
      <alignment horizontal="center" vertical="center"/>
    </xf>
    <xf numFmtId="0" fontId="3" fillId="0" borderId="19" xfId="28" applyFont="1" applyBorder="1" applyAlignment="1" applyProtection="1">
      <alignment horizontal="center" vertical="center"/>
    </xf>
    <xf numFmtId="166" fontId="3" fillId="0" borderId="19" xfId="28" applyNumberFormat="1" applyFont="1" applyBorder="1" applyAlignment="1" applyProtection="1">
      <alignment horizontal="center" vertical="center"/>
    </xf>
    <xf numFmtId="0" fontId="0" fillId="0" borderId="40" xfId="0" applyFont="1" applyBorder="1" applyAlignment="1" applyProtection="1">
      <alignment horizontal="center" vertical="center"/>
      <protection locked="0"/>
    </xf>
    <xf numFmtId="0" fontId="0" fillId="0" borderId="41" xfId="0" applyFont="1" applyBorder="1" applyAlignment="1" applyProtection="1">
      <alignment horizontal="center" vertical="center"/>
      <protection locked="0"/>
    </xf>
    <xf numFmtId="0" fontId="0" fillId="0" borderId="42" xfId="0" applyFont="1" applyBorder="1" applyAlignment="1" applyProtection="1">
      <alignment horizontal="center" vertical="center"/>
      <protection locked="0"/>
    </xf>
    <xf numFmtId="0" fontId="0" fillId="0" borderId="43" xfId="0" applyFont="1" applyBorder="1" applyAlignment="1" applyProtection="1">
      <alignment horizontal="center" vertical="center"/>
      <protection locked="0"/>
    </xf>
    <xf numFmtId="0" fontId="0" fillId="0" borderId="17" xfId="0" applyFont="1" applyBorder="1" applyAlignment="1" applyProtection="1">
      <alignment horizontal="center" vertical="center"/>
      <protection locked="0"/>
    </xf>
    <xf numFmtId="0" fontId="0" fillId="0" borderId="36" xfId="0" applyFont="1" applyBorder="1" applyAlignment="1" applyProtection="1">
      <alignment horizontal="center" vertical="center"/>
      <protection locked="0"/>
    </xf>
    <xf numFmtId="0" fontId="0" fillId="0" borderId="17" xfId="0" applyBorder="1" applyAlignment="1" applyProtection="1">
      <alignment horizontal="center" vertical="center"/>
      <protection locked="0"/>
    </xf>
    <xf numFmtId="0" fontId="0" fillId="0" borderId="26" xfId="0" applyFont="1" applyBorder="1" applyAlignment="1" applyProtection="1">
      <alignment horizontal="center" vertical="center"/>
      <protection locked="0"/>
    </xf>
    <xf numFmtId="0" fontId="0" fillId="0" borderId="18" xfId="0" applyFont="1" applyBorder="1" applyAlignment="1" applyProtection="1">
      <alignment horizontal="center" vertical="center"/>
      <protection locked="0"/>
    </xf>
    <xf numFmtId="0" fontId="0" fillId="0" borderId="69" xfId="28" applyFont="1" applyBorder="1" applyAlignment="1" applyProtection="1">
      <alignment horizontal="center" vertical="center"/>
      <protection locked="0"/>
    </xf>
    <xf numFmtId="0" fontId="0" fillId="0" borderId="61" xfId="28" applyFont="1" applyBorder="1" applyAlignment="1" applyProtection="1">
      <alignment horizontal="center" vertical="center"/>
      <protection locked="0"/>
    </xf>
    <xf numFmtId="0" fontId="0" fillId="0" borderId="62" xfId="28" applyFont="1" applyBorder="1" applyAlignment="1" applyProtection="1">
      <alignment horizontal="center" vertical="center"/>
      <protection locked="0"/>
    </xf>
    <xf numFmtId="0" fontId="0" fillId="0" borderId="44" xfId="0" applyFont="1" applyBorder="1" applyAlignment="1" applyProtection="1">
      <alignment horizontal="center" vertical="center"/>
      <protection locked="0"/>
    </xf>
    <xf numFmtId="0" fontId="0" fillId="0" borderId="20" xfId="0" applyFont="1" applyBorder="1" applyAlignment="1" applyProtection="1">
      <alignment horizontal="center" vertical="center"/>
      <protection locked="0"/>
    </xf>
    <xf numFmtId="0" fontId="0" fillId="0" borderId="21" xfId="0" applyFont="1" applyBorder="1" applyAlignment="1" applyProtection="1">
      <alignment horizontal="center" vertical="center"/>
      <protection locked="0"/>
    </xf>
    <xf numFmtId="14" fontId="3" fillId="0" borderId="17" xfId="28" applyNumberFormat="1" applyBorder="1" applyAlignment="1" applyProtection="1">
      <alignment horizontal="center" vertical="center"/>
    </xf>
    <xf numFmtId="14" fontId="3" fillId="0" borderId="36" xfId="28" applyNumberFormat="1" applyBorder="1" applyAlignment="1" applyProtection="1">
      <alignment horizontal="center" vertical="center"/>
    </xf>
    <xf numFmtId="0" fontId="3" fillId="0" borderId="43" xfId="28" applyBorder="1" applyAlignment="1" applyProtection="1">
      <alignment horizontal="center" vertical="center"/>
      <protection locked="0"/>
    </xf>
    <xf numFmtId="0" fontId="3" fillId="0" borderId="40" xfId="28" applyFont="1" applyBorder="1" applyAlignment="1" applyProtection="1">
      <alignment horizontal="center" vertical="center" wrapText="1"/>
    </xf>
    <xf numFmtId="0" fontId="3" fillId="0" borderId="59" xfId="28" applyFont="1" applyBorder="1" applyAlignment="1" applyProtection="1">
      <alignment horizontal="center" vertical="center" wrapText="1"/>
    </xf>
    <xf numFmtId="0" fontId="3" fillId="0" borderId="43" xfId="28" applyFont="1" applyBorder="1" applyAlignment="1" applyProtection="1">
      <alignment horizontal="center" vertical="center" wrapText="1"/>
    </xf>
    <xf numFmtId="0" fontId="3" fillId="0" borderId="27" xfId="28" applyFont="1" applyBorder="1" applyAlignment="1" applyProtection="1">
      <alignment horizontal="center" vertical="center" wrapText="1"/>
    </xf>
    <xf numFmtId="0" fontId="3" fillId="0" borderId="44" xfId="28" applyFont="1" applyBorder="1" applyAlignment="1" applyProtection="1">
      <alignment horizontal="center" vertical="center" wrapText="1"/>
    </xf>
    <xf numFmtId="0" fontId="3" fillId="0" borderId="78" xfId="28" applyFont="1" applyBorder="1" applyAlignment="1" applyProtection="1">
      <alignment horizontal="center" vertical="center" wrapText="1"/>
    </xf>
    <xf numFmtId="14" fontId="3" fillId="0" borderId="43" xfId="28" applyNumberFormat="1" applyBorder="1" applyAlignment="1" applyProtection="1">
      <alignment horizontal="center" vertical="center"/>
    </xf>
    <xf numFmtId="165" fontId="3" fillId="0" borderId="24" xfId="28" applyNumberFormat="1" applyFont="1" applyBorder="1" applyAlignment="1" applyProtection="1">
      <alignment horizontal="center" vertical="center"/>
      <protection locked="0"/>
    </xf>
    <xf numFmtId="0" fontId="3" fillId="0" borderId="24" xfId="28" applyFont="1" applyBorder="1" applyAlignment="1" applyProtection="1">
      <alignment horizontal="center" vertical="center"/>
      <protection locked="0"/>
    </xf>
    <xf numFmtId="0" fontId="3" fillId="0" borderId="68" xfId="28" applyFont="1" applyBorder="1" applyAlignment="1" applyProtection="1">
      <alignment horizontal="center" vertical="center"/>
      <protection locked="0"/>
    </xf>
    <xf numFmtId="0" fontId="3" fillId="0" borderId="13" xfId="28" applyBorder="1" applyAlignment="1" applyProtection="1">
      <alignment horizontal="center" vertical="center"/>
      <protection locked="0"/>
    </xf>
    <xf numFmtId="0" fontId="3" fillId="0" borderId="60" xfId="28" applyBorder="1" applyAlignment="1" applyProtection="1">
      <alignment horizontal="center" vertical="center"/>
      <protection locked="0"/>
    </xf>
    <xf numFmtId="0" fontId="3" fillId="0" borderId="70" xfId="28" applyBorder="1" applyAlignment="1" applyProtection="1">
      <alignment horizontal="center" vertical="center"/>
      <protection locked="0"/>
    </xf>
    <xf numFmtId="0" fontId="3" fillId="0" borderId="28" xfId="28" applyFont="1" applyBorder="1" applyAlignment="1">
      <alignment horizontal="center" vertical="center"/>
    </xf>
    <xf numFmtId="0" fontId="3" fillId="0" borderId="79" xfId="28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80" xfId="0" applyFont="1" applyBorder="1" applyAlignment="1" applyProtection="1">
      <alignment horizontal="center" vertical="center"/>
      <protection locked="0"/>
    </xf>
    <xf numFmtId="0" fontId="0" fillId="0" borderId="81" xfId="0" applyFont="1" applyBorder="1" applyAlignment="1" applyProtection="1">
      <alignment horizontal="center" vertical="center"/>
      <protection locked="0"/>
    </xf>
    <xf numFmtId="0" fontId="0" fillId="0" borderId="38" xfId="0" applyFont="1" applyBorder="1" applyAlignment="1" applyProtection="1">
      <alignment horizontal="center" vertical="center"/>
      <protection locked="0"/>
    </xf>
    <xf numFmtId="0" fontId="0" fillId="0" borderId="82" xfId="0" applyFont="1" applyBorder="1" applyAlignment="1" applyProtection="1">
      <alignment horizontal="center" vertical="center"/>
      <protection locked="0"/>
    </xf>
    <xf numFmtId="0" fontId="3" fillId="0" borderId="77" xfId="28" applyFont="1" applyBorder="1" applyAlignment="1" applyProtection="1">
      <alignment horizontal="center" vertical="center"/>
      <protection locked="0"/>
    </xf>
    <xf numFmtId="0" fontId="3" fillId="0" borderId="19" xfId="28" applyBorder="1" applyAlignment="1" applyProtection="1">
      <alignment horizontal="center" vertical="center"/>
      <protection locked="0"/>
    </xf>
    <xf numFmtId="0" fontId="3" fillId="0" borderId="19" xfId="28" applyFont="1" applyBorder="1" applyAlignment="1">
      <alignment horizontal="center" vertical="center"/>
    </xf>
    <xf numFmtId="0" fontId="0" fillId="0" borderId="93" xfId="0" applyBorder="1"/>
    <xf numFmtId="0" fontId="0" fillId="0" borderId="94" xfId="0" applyBorder="1"/>
    <xf numFmtId="0" fontId="0" fillId="0" borderId="95" xfId="0" applyBorder="1"/>
    <xf numFmtId="0" fontId="0" fillId="0" borderId="96" xfId="0" applyBorder="1"/>
    <xf numFmtId="0" fontId="0" fillId="0" borderId="97" xfId="0" applyBorder="1"/>
    <xf numFmtId="0" fontId="0" fillId="0" borderId="90" xfId="0" applyBorder="1" applyAlignment="1">
      <alignment horizontal="center"/>
    </xf>
    <xf numFmtId="0" fontId="0" fillId="0" borderId="92" xfId="0" applyBorder="1" applyAlignment="1">
      <alignment horizontal="center"/>
    </xf>
    <xf numFmtId="0" fontId="0" fillId="0" borderId="0" xfId="0" quotePrefix="1"/>
    <xf numFmtId="0" fontId="0" fillId="0" borderId="97" xfId="0" quotePrefix="1" applyBorder="1"/>
    <xf numFmtId="0" fontId="0" fillId="0" borderId="98" xfId="0" applyBorder="1" applyAlignment="1">
      <alignment horizontal="center"/>
    </xf>
    <xf numFmtId="0" fontId="0" fillId="0" borderId="99" xfId="0" applyBorder="1" applyAlignment="1">
      <alignment horizontal="center"/>
    </xf>
    <xf numFmtId="0" fontId="0" fillId="0" borderId="94" xfId="0" applyBorder="1" applyAlignment="1">
      <alignment horizontal="center"/>
    </xf>
    <xf numFmtId="0" fontId="0" fillId="0" borderId="91" xfId="0" applyBorder="1" applyAlignment="1">
      <alignment horizontal="center"/>
    </xf>
    <xf numFmtId="0" fontId="0" fillId="0" borderId="95" xfId="0" applyBorder="1" applyAlignment="1">
      <alignment horizontal="center"/>
    </xf>
    <xf numFmtId="0" fontId="0" fillId="0" borderId="100" xfId="0" applyBorder="1" applyAlignment="1">
      <alignment horizontal="center"/>
    </xf>
    <xf numFmtId="0" fontId="0" fillId="0" borderId="96" xfId="0" applyBorder="1" applyAlignment="1">
      <alignment horizontal="center"/>
    </xf>
    <xf numFmtId="0" fontId="0" fillId="0" borderId="97" xfId="0" applyBorder="1" applyAlignment="1">
      <alignment horizontal="center"/>
    </xf>
    <xf numFmtId="0" fontId="0" fillId="0" borderId="93" xfId="0" applyBorder="1" applyAlignment="1">
      <alignment horizontal="center"/>
    </xf>
    <xf numFmtId="0" fontId="0" fillId="0" borderId="100" xfId="0" applyBorder="1" applyAlignment="1">
      <alignment horizontal="center" vertical="center"/>
    </xf>
    <xf numFmtId="0" fontId="0" fillId="0" borderId="96" xfId="0" applyBorder="1" applyAlignment="1">
      <alignment horizontal="center" vertical="center"/>
    </xf>
    <xf numFmtId="0" fontId="1" fillId="0" borderId="0" xfId="45"/>
    <xf numFmtId="0" fontId="1" fillId="0" borderId="0" xfId="46"/>
    <xf numFmtId="0" fontId="0" fillId="0" borderId="95" xfId="0" applyBorder="1" applyProtection="1">
      <protection locked="0"/>
    </xf>
    <xf numFmtId="0" fontId="0" fillId="0" borderId="96" xfId="0" applyBorder="1" applyProtection="1">
      <protection locked="0"/>
    </xf>
    <xf numFmtId="0" fontId="0" fillId="0" borderId="96" xfId="0" applyBorder="1" applyAlignment="1" applyProtection="1">
      <alignment horizontal="center"/>
      <protection locked="0"/>
    </xf>
    <xf numFmtId="0" fontId="0" fillId="0" borderId="95" xfId="0" applyBorder="1" applyAlignment="1" applyProtection="1">
      <alignment horizontal="left"/>
      <protection locked="0"/>
    </xf>
    <xf numFmtId="0" fontId="0" fillId="0" borderId="90" xfId="0" applyBorder="1" applyAlignment="1" applyProtection="1">
      <alignment horizontal="center" vertical="center"/>
      <protection locked="0"/>
    </xf>
    <xf numFmtId="0" fontId="0" fillId="0" borderId="91" xfId="0" applyBorder="1" applyAlignment="1" applyProtection="1">
      <alignment horizontal="center" vertical="center"/>
      <protection locked="0"/>
    </xf>
    <xf numFmtId="0" fontId="0" fillId="0" borderId="103" xfId="0" applyBorder="1" applyAlignment="1">
      <alignment horizontal="center"/>
    </xf>
    <xf numFmtId="0" fontId="0" fillId="0" borderId="104" xfId="0" applyBorder="1" applyAlignment="1">
      <alignment horizontal="center"/>
    </xf>
    <xf numFmtId="0" fontId="0" fillId="0" borderId="91" xfId="0" applyBorder="1" applyProtection="1">
      <protection locked="0"/>
    </xf>
    <xf numFmtId="0" fontId="0" fillId="0" borderId="105" xfId="0" applyBorder="1" applyAlignment="1">
      <alignment horizontal="center"/>
    </xf>
    <xf numFmtId="0" fontId="3" fillId="0" borderId="106" xfId="28" applyBorder="1" applyAlignment="1">
      <alignment horizontal="center" vertical="center"/>
    </xf>
    <xf numFmtId="9" fontId="2" fillId="0" borderId="107" xfId="41" applyBorder="1" applyAlignment="1">
      <alignment horizontal="center" vertical="center"/>
    </xf>
    <xf numFmtId="0" fontId="0" fillId="0" borderId="108" xfId="0" applyBorder="1" applyAlignment="1">
      <alignment horizontal="center"/>
    </xf>
    <xf numFmtId="0" fontId="3" fillId="0" borderId="109" xfId="28" applyBorder="1" applyAlignment="1">
      <alignment horizontal="center" vertical="center"/>
    </xf>
    <xf numFmtId="9" fontId="2" fillId="0" borderId="110" xfId="41" applyBorder="1" applyAlignment="1">
      <alignment horizontal="center" vertical="center"/>
    </xf>
    <xf numFmtId="0" fontId="3" fillId="0" borderId="110" xfId="28" applyBorder="1" applyAlignment="1">
      <alignment horizontal="center" vertical="center"/>
    </xf>
    <xf numFmtId="0" fontId="0" fillId="0" borderId="111" xfId="0" applyBorder="1" applyAlignment="1">
      <alignment horizontal="center"/>
    </xf>
    <xf numFmtId="0" fontId="3" fillId="0" borderId="112" xfId="28" applyBorder="1" applyAlignment="1">
      <alignment horizontal="center" vertical="center"/>
    </xf>
    <xf numFmtId="0" fontId="3" fillId="0" borderId="104" xfId="28" applyBorder="1" applyAlignment="1">
      <alignment horizontal="center" vertical="center"/>
    </xf>
    <xf numFmtId="0" fontId="18" fillId="21" borderId="31" xfId="28" applyFont="1" applyFill="1" applyBorder="1" applyAlignment="1" applyProtection="1">
      <alignment horizontal="center" vertical="center" wrapText="1"/>
    </xf>
    <xf numFmtId="0" fontId="3" fillId="0" borderId="0" xfId="28" applyAlignment="1" applyProtection="1">
      <alignment horizontal="center" vertical="center"/>
    </xf>
    <xf numFmtId="0" fontId="0" fillId="0" borderId="131" xfId="0" applyBorder="1" applyAlignment="1">
      <alignment horizontal="center"/>
    </xf>
    <xf numFmtId="0" fontId="0" fillId="0" borderId="124" xfId="0" applyBorder="1" applyAlignment="1">
      <alignment horizontal="center"/>
    </xf>
    <xf numFmtId="0" fontId="0" fillId="0" borderId="125" xfId="0" applyBorder="1" applyAlignment="1">
      <alignment horizontal="center"/>
    </xf>
    <xf numFmtId="0" fontId="0" fillId="0" borderId="132" xfId="0" applyBorder="1" applyAlignment="1">
      <alignment horizontal="center"/>
    </xf>
    <xf numFmtId="0" fontId="0" fillId="0" borderId="82" xfId="0" applyBorder="1" applyAlignment="1">
      <alignment horizontal="center"/>
    </xf>
    <xf numFmtId="0" fontId="0" fillId="0" borderId="127" xfId="0" applyBorder="1" applyAlignment="1">
      <alignment horizontal="center"/>
    </xf>
    <xf numFmtId="0" fontId="0" fillId="0" borderId="133" xfId="0" applyBorder="1" applyAlignment="1">
      <alignment horizontal="center"/>
    </xf>
    <xf numFmtId="0" fontId="0" fillId="0" borderId="129" xfId="0" applyBorder="1" applyAlignment="1">
      <alignment horizontal="center"/>
    </xf>
    <xf numFmtId="0" fontId="0" fillId="0" borderId="130" xfId="0" applyBorder="1" applyAlignment="1">
      <alignment horizontal="center"/>
    </xf>
    <xf numFmtId="0" fontId="0" fillId="0" borderId="123" xfId="0" applyBorder="1" applyAlignment="1">
      <alignment horizontal="left"/>
    </xf>
    <xf numFmtId="0" fontId="0" fillId="0" borderId="124" xfId="0" applyBorder="1" applyAlignment="1">
      <alignment horizontal="left"/>
    </xf>
    <xf numFmtId="0" fontId="0" fillId="0" borderId="134" xfId="0" applyBorder="1" applyAlignment="1">
      <alignment horizontal="left"/>
    </xf>
    <xf numFmtId="0" fontId="0" fillId="0" borderId="126" xfId="0" applyBorder="1" applyAlignment="1">
      <alignment horizontal="left"/>
    </xf>
    <xf numFmtId="0" fontId="0" fillId="0" borderId="82" xfId="0" applyBorder="1" applyAlignment="1">
      <alignment horizontal="left"/>
    </xf>
    <xf numFmtId="0" fontId="0" fillId="0" borderId="135" xfId="0" applyBorder="1" applyAlignment="1">
      <alignment horizontal="left"/>
    </xf>
    <xf numFmtId="0" fontId="0" fillId="0" borderId="128" xfId="0" applyBorder="1" applyAlignment="1">
      <alignment horizontal="left"/>
    </xf>
    <xf numFmtId="0" fontId="0" fillId="0" borderId="129" xfId="0" applyBorder="1" applyAlignment="1">
      <alignment horizontal="left"/>
    </xf>
    <xf numFmtId="0" fontId="0" fillId="0" borderId="136" xfId="0" applyBorder="1" applyAlignment="1">
      <alignment horizontal="left"/>
    </xf>
    <xf numFmtId="0" fontId="24" fillId="0" borderId="116" xfId="0" applyFont="1" applyBorder="1" applyAlignment="1">
      <alignment horizontal="center"/>
    </xf>
    <xf numFmtId="0" fontId="24" fillId="0" borderId="117" xfId="0" applyFont="1" applyBorder="1" applyAlignment="1">
      <alignment horizontal="center"/>
    </xf>
    <xf numFmtId="0" fontId="24" fillId="0" borderId="118" xfId="0" applyFont="1" applyBorder="1" applyAlignment="1">
      <alignment horizontal="center"/>
    </xf>
    <xf numFmtId="0" fontId="24" fillId="0" borderId="121" xfId="0" applyFont="1" applyBorder="1" applyAlignment="1">
      <alignment horizontal="center"/>
    </xf>
    <xf numFmtId="0" fontId="24" fillId="0" borderId="122" xfId="0" applyFont="1" applyBorder="1" applyAlignment="1">
      <alignment horizontal="center"/>
    </xf>
    <xf numFmtId="0" fontId="24" fillId="0" borderId="119" xfId="0" applyFont="1" applyBorder="1" applyAlignment="1">
      <alignment horizontal="center"/>
    </xf>
    <xf numFmtId="0" fontId="3" fillId="0" borderId="137" xfId="28" applyBorder="1" applyAlignment="1">
      <alignment horizontal="center" vertical="center"/>
    </xf>
    <xf numFmtId="0" fontId="3" fillId="0" borderId="82" xfId="28" applyBorder="1" applyAlignment="1">
      <alignment horizontal="center" vertical="center"/>
    </xf>
    <xf numFmtId="0" fontId="3" fillId="0" borderId="135" xfId="28" applyNumberFormat="1" applyBorder="1" applyAlignment="1" applyProtection="1">
      <alignment horizontal="center" vertical="center"/>
    </xf>
    <xf numFmtId="0" fontId="3" fillId="0" borderId="138" xfId="28" applyBorder="1" applyAlignment="1">
      <alignment horizontal="center" vertical="center"/>
    </xf>
    <xf numFmtId="0" fontId="3" fillId="0" borderId="139" xfId="28" applyBorder="1" applyAlignment="1">
      <alignment horizontal="center" vertical="center"/>
    </xf>
    <xf numFmtId="0" fontId="3" fillId="0" borderId="140" xfId="28" applyNumberFormat="1" applyBorder="1" applyAlignment="1" applyProtection="1">
      <alignment horizontal="center" vertical="center"/>
    </xf>
    <xf numFmtId="0" fontId="3" fillId="0" borderId="141" xfId="28" applyBorder="1" applyAlignment="1">
      <alignment horizontal="center" vertical="center"/>
    </xf>
    <xf numFmtId="0" fontId="3" fillId="0" borderId="142" xfId="28" applyNumberFormat="1" applyBorder="1" applyAlignment="1" applyProtection="1">
      <alignment horizontal="center" vertical="center"/>
    </xf>
    <xf numFmtId="0" fontId="0" fillId="0" borderId="95" xfId="0" applyBorder="1" applyAlignment="1" applyProtection="1">
      <alignment horizontal="center"/>
      <protection locked="0"/>
    </xf>
    <xf numFmtId="0" fontId="0" fillId="0" borderId="94" xfId="0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0" fillId="0" borderId="90" xfId="0" applyBorder="1" applyAlignment="1" applyProtection="1">
      <alignment horizontal="center"/>
      <protection locked="0"/>
    </xf>
    <xf numFmtId="0" fontId="0" fillId="0" borderId="91" xfId="0" applyBorder="1" applyAlignment="1" applyProtection="1">
      <alignment horizontal="center"/>
      <protection locked="0"/>
    </xf>
    <xf numFmtId="0" fontId="0" fillId="0" borderId="100" xfId="0" applyBorder="1" applyAlignment="1" applyProtection="1">
      <alignment horizontal="center"/>
      <protection locked="0"/>
    </xf>
    <xf numFmtId="0" fontId="0" fillId="0" borderId="97" xfId="0" applyBorder="1" applyAlignment="1" applyProtection="1">
      <alignment horizontal="center"/>
      <protection locked="0"/>
    </xf>
    <xf numFmtId="0" fontId="0" fillId="0" borderId="92" xfId="0" applyBorder="1" applyAlignment="1" applyProtection="1">
      <alignment horizontal="center"/>
      <protection locked="0"/>
    </xf>
    <xf numFmtId="0" fontId="0" fillId="0" borderId="93" xfId="0" applyBorder="1" applyAlignment="1" applyProtection="1">
      <alignment horizontal="center"/>
      <protection locked="0"/>
    </xf>
    <xf numFmtId="0" fontId="23" fillId="0" borderId="0" xfId="0" applyFont="1" applyAlignment="1" applyProtection="1">
      <alignment vertical="center"/>
      <protection locked="0"/>
    </xf>
    <xf numFmtId="0" fontId="23" fillId="0" borderId="26" xfId="0" applyFont="1" applyBorder="1" applyAlignment="1" applyProtection="1">
      <alignment vertical="center"/>
      <protection locked="0"/>
    </xf>
    <xf numFmtId="0" fontId="23" fillId="0" borderId="17" xfId="0" applyFont="1" applyBorder="1" applyAlignment="1" applyProtection="1">
      <alignment vertical="center"/>
      <protection locked="0"/>
    </xf>
    <xf numFmtId="0" fontId="23" fillId="0" borderId="18" xfId="0" applyFont="1" applyBorder="1" applyAlignment="1" applyProtection="1">
      <alignment vertical="center"/>
      <protection locked="0"/>
    </xf>
    <xf numFmtId="164" fontId="23" fillId="0" borderId="17" xfId="0" applyNumberFormat="1" applyFont="1" applyBorder="1" applyAlignment="1" applyProtection="1">
      <alignment vertical="center"/>
      <protection locked="0"/>
    </xf>
    <xf numFmtId="0" fontId="0" fillId="0" borderId="43" xfId="0" applyBorder="1" applyAlignment="1" applyProtection="1">
      <alignment horizontal="center" vertical="center"/>
      <protection locked="0"/>
    </xf>
    <xf numFmtId="166" fontId="3" fillId="0" borderId="33" xfId="28" applyNumberFormat="1" applyBorder="1" applyAlignment="1">
      <alignment horizontal="center" vertical="center"/>
    </xf>
    <xf numFmtId="166" fontId="3" fillId="0" borderId="34" xfId="28" applyNumberFormat="1" applyBorder="1" applyAlignment="1">
      <alignment horizontal="center" vertical="center"/>
    </xf>
    <xf numFmtId="166" fontId="3" fillId="0" borderId="77" xfId="28" applyNumberFormat="1" applyBorder="1" applyAlignment="1">
      <alignment horizontal="center" vertical="center"/>
    </xf>
    <xf numFmtId="0" fontId="3" fillId="0" borderId="0" xfId="28" applyFont="1" applyFill="1" applyBorder="1" applyAlignment="1" applyProtection="1">
      <alignment horizontal="center" vertical="center"/>
      <protection locked="0"/>
    </xf>
    <xf numFmtId="0" fontId="0" fillId="0" borderId="80" xfId="0" applyBorder="1" applyAlignment="1" applyProtection="1">
      <alignment horizontal="center" vertical="center"/>
      <protection locked="0"/>
    </xf>
    <xf numFmtId="0" fontId="0" fillId="0" borderId="82" xfId="0" applyBorder="1" applyAlignment="1" applyProtection="1">
      <alignment horizontal="center" vertical="center"/>
      <protection locked="0"/>
    </xf>
    <xf numFmtId="0" fontId="24" fillId="0" borderId="120" xfId="0" applyFont="1" applyBorder="1" applyAlignment="1">
      <alignment horizontal="center"/>
    </xf>
    <xf numFmtId="0" fontId="24" fillId="0" borderId="106" xfId="0" applyFont="1" applyBorder="1" applyAlignment="1">
      <alignment horizontal="center"/>
    </xf>
    <xf numFmtId="0" fontId="18" fillId="0" borderId="0" xfId="28" applyFont="1" applyFill="1" applyBorder="1" applyAlignment="1">
      <alignment horizontal="center" vertical="center"/>
    </xf>
    <xf numFmtId="0" fontId="0" fillId="0" borderId="93" xfId="0" applyBorder="1" applyProtection="1">
      <protection locked="0"/>
    </xf>
    <xf numFmtId="0" fontId="0" fillId="0" borderId="144" xfId="0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145" xfId="0" quotePrefix="1" applyBorder="1" applyAlignment="1">
      <alignment horizontal="center"/>
    </xf>
    <xf numFmtId="0" fontId="0" fillId="0" borderId="147" xfId="0" applyBorder="1"/>
    <xf numFmtId="0" fontId="0" fillId="0" borderId="148" xfId="0" applyBorder="1"/>
    <xf numFmtId="0" fontId="24" fillId="0" borderId="146" xfId="0" applyFont="1" applyBorder="1" applyAlignment="1">
      <alignment horizontal="center"/>
    </xf>
    <xf numFmtId="0" fontId="0" fillId="0" borderId="147" xfId="0" applyBorder="1" applyAlignment="1">
      <alignment horizontal="center"/>
    </xf>
    <xf numFmtId="0" fontId="0" fillId="0" borderId="148" xfId="0" applyBorder="1" applyAlignment="1">
      <alignment horizontal="center"/>
    </xf>
    <xf numFmtId="0" fontId="0" fillId="0" borderId="149" xfId="0" applyBorder="1" applyProtection="1">
      <protection locked="0"/>
    </xf>
    <xf numFmtId="0" fontId="0" fillId="0" borderId="150" xfId="0" applyBorder="1"/>
    <xf numFmtId="0" fontId="0" fillId="0" borderId="150" xfId="0" applyBorder="1" applyAlignment="1">
      <alignment horizontal="center"/>
    </xf>
    <xf numFmtId="0" fontId="0" fillId="0" borderId="46" xfId="0" applyBorder="1"/>
    <xf numFmtId="0" fontId="0" fillId="0" borderId="124" xfId="0" applyBorder="1"/>
    <xf numFmtId="0" fontId="0" fillId="0" borderId="134" xfId="0" applyBorder="1"/>
    <xf numFmtId="0" fontId="0" fillId="0" borderId="82" xfId="0" applyBorder="1"/>
    <xf numFmtId="0" fontId="0" fillId="0" borderId="152" xfId="0" applyBorder="1"/>
    <xf numFmtId="0" fontId="0" fillId="0" borderId="154" xfId="0" applyBorder="1"/>
    <xf numFmtId="0" fontId="0" fillId="0" borderId="155" xfId="0" applyBorder="1"/>
    <xf numFmtId="0" fontId="0" fillId="0" borderId="151" xfId="0" applyBorder="1" applyAlignment="1">
      <alignment horizontal="center"/>
    </xf>
    <xf numFmtId="0" fontId="0" fillId="0" borderId="153" xfId="0" applyBorder="1" applyAlignment="1">
      <alignment horizontal="center"/>
    </xf>
    <xf numFmtId="0" fontId="0" fillId="0" borderId="154" xfId="0" applyBorder="1" applyAlignment="1">
      <alignment horizontal="center"/>
    </xf>
    <xf numFmtId="0" fontId="24" fillId="0" borderId="151" xfId="0" applyFont="1" applyBorder="1" applyAlignment="1">
      <alignment horizontal="center"/>
    </xf>
    <xf numFmtId="0" fontId="0" fillId="0" borderId="0" xfId="0" applyFill="1" applyBorder="1" applyProtection="1">
      <protection locked="0"/>
    </xf>
    <xf numFmtId="0" fontId="0" fillId="0" borderId="156" xfId="0" applyBorder="1" applyAlignment="1">
      <alignment horizontal="center"/>
    </xf>
    <xf numFmtId="0" fontId="0" fillId="0" borderId="156" xfId="0" applyBorder="1"/>
    <xf numFmtId="0" fontId="0" fillId="0" borderId="156" xfId="0" applyBorder="1" applyProtection="1">
      <protection locked="0"/>
    </xf>
    <xf numFmtId="0" fontId="0" fillId="0" borderId="157" xfId="0" applyBorder="1" applyAlignment="1">
      <alignment horizontal="center"/>
    </xf>
    <xf numFmtId="0" fontId="0" fillId="0" borderId="158" xfId="0" applyBorder="1" applyAlignment="1">
      <alignment horizontal="center"/>
    </xf>
    <xf numFmtId="0" fontId="24" fillId="0" borderId="124" xfId="0" applyFont="1" applyBorder="1" applyAlignment="1">
      <alignment horizontal="center"/>
    </xf>
    <xf numFmtId="0" fontId="18" fillId="21" borderId="63" xfId="28" applyFont="1" applyFill="1" applyBorder="1" applyAlignment="1">
      <alignment horizontal="center" vertical="center"/>
    </xf>
    <xf numFmtId="0" fontId="3" fillId="0" borderId="89" xfId="28" applyFont="1" applyBorder="1" applyAlignment="1" applyProtection="1">
      <alignment horizontal="center" vertical="center" wrapText="1"/>
      <protection locked="0"/>
    </xf>
    <xf numFmtId="0" fontId="3" fillId="0" borderId="0" xfId="28" applyFont="1" applyBorder="1" applyAlignment="1" applyProtection="1">
      <alignment horizontal="center" vertical="center" wrapText="1"/>
      <protection locked="0"/>
    </xf>
    <xf numFmtId="164" fontId="23" fillId="0" borderId="160" xfId="0" applyNumberFormat="1" applyFont="1" applyBorder="1" applyAlignment="1" applyProtection="1">
      <alignment vertical="center"/>
      <protection locked="0"/>
    </xf>
    <xf numFmtId="4" fontId="0" fillId="0" borderId="0" xfId="0" applyNumberFormat="1"/>
    <xf numFmtId="164" fontId="23" fillId="0" borderId="161" xfId="0" applyNumberFormat="1" applyFont="1" applyBorder="1" applyAlignment="1" applyProtection="1">
      <alignment vertical="center"/>
      <protection locked="0"/>
    </xf>
    <xf numFmtId="3" fontId="3" fillId="0" borderId="162" xfId="28" applyNumberFormat="1" applyBorder="1" applyAlignment="1" applyProtection="1">
      <alignment horizontal="center" vertical="center"/>
      <protection locked="0"/>
    </xf>
    <xf numFmtId="0" fontId="3" fillId="28" borderId="0" xfId="28" applyFont="1" applyFill="1" applyBorder="1" applyAlignment="1">
      <alignment horizontal="center" vertical="center"/>
    </xf>
    <xf numFmtId="0" fontId="18" fillId="21" borderId="163" xfId="28" applyFont="1" applyFill="1" applyBorder="1" applyAlignment="1">
      <alignment horizontal="center" vertical="center"/>
    </xf>
    <xf numFmtId="0" fontId="18" fillId="21" borderId="164" xfId="28" applyFont="1" applyFill="1" applyBorder="1" applyAlignment="1">
      <alignment horizontal="center" vertical="center"/>
    </xf>
    <xf numFmtId="0" fontId="18" fillId="24" borderId="164" xfId="28" applyFont="1" applyFill="1" applyBorder="1" applyAlignment="1">
      <alignment horizontal="center" vertical="center"/>
    </xf>
    <xf numFmtId="0" fontId="18" fillId="24" borderId="165" xfId="28" applyFont="1" applyFill="1" applyBorder="1" applyAlignment="1">
      <alignment horizontal="center" vertical="center"/>
    </xf>
    <xf numFmtId="0" fontId="18" fillId="20" borderId="166" xfId="28" applyFont="1" applyFill="1" applyBorder="1" applyAlignment="1">
      <alignment horizontal="center" vertical="center"/>
    </xf>
    <xf numFmtId="0" fontId="18" fillId="20" borderId="167" xfId="28" applyFont="1" applyFill="1" applyBorder="1" applyAlignment="1">
      <alignment horizontal="center" vertical="center"/>
    </xf>
    <xf numFmtId="0" fontId="3" fillId="0" borderId="159" xfId="28" applyBorder="1" applyAlignment="1">
      <alignment horizontal="center" vertical="center"/>
    </xf>
    <xf numFmtId="0" fontId="3" fillId="0" borderId="159" xfId="28" applyFont="1" applyBorder="1" applyAlignment="1">
      <alignment horizontal="center" vertical="center"/>
    </xf>
    <xf numFmtId="0" fontId="3" fillId="0" borderId="162" xfId="28" applyFont="1" applyBorder="1" applyAlignment="1">
      <alignment horizontal="center" vertical="center"/>
    </xf>
    <xf numFmtId="0" fontId="18" fillId="20" borderId="168" xfId="28" applyFont="1" applyFill="1" applyBorder="1" applyAlignment="1">
      <alignment horizontal="center" vertical="center"/>
    </xf>
    <xf numFmtId="0" fontId="3" fillId="0" borderId="169" xfId="28" applyBorder="1" applyAlignment="1">
      <alignment horizontal="center" vertical="center"/>
    </xf>
    <xf numFmtId="0" fontId="3" fillId="0" borderId="159" xfId="28" applyBorder="1" applyAlignment="1">
      <alignment horizontal="center" vertical="center" wrapText="1"/>
    </xf>
    <xf numFmtId="0" fontId="3" fillId="0" borderId="161" xfId="28" applyBorder="1" applyAlignment="1">
      <alignment horizontal="center" vertical="center"/>
    </xf>
    <xf numFmtId="0" fontId="3" fillId="0" borderId="170" xfId="28" applyBorder="1" applyAlignment="1">
      <alignment horizontal="center" vertical="center"/>
    </xf>
    <xf numFmtId="0" fontId="3" fillId="0" borderId="171" xfId="28" applyBorder="1" applyAlignment="1">
      <alignment horizontal="center" vertical="center" wrapText="1"/>
    </xf>
    <xf numFmtId="0" fontId="3" fillId="0" borderId="172" xfId="28" applyBorder="1" applyAlignment="1">
      <alignment horizontal="center" vertical="center"/>
    </xf>
    <xf numFmtId="0" fontId="3" fillId="0" borderId="160" xfId="28" applyBorder="1" applyAlignment="1">
      <alignment horizontal="center" vertical="center"/>
    </xf>
    <xf numFmtId="0" fontId="18" fillId="20" borderId="173" xfId="28" applyFont="1" applyFill="1" applyBorder="1" applyAlignment="1">
      <alignment horizontal="center" vertical="center"/>
    </xf>
    <xf numFmtId="0" fontId="18" fillId="20" borderId="174" xfId="28" applyFont="1" applyFill="1" applyBorder="1" applyAlignment="1">
      <alignment horizontal="center" vertical="center"/>
    </xf>
    <xf numFmtId="0" fontId="3" fillId="0" borderId="175" xfId="28" applyBorder="1" applyAlignment="1">
      <alignment horizontal="center" vertical="center"/>
    </xf>
    <xf numFmtId="0" fontId="3" fillId="21" borderId="159" xfId="28" applyFill="1" applyBorder="1" applyAlignment="1">
      <alignment horizontal="center" vertical="center"/>
    </xf>
    <xf numFmtId="0" fontId="18" fillId="20" borderId="176" xfId="28" applyFont="1" applyFill="1" applyBorder="1" applyAlignment="1">
      <alignment horizontal="center" vertical="center"/>
    </xf>
    <xf numFmtId="0" fontId="3" fillId="21" borderId="171" xfId="28" applyFill="1" applyBorder="1" applyAlignment="1">
      <alignment horizontal="center" vertical="center"/>
    </xf>
    <xf numFmtId="0" fontId="3" fillId="0" borderId="171" xfId="28" applyBorder="1" applyAlignment="1">
      <alignment horizontal="center" vertical="center"/>
    </xf>
    <xf numFmtId="164" fontId="3" fillId="0" borderId="159" xfId="28" applyNumberFormat="1" applyBorder="1" applyAlignment="1">
      <alignment horizontal="center" vertical="center"/>
    </xf>
    <xf numFmtId="0" fontId="18" fillId="20" borderId="177" xfId="28" applyFont="1" applyFill="1" applyBorder="1" applyAlignment="1">
      <alignment horizontal="center" vertical="center"/>
    </xf>
    <xf numFmtId="164" fontId="3" fillId="0" borderId="171" xfId="28" applyNumberFormat="1" applyBorder="1" applyAlignment="1">
      <alignment horizontal="center" vertical="center"/>
    </xf>
    <xf numFmtId="164" fontId="3" fillId="0" borderId="159" xfId="28" applyNumberFormat="1" applyBorder="1" applyAlignment="1" applyProtection="1">
      <alignment horizontal="center" vertical="center"/>
      <protection locked="0"/>
    </xf>
    <xf numFmtId="0" fontId="18" fillId="20" borderId="178" xfId="28" applyFont="1" applyFill="1" applyBorder="1" applyAlignment="1">
      <alignment horizontal="center" vertical="center"/>
    </xf>
    <xf numFmtId="164" fontId="3" fillId="0" borderId="179" xfId="28" applyNumberFormat="1" applyBorder="1" applyAlignment="1" applyProtection="1">
      <alignment horizontal="center" vertical="center"/>
      <protection locked="0"/>
    </xf>
    <xf numFmtId="0" fontId="18" fillId="21" borderId="180" xfId="28" applyFont="1" applyFill="1" applyBorder="1" applyAlignment="1">
      <alignment horizontal="center" vertical="center"/>
    </xf>
    <xf numFmtId="0" fontId="18" fillId="21" borderId="181" xfId="28" applyFont="1" applyFill="1" applyBorder="1" applyAlignment="1">
      <alignment horizontal="center" vertical="center"/>
    </xf>
    <xf numFmtId="0" fontId="18" fillId="21" borderId="71" xfId="28" applyFont="1" applyFill="1" applyBorder="1" applyAlignment="1">
      <alignment horizontal="center" vertical="center"/>
    </xf>
    <xf numFmtId="0" fontId="18" fillId="21" borderId="182" xfId="28" applyFont="1" applyFill="1" applyBorder="1" applyAlignment="1">
      <alignment horizontal="center" vertical="center"/>
    </xf>
    <xf numFmtId="0" fontId="18" fillId="21" borderId="183" xfId="28" applyFont="1" applyFill="1" applyBorder="1" applyAlignment="1">
      <alignment horizontal="center" vertical="center"/>
    </xf>
    <xf numFmtId="0" fontId="18" fillId="28" borderId="184" xfId="28" applyFont="1" applyFill="1" applyBorder="1" applyAlignment="1">
      <alignment horizontal="center" vertical="center"/>
    </xf>
    <xf numFmtId="0" fontId="3" fillId="28" borderId="184" xfId="28" applyFont="1" applyFill="1" applyBorder="1" applyAlignment="1">
      <alignment horizontal="center" vertical="center"/>
    </xf>
    <xf numFmtId="0" fontId="3" fillId="28" borderId="71" xfId="28" applyFont="1" applyFill="1" applyBorder="1" applyAlignment="1">
      <alignment horizontal="center" vertical="center"/>
    </xf>
    <xf numFmtId="0" fontId="18" fillId="20" borderId="185" xfId="28" applyFont="1" applyFill="1" applyBorder="1" applyAlignment="1">
      <alignment horizontal="center" vertical="center"/>
    </xf>
    <xf numFmtId="0" fontId="3" fillId="28" borderId="186" xfId="28" applyFill="1" applyBorder="1" applyAlignment="1">
      <alignment horizontal="center" vertical="center"/>
    </xf>
    <xf numFmtId="0" fontId="18" fillId="21" borderId="185" xfId="28" applyFont="1" applyFill="1" applyBorder="1" applyAlignment="1">
      <alignment horizontal="center" vertical="center"/>
    </xf>
    <xf numFmtId="0" fontId="18" fillId="20" borderId="187" xfId="28" applyFont="1" applyFill="1" applyBorder="1" applyAlignment="1">
      <alignment horizontal="center" vertical="center"/>
    </xf>
    <xf numFmtId="0" fontId="18" fillId="20" borderId="190" xfId="28" applyFont="1" applyFill="1" applyBorder="1" applyAlignment="1">
      <alignment horizontal="center" vertical="center"/>
    </xf>
    <xf numFmtId="0" fontId="3" fillId="28" borderId="191" xfId="28" applyFill="1" applyBorder="1" applyAlignment="1">
      <alignment horizontal="center" vertical="center"/>
    </xf>
    <xf numFmtId="0" fontId="18" fillId="21" borderId="192" xfId="28" applyFont="1" applyFill="1" applyBorder="1" applyAlignment="1">
      <alignment horizontal="center" vertical="center"/>
    </xf>
    <xf numFmtId="0" fontId="3" fillId="28" borderId="73" xfId="28" applyFont="1" applyFill="1" applyBorder="1" applyAlignment="1">
      <alignment horizontal="center" vertical="center"/>
    </xf>
    <xf numFmtId="0" fontId="3" fillId="28" borderId="74" xfId="28" applyFont="1" applyFill="1" applyBorder="1" applyAlignment="1">
      <alignment horizontal="center" vertical="center"/>
    </xf>
    <xf numFmtId="0" fontId="3" fillId="28" borderId="75" xfId="28" applyFill="1" applyBorder="1" applyAlignment="1">
      <alignment horizontal="center" vertical="center"/>
    </xf>
    <xf numFmtId="0" fontId="3" fillId="28" borderId="71" xfId="28" applyFill="1" applyBorder="1" applyAlignment="1">
      <alignment horizontal="center" vertical="center"/>
    </xf>
    <xf numFmtId="0" fontId="3" fillId="28" borderId="193" xfId="28" applyFill="1" applyBorder="1" applyAlignment="1">
      <alignment horizontal="center" vertical="center"/>
    </xf>
    <xf numFmtId="3" fontId="3" fillId="0" borderId="194" xfId="28" applyNumberFormat="1" applyBorder="1" applyAlignment="1" applyProtection="1">
      <alignment horizontal="center" vertical="center"/>
      <protection locked="0"/>
    </xf>
    <xf numFmtId="3" fontId="3" fillId="0" borderId="195" xfId="28" applyNumberFormat="1" applyBorder="1" applyAlignment="1" applyProtection="1">
      <alignment horizontal="center" vertical="center"/>
      <protection locked="0"/>
    </xf>
    <xf numFmtId="0" fontId="3" fillId="0" borderId="159" xfId="28" applyBorder="1" applyAlignment="1" applyProtection="1">
      <alignment horizontal="center" vertical="center"/>
      <protection locked="0"/>
    </xf>
    <xf numFmtId="0" fontId="0" fillId="0" borderId="109" xfId="0" applyBorder="1" applyAlignment="1">
      <alignment horizontal="center"/>
    </xf>
    <xf numFmtId="0" fontId="0" fillId="0" borderId="132" xfId="0" applyBorder="1" applyProtection="1">
      <protection locked="0"/>
    </xf>
    <xf numFmtId="0" fontId="0" fillId="0" borderId="0" xfId="0" applyAlignment="1">
      <alignment horizontal="left"/>
    </xf>
    <xf numFmtId="0" fontId="0" fillId="0" borderId="144" xfId="0" applyBorder="1" applyProtection="1">
      <protection locked="0"/>
    </xf>
    <xf numFmtId="0" fontId="0" fillId="0" borderId="143" xfId="0" applyBorder="1" applyProtection="1">
      <protection locked="0"/>
    </xf>
    <xf numFmtId="0" fontId="3" fillId="30" borderId="162" xfId="28" applyFont="1" applyFill="1" applyBorder="1" applyAlignment="1" applyProtection="1">
      <alignment horizontal="center" vertical="center"/>
      <protection locked="0"/>
    </xf>
    <xf numFmtId="0" fontId="3" fillId="30" borderId="35" xfId="28" applyFont="1" applyFill="1" applyBorder="1" applyAlignment="1" applyProtection="1">
      <alignment horizontal="center" vertical="center"/>
      <protection locked="0"/>
    </xf>
    <xf numFmtId="0" fontId="3" fillId="30" borderId="36" xfId="28" applyFont="1" applyFill="1" applyBorder="1" applyAlignment="1" applyProtection="1">
      <alignment horizontal="center" vertical="center"/>
      <protection locked="0"/>
    </xf>
    <xf numFmtId="0" fontId="3" fillId="30" borderId="197" xfId="28" applyFont="1" applyFill="1" applyBorder="1" applyAlignment="1" applyProtection="1">
      <alignment horizontal="center" vertical="center"/>
      <protection locked="0"/>
    </xf>
    <xf numFmtId="0" fontId="3" fillId="30" borderId="196" xfId="28" applyFont="1" applyFill="1" applyBorder="1" applyAlignment="1" applyProtection="1">
      <alignment horizontal="center" vertical="center"/>
      <protection locked="0"/>
    </xf>
    <xf numFmtId="3" fontId="3" fillId="0" borderId="198" xfId="28" applyNumberFormat="1" applyBorder="1" applyAlignment="1" applyProtection="1">
      <alignment horizontal="center" vertical="center"/>
      <protection locked="0"/>
    </xf>
    <xf numFmtId="3" fontId="3" fillId="0" borderId="199" xfId="28" applyNumberFormat="1" applyBorder="1" applyAlignment="1" applyProtection="1">
      <alignment horizontal="center" vertical="center"/>
      <protection locked="0"/>
    </xf>
    <xf numFmtId="3" fontId="3" fillId="0" borderId="200" xfId="28" applyNumberFormat="1" applyBorder="1" applyAlignment="1" applyProtection="1">
      <alignment horizontal="center" vertical="center"/>
      <protection locked="0"/>
    </xf>
    <xf numFmtId="3" fontId="3" fillId="0" borderId="80" xfId="28" applyNumberFormat="1" applyBorder="1" applyAlignment="1" applyProtection="1">
      <alignment horizontal="center" vertical="center"/>
      <protection locked="0"/>
    </xf>
    <xf numFmtId="3" fontId="3" fillId="0" borderId="194" xfId="28" applyNumberFormat="1" applyFont="1" applyBorder="1" applyAlignment="1" applyProtection="1">
      <alignment horizontal="center" vertical="center"/>
      <protection locked="0"/>
    </xf>
    <xf numFmtId="0" fontId="0" fillId="0" borderId="0" xfId="0" applyAlignment="1">
      <alignment wrapText="1"/>
    </xf>
    <xf numFmtId="0" fontId="25" fillId="0" borderId="0" xfId="47" applyAlignment="1" applyProtection="1">
      <alignment wrapText="1"/>
    </xf>
    <xf numFmtId="0" fontId="0" fillId="0" borderId="0" xfId="0" applyBorder="1" applyProtection="1">
      <protection locked="0"/>
    </xf>
    <xf numFmtId="0" fontId="0" fillId="0" borderId="201" xfId="0" applyBorder="1"/>
    <xf numFmtId="0" fontId="0" fillId="0" borderId="201" xfId="0" applyBorder="1" applyAlignment="1">
      <alignment horizontal="center"/>
    </xf>
    <xf numFmtId="0" fontId="3" fillId="0" borderId="202" xfId="28" applyFont="1" applyBorder="1" applyAlignment="1">
      <alignment horizontal="center" vertical="center"/>
    </xf>
    <xf numFmtId="0" fontId="3" fillId="0" borderId="203" xfId="28" applyFont="1" applyBorder="1" applyAlignment="1">
      <alignment horizontal="center" vertical="center"/>
    </xf>
    <xf numFmtId="0" fontId="3" fillId="0" borderId="204" xfId="28" applyFont="1" applyBorder="1" applyAlignment="1">
      <alignment horizontal="center" vertical="center"/>
    </xf>
    <xf numFmtId="0" fontId="3" fillId="0" borderId="205" xfId="28" applyFont="1" applyBorder="1" applyAlignment="1">
      <alignment horizontal="center" vertical="center"/>
    </xf>
    <xf numFmtId="0" fontId="3" fillId="27" borderId="206" xfId="28" applyFill="1" applyBorder="1" applyAlignment="1">
      <alignment horizontal="center" vertical="center"/>
    </xf>
    <xf numFmtId="0" fontId="3" fillId="27" borderId="188" xfId="28" applyFill="1" applyBorder="1" applyAlignment="1">
      <alignment horizontal="center" vertical="center"/>
    </xf>
    <xf numFmtId="0" fontId="3" fillId="27" borderId="183" xfId="28" applyFill="1" applyBorder="1" applyAlignment="1">
      <alignment horizontal="center" vertical="center"/>
    </xf>
    <xf numFmtId="0" fontId="3" fillId="27" borderId="189" xfId="28" applyFill="1" applyBorder="1" applyAlignment="1">
      <alignment horizontal="center" vertical="center"/>
    </xf>
    <xf numFmtId="0" fontId="3" fillId="27" borderId="208" xfId="28" applyFill="1" applyBorder="1" applyAlignment="1">
      <alignment horizontal="center" vertical="center"/>
    </xf>
    <xf numFmtId="0" fontId="3" fillId="27" borderId="209" xfId="28" applyFill="1" applyBorder="1" applyAlignment="1">
      <alignment horizontal="center" vertical="center"/>
    </xf>
    <xf numFmtId="0" fontId="3" fillId="27" borderId="207" xfId="28" applyFill="1" applyBorder="1" applyAlignment="1">
      <alignment horizontal="center" vertical="center"/>
    </xf>
    <xf numFmtId="0" fontId="3" fillId="28" borderId="210" xfId="28" applyFill="1" applyBorder="1" applyAlignment="1">
      <alignment horizontal="center" vertical="center"/>
    </xf>
    <xf numFmtId="0" fontId="3" fillId="0" borderId="14" xfId="28" applyFont="1" applyFill="1" applyBorder="1" applyAlignment="1">
      <alignment horizontal="center" vertical="center"/>
    </xf>
    <xf numFmtId="0" fontId="3" fillId="0" borderId="15" xfId="28" applyFont="1" applyFill="1" applyBorder="1" applyAlignment="1">
      <alignment horizontal="center" vertical="center"/>
    </xf>
    <xf numFmtId="0" fontId="3" fillId="0" borderId="11" xfId="28" applyBorder="1" applyAlignment="1">
      <alignment horizontal="center" vertical="center" wrapText="1"/>
    </xf>
    <xf numFmtId="0" fontId="3" fillId="0" borderId="207" xfId="28" applyBorder="1" applyAlignment="1">
      <alignment horizontal="center" vertical="center"/>
    </xf>
    <xf numFmtId="0" fontId="18" fillId="21" borderId="211" xfId="28" applyFont="1" applyFill="1" applyBorder="1" applyAlignment="1">
      <alignment horizontal="center" vertical="center"/>
    </xf>
    <xf numFmtId="0" fontId="18" fillId="21" borderId="206" xfId="28" applyFont="1" applyFill="1" applyBorder="1" applyAlignment="1">
      <alignment horizontal="center" vertical="center"/>
    </xf>
    <xf numFmtId="164" fontId="3" fillId="0" borderId="212" xfId="28" applyNumberFormat="1" applyBorder="1" applyAlignment="1">
      <alignment horizontal="center" vertical="center"/>
    </xf>
    <xf numFmtId="164" fontId="3" fillId="0" borderId="213" xfId="28" applyNumberFormat="1" applyBorder="1" applyAlignment="1">
      <alignment horizontal="center" vertical="center"/>
    </xf>
    <xf numFmtId="164" fontId="3" fillId="0" borderId="214" xfId="28" applyNumberFormat="1" applyBorder="1" applyAlignment="1">
      <alignment horizontal="center" vertical="center"/>
    </xf>
    <xf numFmtId="164" fontId="3" fillId="0" borderId="215" xfId="28" applyNumberFormat="1" applyBorder="1" applyAlignment="1">
      <alignment horizontal="center" vertical="center"/>
    </xf>
    <xf numFmtId="164" fontId="3" fillId="0" borderId="161" xfId="28" applyNumberFormat="1" applyBorder="1" applyAlignment="1">
      <alignment horizontal="center" vertical="center"/>
    </xf>
    <xf numFmtId="164" fontId="3" fillId="0" borderId="216" xfId="28" applyNumberFormat="1" applyBorder="1" applyAlignment="1">
      <alignment horizontal="center" vertical="center"/>
    </xf>
    <xf numFmtId="164" fontId="3" fillId="0" borderId="172" xfId="28" applyNumberFormat="1" applyBorder="1" applyAlignment="1">
      <alignment horizontal="center" vertical="center"/>
    </xf>
    <xf numFmtId="164" fontId="3" fillId="0" borderId="160" xfId="28" applyNumberFormat="1" applyBorder="1" applyAlignment="1">
      <alignment horizontal="center" vertical="center"/>
    </xf>
    <xf numFmtId="164" fontId="3" fillId="0" borderId="170" xfId="28" applyNumberFormat="1" applyFont="1" applyFill="1" applyBorder="1" applyAlignment="1">
      <alignment horizontal="center" vertical="center"/>
    </xf>
    <xf numFmtId="164" fontId="3" fillId="0" borderId="160" xfId="28" applyNumberFormat="1" applyFont="1" applyFill="1" applyBorder="1" applyAlignment="1">
      <alignment horizontal="center" vertical="center"/>
    </xf>
    <xf numFmtId="164" fontId="3" fillId="0" borderId="212" xfId="28" applyNumberFormat="1" applyFont="1" applyFill="1" applyBorder="1" applyAlignment="1">
      <alignment horizontal="center" vertical="center"/>
    </xf>
    <xf numFmtId="164" fontId="3" fillId="0" borderId="213" xfId="28" applyNumberFormat="1" applyFont="1" applyFill="1" applyBorder="1" applyAlignment="1">
      <alignment horizontal="center" vertical="center"/>
    </xf>
    <xf numFmtId="164" fontId="3" fillId="0" borderId="214" xfId="28" applyNumberFormat="1" applyFont="1" applyFill="1" applyBorder="1" applyAlignment="1">
      <alignment horizontal="center" vertical="center"/>
    </xf>
    <xf numFmtId="164" fontId="3" fillId="0" borderId="215" xfId="28" applyNumberFormat="1" applyFont="1" applyFill="1" applyBorder="1" applyAlignment="1">
      <alignment horizontal="center" vertical="center"/>
    </xf>
    <xf numFmtId="164" fontId="3" fillId="0" borderId="161" xfId="28" applyNumberFormat="1" applyFont="1" applyFill="1" applyBorder="1" applyAlignment="1">
      <alignment horizontal="center" vertical="center"/>
    </xf>
    <xf numFmtId="164" fontId="3" fillId="0" borderId="216" xfId="28" applyNumberFormat="1" applyFont="1" applyFill="1" applyBorder="1" applyAlignment="1">
      <alignment horizontal="center" vertical="center"/>
    </xf>
    <xf numFmtId="164" fontId="3" fillId="0" borderId="172" xfId="28" applyNumberFormat="1" applyFont="1" applyFill="1" applyBorder="1" applyAlignment="1">
      <alignment horizontal="center" vertical="center"/>
    </xf>
    <xf numFmtId="0" fontId="3" fillId="0" borderId="217" xfId="28" applyBorder="1" applyAlignment="1">
      <alignment horizontal="center" vertical="center"/>
    </xf>
    <xf numFmtId="0" fontId="3" fillId="0" borderId="218" xfId="28" applyBorder="1" applyAlignment="1">
      <alignment horizontal="center" vertical="center"/>
    </xf>
    <xf numFmtId="0" fontId="3" fillId="0" borderId="219" xfId="28" applyBorder="1" applyAlignment="1">
      <alignment horizontal="center" vertical="center"/>
    </xf>
    <xf numFmtId="0" fontId="3" fillId="0" borderId="0" xfId="28" applyBorder="1" applyAlignment="1" applyProtection="1">
      <alignment horizontal="center" vertical="center"/>
    </xf>
    <xf numFmtId="0" fontId="3" fillId="0" borderId="0" xfId="28" applyNumberFormat="1" applyBorder="1" applyAlignment="1" applyProtection="1">
      <alignment horizontal="center" vertical="center"/>
    </xf>
    <xf numFmtId="0" fontId="3" fillId="20" borderId="162" xfId="28" applyFont="1" applyFill="1" applyBorder="1" applyAlignment="1" applyProtection="1">
      <alignment horizontal="center" vertical="center"/>
      <protection locked="0"/>
    </xf>
    <xf numFmtId="0" fontId="3" fillId="0" borderId="175" xfId="28" applyFont="1" applyBorder="1" applyAlignment="1" applyProtection="1">
      <alignment horizontal="center" vertical="center"/>
      <protection locked="0"/>
    </xf>
    <xf numFmtId="0" fontId="3" fillId="0" borderId="159" xfId="28" applyFont="1" applyBorder="1" applyAlignment="1" applyProtection="1">
      <alignment horizontal="center" vertical="center"/>
      <protection locked="0"/>
    </xf>
    <xf numFmtId="0" fontId="3" fillId="0" borderId="159" xfId="28" applyFont="1" applyBorder="1" applyAlignment="1" applyProtection="1">
      <alignment horizontal="center" vertical="center"/>
    </xf>
    <xf numFmtId="166" fontId="3" fillId="0" borderId="159" xfId="28" applyNumberFormat="1" applyFont="1" applyBorder="1" applyAlignment="1" applyProtection="1">
      <alignment horizontal="center" vertical="center"/>
    </xf>
    <xf numFmtId="0" fontId="3" fillId="0" borderId="206" xfId="28" applyBorder="1" applyAlignment="1">
      <alignment horizontal="center" vertical="center"/>
    </xf>
    <xf numFmtId="0" fontId="24" fillId="0" borderId="0" xfId="0" applyFont="1" applyAlignment="1">
      <alignment horizontal="center" vertical="center" wrapText="1"/>
    </xf>
    <xf numFmtId="0" fontId="25" fillId="0" borderId="0" xfId="47" applyAlignment="1" applyProtection="1">
      <alignment horizontal="left" vertical="center" wrapText="1"/>
    </xf>
    <xf numFmtId="0" fontId="25" fillId="0" borderId="0" xfId="47" applyAlignment="1" applyProtection="1">
      <alignment horizontal="center" vertical="center" wrapText="1"/>
    </xf>
    <xf numFmtId="0" fontId="25" fillId="0" borderId="0" xfId="47" applyAlignment="1" applyProtection="1">
      <alignment horizontal="left" wrapText="1"/>
    </xf>
    <xf numFmtId="0" fontId="0" fillId="0" borderId="0" xfId="0" applyAlignment="1">
      <alignment horizontal="center" wrapText="1"/>
    </xf>
    <xf numFmtId="0" fontId="0" fillId="0" borderId="0" xfId="0" applyFill="1" applyAlignment="1">
      <alignment wrapText="1"/>
    </xf>
    <xf numFmtId="0" fontId="25" fillId="0" borderId="0" xfId="47" applyFill="1" applyAlignment="1" applyProtection="1">
      <alignment horizontal="left" wrapText="1"/>
    </xf>
    <xf numFmtId="0" fontId="25" fillId="0" borderId="0" xfId="47" applyFill="1" applyAlignment="1" applyProtection="1">
      <alignment wrapText="1"/>
    </xf>
    <xf numFmtId="0" fontId="0" fillId="0" borderId="0" xfId="0" applyFill="1" applyAlignment="1">
      <alignment horizontal="center" wrapText="1"/>
    </xf>
    <xf numFmtId="0" fontId="25" fillId="0" borderId="95" xfId="47" applyBorder="1" applyAlignment="1" applyProtection="1">
      <alignment horizontal="left" wrapText="1"/>
    </xf>
    <xf numFmtId="0" fontId="0" fillId="0" borderId="96" xfId="0" applyBorder="1" applyAlignment="1">
      <alignment wrapText="1"/>
    </xf>
    <xf numFmtId="0" fontId="25" fillId="0" borderId="95" xfId="47" applyFill="1" applyBorder="1" applyAlignment="1" applyProtection="1">
      <alignment horizontal="left" wrapText="1"/>
    </xf>
    <xf numFmtId="0" fontId="0" fillId="0" borderId="96" xfId="0" applyFill="1" applyBorder="1" applyAlignment="1">
      <alignment wrapText="1"/>
    </xf>
    <xf numFmtId="0" fontId="25" fillId="0" borderId="95" xfId="47" applyBorder="1" applyAlignment="1" applyProtection="1">
      <alignment horizontal="left" vertical="center" wrapText="1"/>
    </xf>
    <xf numFmtId="0" fontId="25" fillId="0" borderId="96" xfId="47" applyBorder="1" applyAlignment="1" applyProtection="1">
      <alignment horizontal="left" vertical="center" wrapText="1"/>
    </xf>
    <xf numFmtId="0" fontId="18" fillId="28" borderId="201" xfId="28" applyFont="1" applyFill="1" applyBorder="1" applyAlignment="1">
      <alignment horizontal="center" vertical="center"/>
    </xf>
    <xf numFmtId="0" fontId="18" fillId="28" borderId="222" xfId="28" applyFont="1" applyFill="1" applyBorder="1" applyAlignment="1">
      <alignment horizontal="center" vertical="center"/>
    </xf>
    <xf numFmtId="0" fontId="3" fillId="28" borderId="223" xfId="28" applyFont="1" applyFill="1" applyBorder="1" applyAlignment="1">
      <alignment horizontal="center" vertical="center"/>
    </xf>
    <xf numFmtId="0" fontId="3" fillId="28" borderId="223" xfId="28" applyFill="1" applyBorder="1" applyAlignment="1">
      <alignment horizontal="center" vertical="center"/>
    </xf>
    <xf numFmtId="3" fontId="3" fillId="0" borderId="226" xfId="28" applyNumberFormat="1" applyBorder="1" applyAlignment="1" applyProtection="1">
      <alignment horizontal="center" vertical="center"/>
      <protection locked="0"/>
    </xf>
    <xf numFmtId="3" fontId="3" fillId="0" borderId="227" xfId="28" applyNumberFormat="1" applyBorder="1" applyAlignment="1" applyProtection="1">
      <alignment horizontal="center" vertical="center"/>
      <protection locked="0"/>
    </xf>
    <xf numFmtId="3" fontId="3" fillId="0" borderId="228" xfId="28" applyNumberFormat="1" applyBorder="1" applyAlignment="1" applyProtection="1">
      <alignment horizontal="center" vertical="center"/>
      <protection locked="0"/>
    </xf>
    <xf numFmtId="3" fontId="3" fillId="0" borderId="220" xfId="28" applyNumberFormat="1" applyBorder="1" applyAlignment="1" applyProtection="1">
      <alignment horizontal="center" vertical="center"/>
      <protection locked="0"/>
    </xf>
    <xf numFmtId="3" fontId="3" fillId="0" borderId="221" xfId="28" applyNumberFormat="1" applyBorder="1" applyAlignment="1" applyProtection="1">
      <alignment horizontal="center" vertical="center"/>
      <protection locked="0"/>
    </xf>
    <xf numFmtId="0" fontId="3" fillId="0" borderId="236" xfId="28" applyBorder="1" applyAlignment="1" applyProtection="1">
      <alignment horizontal="center" vertical="center"/>
      <protection locked="0"/>
    </xf>
    <xf numFmtId="0" fontId="3" fillId="0" borderId="237" xfId="28" applyBorder="1" applyAlignment="1" applyProtection="1">
      <alignment horizontal="center" vertical="center"/>
      <protection locked="0"/>
    </xf>
    <xf numFmtId="0" fontId="3" fillId="0" borderId="230" xfId="28" applyNumberFormat="1" applyFont="1" applyBorder="1" applyAlignment="1" applyProtection="1">
      <alignment horizontal="center" vertical="center"/>
      <protection locked="0"/>
    </xf>
    <xf numFmtId="0" fontId="3" fillId="0" borderId="236" xfId="28" applyNumberFormat="1" applyFont="1" applyBorder="1" applyAlignment="1" applyProtection="1">
      <alignment horizontal="center" vertical="center"/>
      <protection locked="0"/>
    </xf>
    <xf numFmtId="0" fontId="3" fillId="0" borderId="238" xfId="28" applyNumberFormat="1" applyFont="1" applyBorder="1" applyAlignment="1" applyProtection="1">
      <alignment horizontal="center" vertical="center"/>
      <protection locked="0"/>
    </xf>
    <xf numFmtId="0" fontId="18" fillId="21" borderId="229" xfId="28" applyNumberFormat="1" applyFont="1" applyFill="1" applyBorder="1" applyAlignment="1">
      <alignment horizontal="center" vertical="center"/>
    </xf>
    <xf numFmtId="0" fontId="3" fillId="0" borderId="197" xfId="28" applyNumberFormat="1" applyFont="1" applyBorder="1" applyAlignment="1" applyProtection="1">
      <alignment horizontal="center" vertical="center"/>
      <protection locked="0"/>
    </xf>
    <xf numFmtId="0" fontId="3" fillId="0" borderId="231" xfId="28" applyNumberFormat="1" applyFont="1" applyBorder="1" applyAlignment="1" applyProtection="1">
      <alignment horizontal="center" vertical="center"/>
      <protection locked="0"/>
    </xf>
    <xf numFmtId="0" fontId="3" fillId="0" borderId="232" xfId="28" applyNumberFormat="1" applyFont="1" applyBorder="1" applyAlignment="1" applyProtection="1">
      <alignment horizontal="center" vertical="center"/>
      <protection locked="0"/>
    </xf>
    <xf numFmtId="0" fontId="3" fillId="0" borderId="0" xfId="28" applyNumberFormat="1" applyAlignment="1">
      <alignment horizontal="center" vertical="center"/>
    </xf>
    <xf numFmtId="0" fontId="3" fillId="0" borderId="0" xfId="28" applyNumberFormat="1" applyBorder="1" applyAlignment="1">
      <alignment horizontal="center" vertical="center"/>
    </xf>
    <xf numFmtId="0" fontId="3" fillId="0" borderId="233" xfId="28" applyNumberFormat="1" applyBorder="1" applyAlignment="1">
      <alignment horizontal="center" vertical="center"/>
    </xf>
    <xf numFmtId="0" fontId="3" fillId="0" borderId="234" xfId="28" applyNumberFormat="1" applyBorder="1" applyAlignment="1">
      <alignment horizontal="center" vertical="center"/>
    </xf>
    <xf numFmtId="0" fontId="3" fillId="0" borderId="235" xfId="28" applyNumberFormat="1" applyBorder="1" applyAlignment="1">
      <alignment horizontal="center" vertical="center"/>
    </xf>
    <xf numFmtId="0" fontId="18" fillId="31" borderId="188" xfId="28" applyFont="1" applyFill="1" applyBorder="1" applyAlignment="1">
      <alignment horizontal="center" vertical="center"/>
    </xf>
    <xf numFmtId="0" fontId="3" fillId="31" borderId="189" xfId="28" applyFill="1" applyBorder="1" applyAlignment="1">
      <alignment horizontal="center" vertical="center"/>
    </xf>
    <xf numFmtId="0" fontId="3" fillId="31" borderId="181" xfId="28" applyFill="1" applyBorder="1" applyAlignment="1">
      <alignment horizontal="center" vertical="center"/>
    </xf>
    <xf numFmtId="0" fontId="18" fillId="21" borderId="188" xfId="28" applyFont="1" applyFill="1" applyBorder="1" applyAlignment="1">
      <alignment horizontal="center" vertical="center"/>
    </xf>
    <xf numFmtId="0" fontId="18" fillId="21" borderId="181" xfId="28" applyFont="1" applyFill="1" applyBorder="1" applyAlignment="1">
      <alignment horizontal="center" vertical="center"/>
    </xf>
    <xf numFmtId="0" fontId="18" fillId="20" borderId="241" xfId="28" applyFont="1" applyFill="1" applyBorder="1" applyAlignment="1">
      <alignment horizontal="center" vertical="center"/>
    </xf>
    <xf numFmtId="0" fontId="18" fillId="20" borderId="242" xfId="28" applyFont="1" applyFill="1" applyBorder="1" applyAlignment="1">
      <alignment horizontal="center" vertical="center"/>
    </xf>
    <xf numFmtId="0" fontId="18" fillId="20" borderId="243" xfId="28" applyFont="1" applyFill="1" applyBorder="1" applyAlignment="1">
      <alignment horizontal="center" vertical="center"/>
    </xf>
    <xf numFmtId="0" fontId="18" fillId="20" borderId="244" xfId="28" applyFont="1" applyFill="1" applyBorder="1" applyAlignment="1">
      <alignment horizontal="center" vertical="center"/>
    </xf>
    <xf numFmtId="0" fontId="18" fillId="20" borderId="239" xfId="28" applyFont="1" applyFill="1" applyBorder="1" applyAlignment="1">
      <alignment horizontal="center" vertical="center"/>
    </xf>
    <xf numFmtId="0" fontId="18" fillId="20" borderId="240" xfId="28" applyFont="1" applyFill="1" applyBorder="1" applyAlignment="1">
      <alignment horizontal="center" vertical="center"/>
    </xf>
    <xf numFmtId="0" fontId="18" fillId="21" borderId="189" xfId="28" applyFont="1" applyFill="1" applyBorder="1" applyAlignment="1">
      <alignment horizontal="center" vertical="center"/>
    </xf>
    <xf numFmtId="0" fontId="18" fillId="21" borderId="224" xfId="28" applyFont="1" applyFill="1" applyBorder="1" applyAlignment="1">
      <alignment horizontal="center" vertical="center"/>
    </xf>
    <xf numFmtId="0" fontId="18" fillId="21" borderId="225" xfId="28" applyFont="1" applyFill="1" applyBorder="1" applyAlignment="1">
      <alignment horizontal="center" vertical="center"/>
    </xf>
    <xf numFmtId="0" fontId="18" fillId="20" borderId="245" xfId="28" applyFont="1" applyFill="1" applyBorder="1" applyAlignment="1">
      <alignment horizontal="center" vertical="center"/>
    </xf>
    <xf numFmtId="0" fontId="18" fillId="20" borderId="246" xfId="28" applyFont="1" applyFill="1" applyBorder="1" applyAlignment="1">
      <alignment horizontal="center" vertical="center"/>
    </xf>
    <xf numFmtId="0" fontId="0" fillId="0" borderId="101" xfId="0" applyBorder="1" applyAlignment="1">
      <alignment horizontal="left"/>
    </xf>
    <xf numFmtId="0" fontId="0" fillId="0" borderId="102" xfId="0" applyBorder="1" applyAlignment="1">
      <alignment horizontal="left"/>
    </xf>
    <xf numFmtId="0" fontId="24" fillId="0" borderId="0" xfId="0" applyFont="1" applyAlignment="1">
      <alignment horizontal="center"/>
    </xf>
    <xf numFmtId="0" fontId="18" fillId="21" borderId="83" xfId="28" applyFont="1" applyFill="1" applyBorder="1" applyAlignment="1">
      <alignment horizontal="center" vertical="center" wrapText="1"/>
    </xf>
    <xf numFmtId="0" fontId="18" fillId="21" borderId="84" xfId="28" applyFont="1" applyFill="1" applyBorder="1" applyAlignment="1">
      <alignment horizontal="center" vertical="center" wrapText="1"/>
    </xf>
    <xf numFmtId="0" fontId="18" fillId="21" borderId="85" xfId="28" applyFont="1" applyFill="1" applyBorder="1" applyAlignment="1">
      <alignment horizontal="center" vertical="center" wrapText="1"/>
    </xf>
    <xf numFmtId="0" fontId="18" fillId="21" borderId="86" xfId="28" applyFont="1" applyFill="1" applyBorder="1" applyAlignment="1">
      <alignment horizontal="center" vertical="center" wrapText="1"/>
    </xf>
    <xf numFmtId="0" fontId="18" fillId="21" borderId="87" xfId="28" applyFont="1" applyFill="1" applyBorder="1" applyAlignment="1">
      <alignment horizontal="center" vertical="center" wrapText="1"/>
    </xf>
    <xf numFmtId="0" fontId="18" fillId="21" borderId="88" xfId="28" applyFont="1" applyFill="1" applyBorder="1" applyAlignment="1">
      <alignment horizontal="center" vertical="center" wrapText="1"/>
    </xf>
    <xf numFmtId="0" fontId="0" fillId="0" borderId="53" xfId="0" applyFont="1" applyBorder="1" applyAlignment="1">
      <alignment horizontal="center"/>
    </xf>
    <xf numFmtId="0" fontId="0" fillId="0" borderId="50" xfId="0" applyBorder="1" applyAlignment="1" applyProtection="1">
      <alignment horizontal="center"/>
      <protection locked="0"/>
    </xf>
    <xf numFmtId="0" fontId="0" fillId="0" borderId="50" xfId="0" applyFont="1" applyBorder="1" applyAlignment="1" applyProtection="1">
      <alignment horizontal="center"/>
      <protection locked="0"/>
    </xf>
    <xf numFmtId="0" fontId="0" fillId="0" borderId="10" xfId="0" applyFont="1" applyBorder="1" applyAlignment="1">
      <alignment horizontal="center"/>
    </xf>
    <xf numFmtId="0" fontId="24" fillId="27" borderId="101" xfId="0" applyFont="1" applyFill="1" applyBorder="1" applyAlignment="1" applyProtection="1">
      <alignment horizontal="center"/>
    </xf>
    <xf numFmtId="0" fontId="24" fillId="27" borderId="102" xfId="0" applyFont="1" applyFill="1" applyBorder="1" applyAlignment="1" applyProtection="1">
      <alignment horizontal="center"/>
    </xf>
    <xf numFmtId="0" fontId="24" fillId="27" borderId="113" xfId="0" applyFont="1" applyFill="1" applyBorder="1" applyAlignment="1" applyProtection="1">
      <alignment horizontal="center"/>
    </xf>
    <xf numFmtId="0" fontId="24" fillId="27" borderId="114" xfId="0" applyFont="1" applyFill="1" applyBorder="1" applyAlignment="1" applyProtection="1">
      <alignment horizontal="center"/>
    </xf>
    <xf numFmtId="0" fontId="24" fillId="27" borderId="115" xfId="0" applyFont="1" applyFill="1" applyBorder="1" applyAlignment="1" applyProtection="1">
      <alignment horizontal="center"/>
    </xf>
    <xf numFmtId="0" fontId="24" fillId="27" borderId="97" xfId="0" applyFont="1" applyFill="1" applyBorder="1" applyAlignment="1" applyProtection="1">
      <alignment horizontal="center"/>
    </xf>
    <xf numFmtId="0" fontId="24" fillId="27" borderId="93" xfId="0" applyFont="1" applyFill="1" applyBorder="1" applyAlignment="1" applyProtection="1">
      <alignment horizontal="center"/>
    </xf>
  </cellXfs>
  <cellStyles count="48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cel Built-in Normal" xfId="28"/>
    <cellStyle name="Excel Built-in Normal 1" xfId="29"/>
    <cellStyle name="Explanatory Text" xfId="30" builtinId="53" customBuiltin="1"/>
    <cellStyle name="Good" xfId="31" builtinId="26" customBuiltin="1"/>
    <cellStyle name="Heading 1" xfId="32" builtinId="16" customBuiltin="1"/>
    <cellStyle name="Heading 2" xfId="33" builtinId="17" customBuiltin="1"/>
    <cellStyle name="Heading 3" xfId="34" builtinId="18" customBuiltin="1"/>
    <cellStyle name="Heading 4" xfId="35" builtinId="19" customBuiltin="1"/>
    <cellStyle name="Hyperlink" xfId="47" builtinId="8"/>
    <cellStyle name="Input" xfId="36" builtinId="20" customBuiltin="1"/>
    <cellStyle name="Linked Cell" xfId="37" builtinId="24" customBuiltin="1"/>
    <cellStyle name="Neutral" xfId="38" builtinId="28" customBuiltin="1"/>
    <cellStyle name="Normal" xfId="0" builtinId="0"/>
    <cellStyle name="Normal 2" xfId="45"/>
    <cellStyle name="Normal 4" xfId="46"/>
    <cellStyle name="Note" xfId="39" builtinId="10" customBuiltin="1"/>
    <cellStyle name="Output" xfId="40" builtinId="21" customBuiltin="1"/>
    <cellStyle name="Percent" xfId="41" builtinId="5"/>
    <cellStyle name="Title" xfId="42" builtinId="15" customBuiltin="1"/>
    <cellStyle name="Total" xfId="43" builtinId="25" customBuiltin="1"/>
    <cellStyle name="Warning Text" xfId="44" builtinId="11" customBuiltin="1"/>
  </cellStyles>
  <dxfs count="34">
    <dxf>
      <font>
        <b val="0"/>
        <i val="0"/>
        <strike val="0"/>
        <condense val="0"/>
        <extend val="0"/>
        <u val="none"/>
        <sz val="11"/>
        <color indexed="60"/>
      </font>
      <fill>
        <patternFill patternType="solid">
          <fgColor indexed="26"/>
          <bgColor indexed="43"/>
        </patternFill>
      </fill>
    </dxf>
    <dxf>
      <font>
        <b val="0"/>
        <i val="0"/>
        <strike val="0"/>
        <condense val="0"/>
        <extend val="0"/>
        <u val="none"/>
        <sz val="11"/>
        <color indexed="17"/>
      </font>
      <fill>
        <patternFill patternType="solid">
          <fgColor indexed="27"/>
          <bgColor indexed="42"/>
        </patternFill>
      </fill>
    </dxf>
    <dxf>
      <font>
        <b val="0"/>
        <i val="0"/>
        <strike val="0"/>
        <condense val="0"/>
        <extend val="0"/>
        <u val="none"/>
        <sz val="11"/>
        <color indexed="20"/>
      </font>
      <fill>
        <patternFill patternType="solid">
          <fgColor indexed="29"/>
          <bgColor indexed="45"/>
        </patternFill>
      </fill>
    </dxf>
    <dxf>
      <font>
        <b val="0"/>
        <i val="0"/>
        <strike val="0"/>
        <condense val="0"/>
        <extend val="0"/>
        <u val="none"/>
        <sz val="11"/>
        <color indexed="60"/>
      </font>
      <fill>
        <patternFill patternType="solid">
          <fgColor indexed="26"/>
          <bgColor indexed="43"/>
        </patternFill>
      </fill>
    </dxf>
    <dxf>
      <font>
        <b val="0"/>
        <i val="0"/>
        <strike val="0"/>
        <condense val="0"/>
        <extend val="0"/>
        <u val="none"/>
        <sz val="11"/>
        <color indexed="17"/>
      </font>
      <fill>
        <patternFill patternType="solid">
          <fgColor indexed="27"/>
          <bgColor indexed="42"/>
        </patternFill>
      </fill>
    </dxf>
    <dxf>
      <font>
        <b val="0"/>
        <i val="0"/>
        <strike val="0"/>
        <condense val="0"/>
        <extend val="0"/>
        <u val="none"/>
        <sz val="11"/>
        <color indexed="20"/>
      </font>
      <fill>
        <patternFill patternType="solid">
          <fgColor indexed="29"/>
          <bgColor indexed="45"/>
        </patternFill>
      </fill>
    </dxf>
    <dxf>
      <font>
        <b val="0"/>
        <i val="0"/>
        <strike val="0"/>
        <condense val="0"/>
        <extend val="0"/>
        <u val="none"/>
        <sz val="11"/>
        <color indexed="60"/>
      </font>
      <fill>
        <patternFill patternType="solid">
          <fgColor indexed="26"/>
          <bgColor indexed="43"/>
        </patternFill>
      </fill>
    </dxf>
    <dxf>
      <font>
        <b val="0"/>
        <i val="0"/>
        <strike val="0"/>
        <condense val="0"/>
        <extend val="0"/>
        <u val="none"/>
        <sz val="11"/>
        <color indexed="17"/>
      </font>
      <fill>
        <patternFill patternType="solid">
          <fgColor indexed="27"/>
          <bgColor indexed="42"/>
        </patternFill>
      </fill>
    </dxf>
    <dxf>
      <font>
        <b val="0"/>
        <i val="0"/>
        <strike val="0"/>
        <condense val="0"/>
        <extend val="0"/>
        <u val="none"/>
        <sz val="11"/>
        <color indexed="20"/>
      </font>
      <fill>
        <patternFill patternType="solid">
          <fgColor indexed="29"/>
          <bgColor indexed="45"/>
        </patternFill>
      </fill>
    </dxf>
    <dxf>
      <font>
        <b val="0"/>
        <i val="0"/>
        <strike val="0"/>
        <condense val="0"/>
        <extend val="0"/>
        <u val="none"/>
        <sz val="11"/>
        <color indexed="60"/>
      </font>
      <fill>
        <patternFill patternType="solid">
          <fgColor indexed="26"/>
          <bgColor indexed="43"/>
        </patternFill>
      </fill>
    </dxf>
    <dxf>
      <font>
        <b val="0"/>
        <i val="0"/>
        <strike val="0"/>
        <condense val="0"/>
        <extend val="0"/>
        <u val="none"/>
        <sz val="11"/>
        <color indexed="17"/>
      </font>
      <fill>
        <patternFill patternType="solid">
          <fgColor indexed="27"/>
          <bgColor indexed="42"/>
        </patternFill>
      </fill>
    </dxf>
    <dxf>
      <font>
        <b val="0"/>
        <i val="0"/>
        <strike val="0"/>
        <condense val="0"/>
        <extend val="0"/>
        <u val="none"/>
        <sz val="11"/>
        <color indexed="20"/>
      </font>
      <fill>
        <patternFill patternType="solid">
          <fgColor indexed="29"/>
          <bgColor indexed="45"/>
        </patternFill>
      </fill>
    </dxf>
    <dxf>
      <font>
        <b val="0"/>
        <i val="0"/>
        <strike val="0"/>
        <condense val="0"/>
        <extend val="0"/>
        <u val="none"/>
        <sz val="11"/>
        <color indexed="60"/>
      </font>
      <fill>
        <patternFill patternType="solid">
          <fgColor indexed="26"/>
          <bgColor indexed="43"/>
        </patternFill>
      </fill>
    </dxf>
    <dxf>
      <font>
        <b val="0"/>
        <i val="0"/>
        <strike val="0"/>
        <condense val="0"/>
        <extend val="0"/>
        <u val="none"/>
        <sz val="11"/>
        <color indexed="17"/>
      </font>
      <fill>
        <patternFill patternType="solid">
          <fgColor indexed="27"/>
          <bgColor indexed="42"/>
        </patternFill>
      </fill>
    </dxf>
    <dxf>
      <font>
        <b val="0"/>
        <i val="0"/>
        <strike val="0"/>
        <condense val="0"/>
        <extend val="0"/>
        <u val="none"/>
        <sz val="11"/>
        <color indexed="20"/>
      </font>
      <fill>
        <patternFill patternType="solid">
          <fgColor indexed="29"/>
          <bgColor indexed="45"/>
        </patternFill>
      </fill>
    </dxf>
    <dxf>
      <font>
        <b val="0"/>
        <i val="0"/>
        <strike val="0"/>
        <condense val="0"/>
        <extend val="0"/>
        <u val="none"/>
        <sz val="11"/>
        <color indexed="60"/>
      </font>
      <fill>
        <patternFill patternType="solid">
          <fgColor indexed="26"/>
          <bgColor indexed="43"/>
        </patternFill>
      </fill>
    </dxf>
    <dxf>
      <font>
        <b val="0"/>
        <i val="0"/>
        <strike val="0"/>
        <condense val="0"/>
        <extend val="0"/>
        <u val="none"/>
        <sz val="11"/>
        <color indexed="17"/>
      </font>
      <fill>
        <patternFill patternType="solid">
          <fgColor indexed="27"/>
          <bgColor indexed="42"/>
        </patternFill>
      </fill>
    </dxf>
    <dxf>
      <font>
        <b val="0"/>
        <i val="0"/>
        <strike val="0"/>
        <condense val="0"/>
        <extend val="0"/>
        <u val="none"/>
        <sz val="11"/>
        <color indexed="20"/>
      </font>
      <fill>
        <patternFill patternType="solid">
          <fgColor indexed="29"/>
          <bgColor indexed="45"/>
        </patternFill>
      </fill>
    </dxf>
    <dxf>
      <font>
        <b val="0"/>
        <i val="0"/>
        <strike val="0"/>
        <condense val="0"/>
        <extend val="0"/>
        <u val="none"/>
        <sz val="11"/>
        <color indexed="60"/>
      </font>
      <fill>
        <patternFill patternType="solid">
          <fgColor indexed="26"/>
          <bgColor indexed="43"/>
        </patternFill>
      </fill>
    </dxf>
    <dxf>
      <font>
        <b val="0"/>
        <i val="0"/>
        <strike val="0"/>
        <condense val="0"/>
        <extend val="0"/>
        <u val="none"/>
        <sz val="11"/>
        <color indexed="17"/>
      </font>
      <fill>
        <patternFill patternType="solid">
          <fgColor indexed="27"/>
          <bgColor indexed="42"/>
        </patternFill>
      </fill>
    </dxf>
    <dxf>
      <font>
        <b val="0"/>
        <i val="0"/>
        <strike val="0"/>
        <condense val="0"/>
        <extend val="0"/>
        <u val="none"/>
        <sz val="11"/>
        <color indexed="20"/>
      </font>
      <fill>
        <patternFill patternType="solid">
          <fgColor indexed="29"/>
          <bgColor indexed="45"/>
        </patternFill>
      </fill>
    </dxf>
    <dxf>
      <font>
        <b val="0"/>
        <i val="0"/>
        <strike val="0"/>
        <condense val="0"/>
        <extend val="0"/>
        <u val="none"/>
        <sz val="11"/>
        <color indexed="60"/>
      </font>
      <fill>
        <patternFill patternType="solid">
          <fgColor indexed="26"/>
          <bgColor indexed="43"/>
        </patternFill>
      </fill>
    </dxf>
    <dxf>
      <font>
        <b val="0"/>
        <i val="0"/>
        <strike val="0"/>
        <condense val="0"/>
        <extend val="0"/>
        <u val="none"/>
        <sz val="11"/>
        <color indexed="17"/>
      </font>
      <fill>
        <patternFill patternType="solid">
          <fgColor indexed="27"/>
          <bgColor indexed="42"/>
        </patternFill>
      </fill>
    </dxf>
    <dxf>
      <font>
        <b val="0"/>
        <i val="0"/>
        <strike val="0"/>
        <condense val="0"/>
        <extend val="0"/>
        <u val="none"/>
        <sz val="11"/>
        <color indexed="20"/>
      </font>
      <fill>
        <patternFill patternType="solid">
          <fgColor indexed="29"/>
          <bgColor indexed="45"/>
        </patternFill>
      </fill>
    </dxf>
    <dxf>
      <font>
        <b val="0"/>
        <i val="0"/>
        <strike val="0"/>
        <condense val="0"/>
        <extend val="0"/>
        <u val="none"/>
        <sz val="11"/>
        <color indexed="60"/>
      </font>
      <fill>
        <patternFill patternType="solid">
          <fgColor indexed="26"/>
          <bgColor indexed="43"/>
        </patternFill>
      </fill>
    </dxf>
    <dxf>
      <font>
        <b val="0"/>
        <i val="0"/>
        <strike val="0"/>
        <condense val="0"/>
        <extend val="0"/>
        <u val="none"/>
        <sz val="11"/>
        <color indexed="17"/>
      </font>
      <fill>
        <patternFill patternType="solid">
          <fgColor indexed="27"/>
          <bgColor indexed="42"/>
        </patternFill>
      </fill>
    </dxf>
    <dxf>
      <font>
        <b val="0"/>
        <i val="0"/>
        <strike val="0"/>
        <condense val="0"/>
        <extend val="0"/>
        <u val="none"/>
        <sz val="11"/>
        <color indexed="20"/>
      </font>
      <fill>
        <patternFill patternType="solid">
          <fgColor indexed="29"/>
          <bgColor indexed="45"/>
        </patternFill>
      </fill>
    </dxf>
    <dxf>
      <font>
        <b val="0"/>
        <i val="0"/>
        <strike val="0"/>
        <condense val="0"/>
        <extend val="0"/>
        <u val="none"/>
        <sz val="11"/>
        <color indexed="60"/>
      </font>
      <fill>
        <patternFill patternType="solid">
          <fgColor indexed="26"/>
          <bgColor indexed="43"/>
        </patternFill>
      </fill>
    </dxf>
    <dxf>
      <font>
        <b val="0"/>
        <i val="0"/>
        <strike val="0"/>
        <condense val="0"/>
        <extend val="0"/>
        <u val="none"/>
        <sz val="11"/>
        <color indexed="17"/>
      </font>
      <fill>
        <patternFill patternType="solid">
          <fgColor indexed="27"/>
          <bgColor indexed="42"/>
        </patternFill>
      </fill>
    </dxf>
    <dxf>
      <font>
        <b val="0"/>
        <i val="0"/>
        <strike val="0"/>
        <condense val="0"/>
        <extend val="0"/>
        <u val="none"/>
        <sz val="11"/>
        <color indexed="20"/>
      </font>
      <fill>
        <patternFill patternType="solid">
          <fgColor indexed="29"/>
          <bgColor indexed="45"/>
        </patternFill>
      </fill>
    </dxf>
    <dxf>
      <fill>
        <patternFill>
          <bgColor rgb="FF92D050"/>
        </patternFill>
      </fill>
    </dxf>
    <dxf>
      <font>
        <b/>
        <i val="0"/>
        <condense val="0"/>
        <extend val="0"/>
        <color indexed="45"/>
      </font>
      <fill>
        <patternFill patternType="solid">
          <fgColor indexed="26"/>
          <bgColor indexed="9"/>
        </patternFill>
      </fill>
      <border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</border>
    </dxf>
    <dxf>
      <font>
        <b/>
        <i val="0"/>
        <condense val="0"/>
        <extend val="0"/>
        <color indexed="20"/>
      </font>
      <fill>
        <patternFill patternType="solid">
          <fgColor indexed="26"/>
          <bgColor indexed="9"/>
        </patternFill>
      </fill>
      <border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</border>
    </dxf>
    <dxf>
      <font>
        <b/>
        <i val="0"/>
        <condense val="0"/>
        <extend val="0"/>
        <color indexed="60"/>
      </font>
      <fill>
        <patternFill patternType="solid">
          <fgColor indexed="26"/>
          <bgColor indexed="9"/>
        </patternFill>
      </fill>
      <border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</border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D9D9D9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99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E6E6E6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BFBFBF"/>
      <rgbColor rgb="00FFCC00"/>
      <rgbColor rgb="00FF9900"/>
      <rgbColor rgb="00FF6600"/>
      <rgbColor rgb="00666666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GB"/>
  <c:style val="26"/>
  <c:chart>
    <c:plotArea>
      <c:layout>
        <c:manualLayout>
          <c:layoutTarget val="inner"/>
          <c:xMode val="edge"/>
          <c:yMode val="edge"/>
          <c:x val="1.8880647336480243E-2"/>
          <c:y val="6.5759637188209014E-2"/>
          <c:w val="0.97428441071943162"/>
          <c:h val="0.72335600907029451"/>
        </c:manualLayout>
      </c:layout>
      <c:barChart>
        <c:barDir val="col"/>
        <c:grouping val="stacked"/>
        <c:ser>
          <c:idx val="0"/>
          <c:order val="0"/>
          <c:tx>
            <c:strRef>
              <c:f>VDCC!$C$1</c:f>
              <c:strCache>
                <c:ptCount val="1"/>
                <c:pt idx="0">
                  <c:v>Confirmed</c:v>
                </c:pt>
              </c:strCache>
            </c:strRef>
          </c:tx>
          <c:spPr>
            <a:solidFill>
              <a:srgbClr val="92D050"/>
            </a:solidFill>
          </c:spPr>
          <c:cat>
            <c:strRef>
              <c:f>VDCC!$A$2:$A$100</c:f>
              <c:strCache>
                <c:ptCount val="9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Altrezza</c:v>
                </c:pt>
                <c:pt idx="4">
                  <c:v>0</c:v>
                </c:pt>
                <c:pt idx="5">
                  <c:v>0</c:v>
                </c:pt>
                <c:pt idx="6">
                  <c:v>Ánja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Blackcheeta</c:v>
                </c:pt>
                <c:pt idx="11">
                  <c:v>0</c:v>
                </c:pt>
                <c:pt idx="12">
                  <c:v>Brownale</c:v>
                </c:pt>
                <c:pt idx="13">
                  <c:v>0</c:v>
                </c:pt>
                <c:pt idx="14">
                  <c:v>0</c:v>
                </c:pt>
                <c:pt idx="15">
                  <c:v>Dottiee</c:v>
                </c:pt>
                <c:pt idx="16">
                  <c:v>0</c:v>
                </c:pt>
                <c:pt idx="17">
                  <c:v>Drakodin</c:v>
                </c:pt>
                <c:pt idx="18">
                  <c:v>Drugged</c:v>
                </c:pt>
                <c:pt idx="19">
                  <c:v>Eárendíl</c:v>
                </c:pt>
                <c:pt idx="20">
                  <c:v>0</c:v>
                </c:pt>
                <c:pt idx="21">
                  <c:v>Halfthings</c:v>
                </c:pt>
                <c:pt idx="22">
                  <c:v>Harkar</c:v>
                </c:pt>
                <c:pt idx="23">
                  <c:v>Hlianna</c:v>
                </c:pt>
                <c:pt idx="24">
                  <c:v>0</c:v>
                </c:pt>
                <c:pt idx="25">
                  <c:v>Hyperïon</c:v>
                </c:pt>
                <c:pt idx="26">
                  <c:v>0</c:v>
                </c:pt>
                <c:pt idx="27">
                  <c:v>Izzabelle</c:v>
                </c:pt>
                <c:pt idx="28">
                  <c:v>Jimentoez</c:v>
                </c:pt>
                <c:pt idx="29">
                  <c:v>Judge</c:v>
                </c:pt>
                <c:pt idx="30">
                  <c:v>0</c:v>
                </c:pt>
                <c:pt idx="31">
                  <c:v>Kanoni</c:v>
                </c:pt>
                <c:pt idx="32">
                  <c:v>Kristofix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Mardazur</c:v>
                </c:pt>
                <c:pt idx="38">
                  <c:v>0</c:v>
                </c:pt>
                <c:pt idx="39">
                  <c:v>0</c:v>
                </c:pt>
                <c:pt idx="40">
                  <c:v>Morenna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Niiwa</c:v>
                </c:pt>
                <c:pt idx="45">
                  <c:v>Octavìus</c:v>
                </c:pt>
                <c:pt idx="46">
                  <c:v>Overtake</c:v>
                </c:pt>
                <c:pt idx="47">
                  <c:v>0</c:v>
                </c:pt>
                <c:pt idx="48">
                  <c:v>Páula</c:v>
                </c:pt>
                <c:pt idx="49">
                  <c:v>Predictable</c:v>
                </c:pt>
                <c:pt idx="50">
                  <c:v>0</c:v>
                </c:pt>
                <c:pt idx="51">
                  <c:v>0</c:v>
                </c:pt>
                <c:pt idx="52">
                  <c:v>Saltycream</c:v>
                </c:pt>
                <c:pt idx="53">
                  <c:v>Sarjezzar</c:v>
                </c:pt>
                <c:pt idx="54">
                  <c:v>0</c:v>
                </c:pt>
                <c:pt idx="55">
                  <c:v>Shinkai</c:v>
                </c:pt>
                <c:pt idx="56">
                  <c:v>0</c:v>
                </c:pt>
                <c:pt idx="57">
                  <c:v>Snowies</c:v>
                </c:pt>
                <c:pt idx="58">
                  <c:v>Spruch</c:v>
                </c:pt>
                <c:pt idx="59">
                  <c:v>Svicane</c:v>
                </c:pt>
                <c:pt idx="60">
                  <c:v>Téasey</c:v>
                </c:pt>
                <c:pt idx="61">
                  <c:v>0</c:v>
                </c:pt>
                <c:pt idx="62">
                  <c:v>Tonitrum</c:v>
                </c:pt>
                <c:pt idx="63">
                  <c:v>0</c:v>
                </c:pt>
                <c:pt idx="64">
                  <c:v>Twicemore</c:v>
                </c:pt>
                <c:pt idx="65">
                  <c:v>0</c:v>
                </c:pt>
                <c:pt idx="66">
                  <c:v>Xanadaria</c:v>
                </c:pt>
                <c:pt idx="67">
                  <c:v>0</c:v>
                </c:pt>
                <c:pt idx="68">
                  <c:v>Xytree</c:v>
                </c:pt>
                <c:pt idx="69">
                  <c:v>0</c:v>
                </c:pt>
                <c:pt idx="70">
                  <c:v>0</c:v>
                </c:pt>
                <c:pt idx="71">
                  <c:v>Zantias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</c:strCache>
            </c:strRef>
          </c:cat>
          <c:val>
            <c:numRef>
              <c:f>VDCC!$C$2:$C$100</c:f>
              <c:numCache>
                <c:formatCode>General</c:formatCode>
                <c:ptCount val="9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2</c:v>
                </c:pt>
                <c:pt idx="11">
                  <c:v>0</c:v>
                </c:pt>
                <c:pt idx="12">
                  <c:v>2</c:v>
                </c:pt>
                <c:pt idx="13">
                  <c:v>0</c:v>
                </c:pt>
                <c:pt idx="14">
                  <c:v>0</c:v>
                </c:pt>
                <c:pt idx="15">
                  <c:v>2</c:v>
                </c:pt>
                <c:pt idx="16">
                  <c:v>0</c:v>
                </c:pt>
                <c:pt idx="17">
                  <c:v>2</c:v>
                </c:pt>
                <c:pt idx="18">
                  <c:v>2</c:v>
                </c:pt>
                <c:pt idx="19">
                  <c:v>2</c:v>
                </c:pt>
                <c:pt idx="20">
                  <c:v>0</c:v>
                </c:pt>
                <c:pt idx="21">
                  <c:v>0</c:v>
                </c:pt>
                <c:pt idx="22">
                  <c:v>1</c:v>
                </c:pt>
                <c:pt idx="23">
                  <c:v>2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2</c:v>
                </c:pt>
                <c:pt idx="29">
                  <c:v>2</c:v>
                </c:pt>
                <c:pt idx="30">
                  <c:v>0</c:v>
                </c:pt>
                <c:pt idx="31">
                  <c:v>2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2</c:v>
                </c:pt>
                <c:pt idx="45">
                  <c:v>2</c:v>
                </c:pt>
                <c:pt idx="46">
                  <c:v>2</c:v>
                </c:pt>
                <c:pt idx="47">
                  <c:v>0</c:v>
                </c:pt>
                <c:pt idx="48">
                  <c:v>2</c:v>
                </c:pt>
                <c:pt idx="49">
                  <c:v>2</c:v>
                </c:pt>
                <c:pt idx="50">
                  <c:v>0</c:v>
                </c:pt>
                <c:pt idx="51">
                  <c:v>0</c:v>
                </c:pt>
                <c:pt idx="52">
                  <c:v>2</c:v>
                </c:pt>
                <c:pt idx="53">
                  <c:v>1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2</c:v>
                </c:pt>
                <c:pt idx="58">
                  <c:v>2</c:v>
                </c:pt>
                <c:pt idx="59">
                  <c:v>2</c:v>
                </c:pt>
                <c:pt idx="60">
                  <c:v>2</c:v>
                </c:pt>
                <c:pt idx="61">
                  <c:v>0</c:v>
                </c:pt>
                <c:pt idx="62">
                  <c:v>2</c:v>
                </c:pt>
                <c:pt idx="63">
                  <c:v>0</c:v>
                </c:pt>
                <c:pt idx="64">
                  <c:v>2</c:v>
                </c:pt>
                <c:pt idx="65">
                  <c:v>0</c:v>
                </c:pt>
                <c:pt idx="66">
                  <c:v>2</c:v>
                </c:pt>
                <c:pt idx="67">
                  <c:v>0</c:v>
                </c:pt>
                <c:pt idx="68">
                  <c:v>2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</c:numCache>
            </c:numRef>
          </c:val>
        </c:ser>
        <c:ser>
          <c:idx val="1"/>
          <c:order val="1"/>
          <c:tx>
            <c:strRef>
              <c:f>VDCC!$D$1</c:f>
              <c:strCache>
                <c:ptCount val="1"/>
                <c:pt idx="0">
                  <c:v>Standby</c:v>
                </c:pt>
              </c:strCache>
            </c:strRef>
          </c:tx>
          <c:spPr>
            <a:solidFill>
              <a:srgbClr val="00B0F0"/>
            </a:solidFill>
          </c:spPr>
          <c:cat>
            <c:strRef>
              <c:f>VDCC!$A$2:$A$100</c:f>
              <c:strCache>
                <c:ptCount val="9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Altrezza</c:v>
                </c:pt>
                <c:pt idx="4">
                  <c:v>0</c:v>
                </c:pt>
                <c:pt idx="5">
                  <c:v>0</c:v>
                </c:pt>
                <c:pt idx="6">
                  <c:v>Ánja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Blackcheeta</c:v>
                </c:pt>
                <c:pt idx="11">
                  <c:v>0</c:v>
                </c:pt>
                <c:pt idx="12">
                  <c:v>Brownale</c:v>
                </c:pt>
                <c:pt idx="13">
                  <c:v>0</c:v>
                </c:pt>
                <c:pt idx="14">
                  <c:v>0</c:v>
                </c:pt>
                <c:pt idx="15">
                  <c:v>Dottiee</c:v>
                </c:pt>
                <c:pt idx="16">
                  <c:v>0</c:v>
                </c:pt>
                <c:pt idx="17">
                  <c:v>Drakodin</c:v>
                </c:pt>
                <c:pt idx="18">
                  <c:v>Drugged</c:v>
                </c:pt>
                <c:pt idx="19">
                  <c:v>Eárendíl</c:v>
                </c:pt>
                <c:pt idx="20">
                  <c:v>0</c:v>
                </c:pt>
                <c:pt idx="21">
                  <c:v>Halfthings</c:v>
                </c:pt>
                <c:pt idx="22">
                  <c:v>Harkar</c:v>
                </c:pt>
                <c:pt idx="23">
                  <c:v>Hlianna</c:v>
                </c:pt>
                <c:pt idx="24">
                  <c:v>0</c:v>
                </c:pt>
                <c:pt idx="25">
                  <c:v>Hyperïon</c:v>
                </c:pt>
                <c:pt idx="26">
                  <c:v>0</c:v>
                </c:pt>
                <c:pt idx="27">
                  <c:v>Izzabelle</c:v>
                </c:pt>
                <c:pt idx="28">
                  <c:v>Jimentoez</c:v>
                </c:pt>
                <c:pt idx="29">
                  <c:v>Judge</c:v>
                </c:pt>
                <c:pt idx="30">
                  <c:v>0</c:v>
                </c:pt>
                <c:pt idx="31">
                  <c:v>Kanoni</c:v>
                </c:pt>
                <c:pt idx="32">
                  <c:v>Kristofix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Mardazur</c:v>
                </c:pt>
                <c:pt idx="38">
                  <c:v>0</c:v>
                </c:pt>
                <c:pt idx="39">
                  <c:v>0</c:v>
                </c:pt>
                <c:pt idx="40">
                  <c:v>Morenna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Niiwa</c:v>
                </c:pt>
                <c:pt idx="45">
                  <c:v>Octavìus</c:v>
                </c:pt>
                <c:pt idx="46">
                  <c:v>Overtake</c:v>
                </c:pt>
                <c:pt idx="47">
                  <c:v>0</c:v>
                </c:pt>
                <c:pt idx="48">
                  <c:v>Páula</c:v>
                </c:pt>
                <c:pt idx="49">
                  <c:v>Predictable</c:v>
                </c:pt>
                <c:pt idx="50">
                  <c:v>0</c:v>
                </c:pt>
                <c:pt idx="51">
                  <c:v>0</c:v>
                </c:pt>
                <c:pt idx="52">
                  <c:v>Saltycream</c:v>
                </c:pt>
                <c:pt idx="53">
                  <c:v>Sarjezzar</c:v>
                </c:pt>
                <c:pt idx="54">
                  <c:v>0</c:v>
                </c:pt>
                <c:pt idx="55">
                  <c:v>Shinkai</c:v>
                </c:pt>
                <c:pt idx="56">
                  <c:v>0</c:v>
                </c:pt>
                <c:pt idx="57">
                  <c:v>Snowies</c:v>
                </c:pt>
                <c:pt idx="58">
                  <c:v>Spruch</c:v>
                </c:pt>
                <c:pt idx="59">
                  <c:v>Svicane</c:v>
                </c:pt>
                <c:pt idx="60">
                  <c:v>Téasey</c:v>
                </c:pt>
                <c:pt idx="61">
                  <c:v>0</c:v>
                </c:pt>
                <c:pt idx="62">
                  <c:v>Tonitrum</c:v>
                </c:pt>
                <c:pt idx="63">
                  <c:v>0</c:v>
                </c:pt>
                <c:pt idx="64">
                  <c:v>Twicemore</c:v>
                </c:pt>
                <c:pt idx="65">
                  <c:v>0</c:v>
                </c:pt>
                <c:pt idx="66">
                  <c:v>Xanadaria</c:v>
                </c:pt>
                <c:pt idx="67">
                  <c:v>0</c:v>
                </c:pt>
                <c:pt idx="68">
                  <c:v>Xytree</c:v>
                </c:pt>
                <c:pt idx="69">
                  <c:v>0</c:v>
                </c:pt>
                <c:pt idx="70">
                  <c:v>0</c:v>
                </c:pt>
                <c:pt idx="71">
                  <c:v>Zantias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</c:strCache>
            </c:strRef>
          </c:cat>
          <c:val>
            <c:numRef>
              <c:f>VDCC!$D$2:$D$100</c:f>
              <c:numCache>
                <c:formatCode>General</c:formatCode>
                <c:ptCount val="9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</c:numCache>
            </c:numRef>
          </c:val>
        </c:ser>
        <c:ser>
          <c:idx val="2"/>
          <c:order val="2"/>
          <c:tx>
            <c:strRef>
              <c:f>VDCC!$E$1</c:f>
              <c:strCache>
                <c:ptCount val="1"/>
                <c:pt idx="0">
                  <c:v>Out</c:v>
                </c:pt>
              </c:strCache>
            </c:strRef>
          </c:tx>
          <c:spPr>
            <a:solidFill>
              <a:srgbClr val="FF0000"/>
            </a:solidFill>
          </c:spPr>
          <c:cat>
            <c:strRef>
              <c:f>VDCC!$A$2:$A$100</c:f>
              <c:strCache>
                <c:ptCount val="9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Altrezza</c:v>
                </c:pt>
                <c:pt idx="4">
                  <c:v>0</c:v>
                </c:pt>
                <c:pt idx="5">
                  <c:v>0</c:v>
                </c:pt>
                <c:pt idx="6">
                  <c:v>Ánja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Blackcheeta</c:v>
                </c:pt>
                <c:pt idx="11">
                  <c:v>0</c:v>
                </c:pt>
                <c:pt idx="12">
                  <c:v>Brownale</c:v>
                </c:pt>
                <c:pt idx="13">
                  <c:v>0</c:v>
                </c:pt>
                <c:pt idx="14">
                  <c:v>0</c:v>
                </c:pt>
                <c:pt idx="15">
                  <c:v>Dottiee</c:v>
                </c:pt>
                <c:pt idx="16">
                  <c:v>0</c:v>
                </c:pt>
                <c:pt idx="17">
                  <c:v>Drakodin</c:v>
                </c:pt>
                <c:pt idx="18">
                  <c:v>Drugged</c:v>
                </c:pt>
                <c:pt idx="19">
                  <c:v>Eárendíl</c:v>
                </c:pt>
                <c:pt idx="20">
                  <c:v>0</c:v>
                </c:pt>
                <c:pt idx="21">
                  <c:v>Halfthings</c:v>
                </c:pt>
                <c:pt idx="22">
                  <c:v>Harkar</c:v>
                </c:pt>
                <c:pt idx="23">
                  <c:v>Hlianna</c:v>
                </c:pt>
                <c:pt idx="24">
                  <c:v>0</c:v>
                </c:pt>
                <c:pt idx="25">
                  <c:v>Hyperïon</c:v>
                </c:pt>
                <c:pt idx="26">
                  <c:v>0</c:v>
                </c:pt>
                <c:pt idx="27">
                  <c:v>Izzabelle</c:v>
                </c:pt>
                <c:pt idx="28">
                  <c:v>Jimentoez</c:v>
                </c:pt>
                <c:pt idx="29">
                  <c:v>Judge</c:v>
                </c:pt>
                <c:pt idx="30">
                  <c:v>0</c:v>
                </c:pt>
                <c:pt idx="31">
                  <c:v>Kanoni</c:v>
                </c:pt>
                <c:pt idx="32">
                  <c:v>Kristofix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Mardazur</c:v>
                </c:pt>
                <c:pt idx="38">
                  <c:v>0</c:v>
                </c:pt>
                <c:pt idx="39">
                  <c:v>0</c:v>
                </c:pt>
                <c:pt idx="40">
                  <c:v>Morenna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Niiwa</c:v>
                </c:pt>
                <c:pt idx="45">
                  <c:v>Octavìus</c:v>
                </c:pt>
                <c:pt idx="46">
                  <c:v>Overtake</c:v>
                </c:pt>
                <c:pt idx="47">
                  <c:v>0</c:v>
                </c:pt>
                <c:pt idx="48">
                  <c:v>Páula</c:v>
                </c:pt>
                <c:pt idx="49">
                  <c:v>Predictable</c:v>
                </c:pt>
                <c:pt idx="50">
                  <c:v>0</c:v>
                </c:pt>
                <c:pt idx="51">
                  <c:v>0</c:v>
                </c:pt>
                <c:pt idx="52">
                  <c:v>Saltycream</c:v>
                </c:pt>
                <c:pt idx="53">
                  <c:v>Sarjezzar</c:v>
                </c:pt>
                <c:pt idx="54">
                  <c:v>0</c:v>
                </c:pt>
                <c:pt idx="55">
                  <c:v>Shinkai</c:v>
                </c:pt>
                <c:pt idx="56">
                  <c:v>0</c:v>
                </c:pt>
                <c:pt idx="57">
                  <c:v>Snowies</c:v>
                </c:pt>
                <c:pt idx="58">
                  <c:v>Spruch</c:v>
                </c:pt>
                <c:pt idx="59">
                  <c:v>Svicane</c:v>
                </c:pt>
                <c:pt idx="60">
                  <c:v>Téasey</c:v>
                </c:pt>
                <c:pt idx="61">
                  <c:v>0</c:v>
                </c:pt>
                <c:pt idx="62">
                  <c:v>Tonitrum</c:v>
                </c:pt>
                <c:pt idx="63">
                  <c:v>0</c:v>
                </c:pt>
                <c:pt idx="64">
                  <c:v>Twicemore</c:v>
                </c:pt>
                <c:pt idx="65">
                  <c:v>0</c:v>
                </c:pt>
                <c:pt idx="66">
                  <c:v>Xanadaria</c:v>
                </c:pt>
                <c:pt idx="67">
                  <c:v>0</c:v>
                </c:pt>
                <c:pt idx="68">
                  <c:v>Xytree</c:v>
                </c:pt>
                <c:pt idx="69">
                  <c:v>0</c:v>
                </c:pt>
                <c:pt idx="70">
                  <c:v>0</c:v>
                </c:pt>
                <c:pt idx="71">
                  <c:v>Zantias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</c:strCache>
            </c:strRef>
          </c:cat>
          <c:val>
            <c:numRef>
              <c:f>VDCC!$E$2:$E$100</c:f>
              <c:numCache>
                <c:formatCode>General</c:formatCode>
                <c:ptCount val="9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</c:numCache>
            </c:numRef>
          </c:val>
        </c:ser>
        <c:overlap val="100"/>
        <c:axId val="66659840"/>
        <c:axId val="66661376"/>
      </c:barChart>
      <c:catAx>
        <c:axId val="66659840"/>
        <c:scaling>
          <c:orientation val="minMax"/>
        </c:scaling>
        <c:axPos val="b"/>
        <c:numFmt formatCode="General" sourceLinked="1"/>
        <c:tickLblPos val="nextTo"/>
        <c:spPr>
          <a:ln cmpd="sng"/>
        </c:spPr>
        <c:txPr>
          <a:bodyPr/>
          <a:lstStyle/>
          <a:p>
            <a:pPr>
              <a:defRPr lang="nl-NL"/>
            </a:pPr>
            <a:endParaRPr lang="en-US"/>
          </a:p>
        </c:txPr>
        <c:crossAx val="66661376"/>
        <c:crosses val="autoZero"/>
        <c:auto val="1"/>
        <c:lblAlgn val="ctr"/>
        <c:lblOffset val="100"/>
        <c:tickLblSkip val="1"/>
      </c:catAx>
      <c:valAx>
        <c:axId val="66661376"/>
        <c:scaling>
          <c:orientation val="minMax"/>
        </c:scaling>
        <c:axPos val="l"/>
        <c:majorGridlines/>
        <c:numFmt formatCode="General" sourceLinked="1"/>
        <c:tickLblPos val="nextTo"/>
        <c:txPr>
          <a:bodyPr/>
          <a:lstStyle/>
          <a:p>
            <a:pPr>
              <a:defRPr lang="nl-NL"/>
            </a:pPr>
            <a:endParaRPr lang="en-US"/>
          </a:p>
        </c:txPr>
        <c:crossAx val="66659840"/>
        <c:crosses val="autoZero"/>
        <c:crossBetween val="between"/>
        <c:majorUnit val="1"/>
        <c:minorUnit val="1"/>
      </c:valAx>
    </c:plotArea>
    <c:legend>
      <c:legendPos val="r"/>
      <c:layout>
        <c:manualLayout>
          <c:xMode val="edge"/>
          <c:yMode val="edge"/>
          <c:x val="0"/>
          <c:y val="0.93448437992869937"/>
          <c:w val="0.99262194757302546"/>
          <c:h val="6.394319757649336E-2"/>
        </c:manualLayout>
      </c:layout>
      <c:txPr>
        <a:bodyPr/>
        <a:lstStyle/>
        <a:p>
          <a:pPr>
            <a:defRPr lang="nl-NL"/>
          </a:pPr>
          <a:endParaRPr lang="en-US"/>
        </a:p>
      </c:txPr>
    </c:legend>
    <c:plotVisOnly val="1"/>
    <c:dispBlanksAs val="gap"/>
  </c:chart>
  <c:printSettings>
    <c:headerFooter/>
    <c:pageMargins b="0.7500000000000131" l="0.70000000000000062" r="0.70000000000000062" t="0.7500000000000131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GB"/>
  <c:style val="26"/>
  <c:chart>
    <c:plotArea>
      <c:layout>
        <c:manualLayout>
          <c:layoutTarget val="inner"/>
          <c:xMode val="edge"/>
          <c:yMode val="edge"/>
          <c:x val="2.56645257344667E-2"/>
          <c:y val="1.9954627807359345E-2"/>
          <c:w val="0.97428441071943162"/>
          <c:h val="0.72335600907029451"/>
        </c:manualLayout>
      </c:layout>
      <c:barChart>
        <c:barDir val="col"/>
        <c:grouping val="stacked"/>
        <c:ser>
          <c:idx val="0"/>
          <c:order val="0"/>
          <c:tx>
            <c:strRef>
              <c:f>EDCC!$C$1</c:f>
              <c:strCache>
                <c:ptCount val="1"/>
                <c:pt idx="0">
                  <c:v>Confirmed</c:v>
                </c:pt>
              </c:strCache>
            </c:strRef>
          </c:tx>
          <c:spPr>
            <a:solidFill>
              <a:srgbClr val="92D050"/>
            </a:solidFill>
          </c:spPr>
          <c:cat>
            <c:strRef>
              <c:f>EDCC!$A$2:$A$100</c:f>
              <c:strCache>
                <c:ptCount val="36"/>
                <c:pt idx="0">
                  <c:v>Akilta</c:v>
                </c:pt>
                <c:pt idx="1">
                  <c:v>0</c:v>
                </c:pt>
                <c:pt idx="2">
                  <c:v>Angelhoof</c:v>
                </c:pt>
                <c:pt idx="3">
                  <c:v>Asch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Emril</c:v>
                </c:pt>
                <c:pt idx="11">
                  <c:v>0</c:v>
                </c:pt>
                <c:pt idx="12">
                  <c:v>Hormones</c:v>
                </c:pt>
                <c:pt idx="13">
                  <c:v>0</c:v>
                </c:pt>
                <c:pt idx="14">
                  <c:v>Hyunâ</c:v>
                </c:pt>
                <c:pt idx="15">
                  <c:v>0</c:v>
                </c:pt>
                <c:pt idx="16">
                  <c:v>Kádiz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Mezzolina</c:v>
                </c:pt>
                <c:pt idx="23">
                  <c:v>0</c:v>
                </c:pt>
                <c:pt idx="24">
                  <c:v>0</c:v>
                </c:pt>
                <c:pt idx="25">
                  <c:v>Naliyas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Rhinoru</c:v>
                </c:pt>
                <c:pt idx="30">
                  <c:v>0</c:v>
                </c:pt>
                <c:pt idx="31">
                  <c:v>Sidac</c:v>
                </c:pt>
                <c:pt idx="32">
                  <c:v>Tomrexx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</c:strCache>
            </c:strRef>
          </c:cat>
          <c:val>
            <c:numRef>
              <c:f>EDCC!$C$2:$C$100</c:f>
              <c:numCache>
                <c:formatCode>General</c:formatCode>
                <c:ptCount val="3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</c:numCache>
            </c:numRef>
          </c:val>
        </c:ser>
        <c:ser>
          <c:idx val="1"/>
          <c:order val="1"/>
          <c:tx>
            <c:strRef>
              <c:f>EDCC!$D$1</c:f>
              <c:strCache>
                <c:ptCount val="1"/>
                <c:pt idx="0">
                  <c:v>Standby</c:v>
                </c:pt>
              </c:strCache>
            </c:strRef>
          </c:tx>
          <c:spPr>
            <a:solidFill>
              <a:srgbClr val="00B0F0"/>
            </a:solidFill>
          </c:spPr>
          <c:cat>
            <c:strRef>
              <c:f>EDCC!$A$2:$A$100</c:f>
              <c:strCache>
                <c:ptCount val="36"/>
                <c:pt idx="0">
                  <c:v>Akilta</c:v>
                </c:pt>
                <c:pt idx="1">
                  <c:v>0</c:v>
                </c:pt>
                <c:pt idx="2">
                  <c:v>Angelhoof</c:v>
                </c:pt>
                <c:pt idx="3">
                  <c:v>Asch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Emril</c:v>
                </c:pt>
                <c:pt idx="11">
                  <c:v>0</c:v>
                </c:pt>
                <c:pt idx="12">
                  <c:v>Hormones</c:v>
                </c:pt>
                <c:pt idx="13">
                  <c:v>0</c:v>
                </c:pt>
                <c:pt idx="14">
                  <c:v>Hyunâ</c:v>
                </c:pt>
                <c:pt idx="15">
                  <c:v>0</c:v>
                </c:pt>
                <c:pt idx="16">
                  <c:v>Kádiz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Mezzolina</c:v>
                </c:pt>
                <c:pt idx="23">
                  <c:v>0</c:v>
                </c:pt>
                <c:pt idx="24">
                  <c:v>0</c:v>
                </c:pt>
                <c:pt idx="25">
                  <c:v>Naliyas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Rhinoru</c:v>
                </c:pt>
                <c:pt idx="30">
                  <c:v>0</c:v>
                </c:pt>
                <c:pt idx="31">
                  <c:v>Sidac</c:v>
                </c:pt>
                <c:pt idx="32">
                  <c:v>Tomrexx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</c:strCache>
            </c:strRef>
          </c:cat>
          <c:val>
            <c:numRef>
              <c:f>EDCC!$D$2:$D$100</c:f>
              <c:numCache>
                <c:formatCode>General</c:formatCode>
                <c:ptCount val="3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</c:numCache>
            </c:numRef>
          </c:val>
        </c:ser>
        <c:ser>
          <c:idx val="2"/>
          <c:order val="2"/>
          <c:tx>
            <c:strRef>
              <c:f>EDCC!$E$1</c:f>
              <c:strCache>
                <c:ptCount val="1"/>
                <c:pt idx="0">
                  <c:v>Out</c:v>
                </c:pt>
              </c:strCache>
            </c:strRef>
          </c:tx>
          <c:spPr>
            <a:solidFill>
              <a:srgbClr val="FF0000"/>
            </a:solidFill>
          </c:spPr>
          <c:cat>
            <c:strRef>
              <c:f>EDCC!$A$2:$A$100</c:f>
              <c:strCache>
                <c:ptCount val="36"/>
                <c:pt idx="0">
                  <c:v>Akilta</c:v>
                </c:pt>
                <c:pt idx="1">
                  <c:v>0</c:v>
                </c:pt>
                <c:pt idx="2">
                  <c:v>Angelhoof</c:v>
                </c:pt>
                <c:pt idx="3">
                  <c:v>Asch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Emril</c:v>
                </c:pt>
                <c:pt idx="11">
                  <c:v>0</c:v>
                </c:pt>
                <c:pt idx="12">
                  <c:v>Hormones</c:v>
                </c:pt>
                <c:pt idx="13">
                  <c:v>0</c:v>
                </c:pt>
                <c:pt idx="14">
                  <c:v>Hyunâ</c:v>
                </c:pt>
                <c:pt idx="15">
                  <c:v>0</c:v>
                </c:pt>
                <c:pt idx="16">
                  <c:v>Kádiz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Mezzolina</c:v>
                </c:pt>
                <c:pt idx="23">
                  <c:v>0</c:v>
                </c:pt>
                <c:pt idx="24">
                  <c:v>0</c:v>
                </c:pt>
                <c:pt idx="25">
                  <c:v>Naliyas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Rhinoru</c:v>
                </c:pt>
                <c:pt idx="30">
                  <c:v>0</c:v>
                </c:pt>
                <c:pt idx="31">
                  <c:v>Sidac</c:v>
                </c:pt>
                <c:pt idx="32">
                  <c:v>Tomrexx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</c:strCache>
            </c:strRef>
          </c:cat>
          <c:val>
            <c:numRef>
              <c:f>EDCC!$E$2:$E$100</c:f>
              <c:numCache>
                <c:formatCode>General</c:formatCode>
                <c:ptCount val="3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</c:numCache>
            </c:numRef>
          </c:val>
        </c:ser>
        <c:overlap val="100"/>
        <c:axId val="66641920"/>
        <c:axId val="66643456"/>
      </c:barChart>
      <c:catAx>
        <c:axId val="66641920"/>
        <c:scaling>
          <c:orientation val="minMax"/>
        </c:scaling>
        <c:axPos val="b"/>
        <c:numFmt formatCode="General" sourceLinked="1"/>
        <c:tickLblPos val="nextTo"/>
        <c:spPr>
          <a:ln cmpd="sng"/>
        </c:spPr>
        <c:txPr>
          <a:bodyPr/>
          <a:lstStyle/>
          <a:p>
            <a:pPr>
              <a:defRPr lang="nl-NL"/>
            </a:pPr>
            <a:endParaRPr lang="en-US"/>
          </a:p>
        </c:txPr>
        <c:crossAx val="66643456"/>
        <c:crosses val="autoZero"/>
        <c:auto val="1"/>
        <c:lblAlgn val="ctr"/>
        <c:lblOffset val="100"/>
        <c:tickLblSkip val="1"/>
      </c:catAx>
      <c:valAx>
        <c:axId val="66643456"/>
        <c:scaling>
          <c:orientation val="minMax"/>
        </c:scaling>
        <c:axPos val="l"/>
        <c:majorGridlines/>
        <c:numFmt formatCode="General" sourceLinked="1"/>
        <c:tickLblPos val="nextTo"/>
        <c:txPr>
          <a:bodyPr/>
          <a:lstStyle/>
          <a:p>
            <a:pPr>
              <a:defRPr lang="nl-NL"/>
            </a:pPr>
            <a:endParaRPr lang="en-US"/>
          </a:p>
        </c:txPr>
        <c:crossAx val="66641920"/>
        <c:crosses val="autoZero"/>
        <c:crossBetween val="between"/>
        <c:majorUnit val="1"/>
        <c:minorUnit val="1"/>
      </c:valAx>
    </c:plotArea>
    <c:legend>
      <c:legendPos val="r"/>
      <c:layout>
        <c:manualLayout>
          <c:xMode val="edge"/>
          <c:yMode val="edge"/>
          <c:x val="0"/>
          <c:y val="0.93448437992869937"/>
          <c:w val="0.9926219475730258"/>
          <c:h val="6.394319757649336E-2"/>
        </c:manualLayout>
      </c:layout>
      <c:txPr>
        <a:bodyPr/>
        <a:lstStyle/>
        <a:p>
          <a:pPr>
            <a:defRPr lang="nl-NL"/>
          </a:pPr>
          <a:endParaRPr lang="en-US"/>
        </a:p>
      </c:txPr>
    </c:legend>
    <c:plotVisOnly val="1"/>
    <c:dispBlanksAs val="gap"/>
  </c:chart>
  <c:printSettings>
    <c:headerFooter/>
    <c:pageMargins b="0.75000000000001332" l="0.70000000000000062" r="0.70000000000000062" t="0.75000000000001332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GB"/>
  <c:style val="26"/>
  <c:chart>
    <c:plotArea>
      <c:layout>
        <c:manualLayout>
          <c:layoutTarget val="inner"/>
          <c:xMode val="edge"/>
          <c:yMode val="edge"/>
          <c:x val="1.8880647336480243E-2"/>
          <c:y val="6.5759637188209014E-2"/>
          <c:w val="0.97428441071943162"/>
          <c:h val="0.72335600907029451"/>
        </c:manualLayout>
      </c:layout>
      <c:barChart>
        <c:barDir val="col"/>
        <c:grouping val="stacked"/>
        <c:ser>
          <c:idx val="0"/>
          <c:order val="0"/>
          <c:tx>
            <c:strRef>
              <c:f>TDCC!$C$1</c:f>
              <c:strCache>
                <c:ptCount val="1"/>
                <c:pt idx="0">
                  <c:v>Confirmed</c:v>
                </c:pt>
              </c:strCache>
            </c:strRef>
          </c:tx>
          <c:spPr>
            <a:solidFill>
              <a:srgbClr val="92D050"/>
            </a:solidFill>
          </c:spPr>
          <c:cat>
            <c:strRef>
              <c:f>TDCC!$A$2:$A$68</c:f>
              <c:strCache>
                <c:ptCount val="33"/>
                <c:pt idx="0">
                  <c:v>Ablon</c:v>
                </c:pt>
                <c:pt idx="1">
                  <c:v>0</c:v>
                </c:pt>
                <c:pt idx="2">
                  <c:v>0</c:v>
                </c:pt>
                <c:pt idx="3">
                  <c:v>Amaras</c:v>
                </c:pt>
                <c:pt idx="4">
                  <c:v>0</c:v>
                </c:pt>
                <c:pt idx="5">
                  <c:v>Avane</c:v>
                </c:pt>
                <c:pt idx="6">
                  <c:v>Beargrels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Dracoar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Nazgol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</c:strCache>
            </c:strRef>
          </c:cat>
          <c:val>
            <c:numRef>
              <c:f>TDCC!$C$2:$C$68</c:f>
              <c:numCache>
                <c:formatCode>General</c:formatCode>
                <c:ptCount val="3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</c:numCache>
            </c:numRef>
          </c:val>
        </c:ser>
        <c:ser>
          <c:idx val="1"/>
          <c:order val="1"/>
          <c:tx>
            <c:strRef>
              <c:f>TDCC!$D$1</c:f>
              <c:strCache>
                <c:ptCount val="1"/>
                <c:pt idx="0">
                  <c:v>Standby</c:v>
                </c:pt>
              </c:strCache>
            </c:strRef>
          </c:tx>
          <c:spPr>
            <a:solidFill>
              <a:srgbClr val="00B0F0"/>
            </a:solidFill>
          </c:spPr>
          <c:cat>
            <c:strRef>
              <c:f>TDCC!$A$2:$A$68</c:f>
              <c:strCache>
                <c:ptCount val="33"/>
                <c:pt idx="0">
                  <c:v>Ablon</c:v>
                </c:pt>
                <c:pt idx="1">
                  <c:v>0</c:v>
                </c:pt>
                <c:pt idx="2">
                  <c:v>0</c:v>
                </c:pt>
                <c:pt idx="3">
                  <c:v>Amaras</c:v>
                </c:pt>
                <c:pt idx="4">
                  <c:v>0</c:v>
                </c:pt>
                <c:pt idx="5">
                  <c:v>Avane</c:v>
                </c:pt>
                <c:pt idx="6">
                  <c:v>Beargrels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Dracoar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Nazgol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</c:strCache>
            </c:strRef>
          </c:cat>
          <c:val>
            <c:numRef>
              <c:f>TDCC!$D$2:$D$68</c:f>
              <c:numCache>
                <c:formatCode>General</c:formatCode>
                <c:ptCount val="3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</c:numCache>
            </c:numRef>
          </c:val>
        </c:ser>
        <c:ser>
          <c:idx val="2"/>
          <c:order val="2"/>
          <c:tx>
            <c:strRef>
              <c:f>TDCC!$E$1</c:f>
              <c:strCache>
                <c:ptCount val="1"/>
                <c:pt idx="0">
                  <c:v>Out</c:v>
                </c:pt>
              </c:strCache>
            </c:strRef>
          </c:tx>
          <c:spPr>
            <a:solidFill>
              <a:srgbClr val="FF0000"/>
            </a:solidFill>
          </c:spPr>
          <c:cat>
            <c:strRef>
              <c:f>TDCC!$A$2:$A$68</c:f>
              <c:strCache>
                <c:ptCount val="33"/>
                <c:pt idx="0">
                  <c:v>Ablon</c:v>
                </c:pt>
                <c:pt idx="1">
                  <c:v>0</c:v>
                </c:pt>
                <c:pt idx="2">
                  <c:v>0</c:v>
                </c:pt>
                <c:pt idx="3">
                  <c:v>Amaras</c:v>
                </c:pt>
                <c:pt idx="4">
                  <c:v>0</c:v>
                </c:pt>
                <c:pt idx="5">
                  <c:v>Avane</c:v>
                </c:pt>
                <c:pt idx="6">
                  <c:v>Beargrels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Dracoar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Nazgol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</c:strCache>
            </c:strRef>
          </c:cat>
          <c:val>
            <c:numRef>
              <c:f>TDCC!$E$2:$E$68</c:f>
              <c:numCache>
                <c:formatCode>General</c:formatCode>
                <c:ptCount val="3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</c:numCache>
            </c:numRef>
          </c:val>
        </c:ser>
        <c:overlap val="100"/>
        <c:axId val="68094208"/>
        <c:axId val="68108288"/>
      </c:barChart>
      <c:catAx>
        <c:axId val="68094208"/>
        <c:scaling>
          <c:orientation val="minMax"/>
        </c:scaling>
        <c:axPos val="b"/>
        <c:numFmt formatCode="General" sourceLinked="1"/>
        <c:tickLblPos val="nextTo"/>
        <c:spPr>
          <a:ln cmpd="sng"/>
        </c:spPr>
        <c:txPr>
          <a:bodyPr/>
          <a:lstStyle/>
          <a:p>
            <a:pPr>
              <a:defRPr lang="nl-NL"/>
            </a:pPr>
            <a:endParaRPr lang="en-US"/>
          </a:p>
        </c:txPr>
        <c:crossAx val="68108288"/>
        <c:crosses val="autoZero"/>
        <c:auto val="1"/>
        <c:lblAlgn val="ctr"/>
        <c:lblOffset val="100"/>
        <c:tickLblSkip val="1"/>
      </c:catAx>
      <c:valAx>
        <c:axId val="68108288"/>
        <c:scaling>
          <c:orientation val="minMax"/>
        </c:scaling>
        <c:axPos val="l"/>
        <c:majorGridlines/>
        <c:numFmt formatCode="General" sourceLinked="1"/>
        <c:tickLblPos val="nextTo"/>
        <c:txPr>
          <a:bodyPr/>
          <a:lstStyle/>
          <a:p>
            <a:pPr>
              <a:defRPr lang="nl-NL"/>
            </a:pPr>
            <a:endParaRPr lang="en-US"/>
          </a:p>
        </c:txPr>
        <c:crossAx val="68094208"/>
        <c:crosses val="autoZero"/>
        <c:crossBetween val="between"/>
        <c:majorUnit val="1"/>
        <c:minorUnit val="1"/>
      </c:valAx>
    </c:plotArea>
    <c:legend>
      <c:legendPos val="r"/>
      <c:layout>
        <c:manualLayout>
          <c:xMode val="edge"/>
          <c:yMode val="edge"/>
          <c:x val="0.35727888094455007"/>
          <c:y val="0.9070014542180993"/>
          <c:w val="0.32528262036251637"/>
          <c:h val="9.2998545781901948E-2"/>
        </c:manualLayout>
      </c:layout>
      <c:spPr>
        <a:noFill/>
      </c:spPr>
      <c:txPr>
        <a:bodyPr/>
        <a:lstStyle/>
        <a:p>
          <a:pPr>
            <a:defRPr lang="nl-NL"/>
          </a:pPr>
          <a:endParaRPr lang="en-US"/>
        </a:p>
      </c:txPr>
    </c:legend>
    <c:plotVisOnly val="1"/>
    <c:dispBlanksAs val="gap"/>
  </c:chart>
  <c:printSettings>
    <c:headerFooter/>
    <c:pageMargins b="0.75000000000001332" l="0.70000000000000062" r="0.70000000000000062" t="0.75000000000001332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GB"/>
  <c:chart>
    <c:plotArea>
      <c:layout>
        <c:manualLayout>
          <c:layoutTarget val="inner"/>
          <c:xMode val="edge"/>
          <c:yMode val="edge"/>
          <c:x val="2.2702702702702752E-2"/>
          <c:y val="2.2670025188917815E-2"/>
          <c:w val="0.91135135135135137"/>
          <c:h val="0.7002518891687658"/>
        </c:manualLayout>
      </c:layout>
      <c:barChart>
        <c:barDir val="col"/>
        <c:grouping val="stacked"/>
        <c:ser>
          <c:idx val="0"/>
          <c:order val="0"/>
          <c:tx>
            <c:v>Confirmed</c:v>
          </c:tx>
          <c:cat>
            <c:strRef>
              <c:f>Pat!$A$28:$A$86</c:f>
              <c:strCache>
                <c:ptCount val="59"/>
                <c:pt idx="0">
                  <c:v>Ablon</c:v>
                </c:pt>
                <c:pt idx="1">
                  <c:v>0</c:v>
                </c:pt>
                <c:pt idx="2">
                  <c:v>Akilta</c:v>
                </c:pt>
                <c:pt idx="3">
                  <c:v>Altrezza</c:v>
                </c:pt>
                <c:pt idx="4">
                  <c:v>Amaras</c:v>
                </c:pt>
                <c:pt idx="5">
                  <c:v>Angelhoof</c:v>
                </c:pt>
                <c:pt idx="6">
                  <c:v>Ánja</c:v>
                </c:pt>
                <c:pt idx="7">
                  <c:v>Asch</c:v>
                </c:pt>
                <c:pt idx="8">
                  <c:v>Avane</c:v>
                </c:pt>
                <c:pt idx="9">
                  <c:v>Beargrels</c:v>
                </c:pt>
                <c:pt idx="10">
                  <c:v>Blackcheeta</c:v>
                </c:pt>
                <c:pt idx="11">
                  <c:v>0</c:v>
                </c:pt>
                <c:pt idx="12">
                  <c:v>Brownale</c:v>
                </c:pt>
                <c:pt idx="13">
                  <c:v>0</c:v>
                </c:pt>
                <c:pt idx="14">
                  <c:v>Masher</c:v>
                </c:pt>
                <c:pt idx="15">
                  <c:v>Dottiee</c:v>
                </c:pt>
                <c:pt idx="16">
                  <c:v>Dracoar</c:v>
                </c:pt>
                <c:pt idx="17">
                  <c:v>Drakodin</c:v>
                </c:pt>
                <c:pt idx="18">
                  <c:v>Drugged</c:v>
                </c:pt>
                <c:pt idx="19">
                  <c:v>Eárendíl</c:v>
                </c:pt>
                <c:pt idx="20">
                  <c:v>Emril</c:v>
                </c:pt>
                <c:pt idx="21">
                  <c:v>Halfthings</c:v>
                </c:pt>
                <c:pt idx="22">
                  <c:v>Harkar</c:v>
                </c:pt>
                <c:pt idx="23">
                  <c:v>Hlianna</c:v>
                </c:pt>
                <c:pt idx="24">
                  <c:v>Hormones</c:v>
                </c:pt>
                <c:pt idx="25">
                  <c:v>Hyperïon</c:v>
                </c:pt>
                <c:pt idx="26">
                  <c:v>Hyunâ</c:v>
                </c:pt>
                <c:pt idx="27">
                  <c:v>Izzabelle</c:v>
                </c:pt>
                <c:pt idx="28">
                  <c:v>Jimentoez</c:v>
                </c:pt>
                <c:pt idx="29">
                  <c:v>Judge</c:v>
                </c:pt>
                <c:pt idx="30">
                  <c:v>Kádiz</c:v>
                </c:pt>
                <c:pt idx="31">
                  <c:v>Kanoni</c:v>
                </c:pt>
                <c:pt idx="32">
                  <c:v>Kristofix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Mardazur</c:v>
                </c:pt>
                <c:pt idx="38">
                  <c:v>Mezzolina</c:v>
                </c:pt>
                <c:pt idx="39">
                  <c:v>0</c:v>
                </c:pt>
                <c:pt idx="40">
                  <c:v>Morenna</c:v>
                </c:pt>
                <c:pt idx="41">
                  <c:v>Naliyas</c:v>
                </c:pt>
                <c:pt idx="42">
                  <c:v>0</c:v>
                </c:pt>
                <c:pt idx="43">
                  <c:v>Nazgol</c:v>
                </c:pt>
                <c:pt idx="44">
                  <c:v>Niiwa</c:v>
                </c:pt>
                <c:pt idx="45">
                  <c:v>Octavìus</c:v>
                </c:pt>
                <c:pt idx="46">
                  <c:v>Overtake</c:v>
                </c:pt>
                <c:pt idx="47">
                  <c:v>Paolin</c:v>
                </c:pt>
                <c:pt idx="48">
                  <c:v>Páula</c:v>
                </c:pt>
                <c:pt idx="49">
                  <c:v>Predictable</c:v>
                </c:pt>
                <c:pt idx="50">
                  <c:v>Rhinoru</c:v>
                </c:pt>
                <c:pt idx="51">
                  <c:v>0</c:v>
                </c:pt>
                <c:pt idx="52">
                  <c:v>Saltycream</c:v>
                </c:pt>
                <c:pt idx="53">
                  <c:v>Sarjezzar</c:v>
                </c:pt>
                <c:pt idx="54">
                  <c:v>0</c:v>
                </c:pt>
                <c:pt idx="55">
                  <c:v>Shinkai</c:v>
                </c:pt>
                <c:pt idx="56">
                  <c:v>Sidac</c:v>
                </c:pt>
                <c:pt idx="57">
                  <c:v>Snowies</c:v>
                </c:pt>
                <c:pt idx="58">
                  <c:v>Spruch</c:v>
                </c:pt>
              </c:strCache>
            </c:strRef>
          </c:cat>
          <c:val>
            <c:numRef>
              <c:f>Pat!$M$28:$M$86</c:f>
              <c:numCache>
                <c:formatCode>General</c:formatCode>
                <c:ptCount val="5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</c:numCache>
            </c:numRef>
          </c:val>
        </c:ser>
        <c:ser>
          <c:idx val="1"/>
          <c:order val="1"/>
          <c:tx>
            <c:v>Standby</c:v>
          </c:tx>
          <c:cat>
            <c:strRef>
              <c:f>Pat!$A$28:$A$86</c:f>
              <c:strCache>
                <c:ptCount val="59"/>
                <c:pt idx="0">
                  <c:v>Ablon</c:v>
                </c:pt>
                <c:pt idx="1">
                  <c:v>0</c:v>
                </c:pt>
                <c:pt idx="2">
                  <c:v>Akilta</c:v>
                </c:pt>
                <c:pt idx="3">
                  <c:v>Altrezza</c:v>
                </c:pt>
                <c:pt idx="4">
                  <c:v>Amaras</c:v>
                </c:pt>
                <c:pt idx="5">
                  <c:v>Angelhoof</c:v>
                </c:pt>
                <c:pt idx="6">
                  <c:v>Ánja</c:v>
                </c:pt>
                <c:pt idx="7">
                  <c:v>Asch</c:v>
                </c:pt>
                <c:pt idx="8">
                  <c:v>Avane</c:v>
                </c:pt>
                <c:pt idx="9">
                  <c:v>Beargrels</c:v>
                </c:pt>
                <c:pt idx="10">
                  <c:v>Blackcheeta</c:v>
                </c:pt>
                <c:pt idx="11">
                  <c:v>0</c:v>
                </c:pt>
                <c:pt idx="12">
                  <c:v>Brownale</c:v>
                </c:pt>
                <c:pt idx="13">
                  <c:v>0</c:v>
                </c:pt>
                <c:pt idx="14">
                  <c:v>Masher</c:v>
                </c:pt>
                <c:pt idx="15">
                  <c:v>Dottiee</c:v>
                </c:pt>
                <c:pt idx="16">
                  <c:v>Dracoar</c:v>
                </c:pt>
                <c:pt idx="17">
                  <c:v>Drakodin</c:v>
                </c:pt>
                <c:pt idx="18">
                  <c:v>Drugged</c:v>
                </c:pt>
                <c:pt idx="19">
                  <c:v>Eárendíl</c:v>
                </c:pt>
                <c:pt idx="20">
                  <c:v>Emril</c:v>
                </c:pt>
                <c:pt idx="21">
                  <c:v>Halfthings</c:v>
                </c:pt>
                <c:pt idx="22">
                  <c:v>Harkar</c:v>
                </c:pt>
                <c:pt idx="23">
                  <c:v>Hlianna</c:v>
                </c:pt>
                <c:pt idx="24">
                  <c:v>Hormones</c:v>
                </c:pt>
                <c:pt idx="25">
                  <c:v>Hyperïon</c:v>
                </c:pt>
                <c:pt idx="26">
                  <c:v>Hyunâ</c:v>
                </c:pt>
                <c:pt idx="27">
                  <c:v>Izzabelle</c:v>
                </c:pt>
                <c:pt idx="28">
                  <c:v>Jimentoez</c:v>
                </c:pt>
                <c:pt idx="29">
                  <c:v>Judge</c:v>
                </c:pt>
                <c:pt idx="30">
                  <c:v>Kádiz</c:v>
                </c:pt>
                <c:pt idx="31">
                  <c:v>Kanoni</c:v>
                </c:pt>
                <c:pt idx="32">
                  <c:v>Kristofix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Mardazur</c:v>
                </c:pt>
                <c:pt idx="38">
                  <c:v>Mezzolina</c:v>
                </c:pt>
                <c:pt idx="39">
                  <c:v>0</c:v>
                </c:pt>
                <c:pt idx="40">
                  <c:v>Morenna</c:v>
                </c:pt>
                <c:pt idx="41">
                  <c:v>Naliyas</c:v>
                </c:pt>
                <c:pt idx="42">
                  <c:v>0</c:v>
                </c:pt>
                <c:pt idx="43">
                  <c:v>Nazgol</c:v>
                </c:pt>
                <c:pt idx="44">
                  <c:v>Niiwa</c:v>
                </c:pt>
                <c:pt idx="45">
                  <c:v>Octavìus</c:v>
                </c:pt>
                <c:pt idx="46">
                  <c:v>Overtake</c:v>
                </c:pt>
                <c:pt idx="47">
                  <c:v>Paolin</c:v>
                </c:pt>
                <c:pt idx="48">
                  <c:v>Páula</c:v>
                </c:pt>
                <c:pt idx="49">
                  <c:v>Predictable</c:v>
                </c:pt>
                <c:pt idx="50">
                  <c:v>Rhinoru</c:v>
                </c:pt>
                <c:pt idx="51">
                  <c:v>0</c:v>
                </c:pt>
                <c:pt idx="52">
                  <c:v>Saltycream</c:v>
                </c:pt>
                <c:pt idx="53">
                  <c:v>Sarjezzar</c:v>
                </c:pt>
                <c:pt idx="54">
                  <c:v>0</c:v>
                </c:pt>
                <c:pt idx="55">
                  <c:v>Shinkai</c:v>
                </c:pt>
                <c:pt idx="56">
                  <c:v>Sidac</c:v>
                </c:pt>
                <c:pt idx="57">
                  <c:v>Snowies</c:v>
                </c:pt>
                <c:pt idx="58">
                  <c:v>Spruch</c:v>
                </c:pt>
              </c:strCache>
            </c:strRef>
          </c:cat>
          <c:val>
            <c:numRef>
              <c:f>Pat!$N$28:$N$86</c:f>
              <c:numCache>
                <c:formatCode>General</c:formatCode>
                <c:ptCount val="5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</c:numCache>
            </c:numRef>
          </c:val>
        </c:ser>
        <c:overlap val="100"/>
        <c:axId val="75261824"/>
        <c:axId val="75263360"/>
      </c:barChart>
      <c:catAx>
        <c:axId val="75261824"/>
        <c:scaling>
          <c:orientation val="minMax"/>
        </c:scaling>
        <c:axPos val="b"/>
        <c:numFmt formatCode="General" sourceLinked="1"/>
        <c:tickLblPos val="nextTo"/>
        <c:spPr>
          <a:ln w="9525" cmpd="dbl"/>
        </c:spPr>
        <c:txPr>
          <a:bodyPr/>
          <a:lstStyle/>
          <a:p>
            <a:pPr>
              <a:defRPr lang="nl-NL" sz="1200" normalizeH="0" baseline="0"/>
            </a:pPr>
            <a:endParaRPr lang="en-US"/>
          </a:p>
        </c:txPr>
        <c:crossAx val="75263360"/>
        <c:crosses val="autoZero"/>
        <c:auto val="1"/>
        <c:lblAlgn val="ctr"/>
        <c:lblOffset val="100"/>
        <c:tickLblSkip val="1"/>
      </c:catAx>
      <c:valAx>
        <c:axId val="75263360"/>
        <c:scaling>
          <c:orientation val="minMax"/>
        </c:scaling>
        <c:axPos val="l"/>
        <c:majorGridlines/>
        <c:numFmt formatCode="General" sourceLinked="1"/>
        <c:tickLblPos val="nextTo"/>
        <c:txPr>
          <a:bodyPr/>
          <a:lstStyle/>
          <a:p>
            <a:pPr>
              <a:defRPr lang="nl-NL"/>
            </a:pPr>
            <a:endParaRPr lang="en-US"/>
          </a:p>
        </c:txPr>
        <c:crossAx val="75261824"/>
        <c:crosses val="autoZero"/>
        <c:crossBetween val="between"/>
        <c:majorUnit val="1"/>
        <c:minorUnit val="1"/>
      </c:valAx>
    </c:plotArea>
    <c:legend>
      <c:legendPos val="r"/>
      <c:layout>
        <c:manualLayout>
          <c:xMode val="edge"/>
          <c:yMode val="edge"/>
          <c:x val="0.94089953890900391"/>
          <c:y val="0.1763099889591887"/>
          <c:w val="5.5400610058877933E-2"/>
          <c:h val="0.43065934138586476"/>
        </c:manualLayout>
      </c:layout>
      <c:txPr>
        <a:bodyPr/>
        <a:lstStyle/>
        <a:p>
          <a:pPr>
            <a:defRPr lang="nl-NL"/>
          </a:pPr>
          <a:endParaRPr lang="en-US"/>
        </a:p>
      </c:txPr>
    </c:legend>
    <c:plotVisOnly val="1"/>
    <c:dispBlanksAs val="gap"/>
  </c:chart>
  <c:printSettings>
    <c:headerFooter/>
    <c:pageMargins b="0.75000000000001343" l="0.70000000000000062" r="0.70000000000000062" t="0.75000000000001343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javascript:togglePetRows(9" TargetMode="Externa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9429</xdr:colOff>
      <xdr:row>1</xdr:row>
      <xdr:rowOff>1510</xdr:rowOff>
    </xdr:from>
    <xdr:to>
      <xdr:col>15</xdr:col>
      <xdr:colOff>9430</xdr:colOff>
      <xdr:row>13</xdr:row>
      <xdr:rowOff>9431</xdr:rowOff>
    </xdr:to>
    <xdr:graphicFrame macro="">
      <xdr:nvGraphicFramePr>
        <xdr:cNvPr id="126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9431</xdr:colOff>
      <xdr:row>13</xdr:row>
      <xdr:rowOff>18862</xdr:rowOff>
    </xdr:from>
    <xdr:to>
      <xdr:col>15</xdr:col>
      <xdr:colOff>18863</xdr:colOff>
      <xdr:row>24</xdr:row>
      <xdr:rowOff>179183</xdr:rowOff>
    </xdr:to>
    <xdr:graphicFrame macro="">
      <xdr:nvGraphicFramePr>
        <xdr:cNvPr id="3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9430</xdr:colOff>
      <xdr:row>25</xdr:row>
      <xdr:rowOff>0</xdr:rowOff>
    </xdr:from>
    <xdr:to>
      <xdr:col>15</xdr:col>
      <xdr:colOff>18862</xdr:colOff>
      <xdr:row>36</xdr:row>
      <xdr:rowOff>179183</xdr:rowOff>
    </xdr:to>
    <xdr:graphicFrame macro="">
      <xdr:nvGraphicFramePr>
        <xdr:cNvPr id="4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285750</xdr:colOff>
      <xdr:row>0</xdr:row>
      <xdr:rowOff>0</xdr:rowOff>
    </xdr:from>
    <xdr:to>
      <xdr:col>1</xdr:col>
      <xdr:colOff>428625</xdr:colOff>
      <xdr:row>0</xdr:row>
      <xdr:rowOff>142875</xdr:rowOff>
    </xdr:to>
    <xdr:pic>
      <xdr:nvPicPr>
        <xdr:cNvPr id="6174" name="Picture 7" descr="http://www.worldoflogs.com/media/images/arrows/down-small15-ccc.png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219200" y="0"/>
          <a:ext cx="1428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0</xdr:row>
      <xdr:rowOff>95250</xdr:rowOff>
    </xdr:from>
    <xdr:to>
      <xdr:col>14</xdr:col>
      <xdr:colOff>142875</xdr:colOff>
      <xdr:row>23</xdr:row>
      <xdr:rowOff>152400</xdr:rowOff>
    </xdr:to>
    <xdr:graphicFrame macro="">
      <xdr:nvGraphicFramePr>
        <xdr:cNvPr id="10467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0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18.xml.rels><?xml version="1.0" encoding="UTF-8" standalone="yes"?>
<Relationships xmlns="http://schemas.openxmlformats.org/package/2006/relationships"><Relationship Id="rId26" Type="http://schemas.openxmlformats.org/officeDocument/2006/relationships/hyperlink" Target="javascript:;" TargetMode="External"/><Relationship Id="rId117" Type="http://schemas.openxmlformats.org/officeDocument/2006/relationships/hyperlink" Target="javascript:;" TargetMode="External"/><Relationship Id="rId21" Type="http://schemas.openxmlformats.org/officeDocument/2006/relationships/hyperlink" Target="javascript:;" TargetMode="External"/><Relationship Id="rId42" Type="http://schemas.openxmlformats.org/officeDocument/2006/relationships/hyperlink" Target="javascript:;" TargetMode="External"/><Relationship Id="rId47" Type="http://schemas.openxmlformats.org/officeDocument/2006/relationships/hyperlink" Target="javascript:;" TargetMode="External"/><Relationship Id="rId63" Type="http://schemas.openxmlformats.org/officeDocument/2006/relationships/hyperlink" Target="javascript:;" TargetMode="External"/><Relationship Id="rId68" Type="http://schemas.openxmlformats.org/officeDocument/2006/relationships/hyperlink" Target="javascript:;" TargetMode="External"/><Relationship Id="rId84" Type="http://schemas.openxmlformats.org/officeDocument/2006/relationships/hyperlink" Target="javascript:;" TargetMode="External"/><Relationship Id="rId89" Type="http://schemas.openxmlformats.org/officeDocument/2006/relationships/hyperlink" Target="javascript:;" TargetMode="External"/><Relationship Id="rId112" Type="http://schemas.openxmlformats.org/officeDocument/2006/relationships/hyperlink" Target="javascript:;" TargetMode="External"/><Relationship Id="rId133" Type="http://schemas.openxmlformats.org/officeDocument/2006/relationships/hyperlink" Target="javascript:;" TargetMode="External"/><Relationship Id="rId138" Type="http://schemas.openxmlformats.org/officeDocument/2006/relationships/hyperlink" Target="javascript:;" TargetMode="External"/><Relationship Id="rId16" Type="http://schemas.openxmlformats.org/officeDocument/2006/relationships/hyperlink" Target="javascript:;" TargetMode="External"/><Relationship Id="rId107" Type="http://schemas.openxmlformats.org/officeDocument/2006/relationships/hyperlink" Target="javascript:;" TargetMode="External"/><Relationship Id="rId11" Type="http://schemas.openxmlformats.org/officeDocument/2006/relationships/hyperlink" Target="javascript:;" TargetMode="External"/><Relationship Id="rId32" Type="http://schemas.openxmlformats.org/officeDocument/2006/relationships/hyperlink" Target="javascript:;" TargetMode="External"/><Relationship Id="rId37" Type="http://schemas.openxmlformats.org/officeDocument/2006/relationships/hyperlink" Target="javascript:;" TargetMode="External"/><Relationship Id="rId53" Type="http://schemas.openxmlformats.org/officeDocument/2006/relationships/hyperlink" Target="javascript:;" TargetMode="External"/><Relationship Id="rId58" Type="http://schemas.openxmlformats.org/officeDocument/2006/relationships/hyperlink" Target="javascript:;" TargetMode="External"/><Relationship Id="rId74" Type="http://schemas.openxmlformats.org/officeDocument/2006/relationships/hyperlink" Target="javascript:;" TargetMode="External"/><Relationship Id="rId79" Type="http://schemas.openxmlformats.org/officeDocument/2006/relationships/hyperlink" Target="javascript:;" TargetMode="External"/><Relationship Id="rId102" Type="http://schemas.openxmlformats.org/officeDocument/2006/relationships/hyperlink" Target="javascript:;" TargetMode="External"/><Relationship Id="rId123" Type="http://schemas.openxmlformats.org/officeDocument/2006/relationships/hyperlink" Target="javascript:;" TargetMode="External"/><Relationship Id="rId128" Type="http://schemas.openxmlformats.org/officeDocument/2006/relationships/hyperlink" Target="javascript:;" TargetMode="External"/><Relationship Id="rId144" Type="http://schemas.openxmlformats.org/officeDocument/2006/relationships/hyperlink" Target="javascript:;" TargetMode="External"/><Relationship Id="rId149" Type="http://schemas.openxmlformats.org/officeDocument/2006/relationships/hyperlink" Target="javascript:;" TargetMode="External"/><Relationship Id="rId5" Type="http://schemas.openxmlformats.org/officeDocument/2006/relationships/hyperlink" Target="javascript:;" TargetMode="External"/><Relationship Id="rId90" Type="http://schemas.openxmlformats.org/officeDocument/2006/relationships/hyperlink" Target="javascript:;" TargetMode="External"/><Relationship Id="rId95" Type="http://schemas.openxmlformats.org/officeDocument/2006/relationships/hyperlink" Target="javascript:;" TargetMode="External"/><Relationship Id="rId22" Type="http://schemas.openxmlformats.org/officeDocument/2006/relationships/hyperlink" Target="javascript:;" TargetMode="External"/><Relationship Id="rId27" Type="http://schemas.openxmlformats.org/officeDocument/2006/relationships/hyperlink" Target="javascript:;" TargetMode="External"/><Relationship Id="rId43" Type="http://schemas.openxmlformats.org/officeDocument/2006/relationships/hyperlink" Target="javascript:;" TargetMode="External"/><Relationship Id="rId48" Type="http://schemas.openxmlformats.org/officeDocument/2006/relationships/hyperlink" Target="javascript:;" TargetMode="External"/><Relationship Id="rId64" Type="http://schemas.openxmlformats.org/officeDocument/2006/relationships/hyperlink" Target="javascript:;" TargetMode="External"/><Relationship Id="rId69" Type="http://schemas.openxmlformats.org/officeDocument/2006/relationships/hyperlink" Target="javascript:;" TargetMode="External"/><Relationship Id="rId113" Type="http://schemas.openxmlformats.org/officeDocument/2006/relationships/hyperlink" Target="javascript:;" TargetMode="External"/><Relationship Id="rId118" Type="http://schemas.openxmlformats.org/officeDocument/2006/relationships/hyperlink" Target="javascript:;" TargetMode="External"/><Relationship Id="rId134" Type="http://schemas.openxmlformats.org/officeDocument/2006/relationships/hyperlink" Target="javascript:;" TargetMode="External"/><Relationship Id="rId139" Type="http://schemas.openxmlformats.org/officeDocument/2006/relationships/hyperlink" Target="javascript:;" TargetMode="External"/><Relationship Id="rId80" Type="http://schemas.openxmlformats.org/officeDocument/2006/relationships/hyperlink" Target="javascript:;" TargetMode="External"/><Relationship Id="rId85" Type="http://schemas.openxmlformats.org/officeDocument/2006/relationships/hyperlink" Target="javascript:;" TargetMode="External"/><Relationship Id="rId150" Type="http://schemas.openxmlformats.org/officeDocument/2006/relationships/hyperlink" Target="javascript:;" TargetMode="External"/><Relationship Id="rId12" Type="http://schemas.openxmlformats.org/officeDocument/2006/relationships/hyperlink" Target="javascript:;" TargetMode="External"/><Relationship Id="rId17" Type="http://schemas.openxmlformats.org/officeDocument/2006/relationships/hyperlink" Target="javascript:;" TargetMode="External"/><Relationship Id="rId25" Type="http://schemas.openxmlformats.org/officeDocument/2006/relationships/hyperlink" Target="javascript:;" TargetMode="External"/><Relationship Id="rId33" Type="http://schemas.openxmlformats.org/officeDocument/2006/relationships/hyperlink" Target="javascript:;" TargetMode="External"/><Relationship Id="rId38" Type="http://schemas.openxmlformats.org/officeDocument/2006/relationships/hyperlink" Target="javascript:;" TargetMode="External"/><Relationship Id="rId46" Type="http://schemas.openxmlformats.org/officeDocument/2006/relationships/hyperlink" Target="javascript:;" TargetMode="External"/><Relationship Id="rId59" Type="http://schemas.openxmlformats.org/officeDocument/2006/relationships/hyperlink" Target="javascript:;" TargetMode="External"/><Relationship Id="rId67" Type="http://schemas.openxmlformats.org/officeDocument/2006/relationships/hyperlink" Target="javascript:;" TargetMode="External"/><Relationship Id="rId103" Type="http://schemas.openxmlformats.org/officeDocument/2006/relationships/hyperlink" Target="javascript:;" TargetMode="External"/><Relationship Id="rId108" Type="http://schemas.openxmlformats.org/officeDocument/2006/relationships/hyperlink" Target="javascript:;" TargetMode="External"/><Relationship Id="rId116" Type="http://schemas.openxmlformats.org/officeDocument/2006/relationships/hyperlink" Target="javascript:;" TargetMode="External"/><Relationship Id="rId124" Type="http://schemas.openxmlformats.org/officeDocument/2006/relationships/hyperlink" Target="javascript:;" TargetMode="External"/><Relationship Id="rId129" Type="http://schemas.openxmlformats.org/officeDocument/2006/relationships/hyperlink" Target="javascript:;" TargetMode="External"/><Relationship Id="rId137" Type="http://schemas.openxmlformats.org/officeDocument/2006/relationships/hyperlink" Target="javascript:;" TargetMode="External"/><Relationship Id="rId20" Type="http://schemas.openxmlformats.org/officeDocument/2006/relationships/hyperlink" Target="javascript:;" TargetMode="External"/><Relationship Id="rId41" Type="http://schemas.openxmlformats.org/officeDocument/2006/relationships/hyperlink" Target="javascript:;" TargetMode="External"/><Relationship Id="rId54" Type="http://schemas.openxmlformats.org/officeDocument/2006/relationships/hyperlink" Target="javascript:;" TargetMode="External"/><Relationship Id="rId62" Type="http://schemas.openxmlformats.org/officeDocument/2006/relationships/hyperlink" Target="javascript:;" TargetMode="External"/><Relationship Id="rId70" Type="http://schemas.openxmlformats.org/officeDocument/2006/relationships/hyperlink" Target="javascript:;" TargetMode="External"/><Relationship Id="rId75" Type="http://schemas.openxmlformats.org/officeDocument/2006/relationships/hyperlink" Target="javascript:;" TargetMode="External"/><Relationship Id="rId83" Type="http://schemas.openxmlformats.org/officeDocument/2006/relationships/hyperlink" Target="javascript:;" TargetMode="External"/><Relationship Id="rId88" Type="http://schemas.openxmlformats.org/officeDocument/2006/relationships/hyperlink" Target="javascript:;" TargetMode="External"/><Relationship Id="rId91" Type="http://schemas.openxmlformats.org/officeDocument/2006/relationships/hyperlink" Target="javascript:;" TargetMode="External"/><Relationship Id="rId96" Type="http://schemas.openxmlformats.org/officeDocument/2006/relationships/hyperlink" Target="javascript:;" TargetMode="External"/><Relationship Id="rId111" Type="http://schemas.openxmlformats.org/officeDocument/2006/relationships/hyperlink" Target="javascript:;" TargetMode="External"/><Relationship Id="rId132" Type="http://schemas.openxmlformats.org/officeDocument/2006/relationships/hyperlink" Target="javascript:;" TargetMode="External"/><Relationship Id="rId140" Type="http://schemas.openxmlformats.org/officeDocument/2006/relationships/hyperlink" Target="javascript:;" TargetMode="External"/><Relationship Id="rId145" Type="http://schemas.openxmlformats.org/officeDocument/2006/relationships/hyperlink" Target="javascript:;" TargetMode="External"/><Relationship Id="rId153" Type="http://schemas.openxmlformats.org/officeDocument/2006/relationships/printerSettings" Target="../printerSettings/printerSettings12.bin"/><Relationship Id="rId1" Type="http://schemas.openxmlformats.org/officeDocument/2006/relationships/hyperlink" Target="javascript:;" TargetMode="External"/><Relationship Id="rId6" Type="http://schemas.openxmlformats.org/officeDocument/2006/relationships/hyperlink" Target="javascript:;" TargetMode="External"/><Relationship Id="rId15" Type="http://schemas.openxmlformats.org/officeDocument/2006/relationships/hyperlink" Target="javascript:;" TargetMode="External"/><Relationship Id="rId23" Type="http://schemas.openxmlformats.org/officeDocument/2006/relationships/hyperlink" Target="javascript:;" TargetMode="External"/><Relationship Id="rId28" Type="http://schemas.openxmlformats.org/officeDocument/2006/relationships/hyperlink" Target="javascript:;" TargetMode="External"/><Relationship Id="rId36" Type="http://schemas.openxmlformats.org/officeDocument/2006/relationships/hyperlink" Target="javascript:;" TargetMode="External"/><Relationship Id="rId49" Type="http://schemas.openxmlformats.org/officeDocument/2006/relationships/hyperlink" Target="javascript:;" TargetMode="External"/><Relationship Id="rId57" Type="http://schemas.openxmlformats.org/officeDocument/2006/relationships/hyperlink" Target="javascript:;" TargetMode="External"/><Relationship Id="rId106" Type="http://schemas.openxmlformats.org/officeDocument/2006/relationships/hyperlink" Target="javascript:;" TargetMode="External"/><Relationship Id="rId114" Type="http://schemas.openxmlformats.org/officeDocument/2006/relationships/hyperlink" Target="javascript:;" TargetMode="External"/><Relationship Id="rId119" Type="http://schemas.openxmlformats.org/officeDocument/2006/relationships/hyperlink" Target="javascript:;" TargetMode="External"/><Relationship Id="rId127" Type="http://schemas.openxmlformats.org/officeDocument/2006/relationships/hyperlink" Target="javascript:;" TargetMode="External"/><Relationship Id="rId10" Type="http://schemas.openxmlformats.org/officeDocument/2006/relationships/hyperlink" Target="javascript:;" TargetMode="External"/><Relationship Id="rId31" Type="http://schemas.openxmlformats.org/officeDocument/2006/relationships/hyperlink" Target="javascript:;" TargetMode="External"/><Relationship Id="rId44" Type="http://schemas.openxmlformats.org/officeDocument/2006/relationships/hyperlink" Target="javascript:;" TargetMode="External"/><Relationship Id="rId52" Type="http://schemas.openxmlformats.org/officeDocument/2006/relationships/hyperlink" Target="javascript:;" TargetMode="External"/><Relationship Id="rId60" Type="http://schemas.openxmlformats.org/officeDocument/2006/relationships/hyperlink" Target="javascript:;" TargetMode="External"/><Relationship Id="rId65" Type="http://schemas.openxmlformats.org/officeDocument/2006/relationships/hyperlink" Target="javascript:;" TargetMode="External"/><Relationship Id="rId73" Type="http://schemas.openxmlformats.org/officeDocument/2006/relationships/hyperlink" Target="javascript:;" TargetMode="External"/><Relationship Id="rId78" Type="http://schemas.openxmlformats.org/officeDocument/2006/relationships/hyperlink" Target="javascript:;" TargetMode="External"/><Relationship Id="rId81" Type="http://schemas.openxmlformats.org/officeDocument/2006/relationships/hyperlink" Target="javascript:;" TargetMode="External"/><Relationship Id="rId86" Type="http://schemas.openxmlformats.org/officeDocument/2006/relationships/hyperlink" Target="javascript:;" TargetMode="External"/><Relationship Id="rId94" Type="http://schemas.openxmlformats.org/officeDocument/2006/relationships/hyperlink" Target="javascript:;" TargetMode="External"/><Relationship Id="rId99" Type="http://schemas.openxmlformats.org/officeDocument/2006/relationships/hyperlink" Target="javascript:;" TargetMode="External"/><Relationship Id="rId101" Type="http://schemas.openxmlformats.org/officeDocument/2006/relationships/hyperlink" Target="javascript:;" TargetMode="External"/><Relationship Id="rId122" Type="http://schemas.openxmlformats.org/officeDocument/2006/relationships/hyperlink" Target="javascript:;" TargetMode="External"/><Relationship Id="rId130" Type="http://schemas.openxmlformats.org/officeDocument/2006/relationships/hyperlink" Target="javascript:;" TargetMode="External"/><Relationship Id="rId135" Type="http://schemas.openxmlformats.org/officeDocument/2006/relationships/hyperlink" Target="javascript:;" TargetMode="External"/><Relationship Id="rId143" Type="http://schemas.openxmlformats.org/officeDocument/2006/relationships/hyperlink" Target="javascript:;" TargetMode="External"/><Relationship Id="rId148" Type="http://schemas.openxmlformats.org/officeDocument/2006/relationships/hyperlink" Target="javascript:;" TargetMode="External"/><Relationship Id="rId151" Type="http://schemas.openxmlformats.org/officeDocument/2006/relationships/hyperlink" Target="javascript:;" TargetMode="External"/><Relationship Id="rId4" Type="http://schemas.openxmlformats.org/officeDocument/2006/relationships/hyperlink" Target="javascript:;" TargetMode="External"/><Relationship Id="rId9" Type="http://schemas.openxmlformats.org/officeDocument/2006/relationships/hyperlink" Target="javascript:;" TargetMode="External"/><Relationship Id="rId13" Type="http://schemas.openxmlformats.org/officeDocument/2006/relationships/hyperlink" Target="javascript:;" TargetMode="External"/><Relationship Id="rId18" Type="http://schemas.openxmlformats.org/officeDocument/2006/relationships/hyperlink" Target="javascript:;" TargetMode="External"/><Relationship Id="rId39" Type="http://schemas.openxmlformats.org/officeDocument/2006/relationships/hyperlink" Target="javascript:;" TargetMode="External"/><Relationship Id="rId109" Type="http://schemas.openxmlformats.org/officeDocument/2006/relationships/hyperlink" Target="javascript:;" TargetMode="External"/><Relationship Id="rId34" Type="http://schemas.openxmlformats.org/officeDocument/2006/relationships/hyperlink" Target="javascript:;" TargetMode="External"/><Relationship Id="rId50" Type="http://schemas.openxmlformats.org/officeDocument/2006/relationships/hyperlink" Target="javascript:;" TargetMode="External"/><Relationship Id="rId55" Type="http://schemas.openxmlformats.org/officeDocument/2006/relationships/hyperlink" Target="javascript:;" TargetMode="External"/><Relationship Id="rId76" Type="http://schemas.openxmlformats.org/officeDocument/2006/relationships/hyperlink" Target="javascript:;" TargetMode="External"/><Relationship Id="rId97" Type="http://schemas.openxmlformats.org/officeDocument/2006/relationships/hyperlink" Target="javascript:;" TargetMode="External"/><Relationship Id="rId104" Type="http://schemas.openxmlformats.org/officeDocument/2006/relationships/hyperlink" Target="javascript:;" TargetMode="External"/><Relationship Id="rId120" Type="http://schemas.openxmlformats.org/officeDocument/2006/relationships/hyperlink" Target="javascript:;" TargetMode="External"/><Relationship Id="rId125" Type="http://schemas.openxmlformats.org/officeDocument/2006/relationships/hyperlink" Target="javascript:;" TargetMode="External"/><Relationship Id="rId141" Type="http://schemas.openxmlformats.org/officeDocument/2006/relationships/hyperlink" Target="javascript:;" TargetMode="External"/><Relationship Id="rId146" Type="http://schemas.openxmlformats.org/officeDocument/2006/relationships/hyperlink" Target="javascript:;" TargetMode="External"/><Relationship Id="rId7" Type="http://schemas.openxmlformats.org/officeDocument/2006/relationships/hyperlink" Target="javascript:;" TargetMode="External"/><Relationship Id="rId71" Type="http://schemas.openxmlformats.org/officeDocument/2006/relationships/hyperlink" Target="javascript:;" TargetMode="External"/><Relationship Id="rId92" Type="http://schemas.openxmlformats.org/officeDocument/2006/relationships/hyperlink" Target="javascript:;" TargetMode="External"/><Relationship Id="rId2" Type="http://schemas.openxmlformats.org/officeDocument/2006/relationships/hyperlink" Target="javascript:;" TargetMode="External"/><Relationship Id="rId29" Type="http://schemas.openxmlformats.org/officeDocument/2006/relationships/hyperlink" Target="javascript:;" TargetMode="External"/><Relationship Id="rId24" Type="http://schemas.openxmlformats.org/officeDocument/2006/relationships/hyperlink" Target="javascript:;" TargetMode="External"/><Relationship Id="rId40" Type="http://schemas.openxmlformats.org/officeDocument/2006/relationships/hyperlink" Target="javascript:;" TargetMode="External"/><Relationship Id="rId45" Type="http://schemas.openxmlformats.org/officeDocument/2006/relationships/hyperlink" Target="javascript:;" TargetMode="External"/><Relationship Id="rId66" Type="http://schemas.openxmlformats.org/officeDocument/2006/relationships/hyperlink" Target="javascript:;" TargetMode="External"/><Relationship Id="rId87" Type="http://schemas.openxmlformats.org/officeDocument/2006/relationships/hyperlink" Target="javascript:;" TargetMode="External"/><Relationship Id="rId110" Type="http://schemas.openxmlformats.org/officeDocument/2006/relationships/hyperlink" Target="javascript:;" TargetMode="External"/><Relationship Id="rId115" Type="http://schemas.openxmlformats.org/officeDocument/2006/relationships/hyperlink" Target="javascript:;" TargetMode="External"/><Relationship Id="rId131" Type="http://schemas.openxmlformats.org/officeDocument/2006/relationships/hyperlink" Target="javascript:;" TargetMode="External"/><Relationship Id="rId136" Type="http://schemas.openxmlformats.org/officeDocument/2006/relationships/hyperlink" Target="javascript:;" TargetMode="External"/><Relationship Id="rId61" Type="http://schemas.openxmlformats.org/officeDocument/2006/relationships/hyperlink" Target="javascript:;" TargetMode="External"/><Relationship Id="rId82" Type="http://schemas.openxmlformats.org/officeDocument/2006/relationships/hyperlink" Target="javascript:;" TargetMode="External"/><Relationship Id="rId152" Type="http://schemas.openxmlformats.org/officeDocument/2006/relationships/hyperlink" Target="javascript:;" TargetMode="External"/><Relationship Id="rId19" Type="http://schemas.openxmlformats.org/officeDocument/2006/relationships/hyperlink" Target="javascript:;" TargetMode="External"/><Relationship Id="rId14" Type="http://schemas.openxmlformats.org/officeDocument/2006/relationships/hyperlink" Target="javascript:;" TargetMode="External"/><Relationship Id="rId30" Type="http://schemas.openxmlformats.org/officeDocument/2006/relationships/hyperlink" Target="javascript:;" TargetMode="External"/><Relationship Id="rId35" Type="http://schemas.openxmlformats.org/officeDocument/2006/relationships/hyperlink" Target="javascript:;" TargetMode="External"/><Relationship Id="rId56" Type="http://schemas.openxmlformats.org/officeDocument/2006/relationships/hyperlink" Target="javascript:;" TargetMode="External"/><Relationship Id="rId77" Type="http://schemas.openxmlformats.org/officeDocument/2006/relationships/hyperlink" Target="javascript:;" TargetMode="External"/><Relationship Id="rId100" Type="http://schemas.openxmlformats.org/officeDocument/2006/relationships/hyperlink" Target="javascript:;" TargetMode="External"/><Relationship Id="rId105" Type="http://schemas.openxmlformats.org/officeDocument/2006/relationships/hyperlink" Target="javascript:;" TargetMode="External"/><Relationship Id="rId126" Type="http://schemas.openxmlformats.org/officeDocument/2006/relationships/hyperlink" Target="javascript:;" TargetMode="External"/><Relationship Id="rId147" Type="http://schemas.openxmlformats.org/officeDocument/2006/relationships/hyperlink" Target="javascript:;" TargetMode="External"/><Relationship Id="rId8" Type="http://schemas.openxmlformats.org/officeDocument/2006/relationships/hyperlink" Target="javascript:;" TargetMode="External"/><Relationship Id="rId51" Type="http://schemas.openxmlformats.org/officeDocument/2006/relationships/hyperlink" Target="javascript:;" TargetMode="External"/><Relationship Id="rId72" Type="http://schemas.openxmlformats.org/officeDocument/2006/relationships/hyperlink" Target="javascript:;" TargetMode="External"/><Relationship Id="rId93" Type="http://schemas.openxmlformats.org/officeDocument/2006/relationships/hyperlink" Target="javascript:;" TargetMode="External"/><Relationship Id="rId98" Type="http://schemas.openxmlformats.org/officeDocument/2006/relationships/hyperlink" Target="javascript:;" TargetMode="External"/><Relationship Id="rId121" Type="http://schemas.openxmlformats.org/officeDocument/2006/relationships/hyperlink" Target="javascript:;" TargetMode="External"/><Relationship Id="rId142" Type="http://schemas.openxmlformats.org/officeDocument/2006/relationships/hyperlink" Target="javascript:;" TargetMode="External"/><Relationship Id="rId3" Type="http://schemas.openxmlformats.org/officeDocument/2006/relationships/hyperlink" Target="javascript:;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6:U84"/>
  <sheetViews>
    <sheetView topLeftCell="A25" zoomScale="85" zoomScaleNormal="85" workbookViewId="0">
      <selection activeCell="D83" sqref="D83"/>
    </sheetView>
  </sheetViews>
  <sheetFormatPr defaultColWidth="8.7109375" defaultRowHeight="15" customHeight="1"/>
  <cols>
    <col min="1" max="1" width="1.42578125" style="1" customWidth="1"/>
    <col min="2" max="2" width="14.140625" style="1" customWidth="1"/>
    <col min="3" max="3" width="18.140625" style="1" customWidth="1"/>
    <col min="4" max="8" width="14.7109375" style="1" customWidth="1"/>
    <col min="9" max="9" width="22.5703125" style="1" bestFit="1" customWidth="1"/>
    <col min="10" max="10" width="12.7109375" style="1" bestFit="1" customWidth="1"/>
    <col min="11" max="12" width="9.7109375" style="1" bestFit="1" customWidth="1"/>
    <col min="13" max="14" width="9.140625" style="1" customWidth="1"/>
    <col min="15" max="15" width="8.7109375" style="1" customWidth="1"/>
    <col min="16" max="16" width="9.42578125" style="1" customWidth="1"/>
    <col min="17" max="17" width="9.28515625" style="1" customWidth="1"/>
    <col min="18" max="29" width="8.7109375" style="1" customWidth="1"/>
    <col min="30" max="30" width="9.140625" style="1" customWidth="1"/>
    <col min="31" max="16384" width="8.7109375" style="1"/>
  </cols>
  <sheetData>
    <row r="36" spans="1:17" ht="15.75" customHeight="1"/>
    <row r="37" spans="1:17" ht="15.75" customHeight="1" thickBot="1"/>
    <row r="38" spans="1:17" ht="15.75" customHeight="1" thickBot="1">
      <c r="B38" s="358" t="s">
        <v>0</v>
      </c>
      <c r="C38" s="359" t="str">
        <f>VDCC!B1</f>
        <v>Signups this Month</v>
      </c>
      <c r="D38" s="359" t="s">
        <v>24</v>
      </c>
      <c r="E38" s="359" t="s">
        <v>164</v>
      </c>
      <c r="F38" s="360" t="s">
        <v>23</v>
      </c>
      <c r="G38" s="361" t="s">
        <v>167</v>
      </c>
      <c r="H38" s="493"/>
      <c r="I38" s="492"/>
      <c r="J38" s="393"/>
      <c r="K38" s="394"/>
      <c r="L38" s="395"/>
      <c r="M38" s="3"/>
      <c r="N38" s="405"/>
      <c r="O38" s="406"/>
    </row>
    <row r="39" spans="1:17" ht="15" customHeight="1">
      <c r="B39" s="362" t="s">
        <v>1</v>
      </c>
      <c r="C39" s="4">
        <f>SUM(D39:F39)</f>
        <v>14</v>
      </c>
      <c r="D39" s="4">
        <f t="array" ref="D39">SUM(('Members Data'!D2:D100="Healer")*(TDCC!C2:C100))</f>
        <v>0</v>
      </c>
      <c r="E39" s="4">
        <f t="array" ref="E39">SUM(('Members Data'!D2:D100="Healer")*(EDCC!C2:C100))</f>
        <v>0</v>
      </c>
      <c r="F39" s="5">
        <f t="array" ref="F39">SUM(('Members Data'!D2:D100="Healer")*(VDCC!C2:C100))</f>
        <v>14</v>
      </c>
      <c r="G39" s="145">
        <f>(100/C42)*C39</f>
        <v>26.415094339622641</v>
      </c>
      <c r="H39" s="494"/>
      <c r="I39" s="357"/>
      <c r="J39" s="357"/>
      <c r="K39" s="357"/>
      <c r="L39" s="159"/>
      <c r="M39" s="6"/>
      <c r="N39" s="163"/>
      <c r="O39" s="160"/>
    </row>
    <row r="40" spans="1:17" ht="15" customHeight="1">
      <c r="B40" s="363" t="s">
        <v>2</v>
      </c>
      <c r="C40" s="364">
        <f>SUM(D40:F40)</f>
        <v>33</v>
      </c>
      <c r="D40" s="364">
        <f t="array" ref="D40">(SUM(('Members Data'!D2:D100="RDPS")*(TDCC!C2:C100)))+(SUM(('Members Data'!D2:D100="MDPS")*(TDCC!C2:C100)))</f>
        <v>0</v>
      </c>
      <c r="E40" s="364">
        <f t="array" ref="E40">(SUM(('Members Data'!D2:D100="RDPS")*(EDCC!C2:C100)))+(SUM(('Members Data'!D2:D100="MDPS")*(EDCC!C2:C100)))</f>
        <v>0</v>
      </c>
      <c r="F40" s="365">
        <f t="array" ref="F40">(SUM(('Members Data'!D2:D100="RDPS")*(VDCC!C2:C100)))+(SUM(('Members Data'!D2:D100="MDPS")*(VDCC!C2:C100)))</f>
        <v>33</v>
      </c>
      <c r="G40" s="366">
        <f>(100/C42)*C40</f>
        <v>62.264150943396224</v>
      </c>
      <c r="H40" s="495"/>
      <c r="I40" s="158"/>
      <c r="J40" s="158"/>
      <c r="K40" s="357"/>
      <c r="L40" s="159"/>
      <c r="N40" s="163"/>
      <c r="O40" s="160"/>
    </row>
    <row r="41" spans="1:17" ht="15.75" customHeight="1" thickBot="1">
      <c r="B41" s="367" t="s">
        <v>3</v>
      </c>
      <c r="C41" s="368">
        <f>SUM(D41:F41)</f>
        <v>6</v>
      </c>
      <c r="D41" s="368">
        <f t="array" ref="D41">SUM(('Members Data'!D2:D100="Tank")*(TDCC!C2:C100))</f>
        <v>0</v>
      </c>
      <c r="E41" s="368">
        <f t="array" ref="E41">SUM(('Members Data'!D2:D100="Tank")*(EDCC!C2:C100))</f>
        <v>0</v>
      </c>
      <c r="F41" s="365">
        <f t="array" ref="F41">SUM(('Members Data'!D2:D100="Tank")*(VDCC!C2:C100))</f>
        <v>6</v>
      </c>
      <c r="G41" s="366">
        <f>(100/C42)*C41</f>
        <v>11.320754716981131</v>
      </c>
      <c r="H41" s="495"/>
      <c r="I41" s="158"/>
      <c r="J41" s="158"/>
      <c r="K41" s="357"/>
      <c r="L41" s="159"/>
      <c r="N41" s="163"/>
      <c r="O41" s="160"/>
    </row>
    <row r="42" spans="1:17" ht="15.75" customHeight="1" thickBot="1">
      <c r="B42" s="396" t="s">
        <v>4</v>
      </c>
      <c r="C42" s="10">
        <f>SUM(C39:C41)</f>
        <v>53</v>
      </c>
      <c r="D42" s="10">
        <f>SUM(D39:D41)</f>
        <v>0</v>
      </c>
      <c r="E42" s="10">
        <f>SUM(E39:E41)</f>
        <v>0</v>
      </c>
      <c r="F42" s="10">
        <f>SUM(F39:F41)</f>
        <v>53</v>
      </c>
      <c r="G42" s="146"/>
      <c r="H42" s="495"/>
      <c r="I42" s="158"/>
      <c r="J42" s="158"/>
      <c r="K42" s="357"/>
      <c r="L42" s="159"/>
      <c r="N42" s="163"/>
      <c r="O42" s="160"/>
    </row>
    <row r="43" spans="1:17" ht="15.75" customHeight="1" thickBot="1">
      <c r="B43" s="442"/>
      <c r="C43" s="158"/>
      <c r="D43" s="158"/>
      <c r="E43" s="158"/>
      <c r="F43" s="158"/>
      <c r="G43" s="158"/>
      <c r="H43" s="158"/>
      <c r="I43" s="158"/>
      <c r="J43" s="158"/>
      <c r="K43" s="158"/>
      <c r="L43" s="160"/>
      <c r="M43" s="43"/>
      <c r="N43" s="163"/>
      <c r="O43" s="160"/>
    </row>
    <row r="44" spans="1:17" ht="15.75" customHeight="1" thickBot="1">
      <c r="B44" s="401"/>
      <c r="C44" s="398" t="s">
        <v>23</v>
      </c>
      <c r="D44" s="398" t="s">
        <v>164</v>
      </c>
      <c r="E44" s="398" t="s">
        <v>24</v>
      </c>
      <c r="F44" s="398" t="s">
        <v>308</v>
      </c>
      <c r="G44" s="158"/>
      <c r="H44" s="158"/>
      <c r="I44" s="158"/>
      <c r="J44" s="158"/>
      <c r="K44" s="158"/>
      <c r="L44" s="160"/>
      <c r="M44" s="43"/>
      <c r="N44" s="163"/>
      <c r="O44" s="160"/>
    </row>
    <row r="45" spans="1:17" ht="15.75" customHeight="1" thickBot="1">
      <c r="B45" s="398" t="s">
        <v>307</v>
      </c>
      <c r="C45" s="446">
        <f>SUM(C46:C48)</f>
        <v>36</v>
      </c>
      <c r="D45" s="443">
        <f>SUM(D46:D48)</f>
        <v>12</v>
      </c>
      <c r="E45" s="443">
        <f>SUM(E46:E48)</f>
        <v>13</v>
      </c>
      <c r="F45" s="444">
        <f>SUM(C45:E45)</f>
        <v>61</v>
      </c>
      <c r="G45" s="158"/>
      <c r="H45" s="518" t="s">
        <v>55</v>
      </c>
      <c r="I45" s="528"/>
      <c r="J45" s="391" t="s">
        <v>56</v>
      </c>
      <c r="K45" s="392" t="s">
        <v>154</v>
      </c>
      <c r="L45" s="389" t="s">
        <v>155</v>
      </c>
      <c r="N45" s="163"/>
      <c r="O45" s="160"/>
    </row>
    <row r="46" spans="1:17" ht="15.75" customHeight="1" thickBot="1">
      <c r="A46" s="43"/>
      <c r="B46" s="399" t="s">
        <v>1</v>
      </c>
      <c r="C46" s="445">
        <f t="array" ref="C46">SUM(('Members Data'!D2:D100="Healer")*('Members Data'!B2:B100="Venturer"))</f>
        <v>9</v>
      </c>
      <c r="D46" s="370">
        <f t="array" ref="D46">SUM(('Members Data'!D2:D100="Healer")*('Members Data'!B2:B100="Errant"))</f>
        <v>1</v>
      </c>
      <c r="E46" s="370">
        <f t="array" ref="E46">SUM(('Members Data'!D2:D100="Healer")*('Members Data'!B2:B100="Traveler"))</f>
        <v>0</v>
      </c>
      <c r="F46" s="371">
        <f t="shared" ref="F46:F48" si="0">SUM(C46:E46)</f>
        <v>10</v>
      </c>
      <c r="G46" s="158"/>
      <c r="H46" s="518" t="s">
        <v>160</v>
      </c>
      <c r="I46" s="526"/>
      <c r="J46" s="526"/>
      <c r="K46" s="526"/>
      <c r="L46" s="527"/>
      <c r="N46" s="388" t="s">
        <v>153</v>
      </c>
      <c r="O46" s="390" t="s">
        <v>152</v>
      </c>
    </row>
    <row r="47" spans="1:17" ht="15.75" customHeight="1" thickBot="1">
      <c r="B47" s="396" t="s">
        <v>3</v>
      </c>
      <c r="C47" s="369">
        <f t="array" ref="C47">SUM(('Members Data'!D2:D100="Tank")*('Members Data'!B2:B100="Venturer"))</f>
        <v>3</v>
      </c>
      <c r="D47" s="370">
        <f t="array" ref="D47">SUM(('Members Data'!D2:D100="Tank")*('Members Data'!B2:B100="Errant"))</f>
        <v>1</v>
      </c>
      <c r="E47" s="370">
        <f t="array" ref="E47">SUM(('Members Data'!D2:D100="Tank")*('Members Data'!B2:B100="Traveler"))</f>
        <v>2</v>
      </c>
      <c r="F47" s="371">
        <f t="shared" si="0"/>
        <v>6</v>
      </c>
      <c r="G47" s="158"/>
      <c r="H47" s="524" t="s">
        <v>57</v>
      </c>
      <c r="I47" s="525"/>
      <c r="J47" s="422">
        <v>89048.5</v>
      </c>
      <c r="K47" s="356">
        <f t="shared" ref="K47:K69" si="1">J47/100*$F$83</f>
        <v>35619.4</v>
      </c>
      <c r="L47" s="421">
        <f>J47/100*$F$84</f>
        <v>53429.1</v>
      </c>
      <c r="N47" s="409"/>
      <c r="O47" s="408">
        <f>J47</f>
        <v>89048.5</v>
      </c>
      <c r="Q47" s="354"/>
    </row>
    <row r="48" spans="1:17" ht="15.75" customHeight="1" thickBot="1">
      <c r="B48" s="396" t="s">
        <v>2</v>
      </c>
      <c r="C48" s="372">
        <f t="array" ref="C48">SUM(('Members Data'!B2:B100="Venturer")*('Members Data'!D2:D100="MDPS"))+SUM(('Members Data'!B2:B100="Venturer")*('Members Data'!D2:D100="RDPS"))</f>
        <v>24</v>
      </c>
      <c r="D48" s="373">
        <f t="array" ref="D48">SUM(('Members Data'!B2:B100="Errant")*('Members Data'!D2:D100="MDPS"))+SUM(('Members Data'!B2:B100="Errant")*('Members Data'!D2:D100="RDPS"))</f>
        <v>10</v>
      </c>
      <c r="E48" s="373">
        <f t="array" ref="E48">SUM(('Members Data'!B2:B100="Traveler")*('Members Data'!D2:D100="MDPS"))+SUM(('Members Data'!B2:B100="Traveler")*('Members Data'!D2:D100="RDPS"))</f>
        <v>11</v>
      </c>
      <c r="F48" s="374">
        <f t="shared" si="0"/>
        <v>45</v>
      </c>
      <c r="G48" s="158"/>
      <c r="H48" s="520" t="s">
        <v>58</v>
      </c>
      <c r="I48" s="521"/>
      <c r="J48" s="422">
        <v>80097.5</v>
      </c>
      <c r="K48" s="356">
        <f t="shared" si="1"/>
        <v>32039</v>
      </c>
      <c r="L48" s="422">
        <f t="shared" ref="L48:L76" si="2">J48/100*$F$84</f>
        <v>48058.5</v>
      </c>
      <c r="N48" s="409"/>
      <c r="O48" s="408">
        <f t="shared" ref="O48:O69" si="3">J48</f>
        <v>80097.5</v>
      </c>
      <c r="Q48" s="354"/>
    </row>
    <row r="49" spans="2:21" ht="15.75" customHeight="1" thickBot="1">
      <c r="B49" s="397"/>
      <c r="C49" s="158"/>
      <c r="D49" s="158"/>
      <c r="E49" s="158"/>
      <c r="F49" s="158"/>
      <c r="G49" s="158"/>
      <c r="H49" s="520" t="s">
        <v>59</v>
      </c>
      <c r="I49" s="521"/>
      <c r="J49" s="422">
        <v>75446</v>
      </c>
      <c r="K49" s="356">
        <f t="shared" si="1"/>
        <v>30178.400000000001</v>
      </c>
      <c r="L49" s="422">
        <f t="shared" si="2"/>
        <v>45267.600000000006</v>
      </c>
      <c r="N49" s="409"/>
      <c r="O49" s="408">
        <f t="shared" si="3"/>
        <v>75446</v>
      </c>
      <c r="Q49" s="354"/>
    </row>
    <row r="50" spans="2:21" ht="15.75" customHeight="1" thickBot="1">
      <c r="B50" s="398" t="s">
        <v>5</v>
      </c>
      <c r="C50" s="2" t="s">
        <v>6</v>
      </c>
      <c r="D50" s="14" t="s">
        <v>7</v>
      </c>
      <c r="E50" s="14" t="s">
        <v>8</v>
      </c>
      <c r="F50" s="15" t="s">
        <v>2</v>
      </c>
      <c r="G50" s="158"/>
      <c r="H50" s="520" t="s">
        <v>343</v>
      </c>
      <c r="I50" s="521"/>
      <c r="J50" s="422">
        <v>90714.5</v>
      </c>
      <c r="K50" s="356">
        <f t="shared" si="1"/>
        <v>36285.800000000003</v>
      </c>
      <c r="L50" s="422">
        <f t="shared" si="2"/>
        <v>54428.7</v>
      </c>
      <c r="M50" s="16"/>
      <c r="N50" s="409"/>
      <c r="O50" s="408">
        <f t="shared" si="3"/>
        <v>90714.5</v>
      </c>
      <c r="Q50" s="354"/>
    </row>
    <row r="51" spans="2:21" ht="15" customHeight="1">
      <c r="B51" s="375" t="s">
        <v>9</v>
      </c>
      <c r="C51" s="17">
        <f t="array" ref="C51">SUM(('Members Data'!B2:B100="Venturer")*('Members Data'!C2:C100="Death Knight"))</f>
        <v>1</v>
      </c>
      <c r="D51" s="18"/>
      <c r="E51" s="11">
        <f t="array" ref="E51">SUM(('Members Data'!C2:C100="Death Knight")*('Members Data'!D2:D100="Tank")*('Members Data'!B2:B100="Venturer"))</f>
        <v>0</v>
      </c>
      <c r="F51" s="19">
        <f>C51-E51</f>
        <v>1</v>
      </c>
      <c r="G51" s="158"/>
      <c r="H51" s="520" t="s">
        <v>344</v>
      </c>
      <c r="I51" s="521"/>
      <c r="J51" s="422">
        <v>80799</v>
      </c>
      <c r="K51" s="356">
        <f t="shared" si="1"/>
        <v>32319.599999999999</v>
      </c>
      <c r="L51" s="422">
        <f t="shared" si="2"/>
        <v>48479.4</v>
      </c>
      <c r="N51" s="409"/>
      <c r="O51" s="408">
        <f t="shared" si="3"/>
        <v>80799</v>
      </c>
      <c r="Q51" s="354"/>
    </row>
    <row r="52" spans="2:21" ht="15" customHeight="1">
      <c r="B52" s="376" t="s">
        <v>10</v>
      </c>
      <c r="C52" s="17">
        <f t="array" ref="C52">SUM(('Members Data'!B2:B100="Venturer")*('Members Data'!C2:C100="Druid"))</f>
        <v>4</v>
      </c>
      <c r="D52" s="364">
        <f t="array" ref="D52">SUM(('Members Data'!C2:C100="Druid")*('Members Data'!D2:D100="Healer")*('Members Data'!B2:B100="Venturer"))</f>
        <v>2</v>
      </c>
      <c r="E52" s="364">
        <f t="array" ref="E52">SUM(('Members Data'!C2:C100="Druid")*('Members Data'!D2:D100="Tank")*('Members Data'!B2:B100="Venturer"))</f>
        <v>1</v>
      </c>
      <c r="F52" s="377">
        <f>C52-D52-E52</f>
        <v>1</v>
      </c>
      <c r="G52" s="158"/>
      <c r="H52" s="520" t="s">
        <v>406</v>
      </c>
      <c r="I52" s="521"/>
      <c r="J52" s="422">
        <v>44698</v>
      </c>
      <c r="K52" s="356">
        <f t="shared" si="1"/>
        <v>17879.2</v>
      </c>
      <c r="L52" s="422">
        <f t="shared" si="2"/>
        <v>26818.800000000003</v>
      </c>
      <c r="N52" s="409"/>
      <c r="O52" s="408">
        <f t="shared" si="3"/>
        <v>44698</v>
      </c>
      <c r="Q52" s="354"/>
    </row>
    <row r="53" spans="2:21" ht="15" customHeight="1">
      <c r="B53" s="376" t="s">
        <v>11</v>
      </c>
      <c r="C53" s="17">
        <f t="array" ref="C53">SUM(('Members Data'!B2:B100="Venturer")*('Members Data'!C2:C100="Hunter"))</f>
        <v>3</v>
      </c>
      <c r="D53" s="378"/>
      <c r="E53" s="378"/>
      <c r="F53" s="377">
        <f>C53</f>
        <v>3</v>
      </c>
      <c r="G53" s="158"/>
      <c r="H53" s="520" t="s">
        <v>60</v>
      </c>
      <c r="I53" s="521"/>
      <c r="J53" s="422">
        <v>82342</v>
      </c>
      <c r="K53" s="356">
        <f t="shared" si="1"/>
        <v>32936.799999999996</v>
      </c>
      <c r="L53" s="422">
        <f t="shared" si="2"/>
        <v>49405.2</v>
      </c>
      <c r="N53" s="409"/>
      <c r="O53" s="408">
        <f t="shared" si="3"/>
        <v>82342</v>
      </c>
      <c r="Q53" s="354"/>
    </row>
    <row r="54" spans="2:21" ht="15" customHeight="1">
      <c r="B54" s="376" t="s">
        <v>12</v>
      </c>
      <c r="C54" s="17">
        <f t="array" ref="C54">SUM(('Members Data'!B2:B100="Venturer")*('Members Data'!C2:C100="Mage"))</f>
        <v>5</v>
      </c>
      <c r="D54" s="378"/>
      <c r="E54" s="378"/>
      <c r="F54" s="377">
        <f>C54</f>
        <v>5</v>
      </c>
      <c r="G54" s="158"/>
      <c r="H54" s="520" t="s">
        <v>62</v>
      </c>
      <c r="I54" s="521"/>
      <c r="J54" s="422">
        <v>43382.5</v>
      </c>
      <c r="K54" s="356">
        <f t="shared" si="1"/>
        <v>17353</v>
      </c>
      <c r="L54" s="422">
        <f t="shared" si="2"/>
        <v>26029.5</v>
      </c>
      <c r="N54" s="409"/>
      <c r="O54" s="408">
        <f t="shared" si="3"/>
        <v>43382.5</v>
      </c>
      <c r="Q54" s="354"/>
    </row>
    <row r="55" spans="2:21" ht="15" customHeight="1">
      <c r="B55" s="376" t="s">
        <v>136</v>
      </c>
      <c r="C55" s="17">
        <f t="array" ref="C55">SUM(('Members Data'!B2:B100="Venturer")*('Members Data'!C2:C100="Monk"))</f>
        <v>1</v>
      </c>
      <c r="D55" s="364">
        <f t="array" ref="D55">SUM(('Members Data'!C2:C100="Monk")*('Members Data'!D2:D100="Healer")*('Members Data'!B2:B100="Venturer"))</f>
        <v>1</v>
      </c>
      <c r="E55" s="364">
        <f t="array" ref="E55">SUM(('Members Data'!C2:C100="Monk")*('Members Data'!D2:D100="Tank")*('Members Data'!B2:B100="Venturer"))</f>
        <v>0</v>
      </c>
      <c r="F55" s="377">
        <f>C55-D55-E55</f>
        <v>0</v>
      </c>
      <c r="G55" s="158"/>
      <c r="H55" s="520" t="s">
        <v>61</v>
      </c>
      <c r="I55" s="521"/>
      <c r="J55" s="422">
        <v>85173.5</v>
      </c>
      <c r="K55" s="356">
        <f t="shared" si="1"/>
        <v>34069.4</v>
      </c>
      <c r="L55" s="422">
        <f t="shared" si="2"/>
        <v>51104.1</v>
      </c>
      <c r="N55" s="409"/>
      <c r="O55" s="408">
        <f t="shared" si="3"/>
        <v>85173.5</v>
      </c>
      <c r="Q55" s="354"/>
    </row>
    <row r="56" spans="2:21" ht="15" customHeight="1">
      <c r="B56" s="376" t="s">
        <v>13</v>
      </c>
      <c r="C56" s="17">
        <f t="array" ref="C56">SUM(('Members Data'!B2:B100="Venturer")*('Members Data'!C2:C100="Paladin"))</f>
        <v>6</v>
      </c>
      <c r="D56" s="364">
        <f t="array" ref="D56">SUM(('Members Data'!C2:C100="Paladin")*('Members Data'!D2:D100="Healer")*('Members Data'!B2:B100="Venturer"))</f>
        <v>2</v>
      </c>
      <c r="E56" s="364">
        <f t="array" ref="E56">SUM(('Members Data'!C2:C100="Paladin")*('Members Data'!D2:D100="Tank")*('Members Data'!B2:B100="Venturer"))</f>
        <v>1</v>
      </c>
      <c r="F56" s="377">
        <f>C56-D56-E56</f>
        <v>3</v>
      </c>
      <c r="G56" s="158"/>
      <c r="H56" s="520" t="s">
        <v>63</v>
      </c>
      <c r="I56" s="521"/>
      <c r="J56" s="422">
        <v>72512</v>
      </c>
      <c r="K56" s="356">
        <f t="shared" si="1"/>
        <v>29004.799999999999</v>
      </c>
      <c r="L56" s="422">
        <f t="shared" si="2"/>
        <v>43507.199999999997</v>
      </c>
      <c r="N56" s="409"/>
      <c r="O56" s="408">
        <f t="shared" si="3"/>
        <v>72512</v>
      </c>
      <c r="Q56" s="354"/>
    </row>
    <row r="57" spans="2:21" ht="15" customHeight="1">
      <c r="B57" s="376" t="s">
        <v>14</v>
      </c>
      <c r="C57" s="17">
        <f t="array" ref="C57">SUM(('Members Data'!B2:B100="Venturer")*('Members Data'!C2:C100="Priest"))</f>
        <v>3</v>
      </c>
      <c r="D57" s="364">
        <f t="array" ref="D57">SUM(('Members Data'!C2:C100="Priest")*('Members Data'!D2:D100="Healer")*('Members Data'!B2:B100="Venturer"))</f>
        <v>3</v>
      </c>
      <c r="E57" s="378"/>
      <c r="F57" s="377">
        <f>C57-D57</f>
        <v>0</v>
      </c>
      <c r="G57" s="158"/>
      <c r="H57" s="520" t="s">
        <v>130</v>
      </c>
      <c r="I57" s="521"/>
      <c r="J57" s="422">
        <v>85359.5</v>
      </c>
      <c r="K57" s="356">
        <f t="shared" si="1"/>
        <v>34143.800000000003</v>
      </c>
      <c r="L57" s="422">
        <f t="shared" si="2"/>
        <v>51215.700000000004</v>
      </c>
      <c r="N57" s="409"/>
      <c r="O57" s="408">
        <f t="shared" si="3"/>
        <v>85359.5</v>
      </c>
    </row>
    <row r="58" spans="2:21" ht="15" customHeight="1">
      <c r="B58" s="376" t="s">
        <v>15</v>
      </c>
      <c r="C58" s="17">
        <f t="array" ref="C58">SUM(('Members Data'!B2:B100="Venturer")*('Members Data'!C2:C100="Rogue"))</f>
        <v>2</v>
      </c>
      <c r="D58" s="378"/>
      <c r="E58" s="378"/>
      <c r="F58" s="377">
        <f>C58</f>
        <v>2</v>
      </c>
      <c r="G58" s="158"/>
      <c r="H58" s="520" t="s">
        <v>64</v>
      </c>
      <c r="I58" s="521"/>
      <c r="J58" s="422">
        <v>81192.5</v>
      </c>
      <c r="K58" s="356">
        <f t="shared" si="1"/>
        <v>32477</v>
      </c>
      <c r="L58" s="422">
        <f t="shared" si="2"/>
        <v>48715.5</v>
      </c>
      <c r="N58" s="409"/>
      <c r="O58" s="408">
        <f t="shared" si="3"/>
        <v>81192.5</v>
      </c>
      <c r="Q58" s="354"/>
    </row>
    <row r="59" spans="2:21" ht="15" customHeight="1">
      <c r="B59" s="376" t="s">
        <v>16</v>
      </c>
      <c r="C59" s="17">
        <f t="array" ref="C59">SUM(('Members Data'!B2:B100="Venturer")*('Members Data'!C2:C100="Shaman"))</f>
        <v>4</v>
      </c>
      <c r="D59" s="364">
        <f t="array" ref="D59">SUM(('Members Data'!C2:C100="Shaman")*('Members Data'!D2:D100="Healer")*('Members Data'!B2:B100="Venturer"))</f>
        <v>1</v>
      </c>
      <c r="E59" s="378"/>
      <c r="F59" s="377">
        <f>C59-D59</f>
        <v>3</v>
      </c>
      <c r="G59" s="158"/>
      <c r="H59" s="520" t="s">
        <v>65</v>
      </c>
      <c r="I59" s="521"/>
      <c r="J59" s="422">
        <v>76317</v>
      </c>
      <c r="K59" s="356">
        <f t="shared" si="1"/>
        <v>30526.799999999999</v>
      </c>
      <c r="L59" s="422">
        <f t="shared" si="2"/>
        <v>45790.2</v>
      </c>
      <c r="N59" s="409"/>
      <c r="O59" s="408">
        <f t="shared" si="3"/>
        <v>76317</v>
      </c>
      <c r="Q59"/>
    </row>
    <row r="60" spans="2:21" ht="15.75" customHeight="1">
      <c r="B60" s="376" t="s">
        <v>22</v>
      </c>
      <c r="C60" s="17">
        <f t="array" ref="C60">SUM(('Members Data'!B2:B100="Venturer")*('Members Data'!C2:C100="Warlock"))</f>
        <v>3</v>
      </c>
      <c r="D60" s="378"/>
      <c r="E60" s="378"/>
      <c r="F60" s="377">
        <f>C60</f>
        <v>3</v>
      </c>
      <c r="G60" s="158"/>
      <c r="H60" s="520" t="s">
        <v>66</v>
      </c>
      <c r="I60" s="521"/>
      <c r="J60" s="422">
        <v>87512.5</v>
      </c>
      <c r="K60" s="356">
        <f t="shared" si="1"/>
        <v>35005</v>
      </c>
      <c r="L60" s="422">
        <f t="shared" si="2"/>
        <v>52507.5</v>
      </c>
      <c r="N60" s="409"/>
      <c r="O60" s="408">
        <f t="shared" si="3"/>
        <v>87512.5</v>
      </c>
      <c r="Q60" s="354"/>
      <c r="U60" s="422"/>
    </row>
    <row r="61" spans="2:21" ht="15" customHeight="1" thickBot="1">
      <c r="B61" s="379" t="s">
        <v>17</v>
      </c>
      <c r="C61" s="20">
        <f t="array" ref="C61">SUM(('Members Data'!B2:B100="Venturer")*('Members Data'!C2:C100="Warrior"))</f>
        <v>4</v>
      </c>
      <c r="D61" s="380"/>
      <c r="E61" s="381">
        <f t="array" ref="E61">SUM(('Members Data'!C2:C100="Warrior")*('Members Data'!D2:D100="Tank")*('Members Data'!B2:B100="Venturer"))</f>
        <v>1</v>
      </c>
      <c r="F61" s="22">
        <f>C61-E61</f>
        <v>3</v>
      </c>
      <c r="G61" s="158"/>
      <c r="H61" s="520" t="s">
        <v>67</v>
      </c>
      <c r="I61" s="521"/>
      <c r="J61" s="422">
        <v>75569.5</v>
      </c>
      <c r="K61" s="356">
        <f t="shared" si="1"/>
        <v>30227.800000000003</v>
      </c>
      <c r="L61" s="422">
        <f t="shared" si="2"/>
        <v>45341.700000000004</v>
      </c>
      <c r="N61" s="409"/>
      <c r="O61" s="408">
        <f t="shared" si="3"/>
        <v>75569.5</v>
      </c>
      <c r="Q61" s="354"/>
    </row>
    <row r="62" spans="2:21" ht="15" customHeight="1" thickBot="1">
      <c r="B62" s="163"/>
      <c r="C62" s="158"/>
      <c r="D62" s="158"/>
      <c r="E62" s="158"/>
      <c r="F62" s="158"/>
      <c r="G62" s="158"/>
      <c r="H62" s="520" t="s">
        <v>68</v>
      </c>
      <c r="I62" s="521"/>
      <c r="J62" s="422">
        <v>62678.5</v>
      </c>
      <c r="K62" s="356">
        <f t="shared" si="1"/>
        <v>25071.399999999998</v>
      </c>
      <c r="L62" s="422">
        <f t="shared" si="2"/>
        <v>37607.1</v>
      </c>
      <c r="N62" s="409"/>
      <c r="O62" s="408">
        <f t="shared" si="3"/>
        <v>62678.5</v>
      </c>
      <c r="Q62" s="354"/>
    </row>
    <row r="63" spans="2:21" ht="15" customHeight="1" thickBot="1">
      <c r="B63" s="515" t="s">
        <v>18</v>
      </c>
      <c r="C63" s="516"/>
      <c r="D63" s="516"/>
      <c r="E63" s="516"/>
      <c r="F63" s="517"/>
      <c r="G63" s="158"/>
      <c r="H63" s="520" t="s">
        <v>69</v>
      </c>
      <c r="I63" s="521"/>
      <c r="J63" s="422">
        <v>79847.5</v>
      </c>
      <c r="K63" s="356">
        <f t="shared" si="1"/>
        <v>31939</v>
      </c>
      <c r="L63" s="422">
        <f t="shared" si="2"/>
        <v>47908.5</v>
      </c>
      <c r="N63" s="409"/>
      <c r="O63" s="408">
        <f t="shared" si="3"/>
        <v>79847.5</v>
      </c>
      <c r="Q63" s="354"/>
    </row>
    <row r="64" spans="2:21" ht="15" customHeight="1" thickBot="1">
      <c r="B64" s="447" t="s">
        <v>53</v>
      </c>
      <c r="C64" s="448" t="s">
        <v>4</v>
      </c>
      <c r="D64" s="448" t="s">
        <v>23</v>
      </c>
      <c r="E64" s="448" t="s">
        <v>164</v>
      </c>
      <c r="F64" s="448" t="s">
        <v>24</v>
      </c>
      <c r="G64" s="158"/>
      <c r="H64" s="520" t="s">
        <v>70</v>
      </c>
      <c r="I64" s="521"/>
      <c r="J64" s="422">
        <v>81273.5</v>
      </c>
      <c r="K64" s="356">
        <f t="shared" si="1"/>
        <v>32509.4</v>
      </c>
      <c r="L64" s="422">
        <f t="shared" si="2"/>
        <v>48764.1</v>
      </c>
      <c r="N64" s="409"/>
      <c r="O64" s="408">
        <f t="shared" si="3"/>
        <v>81273.5</v>
      </c>
      <c r="Q64" s="354"/>
    </row>
    <row r="65" spans="2:19" ht="15" customHeight="1">
      <c r="B65" s="400" t="s">
        <v>1</v>
      </c>
      <c r="C65" s="25">
        <f>SUMIF('Members Data'!D2:D100,"Healer",'Members Data'!E2:E100)/COUNTIF('Members Data'!D2:D100,"Healer")</f>
        <v>633.79999999999995</v>
      </c>
      <c r="D65" s="449">
        <f t="array" ref="D65">SUM(IF(('Members Data'!B2:B100="Venturer")*('Members Data'!D2:D100="Healer"),'Members Data'!E2:E100))/SUM(('Members Data'!D2:D100="Healer")*('Members Data'!B2:B100="Venturer"))</f>
        <v>637.55555555555554</v>
      </c>
      <c r="E65" s="450">
        <f t="array" ref="E65">SUM(IF(('Members Data'!B2:B100="Errant")*('Members Data'!D2:D100="Healer"),'Members Data'!E2:E100))/SUM(('Members Data'!D2:D100="Healer")*('Members Data'!B2:B100="Errant"))</f>
        <v>600</v>
      </c>
      <c r="F65" s="451" t="e">
        <f t="array" ref="F65">SUM(IF(('Members Data'!B2:B100="Traveler")*('Members Data'!D2:D100="Healer"),'Members Data'!E2:E100))/SUM(('Members Data'!D2:D100="Healer")*('Members Data'!B2:B100="Traveler"))</f>
        <v>#DIV/0!</v>
      </c>
      <c r="G65" s="158"/>
      <c r="H65" s="520" t="s">
        <v>72</v>
      </c>
      <c r="I65" s="521"/>
      <c r="J65" s="422">
        <v>85395</v>
      </c>
      <c r="K65" s="356">
        <f t="shared" si="1"/>
        <v>34158</v>
      </c>
      <c r="L65" s="422">
        <f t="shared" si="2"/>
        <v>51237</v>
      </c>
      <c r="N65" s="409"/>
      <c r="O65" s="408">
        <f t="shared" si="3"/>
        <v>85395</v>
      </c>
      <c r="Q65" s="354"/>
    </row>
    <row r="66" spans="2:19" ht="15" customHeight="1">
      <c r="B66" s="363" t="s">
        <v>2</v>
      </c>
      <c r="C66" s="382">
        <f>(SUMIF('Members Data'!D2:D100,"MDPS",'Members Data'!E2:E100)+SUMIF('Members Data'!D2:D100,"RDPS",'Members Data'!E2:E100))/(COUNTIF('Members Data'!D2:D100,"MDPS")+COUNTIF('Members Data'!D2:D100,"RDPS"))</f>
        <v>622.75555555555559</v>
      </c>
      <c r="D66" s="452">
        <f t="array" ref="D66">(SUM(IF(('Members Data'!B2:B100="Venturer")*('Members Data'!D2:D100="RDPS"),'Members Data'!E2:E100))+SUM(IF(('Members Data'!B2:B100="Venturer")*('Members Data'!D2:D100="MDPS"),'Members Data'!E2:E100)))/(SUM(('Members Data'!D2:D100="RDPS")*('Members Data'!B2:B100="Venturer"))+SUM(('Members Data'!D2:D100="MDPS")*('Members Data'!B2:B100="Venturer")))</f>
        <v>636.58333333333337</v>
      </c>
      <c r="E66" s="453">
        <f t="array" ref="E66">(SUM(IF(('Members Data'!B2:B100="Errant")*('Members Data'!D2:D100="RDPS"),'Members Data'!E2:E100))+SUM(IF(('Members Data'!B2:B100="Errant")*('Members Data'!D2:D100="MDPS"),'Members Data'!E2:E100)))/(SUM(('Members Data'!D2:D100="RDPS")*('Members Data'!B2:B100="Errant"))+SUM(('Members Data'!D2:D100="MDPS")*('Members Data'!B2:B100="Errant")))</f>
        <v>601.70000000000005</v>
      </c>
      <c r="F66" s="453">
        <f t="array" ref="F66">(SUM(IF(('Members Data'!B2:B100="Traveler")*('Members Data'!D2:D100="RDPS"),'Members Data'!E2:E100))+SUM(IF(('Members Data'!B2:B100="Traveler")*('Members Data'!D2:D100="MDPS"),'Members Data'!E2:E100)))/(SUM(('Members Data'!D2:D100="RDPS")*('Members Data'!B2:B100="Traveler"))+SUM(('Members Data'!D2:D100="MDPS")*('Members Data'!B2:B100="Traveler")))</f>
        <v>611.72727272727275</v>
      </c>
      <c r="G66" s="158"/>
      <c r="H66" s="520" t="s">
        <v>73</v>
      </c>
      <c r="I66" s="521"/>
      <c r="J66" s="422">
        <v>82939.5</v>
      </c>
      <c r="K66" s="356">
        <f t="shared" si="1"/>
        <v>33175.800000000003</v>
      </c>
      <c r="L66" s="422">
        <f t="shared" si="2"/>
        <v>49763.7</v>
      </c>
      <c r="N66" s="409"/>
      <c r="O66" s="408">
        <f t="shared" si="3"/>
        <v>82939.5</v>
      </c>
      <c r="Q66" s="354"/>
    </row>
    <row r="67" spans="2:19" ht="15" customHeight="1" thickBot="1">
      <c r="B67" s="383" t="s">
        <v>3</v>
      </c>
      <c r="C67" s="384">
        <f>SUMIF('Members Data'!D2:D100,"Tank",'Members Data'!E2:E100)/COUNTIF('Members Data'!D2:D100,"Tank")</f>
        <v>626.66666666666663</v>
      </c>
      <c r="D67" s="454">
        <f t="array" ref="D67">SUM(IF(('Members Data'!B2:B100="Venturer")*('Members Data'!D2:D100="Tank"),'Members Data'!E2:E100))/SUM(('Members Data'!D2:D100="Tank")*('Members Data'!B2:B100="Venturer"))</f>
        <v>637.33333333333337</v>
      </c>
      <c r="E67" s="455">
        <f t="array" ref="E67">SUM(IF(('Members Data'!B2:B100="Errant")*('Members Data'!D2:D100="Tank"),'Members Data'!E2:E100))/SUM(('Members Data'!D2:D100="Tank")*('Members Data'!B2:B100="Errant"))</f>
        <v>619</v>
      </c>
      <c r="F67" s="456">
        <f t="array" ref="F67">SUM(IF(('Members Data'!B2:B100="Traveler")*('Members Data'!D2:D100="Tank"),'Members Data'!E2:E100))/SUM(('Members Data'!D2:D100="Tank")*('Members Data'!B2:B100="Traveler"))</f>
        <v>614.5</v>
      </c>
      <c r="G67" s="158"/>
      <c r="H67" s="520" t="s">
        <v>71</v>
      </c>
      <c r="I67" s="521"/>
      <c r="J67" s="422">
        <v>66774.5</v>
      </c>
      <c r="K67" s="356">
        <f t="shared" si="1"/>
        <v>26709.8</v>
      </c>
      <c r="L67" s="422">
        <f t="shared" si="2"/>
        <v>40064.699999999997</v>
      </c>
      <c r="N67" s="409"/>
      <c r="O67" s="408">
        <f t="shared" si="3"/>
        <v>66774.5</v>
      </c>
      <c r="Q67" s="354"/>
    </row>
    <row r="68" spans="2:19" ht="15" customHeight="1" thickBot="1">
      <c r="B68" s="397"/>
      <c r="C68" s="158"/>
      <c r="D68" s="158"/>
      <c r="E68" s="167"/>
      <c r="F68" s="167"/>
      <c r="G68" s="158"/>
      <c r="H68" s="520" t="s">
        <v>74</v>
      </c>
      <c r="I68" s="521"/>
      <c r="J68" s="422">
        <v>76343</v>
      </c>
      <c r="K68" s="356">
        <f t="shared" si="1"/>
        <v>30537.199999999997</v>
      </c>
      <c r="L68" s="422">
        <f t="shared" si="2"/>
        <v>45805.799999999996</v>
      </c>
      <c r="N68" s="409"/>
      <c r="O68" s="408">
        <f t="shared" si="3"/>
        <v>76343</v>
      </c>
      <c r="Q68" s="354"/>
    </row>
    <row r="69" spans="2:19" ht="15" customHeight="1" thickBot="1">
      <c r="B69" s="400" t="s">
        <v>9</v>
      </c>
      <c r="C69" s="25">
        <f>SUMIF('Members Data'!C2:C100,"Death Knight",'Members Data'!E2:E100)/COUNTIF('Members Data'!C2:C100,"Death Knight")</f>
        <v>622.25</v>
      </c>
      <c r="D69" s="459">
        <f t="array" ref="D69">IF(SUM(('Members Data'!C2:C100="Death Knight")*('Members Data'!B2:B100="Venturer"))=0,0,SUM(IF(('Members Data'!B2:B100="Venturer")*('Members Data'!C2:C100="Death Knight"),'Members Data'!E2:E100))/SUM(('Members Data'!C2:C100="Death Knight")*('Members Data'!B2:B100="Venturer")))</f>
        <v>640</v>
      </c>
      <c r="E69" s="460">
        <f t="array" ref="E69">IF(SUM(('Members Data'!C2:C100="Death Knight")*('Members Data'!B2:B100="Errant"))=0,0,SUM(IF(('Members Data'!B2:B100="Errant")*('Members Data'!C2:C100="Death Knight"),'Members Data'!E2:E100))/SUM(('Members Data'!C2:C100="Death Knight")*('Members Data'!B2:B100="Errant")))</f>
        <v>614.5</v>
      </c>
      <c r="F69" s="461">
        <f t="array" ref="F69">IF(SUM(('Members Data'!C2:C100="Death Knight")*('Members Data'!B2:B100="Traveler"))=0,0,SUM(IF(('Members Data'!B2:B100="Traveler")*('Members Data'!C2:C100="Death Knight"),'Members Data'!E2:E100))/SUM(('Members Data'!C2:C100="Death Knight")*('Members Data'!B2:B100="Traveler")))</f>
        <v>620</v>
      </c>
      <c r="G69" s="158"/>
      <c r="H69" s="522" t="s">
        <v>75</v>
      </c>
      <c r="I69" s="523"/>
      <c r="J69" s="496">
        <v>86054</v>
      </c>
      <c r="K69" s="497">
        <f t="shared" si="1"/>
        <v>34421.599999999999</v>
      </c>
      <c r="L69" s="496">
        <f t="shared" si="2"/>
        <v>51632.399999999994</v>
      </c>
      <c r="N69" s="409"/>
      <c r="O69" s="408">
        <f t="shared" si="3"/>
        <v>86054</v>
      </c>
      <c r="Q69" s="354"/>
    </row>
    <row r="70" spans="2:19" ht="15" customHeight="1" thickBot="1">
      <c r="B70" s="363" t="s">
        <v>10</v>
      </c>
      <c r="C70" s="382">
        <f>SUMIF('Members Data'!C2:C100,"Druid",'Members Data'!E2:E100)/COUNTIF('Members Data'!C2:C100,"Druid")</f>
        <v>634.20000000000005</v>
      </c>
      <c r="D70" s="462">
        <f t="array" ref="D70">IF(SUM(('Members Data'!C2:C100="Druid")*('Members Data'!B2:B100="Venturer"))=0,0,SUM(IF(('Members Data'!B2:B100="Venturer")*('Members Data'!C2:C100="Druid"),'Members Data'!E2:E100))/SUM(('Members Data'!C2:C100="Druid")*('Members Data'!B2:B100="Venturer")))</f>
        <v>635.75</v>
      </c>
      <c r="E70" s="463">
        <f t="array" ref="E70">IF(SUM(('Members Data'!C2:C100="Druid")*('Members Data'!B2:B100="Errant"))=0,0,SUM(IF(('Members Data'!B2:B100="Errant")*('Members Data'!C2:C100="Druid"),'Members Data'!E2:E100))/SUM(('Members Data'!C2:C100="Druid")*('Members Data'!B2:B100="Errant")))</f>
        <v>0</v>
      </c>
      <c r="F70" s="457">
        <f t="array" ref="F70">IF(SUM(('Members Data'!C2:C100="Druid")*('Members Data'!B2:B100="Traveler"))=0,0,SUM(IF(('Members Data'!B2:B100="Traveler")*('Members Data'!C2:C100="Druid"),'Members Data'!E2:E100))/SUM(('Members Data'!C2:C100="Druid")*('Members Data'!B2:B100="Traveler")))</f>
        <v>628</v>
      </c>
      <c r="G70" s="158"/>
      <c r="H70" s="518" t="s">
        <v>160</v>
      </c>
      <c r="I70" s="526"/>
      <c r="J70" s="526"/>
      <c r="K70" s="526"/>
      <c r="L70" s="527"/>
      <c r="N70" s="518"/>
      <c r="O70" s="519"/>
    </row>
    <row r="71" spans="2:19" ht="15" customHeight="1">
      <c r="B71" s="363" t="s">
        <v>11</v>
      </c>
      <c r="C71" s="382">
        <f>SUMIF('Members Data'!C2:C100,"Hunter",'Members Data'!E2:E100)/COUNTIF('Members Data'!C2:C100,"Hunter")</f>
        <v>627</v>
      </c>
      <c r="D71" s="462">
        <f t="array" ref="D71">IF(SUM(('Members Data'!C2:C100="Hunter")*('Members Data'!B2:B100="Venturer"))=0,0,SUM(IF(('Members Data'!B2:B100="Venturer")*('Members Data'!C2:C100="Hunter"),'Members Data'!E2:E100))/SUM(('Members Data'!C2:C100="Hunter")*('Members Data'!B2:B100="Venturer")))</f>
        <v>642.33333333333337</v>
      </c>
      <c r="E71" s="463">
        <f t="array" ref="E71">IF(SUM(('Members Data'!C2:C100="Hunter")*('Members Data'!B2:B100="Errant"))=0,0,SUM(IF(('Members Data'!B2:B100="Errant")*('Members Data'!C2:C100="Hunter"),'Members Data'!E2:E100))/SUM(('Members Data'!C2:C100="Hunter")*('Members Data'!B2:B100="Errant")))</f>
        <v>581</v>
      </c>
      <c r="F71" s="457">
        <f t="array" ref="F71">IF(SUM(('Members Data'!C2:C100="Hunter")*('Members Data'!B2:B100="Traveler"))=0,0,SUM(IF(('Members Data'!B2:B100="Traveler")*('Members Data'!C2:C100="Hunter"),'Members Data'!E2:E100))/SUM(('Members Data'!C2:C100="Hunter")*('Members Data'!B2:B100="Traveler")))</f>
        <v>0</v>
      </c>
      <c r="G71" s="158"/>
      <c r="H71" s="524" t="s">
        <v>78</v>
      </c>
      <c r="I71" s="525"/>
      <c r="J71" s="498">
        <v>50000</v>
      </c>
      <c r="K71" s="499">
        <f t="shared" ref="K71:K76" si="4">J71/100*$F$83</f>
        <v>20000</v>
      </c>
      <c r="L71" s="498">
        <f t="shared" si="2"/>
        <v>30000</v>
      </c>
      <c r="M71" s="354"/>
      <c r="N71" s="409"/>
      <c r="O71" s="425">
        <f>J71</f>
        <v>50000</v>
      </c>
      <c r="Q71" s="354"/>
      <c r="S71" s="1">
        <f>IF(SUM(('Members Data'!C2:C100="Hunter")*('Members Data'!B2:B100="Errant"))=1,1,2)</f>
        <v>2</v>
      </c>
    </row>
    <row r="72" spans="2:19" ht="15" customHeight="1">
      <c r="B72" s="363" t="s">
        <v>12</v>
      </c>
      <c r="C72" s="382">
        <f>SUMIF('Members Data'!C2:C100,"Mage",'Members Data'!E2:E100)/COUNTIF('Members Data'!C2:C100,"Mage")</f>
        <v>615.625</v>
      </c>
      <c r="D72" s="462">
        <f t="array" ref="D72">IF(SUM(('Members Data'!C2:C100="Mage")*('Members Data'!B2:B100="Venturer"))=0,0,SUM(IF(('Members Data'!B2:B100="Venturer")*('Members Data'!C2:C100="Mage"),'Members Data'!E2:E100))/SUM(('Members Data'!C2:C100="Mage")*('Members Data'!B2:B100="Venturer")))</f>
        <v>637</v>
      </c>
      <c r="E72" s="463">
        <f t="array" ref="E72">IF(SUM(('Members Data'!C2:C100="Mage")*('Members Data'!B2:B100="Errant"))=0,0,SUM(IF(('Members Data'!B2:B100="Errant")*('Members Data'!C2:C100="Mage"),'Members Data'!E2:E100))/SUM(('Members Data'!C2:C100="Mage")*('Members Data'!B2:B100="Errant")))</f>
        <v>610.5</v>
      </c>
      <c r="F72" s="457">
        <f t="array" ref="F72">IF(SUM(('Members Data'!C2:C100="Mage")*('Members Data'!B2:B100="Traveler"))=0,0,SUM(IF(('Members Data'!B2:B100="Traveler")*('Members Data'!C2:C100="Mage"),'Members Data'!E2:E100))/SUM(('Members Data'!C2:C100="Mage")*('Members Data'!B2:B100="Traveler")))</f>
        <v>519</v>
      </c>
      <c r="G72" s="158"/>
      <c r="H72" s="520" t="s">
        <v>129</v>
      </c>
      <c r="I72" s="521"/>
      <c r="J72" s="422">
        <v>74689.5</v>
      </c>
      <c r="K72" s="424">
        <f t="shared" si="4"/>
        <v>29875.8</v>
      </c>
      <c r="L72" s="422">
        <f t="shared" si="2"/>
        <v>44813.7</v>
      </c>
      <c r="N72" s="409"/>
      <c r="O72" s="425">
        <f t="shared" ref="O72:O76" si="5">J72</f>
        <v>74689.5</v>
      </c>
    </row>
    <row r="73" spans="2:19" ht="15" customHeight="1">
      <c r="B73" s="363" t="s">
        <v>136</v>
      </c>
      <c r="C73" s="382">
        <f>SUMIF('Members Data'!C2:C100,"Monk",'Members Data'!E2:E100)/COUNTIF('Members Data'!C2:C100,"Monk")</f>
        <v>616.33333333333337</v>
      </c>
      <c r="D73" s="462">
        <f t="array" ref="D73">IF(SUM(('Members Data'!C2:C100="Monk")*('Members Data'!B2:B100="Venturer"))=0,0,SUM(IF(('Members Data'!B2:B100="Venturer")*('Members Data'!C2:C100="Monk"),'Members Data'!E2:E100))/SUM(('Members Data'!C2:C100="Monk")*('Members Data'!B2:B100="Venturer")))</f>
        <v>635</v>
      </c>
      <c r="E73" s="463">
        <f t="array" ref="E73">IF(SUM(('Members Data'!C2:C100="Monk")*('Members Data'!B2:B100="Errant"))=0,0,SUM(IF(('Members Data'!B2:B100="Errant")*('Members Data'!C2:C100="Monk"),'Members Data'!E2:E100))/SUM(('Members Data'!C2:C100="Monk")*('Members Data'!B2:B100="Errant")))</f>
        <v>619</v>
      </c>
      <c r="F73" s="457">
        <f t="array" ref="F73">IF(SUM(('Members Data'!C2:C100="Monk")*('Members Data'!B2:B100="Traveler"))=0,0,SUM(IF(('Members Data'!B2:B100="Traveler")*('Members Data'!C2:C100="Monk"),'Members Data'!E2:E100))/SUM(('Members Data'!C2:C100="Monk")*('Members Data'!B2:B100="Traveler")))</f>
        <v>595</v>
      </c>
      <c r="G73" s="158"/>
      <c r="H73" s="520" t="s">
        <v>79</v>
      </c>
      <c r="I73" s="521"/>
      <c r="J73" s="422">
        <v>60176</v>
      </c>
      <c r="K73" s="424">
        <f t="shared" si="4"/>
        <v>24070.400000000001</v>
      </c>
      <c r="L73" s="422">
        <f t="shared" si="2"/>
        <v>36105.599999999999</v>
      </c>
      <c r="M73" s="354"/>
      <c r="N73" s="409"/>
      <c r="O73" s="425">
        <f t="shared" si="5"/>
        <v>60176</v>
      </c>
      <c r="Q73" s="354"/>
    </row>
    <row r="74" spans="2:19" ht="15" customHeight="1">
      <c r="B74" s="363" t="s">
        <v>13</v>
      </c>
      <c r="C74" s="382">
        <f>SUMIF('Members Data'!C2:C100,"Paladin",'Members Data'!E2:E100)/COUNTIF('Members Data'!C2:C100,"Paladin")</f>
        <v>632.5</v>
      </c>
      <c r="D74" s="462">
        <f t="array" ref="D74">IF(SUM(('Members Data'!C2:C100="Paladin")*('Members Data'!B2:B100="Venturer"))=0,0,SUM(IF(('Members Data'!B2:B100="Venturer")*('Members Data'!C2:C100="Paladin"),'Members Data'!E2:E100))/SUM(('Members Data'!C2:C100="Paladin")*('Members Data'!B2:B100="Venturer")))</f>
        <v>637.33333333333337</v>
      </c>
      <c r="E74" s="463">
        <f t="array" ref="E74">IF(SUM(('Members Data'!C2:C100="Paladin")*('Members Data'!B2:B100="Errant"))=0,0,SUM(IF(('Members Data'!B2:B100="Errant")*('Members Data'!C2:C100="Paladin"),'Members Data'!E2:E100))/SUM(('Members Data'!C2:C100="Paladin")*('Members Data'!B2:B100="Errant")))</f>
        <v>619</v>
      </c>
      <c r="F74" s="457">
        <f t="array" ref="F74">IF(SUM(('Members Data'!C2:C100="Paladin")*('Members Data'!B2:B100="Traveler"))=0,0,SUM(IF(('Members Data'!B2:B100="Traveler")*('Members Data'!C2:C100="Paladin"),'Members Data'!E2:E100))/SUM(('Members Data'!C2:C100="Paladin")*('Members Data'!B2:B100="Traveler")))</f>
        <v>617</v>
      </c>
      <c r="G74" s="158"/>
      <c r="H74" s="520" t="s">
        <v>77</v>
      </c>
      <c r="I74" s="521"/>
      <c r="J74" s="422">
        <v>59515.5</v>
      </c>
      <c r="K74" s="424">
        <f t="shared" si="4"/>
        <v>23806.199999999997</v>
      </c>
      <c r="L74" s="422">
        <f t="shared" si="2"/>
        <v>35709.299999999996</v>
      </c>
      <c r="M74" s="354"/>
      <c r="N74" s="409"/>
      <c r="O74" s="425">
        <f t="shared" si="5"/>
        <v>59515.5</v>
      </c>
      <c r="Q74" s="354"/>
    </row>
    <row r="75" spans="2:19" ht="15" customHeight="1">
      <c r="B75" s="363" t="s">
        <v>14</v>
      </c>
      <c r="C75" s="382">
        <f>SUMIF('Members Data'!C2:C100,"Priest",'Members Data'!E2:E100)/COUNTIF('Members Data'!C2:C100,"Priest")</f>
        <v>630.4</v>
      </c>
      <c r="D75" s="462">
        <f t="array" ref="D75">IF(SUM(('Members Data'!C2:C100="Priest")*('Members Data'!B2:B100="Venturer"))=0,0,SUM(IF(('Members Data'!B2:B100="Venturer")*('Members Data'!C2:C100="Priest"),'Members Data'!E2:E100))/SUM(('Members Data'!C2:C100="Priest")*('Members Data'!B2:B100="Venturer")))</f>
        <v>639</v>
      </c>
      <c r="E75" s="463">
        <f t="array" ref="E75">IF(SUM(('Members Data'!C2:C100="Priest")*('Members Data'!B2:B100="Errant"))=0,0,SUM(IF(('Members Data'!B2:B100="Errant")*('Members Data'!C2:C100="Priest"),'Members Data'!E2:E100))/SUM(('Members Data'!C2:C100="Priest")*('Members Data'!B2:B100="Errant")))</f>
        <v>600</v>
      </c>
      <c r="F75" s="457">
        <f t="array" ref="F75">IF(SUM(('Members Data'!C2:C100="Priest")*('Members Data'!B2:B100="Traveler"))=0,0,SUM(IF(('Members Data'!B2:B100="Traveler")*('Members Data'!C2:C100="Priest"),'Members Data'!E2:E100))/SUM(('Members Data'!C2:C100="Priest")*('Members Data'!B2:B100="Traveler")))</f>
        <v>635</v>
      </c>
      <c r="G75" s="158"/>
      <c r="H75" s="520" t="s">
        <v>76</v>
      </c>
      <c r="I75" s="521"/>
      <c r="J75" s="422">
        <v>60792</v>
      </c>
      <c r="K75" s="424">
        <f t="shared" si="4"/>
        <v>24316.799999999999</v>
      </c>
      <c r="L75" s="422">
        <f t="shared" si="2"/>
        <v>36475.199999999997</v>
      </c>
      <c r="M75" s="354"/>
      <c r="N75" s="409"/>
      <c r="O75" s="425">
        <f t="shared" si="5"/>
        <v>60792</v>
      </c>
      <c r="Q75" s="354"/>
    </row>
    <row r="76" spans="2:19" ht="15" customHeight="1" thickBot="1">
      <c r="B76" s="363" t="s">
        <v>15</v>
      </c>
      <c r="C76" s="382">
        <f>SUMIF('Members Data'!C2:C100,"Rogue",'Members Data'!E2:E100)/COUNTIF('Members Data'!C2:C100,"Rogue")</f>
        <v>637</v>
      </c>
      <c r="D76" s="462">
        <f t="array" ref="D76">IF(SUM(('Members Data'!C2:C100="Rogue")*('Members Data'!B2:B100="Venturer"))=0,0,SUM(IF(('Members Data'!B2:B100="Venturer")*('Members Data'!C2:C100="Rogue"),'Members Data'!E2:E100))/SUM(('Members Data'!C2:C100="Rogue")*('Members Data'!B2:B100="Venturer")))</f>
        <v>637</v>
      </c>
      <c r="E76" s="463">
        <f t="array" ref="E76">IF(SUM(('Members Data'!C2:C100="Rogue")*('Members Data'!B2:B100="Errant"))=0,0,SUM(IF(('Members Data'!B2:B100="Errant")*('Members Data'!C2:C100="Rogue"),'Members Data'!E2:E100))/SUM(('Members Data'!C2:C100="Rogue")*('Members Data'!B2:B100="Errant")))</f>
        <v>0</v>
      </c>
      <c r="F76" s="457">
        <f t="array" ref="F76">IF(SUM(('Members Data'!C2:C100="Rogue")*('Members Data'!B2:B100="Traveler"))=0,0,SUM(IF(('Members Data'!B2:B100="Traveler")*('Members Data'!C2:C100="Rogue"),'Members Data'!E2:E100))/SUM(('Members Data'!C2:C100="Rogue")*('Members Data'!B2:B100="Traveler")))</f>
        <v>0</v>
      </c>
      <c r="G76" s="158"/>
      <c r="H76" s="522" t="s">
        <v>80</v>
      </c>
      <c r="I76" s="523"/>
      <c r="J76" s="496">
        <v>66197</v>
      </c>
      <c r="K76" s="500">
        <f t="shared" si="4"/>
        <v>26478.800000000003</v>
      </c>
      <c r="L76" s="496">
        <f t="shared" si="2"/>
        <v>39718.200000000004</v>
      </c>
      <c r="M76" s="354"/>
      <c r="N76" s="409"/>
      <c r="O76" s="425">
        <f t="shared" si="5"/>
        <v>66197</v>
      </c>
      <c r="Q76" s="354"/>
    </row>
    <row r="77" spans="2:19" ht="15" customHeight="1" thickBot="1">
      <c r="B77" s="363" t="s">
        <v>16</v>
      </c>
      <c r="C77" s="382">
        <f>SUMIF('Members Data'!C2:C100,"Shaman",'Members Data'!E2:E100)/COUNTIF('Members Data'!C2:C100,"Shaman")</f>
        <v>626.66666666666663</v>
      </c>
      <c r="D77" s="462">
        <f t="array" ref="D77">IF(SUM(('Members Data'!C2:C100="Shaman")*('Members Data'!B2:B100="Venturer"))=0,0,SUM(IF(('Members Data'!B2:B100="Venturer")*('Members Data'!C2:C100="Shaman"),'Members Data'!E2:E100))/SUM(('Members Data'!C2:C100="Shaman")*('Members Data'!B2:B100="Venturer")))</f>
        <v>636.75</v>
      </c>
      <c r="E77" s="463">
        <f t="array" ref="E77">IF(SUM(('Members Data'!C2:C100="Shaman")*('Members Data'!B2:B100="Errant"))=0,0,SUM(IF(('Members Data'!B2:B100="Errant")*('Members Data'!C2:C100="Shaman"),'Members Data'!E2:E100))/SUM(('Members Data'!C2:C100="Shaman")*('Members Data'!B2:B100="Errant")))</f>
        <v>0</v>
      </c>
      <c r="F77" s="457">
        <f t="array" ref="F77">IF(SUM(('Members Data'!C2:C100="Shaman")*('Members Data'!B2:B100="Traveler"))=0,0,SUM(IF(('Members Data'!B2:B100="Traveler")*('Members Data'!C2:C100="Shaman"),'Members Data'!E2:E100))/SUM(('Members Data'!C2:C100="Shaman")*('Members Data'!B2:B100="Traveler")))</f>
        <v>606.5</v>
      </c>
      <c r="G77" s="158"/>
      <c r="H77" s="518" t="s">
        <v>161</v>
      </c>
      <c r="I77" s="526"/>
      <c r="J77" s="526"/>
      <c r="K77" s="526"/>
      <c r="L77" s="527"/>
      <c r="N77" s="518"/>
      <c r="O77" s="519"/>
    </row>
    <row r="78" spans="2:19" ht="15" customHeight="1">
      <c r="B78" s="363" t="s">
        <v>22</v>
      </c>
      <c r="C78" s="382">
        <f>SUMIF('Members Data'!C2:C100,"Warlock",'Members Data'!E2:E100)/COUNTIF('Members Data'!C2:C100,"Warlock")</f>
        <v>615.33333333333337</v>
      </c>
      <c r="D78" s="462">
        <f t="array" ref="D78">IF(SUM(('Members Data'!C2:C100="Warlock")*('Members Data'!B2:B100="Venturer"))=0,0,SUM(IF(('Members Data'!B2:B100="Venturer")*('Members Data'!C2:C100="Warlock"),'Members Data'!E2:E100))/SUM(('Members Data'!C2:C100="Warlock")*('Members Data'!B2:B100="Venturer")))</f>
        <v>639.66666666666663</v>
      </c>
      <c r="E78" s="463">
        <f t="array" ref="E78">IF(SUM(('Members Data'!C2:C100="Warlock")*('Members Data'!B2:B100="Errant"))=0,0,SUM(IF(('Members Data'!B2:B100="Errant")*('Members Data'!C2:C100="Warlock"),'Members Data'!E2:E100))/SUM(('Members Data'!C2:C100="Warlock")*('Members Data'!B2:B100="Errant")))</f>
        <v>567.5</v>
      </c>
      <c r="F78" s="457">
        <f t="array" ref="F78">IF(SUM(('Members Data'!C2:C100="Warlock")*('Members Data'!B2:B100="Traveler"))=0,0,SUM(IF(('Members Data'!B2:B100="Traveler")*('Members Data'!C2:C100="Warlock"),'Members Data'!E2:E100))/SUM(('Members Data'!C2:C100="Warlock")*('Members Data'!B2:B100="Traveler")))</f>
        <v>638</v>
      </c>
      <c r="G78" s="158"/>
      <c r="H78" s="524" t="s">
        <v>81</v>
      </c>
      <c r="I78" s="525"/>
      <c r="J78" s="498">
        <v>1</v>
      </c>
      <c r="K78" s="499">
        <f>J78/100*$F$83</f>
        <v>0.4</v>
      </c>
      <c r="L78" s="498">
        <f>J78/100*$F$84</f>
        <v>0.6</v>
      </c>
      <c r="N78" s="409"/>
      <c r="O78" s="425">
        <f>J78</f>
        <v>1</v>
      </c>
      <c r="Q78" s="354"/>
    </row>
    <row r="79" spans="2:19" ht="15" customHeight="1" thickBot="1">
      <c r="B79" s="383" t="s">
        <v>17</v>
      </c>
      <c r="C79" s="384">
        <f>SUMIF('Members Data'!C2:C100,"Warrior",'Members Data'!E2:E100)/COUNTIF('Members Data'!C2:C100,"Warrior")</f>
        <v>624.20000000000005</v>
      </c>
      <c r="D79" s="464">
        <f t="array" ref="D79">IF(SUM(('Members Data'!C2:C100="Warrior")*('Members Data'!B2:B100="Venturer"))=0,0,SUM(IF(('Members Data'!B2:B100="Venturer")*('Members Data'!C2:C100="Warrior"),'Members Data'!E2:E100))/SUM(('Members Data'!C2:C100="Warrior")*('Members Data'!B2:B100="Venturer")))</f>
        <v>629.25</v>
      </c>
      <c r="E79" s="465">
        <f t="array" ref="E79">IF(SUM(('Members Data'!C2:C100="Warrior")*('Members Data'!B2:B100="Errant"))=0,0,SUM(IF(('Members Data'!B2:B100="Errant")*('Members Data'!C2:C100="Warrior"),'Members Data'!E2:E100))/SUM(('Members Data'!C2:C100="Warrior")*('Members Data'!B2:B100="Errant")))</f>
        <v>616</v>
      </c>
      <c r="F79" s="458">
        <f t="array" ref="F79">IF(SUM(('Members Data'!C2:C100="Warrior")*('Members Data'!B2:B100="Traveler"))=0,0,SUM(IF(('Members Data'!B2:B100="Traveler")*('Members Data'!C2:C100="Warrior"),'Members Data'!E2:E100))/SUM(('Members Data'!C2:C100="Warrior")*('Members Data'!B2:B100="Traveler")))</f>
        <v>623.25</v>
      </c>
      <c r="G79" s="158"/>
      <c r="H79" s="520" t="s">
        <v>128</v>
      </c>
      <c r="I79" s="521"/>
      <c r="J79" s="422">
        <v>1</v>
      </c>
      <c r="K79" s="424">
        <f>J79/100*$F$83</f>
        <v>0.4</v>
      </c>
      <c r="L79" s="422">
        <f>J79/100*$F$84</f>
        <v>0.6</v>
      </c>
      <c r="N79" s="409"/>
      <c r="O79" s="425">
        <f t="shared" ref="O79:O82" si="6">J79</f>
        <v>1</v>
      </c>
      <c r="Q79" s="354"/>
    </row>
    <row r="80" spans="2:19" ht="15" customHeight="1" thickBot="1">
      <c r="B80" s="401"/>
      <c r="C80" s="168"/>
      <c r="D80" s="168"/>
      <c r="E80" s="168"/>
      <c r="F80" s="168"/>
      <c r="G80" s="158"/>
      <c r="H80" s="520" t="s">
        <v>127</v>
      </c>
      <c r="I80" s="521"/>
      <c r="J80" s="422">
        <v>1</v>
      </c>
      <c r="K80" s="424">
        <f>J80/100*$F$83</f>
        <v>0.4</v>
      </c>
      <c r="L80" s="422">
        <f>J80/100*$F$84</f>
        <v>0.6</v>
      </c>
      <c r="N80" s="409"/>
      <c r="O80" s="425">
        <f t="shared" si="6"/>
        <v>1</v>
      </c>
    </row>
    <row r="81" spans="2:17" ht="15" customHeight="1" thickBot="1">
      <c r="B81" s="402" t="s">
        <v>88</v>
      </c>
      <c r="C81" s="23" t="s">
        <v>93</v>
      </c>
      <c r="D81" s="23" t="s">
        <v>309</v>
      </c>
      <c r="E81" s="23"/>
      <c r="F81" s="23" t="s">
        <v>87</v>
      </c>
      <c r="G81" s="158"/>
      <c r="H81" s="520" t="s">
        <v>82</v>
      </c>
      <c r="I81" s="521"/>
      <c r="J81" s="422">
        <v>1</v>
      </c>
      <c r="K81" s="424">
        <f>J81/100*$F$83</f>
        <v>0.4</v>
      </c>
      <c r="L81" s="422">
        <f>J81/100*$F$84</f>
        <v>0.6</v>
      </c>
      <c r="N81" s="409"/>
      <c r="O81" s="425">
        <f t="shared" si="6"/>
        <v>1</v>
      </c>
      <c r="Q81" s="354"/>
    </row>
    <row r="82" spans="2:17" ht="15" customHeight="1" thickBot="1">
      <c r="B82" s="400" t="s">
        <v>24</v>
      </c>
      <c r="C82" s="169">
        <v>0</v>
      </c>
      <c r="D82" s="169">
        <v>0</v>
      </c>
      <c r="E82" s="169"/>
      <c r="F82" s="169">
        <v>0</v>
      </c>
      <c r="G82" s="158"/>
      <c r="H82" s="529" t="s">
        <v>83</v>
      </c>
      <c r="I82" s="530"/>
      <c r="J82" s="423">
        <v>1</v>
      </c>
      <c r="K82" s="424">
        <f>J82/100*$F$83</f>
        <v>0.4</v>
      </c>
      <c r="L82" s="423">
        <f>J82/100*$F$84</f>
        <v>0.6</v>
      </c>
      <c r="N82" s="409"/>
      <c r="O82" s="425">
        <f t="shared" si="6"/>
        <v>1</v>
      </c>
      <c r="Q82" s="354"/>
    </row>
    <row r="83" spans="2:17" ht="15" customHeight="1">
      <c r="B83" s="363" t="s">
        <v>164</v>
      </c>
      <c r="C83" s="385">
        <v>4</v>
      </c>
      <c r="D83" s="385">
        <v>620</v>
      </c>
      <c r="E83" s="385"/>
      <c r="F83" s="385">
        <v>40</v>
      </c>
      <c r="G83" s="158"/>
      <c r="H83" s="158"/>
      <c r="I83" s="158"/>
      <c r="J83" s="158"/>
      <c r="K83" s="357"/>
      <c r="L83" s="159"/>
      <c r="N83" s="163"/>
      <c r="O83" s="160"/>
    </row>
    <row r="84" spans="2:17" ht="15" customHeight="1" thickBot="1">
      <c r="B84" s="386" t="s">
        <v>23</v>
      </c>
      <c r="C84" s="387">
        <v>7</v>
      </c>
      <c r="D84" s="387">
        <v>630</v>
      </c>
      <c r="E84" s="387"/>
      <c r="F84" s="387">
        <v>60</v>
      </c>
      <c r="G84" s="161"/>
      <c r="H84" s="161"/>
      <c r="I84" s="161"/>
      <c r="J84" s="161"/>
      <c r="K84" s="403"/>
      <c r="L84" s="404"/>
      <c r="N84" s="407"/>
      <c r="O84" s="162"/>
    </row>
  </sheetData>
  <sortState ref="I61:J64">
    <sortCondition ref="I61"/>
  </sortState>
  <mergeCells count="41">
    <mergeCell ref="H82:I82"/>
    <mergeCell ref="H74:I74"/>
    <mergeCell ref="H75:I75"/>
    <mergeCell ref="H76:I76"/>
    <mergeCell ref="H78:I78"/>
    <mergeCell ref="H79:I79"/>
    <mergeCell ref="H60:I60"/>
    <mergeCell ref="H61:I61"/>
    <mergeCell ref="H62:I62"/>
    <mergeCell ref="H80:I80"/>
    <mergeCell ref="H81:I81"/>
    <mergeCell ref="H55:I55"/>
    <mergeCell ref="H56:I56"/>
    <mergeCell ref="H57:I57"/>
    <mergeCell ref="H58:I58"/>
    <mergeCell ref="H59:I59"/>
    <mergeCell ref="H50:I50"/>
    <mergeCell ref="H51:I51"/>
    <mergeCell ref="H52:I52"/>
    <mergeCell ref="H53:I53"/>
    <mergeCell ref="H54:I54"/>
    <mergeCell ref="H46:L46"/>
    <mergeCell ref="H45:I45"/>
    <mergeCell ref="H47:I47"/>
    <mergeCell ref="H48:I48"/>
    <mergeCell ref="H49:I49"/>
    <mergeCell ref="B63:F63"/>
    <mergeCell ref="N70:O70"/>
    <mergeCell ref="N77:O77"/>
    <mergeCell ref="H63:I63"/>
    <mergeCell ref="H64:I64"/>
    <mergeCell ref="H65:I65"/>
    <mergeCell ref="H66:I66"/>
    <mergeCell ref="H67:I67"/>
    <mergeCell ref="H68:I68"/>
    <mergeCell ref="H69:I69"/>
    <mergeCell ref="H71:I71"/>
    <mergeCell ref="H72:I72"/>
    <mergeCell ref="H73:I73"/>
    <mergeCell ref="H70:L70"/>
    <mergeCell ref="H77:L77"/>
  </mergeCells>
  <pageMargins left="0.7" right="0.7" top="0.75" bottom="0.75" header="0.51180555555555551" footer="0.51180555555555551"/>
  <pageSetup paperSize="9" firstPageNumber="0" orientation="portrait" horizontalDpi="300" verticalDpi="300" r:id="rId1"/>
  <headerFooter alignWithMargins="0"/>
  <ignoredErrors>
    <ignoredError sqref="F58:F59" formula="1"/>
  </ignoredError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U163"/>
  <sheetViews>
    <sheetView workbookViewId="0">
      <pane xSplit="1" ySplit="1" topLeftCell="C62" activePane="bottomRight" state="frozen"/>
      <selection activeCell="F51" sqref="F47:F51"/>
      <selection pane="topRight" activeCell="F51" sqref="F47:F51"/>
      <selection pane="bottomLeft" activeCell="F51" sqref="F47:F51"/>
      <selection pane="bottomRight" activeCell="J30" sqref="J30"/>
    </sheetView>
  </sheetViews>
  <sheetFormatPr defaultColWidth="8.7109375" defaultRowHeight="15" customHeight="1"/>
  <cols>
    <col min="1" max="1" width="14.140625" style="1" customWidth="1"/>
    <col min="2" max="2" width="14.140625" style="1" hidden="1" customWidth="1"/>
    <col min="3" max="3" width="14.140625" style="510" customWidth="1"/>
    <col min="4" max="4" width="22.140625" style="148" customWidth="1"/>
    <col min="5" max="5" width="14.28515625" style="1" customWidth="1"/>
    <col min="6" max="9" width="8.7109375" style="1" customWidth="1"/>
    <col min="10" max="10" width="13.7109375" style="1" customWidth="1"/>
    <col min="11" max="11" width="10.28515625" style="1" customWidth="1"/>
    <col min="12" max="15" width="8.7109375" style="1" customWidth="1"/>
    <col min="16" max="16" width="14" style="1" bestFit="1" customWidth="1"/>
    <col min="17" max="17" width="8.7109375" style="1"/>
    <col min="18" max="19" width="8.7109375" style="1" customWidth="1"/>
    <col min="20" max="16384" width="8.7109375" style="1"/>
  </cols>
  <sheetData>
    <row r="1" spans="1:21" ht="31.5" customHeight="1" thickBot="1">
      <c r="A1" s="40" t="s">
        <v>19</v>
      </c>
      <c r="B1" s="72" t="s">
        <v>30</v>
      </c>
      <c r="C1" s="506" t="s">
        <v>5</v>
      </c>
      <c r="D1" s="147" t="s">
        <v>342</v>
      </c>
      <c r="E1" s="31" t="s">
        <v>162</v>
      </c>
      <c r="F1" s="31" t="s">
        <v>84</v>
      </c>
      <c r="G1" s="31" t="s">
        <v>89</v>
      </c>
      <c r="H1" s="31" t="s">
        <v>90</v>
      </c>
      <c r="I1" s="31" t="s">
        <v>85</v>
      </c>
      <c r="J1" s="31" t="s">
        <v>86</v>
      </c>
      <c r="K1" s="31" t="s">
        <v>91</v>
      </c>
    </row>
    <row r="2" spans="1:21" ht="15" customHeight="1" thickTop="1">
      <c r="A2" s="44" t="str">
        <f>'Members Data'!A2</f>
        <v>Ablon</v>
      </c>
      <c r="B2" s="205">
        <v>40774</v>
      </c>
      <c r="C2" s="504" t="str">
        <f>'Members Data'!C2</f>
        <v>Priest</v>
      </c>
      <c r="D2" s="501" t="str">
        <f>VLOOKUP(Output!A2,'Look-up'!A:C,3,FALSE)</f>
        <v>Shadow</v>
      </c>
      <c r="E2" s="9">
        <f>VLOOKUP(Output!A2,'Look-up'!A:B,2,FALSE)</f>
        <v>635</v>
      </c>
      <c r="F2" s="355"/>
      <c r="G2" s="355"/>
      <c r="H2" s="355"/>
      <c r="I2" s="149">
        <f>IF(SUM($F2:$H2)=0,0,SUM($F2:$H2)/COUNTIF($F2:$H2, "&gt;0"))</f>
        <v>0</v>
      </c>
      <c r="J2" s="157">
        <f>Output!I2/VLOOKUP(C2&amp;" - "&amp;D2,'Short &amp; Simple'!$H$47:$J$82,3,FALSE)</f>
        <v>0</v>
      </c>
      <c r="K2" s="8" t="str">
        <f>IF(J2&gt;=$Q$4,"Venturer",IF(J2&gt;=$Q$3,"Errant","Traveler"))</f>
        <v>Traveler</v>
      </c>
      <c r="M2" s="319"/>
      <c r="O2" s="252">
        <f>COUNTIF(K2:K61,"Traveler")</f>
        <v>49</v>
      </c>
      <c r="P2" s="253" t="s">
        <v>24</v>
      </c>
      <c r="Q2" s="254">
        <f>'Short &amp; Simple'!F82/100</f>
        <v>0</v>
      </c>
    </row>
    <row r="3" spans="1:21" ht="15" customHeight="1">
      <c r="A3" s="44">
        <f>'Members Data'!A3</f>
        <v>0</v>
      </c>
      <c r="B3" s="205">
        <v>40774</v>
      </c>
      <c r="C3" s="505">
        <f>'Members Data'!C3</f>
        <v>0</v>
      </c>
      <c r="D3" s="502">
        <f>VLOOKUP(Output!A3,'Look-up'!A:C,3,FALSE)</f>
        <v>0</v>
      </c>
      <c r="E3" s="9">
        <f>VLOOKUP(Output!A3,'Look-up'!A:B,2,FALSE)</f>
        <v>0</v>
      </c>
      <c r="F3" s="355"/>
      <c r="G3" s="355"/>
      <c r="H3" s="355"/>
      <c r="I3" s="149">
        <f t="shared" ref="I3:I66" si="0">IF(SUM($F3:$H3)=0,0,SUM($F3:$H3)/COUNTIF($F3:$H3, "&gt;0"))</f>
        <v>0</v>
      </c>
      <c r="J3" s="153" t="e">
        <f>Output!I3/VLOOKUP(C3&amp;" - "&amp;D3,'Short &amp; Simple'!$H$47:$J$82,3,FALSE)</f>
        <v>#N/A</v>
      </c>
      <c r="K3" s="8" t="e">
        <f t="shared" ref="K3:K66" si="1">IF(J3&gt;=$Q$4,"Venturer",IF(J3&gt;=$Q$3,"Errant","Traveler"))</f>
        <v>#N/A</v>
      </c>
      <c r="M3" s="319"/>
      <c r="O3" s="255">
        <f>COUNTIF(K2:K61,"Venturer")</f>
        <v>0</v>
      </c>
      <c r="P3" s="256" t="s">
        <v>164</v>
      </c>
      <c r="Q3" s="257">
        <f>'Short &amp; Simple'!F83/100</f>
        <v>0.4</v>
      </c>
    </row>
    <row r="4" spans="1:21" ht="15" customHeight="1">
      <c r="A4" s="44" t="str">
        <f>'Members Data'!A4</f>
        <v>Akilta</v>
      </c>
      <c r="B4" s="205">
        <v>40774</v>
      </c>
      <c r="C4" s="507" t="str">
        <f>'Members Data'!C4</f>
        <v>Mage</v>
      </c>
      <c r="D4" s="208" t="str">
        <f>VLOOKUP(Output!A4,'Look-up'!A:C,3,FALSE)</f>
        <v>Frost</v>
      </c>
      <c r="E4" s="9">
        <f>VLOOKUP(Output!A4,'Look-up'!A:B,2,FALSE)</f>
        <v>622</v>
      </c>
      <c r="F4" s="355"/>
      <c r="G4" s="355"/>
      <c r="H4" s="355"/>
      <c r="I4" s="149">
        <f t="shared" si="0"/>
        <v>0</v>
      </c>
      <c r="J4" s="153">
        <f>Output!I4/VLOOKUP(C4&amp;" - "&amp;D4,'Short &amp; Simple'!$H$47:$J$82,3,FALSE)</f>
        <v>0</v>
      </c>
      <c r="K4" s="8" t="str">
        <f t="shared" si="1"/>
        <v>Traveler</v>
      </c>
      <c r="M4" s="319"/>
      <c r="O4" s="255">
        <f>COUNTIF(K2:K61,"Gladiator")</f>
        <v>0</v>
      </c>
      <c r="P4" s="256" t="s">
        <v>23</v>
      </c>
      <c r="Q4" s="257">
        <f>'Short &amp; Simple'!F84/100</f>
        <v>0.6</v>
      </c>
      <c r="U4" s="164"/>
    </row>
    <row r="5" spans="1:21" ht="15" customHeight="1">
      <c r="A5" s="44" t="str">
        <f>'Members Data'!A5</f>
        <v>Altrezza</v>
      </c>
      <c r="B5" s="205">
        <v>40774</v>
      </c>
      <c r="C5" s="507" t="str">
        <f>'Members Data'!C5</f>
        <v>Shaman</v>
      </c>
      <c r="D5" s="208" t="str">
        <f>VLOOKUP(Output!A5,'Look-up'!A:C,3,FALSE)</f>
        <v>Elemental</v>
      </c>
      <c r="E5" s="9">
        <f>VLOOKUP(Output!A5,'Look-up'!A:B,2,FALSE)</f>
        <v>634</v>
      </c>
      <c r="F5" s="355"/>
      <c r="G5" s="355"/>
      <c r="H5" s="355"/>
      <c r="I5" s="149">
        <f t="shared" si="0"/>
        <v>0</v>
      </c>
      <c r="J5" s="153">
        <f>Output!I5/VLOOKUP(C5&amp;" - "&amp;D5,'Short &amp; Simple'!$H$47:$J$82,3,FALSE)</f>
        <v>0</v>
      </c>
      <c r="K5" s="8" t="str">
        <f t="shared" si="1"/>
        <v>Traveler</v>
      </c>
      <c r="M5" s="319"/>
      <c r="O5" s="255"/>
      <c r="P5" s="256"/>
      <c r="Q5" s="258"/>
      <c r="U5" s="164"/>
    </row>
    <row r="6" spans="1:21" ht="15" customHeight="1" thickBot="1">
      <c r="A6" s="44" t="str">
        <f>'Members Data'!A6</f>
        <v>Amaras</v>
      </c>
      <c r="B6" s="205">
        <v>40774</v>
      </c>
      <c r="C6" s="507" t="str">
        <f>'Members Data'!C6</f>
        <v>Mage</v>
      </c>
      <c r="D6" s="208" t="str">
        <f>VLOOKUP(Output!A6,'Look-up'!A:C,3,FALSE)</f>
        <v>Frost</v>
      </c>
      <c r="E6" s="9">
        <f>VLOOKUP(Output!A6,'Look-up'!A:B,2,FALSE)</f>
        <v>519</v>
      </c>
      <c r="F6" s="355"/>
      <c r="G6" s="355"/>
      <c r="H6" s="355"/>
      <c r="I6" s="149">
        <f t="shared" si="0"/>
        <v>0</v>
      </c>
      <c r="J6" s="153">
        <f>Output!I6/VLOOKUP(C6&amp;" - "&amp;D6,'Short &amp; Simple'!$H$47:$J$82,3,FALSE)</f>
        <v>0</v>
      </c>
      <c r="K6" s="8" t="str">
        <f t="shared" si="1"/>
        <v>Traveler</v>
      </c>
      <c r="M6" s="319"/>
      <c r="O6" s="259"/>
      <c r="P6" s="260"/>
      <c r="Q6" s="261"/>
      <c r="U6" s="164"/>
    </row>
    <row r="7" spans="1:21" ht="15" customHeight="1" thickTop="1">
      <c r="A7" s="44" t="str">
        <f>'Members Data'!A7</f>
        <v>Angelhoof</v>
      </c>
      <c r="B7" s="205">
        <v>40774</v>
      </c>
      <c r="C7" s="507" t="str">
        <f>'Members Data'!C7</f>
        <v>Priest</v>
      </c>
      <c r="D7" s="410" t="str">
        <f>VLOOKUP(Output!A7,'Look-up'!A:C,3,FALSE)</f>
        <v>Holy</v>
      </c>
      <c r="E7" s="9">
        <f>VLOOKUP(Output!A7,'Look-up'!A:B,2,FALSE)</f>
        <v>600</v>
      </c>
      <c r="F7" s="355"/>
      <c r="G7" s="355"/>
      <c r="H7" s="355"/>
      <c r="I7" s="149">
        <f t="shared" si="0"/>
        <v>0</v>
      </c>
      <c r="J7" s="153">
        <f>Output!I7/VLOOKUP(C7&amp;" - "&amp;D7,'Short &amp; Simple'!$H$47:$J$82,3,FALSE)</f>
        <v>0</v>
      </c>
      <c r="K7" s="8" t="str">
        <f t="shared" si="1"/>
        <v>Traveler</v>
      </c>
      <c r="M7" s="319"/>
      <c r="O7" s="213"/>
    </row>
    <row r="8" spans="1:21" ht="15" customHeight="1">
      <c r="A8" s="44" t="str">
        <f>'Members Data'!A8</f>
        <v>Ánja</v>
      </c>
      <c r="B8" s="205">
        <v>40774</v>
      </c>
      <c r="C8" s="507" t="str">
        <f>'Members Data'!C8</f>
        <v>Priest</v>
      </c>
      <c r="D8" s="410" t="str">
        <f>VLOOKUP(Output!A8,'Look-up'!A:C,3,FALSE)</f>
        <v>Discipline</v>
      </c>
      <c r="E8" s="9">
        <f>VLOOKUP(Output!A8,'Look-up'!A:B,2,FALSE)</f>
        <v>640</v>
      </c>
      <c r="F8" s="355"/>
      <c r="G8" s="355"/>
      <c r="H8" s="355"/>
      <c r="I8" s="149">
        <f t="shared" si="0"/>
        <v>0</v>
      </c>
      <c r="J8" s="153">
        <f>Output!I8/VLOOKUP(C8&amp;" - "&amp;D8,'Short &amp; Simple'!$H$47:$J$82,3,FALSE)</f>
        <v>0</v>
      </c>
      <c r="K8" s="8" t="str">
        <f t="shared" si="1"/>
        <v>Traveler</v>
      </c>
      <c r="M8" s="319"/>
      <c r="O8" s="411"/>
      <c r="P8" s="256"/>
    </row>
    <row r="9" spans="1:21" ht="15" customHeight="1">
      <c r="A9" s="44" t="str">
        <f>'Members Data'!A9</f>
        <v>Asch</v>
      </c>
      <c r="B9" s="205">
        <v>40774</v>
      </c>
      <c r="C9" s="507" t="str">
        <f>'Members Data'!C9</f>
        <v>Hunter</v>
      </c>
      <c r="D9" s="410" t="str">
        <f>VLOOKUP(Output!A9,'Look-up'!A:C,3,FALSE)</f>
        <v>Survival</v>
      </c>
      <c r="E9" s="9">
        <f>VLOOKUP(Output!A9,'Look-up'!A:B,2,FALSE)</f>
        <v>581</v>
      </c>
      <c r="F9" s="355"/>
      <c r="G9" s="355"/>
      <c r="H9" s="355"/>
      <c r="I9" s="149">
        <f t="shared" si="0"/>
        <v>0</v>
      </c>
      <c r="J9" s="153">
        <f>Output!I9/VLOOKUP(C9&amp;" - "&amp;D9,'Short &amp; Simple'!$H$47:$J$82,3,FALSE)</f>
        <v>0</v>
      </c>
      <c r="K9" s="8" t="str">
        <f t="shared" si="1"/>
        <v>Traveler</v>
      </c>
      <c r="M9" s="319"/>
      <c r="O9" s="411"/>
      <c r="P9" s="256"/>
    </row>
    <row r="10" spans="1:21" ht="15" customHeight="1">
      <c r="A10" s="44" t="str">
        <f>'Members Data'!A10</f>
        <v>Avane</v>
      </c>
      <c r="B10" s="205">
        <v>40774</v>
      </c>
      <c r="C10" s="507" t="str">
        <f>'Members Data'!C10</f>
        <v>Paladin</v>
      </c>
      <c r="D10" s="410" t="str">
        <f>VLOOKUP(Output!A10,'Look-up'!A:C,3,FALSE)</f>
        <v>Retribution</v>
      </c>
      <c r="E10" s="9">
        <f>VLOOKUP(Output!A10,'Look-up'!A:B,2,FALSE)</f>
        <v>617</v>
      </c>
      <c r="F10" s="355"/>
      <c r="G10" s="355"/>
      <c r="H10" s="355"/>
      <c r="I10" s="149">
        <f t="shared" si="0"/>
        <v>0</v>
      </c>
      <c r="J10" s="153">
        <f>Output!I10/VLOOKUP(C10&amp;" - "&amp;D10,'Short &amp; Simple'!$H$47:$J$82,3,FALSE)</f>
        <v>0</v>
      </c>
      <c r="K10" s="8" t="str">
        <f t="shared" si="1"/>
        <v>Traveler</v>
      </c>
      <c r="M10" s="319"/>
      <c r="O10" s="411"/>
      <c r="P10" s="256"/>
    </row>
    <row r="11" spans="1:21" ht="15" customHeight="1">
      <c r="A11" s="44" t="str">
        <f>'Members Data'!A11</f>
        <v>Beargrels</v>
      </c>
      <c r="B11" s="205">
        <v>40774</v>
      </c>
      <c r="C11" s="507" t="str">
        <f>'Members Data'!C11</f>
        <v>Druid</v>
      </c>
      <c r="D11" s="410" t="str">
        <f>VLOOKUP(Output!A11,'Look-up'!A:C,3,FALSE)</f>
        <v>Feral</v>
      </c>
      <c r="E11" s="9">
        <f>VLOOKUP(Output!A11,'Look-up'!A:B,2,FALSE)</f>
        <v>628</v>
      </c>
      <c r="F11" s="355"/>
      <c r="G11" s="355"/>
      <c r="H11" s="355"/>
      <c r="I11" s="149">
        <f t="shared" si="0"/>
        <v>0</v>
      </c>
      <c r="J11" s="153">
        <f>Output!I11/VLOOKUP(C11&amp;" - "&amp;D11,'Short &amp; Simple'!$H$47:$J$82,3,FALSE)</f>
        <v>0</v>
      </c>
      <c r="K11" s="8" t="str">
        <f t="shared" si="1"/>
        <v>Traveler</v>
      </c>
      <c r="M11" s="319"/>
      <c r="O11" s="411"/>
      <c r="P11" s="256"/>
    </row>
    <row r="12" spans="1:21" ht="15" customHeight="1">
      <c r="A12" s="44" t="str">
        <f>'Members Data'!A12</f>
        <v>Blackcheeta</v>
      </c>
      <c r="B12" s="205">
        <v>40774</v>
      </c>
      <c r="C12" s="507" t="str">
        <f>'Members Data'!C12</f>
        <v>Mage</v>
      </c>
      <c r="D12" s="410" t="str">
        <f>VLOOKUP(Output!A12,'Look-up'!A:C,3,FALSE)</f>
        <v>Frost</v>
      </c>
      <c r="E12" s="9">
        <f>VLOOKUP(Output!A12,'Look-up'!A:B,2,FALSE)</f>
        <v>635</v>
      </c>
      <c r="F12" s="355"/>
      <c r="G12" s="355"/>
      <c r="H12" s="355"/>
      <c r="I12" s="149">
        <f t="shared" si="0"/>
        <v>0</v>
      </c>
      <c r="J12" s="153">
        <f>Output!I12/VLOOKUP(C12&amp;" - "&amp;D12,'Short &amp; Simple'!$H$47:$J$82,3,FALSE)</f>
        <v>0</v>
      </c>
      <c r="K12" s="8" t="str">
        <f t="shared" si="1"/>
        <v>Traveler</v>
      </c>
      <c r="M12" s="319"/>
      <c r="O12" s="411"/>
      <c r="P12" s="256"/>
    </row>
    <row r="13" spans="1:21" ht="15" customHeight="1">
      <c r="A13" s="44">
        <f>'Members Data'!A13</f>
        <v>0</v>
      </c>
      <c r="B13" s="205">
        <v>40774</v>
      </c>
      <c r="C13" s="507">
        <f>'Members Data'!C13</f>
        <v>0</v>
      </c>
      <c r="D13" s="410">
        <f>VLOOKUP(Output!A13,'Look-up'!A:C,3,FALSE)</f>
        <v>0</v>
      </c>
      <c r="E13" s="9">
        <f>VLOOKUP(Output!A13,'Look-up'!A:B,2,FALSE)</f>
        <v>0</v>
      </c>
      <c r="F13" s="355"/>
      <c r="G13" s="355"/>
      <c r="H13" s="355"/>
      <c r="I13" s="149">
        <f t="shared" si="0"/>
        <v>0</v>
      </c>
      <c r="J13" s="153" t="e">
        <f>Output!I13/VLOOKUP(C13&amp;" - "&amp;D13,'Short &amp; Simple'!$H$47:$J$82,3,FALSE)</f>
        <v>#N/A</v>
      </c>
      <c r="K13" s="8" t="e">
        <f t="shared" si="1"/>
        <v>#N/A</v>
      </c>
      <c r="M13" s="319"/>
      <c r="O13" s="411"/>
      <c r="P13" s="256"/>
    </row>
    <row r="14" spans="1:21" ht="15" customHeight="1">
      <c r="A14" s="44" t="str">
        <f>'Members Data'!A14</f>
        <v>Brownale</v>
      </c>
      <c r="B14" s="205">
        <v>40774</v>
      </c>
      <c r="C14" s="507" t="str">
        <f>'Members Data'!C14</f>
        <v>Druid</v>
      </c>
      <c r="D14" s="410" t="str">
        <f>VLOOKUP(Output!A14,'Look-up'!A:C,3,FALSE)</f>
        <v>Guardian</v>
      </c>
      <c r="E14" s="9">
        <f>VLOOKUP(Output!A14,'Look-up'!A:B,2,FALSE)</f>
        <v>635</v>
      </c>
      <c r="F14" s="355"/>
      <c r="G14" s="355"/>
      <c r="H14" s="355"/>
      <c r="I14" s="149">
        <f t="shared" si="0"/>
        <v>0</v>
      </c>
      <c r="J14" s="153">
        <f>Output!I14/VLOOKUP(C14&amp;" - "&amp;D14,'Short &amp; Simple'!$H$47:$J$82,3,FALSE)</f>
        <v>0</v>
      </c>
      <c r="K14" s="8" t="str">
        <f t="shared" si="1"/>
        <v>Traveler</v>
      </c>
      <c r="M14" s="319"/>
      <c r="O14" s="411"/>
      <c r="P14" s="256"/>
    </row>
    <row r="15" spans="1:21" ht="15" customHeight="1">
      <c r="A15" s="44">
        <f>'Members Data'!A15</f>
        <v>0</v>
      </c>
      <c r="B15" s="205">
        <v>40774</v>
      </c>
      <c r="C15" s="507">
        <f>'Members Data'!C15</f>
        <v>0</v>
      </c>
      <c r="D15" s="410">
        <f>VLOOKUP(Output!A15,'Look-up'!A:C,3,FALSE)</f>
        <v>0</v>
      </c>
      <c r="E15" s="9">
        <f>VLOOKUP(Output!A15,'Look-up'!A:B,2,FALSE)</f>
        <v>0</v>
      </c>
      <c r="F15" s="355"/>
      <c r="G15" s="355"/>
      <c r="H15" s="355"/>
      <c r="I15" s="149">
        <f t="shared" si="0"/>
        <v>0</v>
      </c>
      <c r="J15" s="153" t="e">
        <f>Output!I15/VLOOKUP(C15&amp;" - "&amp;D15,'Short &amp; Simple'!$H$47:$J$82,3,FALSE)</f>
        <v>#N/A</v>
      </c>
      <c r="K15" s="8" t="e">
        <f t="shared" si="1"/>
        <v>#N/A</v>
      </c>
      <c r="M15" s="319"/>
      <c r="O15" s="213"/>
    </row>
    <row r="16" spans="1:21" ht="15" customHeight="1">
      <c r="A16" s="44" t="str">
        <f>'Members Data'!A16</f>
        <v>Masher</v>
      </c>
      <c r="B16" s="205">
        <v>40774</v>
      </c>
      <c r="C16" s="507" t="str">
        <f>'Members Data'!C16</f>
        <v>Warrior</v>
      </c>
      <c r="D16" s="410" t="str">
        <f>VLOOKUP(Output!A16,'Look-up'!A:C,3,FALSE)</f>
        <v>Fury</v>
      </c>
      <c r="E16" s="9">
        <f>VLOOKUP(Output!A16,'Look-up'!A:B,2,FALSE)</f>
        <v>621</v>
      </c>
      <c r="F16" s="355"/>
      <c r="G16" s="355"/>
      <c r="H16" s="355"/>
      <c r="I16" s="149">
        <f t="shared" si="0"/>
        <v>0</v>
      </c>
      <c r="J16" s="153">
        <f>Output!I16/VLOOKUP(C16&amp;" - "&amp;D16,'Short &amp; Simple'!$H$47:$J$82,3,FALSE)</f>
        <v>0</v>
      </c>
      <c r="K16" s="8" t="str">
        <f t="shared" si="1"/>
        <v>Traveler</v>
      </c>
      <c r="M16" s="319"/>
      <c r="O16" s="213"/>
    </row>
    <row r="17" spans="1:15" ht="15" customHeight="1">
      <c r="A17" s="44" t="str">
        <f>'Members Data'!A17</f>
        <v>Dottiee</v>
      </c>
      <c r="B17" s="205">
        <v>40774</v>
      </c>
      <c r="C17" s="507" t="str">
        <f>'Members Data'!C17</f>
        <v>Paladin</v>
      </c>
      <c r="D17" s="410" t="str">
        <f>VLOOKUP(Output!A17,'Look-up'!A:C,3,FALSE)</f>
        <v>Holy</v>
      </c>
      <c r="E17" s="9">
        <f>VLOOKUP(Output!A17,'Look-up'!A:B,2,FALSE)</f>
        <v>637</v>
      </c>
      <c r="F17" s="355"/>
      <c r="G17" s="355"/>
      <c r="H17" s="355"/>
      <c r="I17" s="149">
        <f t="shared" si="0"/>
        <v>0</v>
      </c>
      <c r="J17" s="153">
        <f>Output!I17/VLOOKUP(C17&amp;" - "&amp;D17,'Short &amp; Simple'!$H$47:$J$82,3,FALSE)</f>
        <v>0</v>
      </c>
      <c r="K17" s="8" t="str">
        <f t="shared" si="1"/>
        <v>Traveler</v>
      </c>
      <c r="M17" s="319"/>
    </row>
    <row r="18" spans="1:15" ht="15" customHeight="1">
      <c r="A18" s="44" t="str">
        <f>'Members Data'!A18</f>
        <v>Dracoar</v>
      </c>
      <c r="B18" s="205">
        <v>40774</v>
      </c>
      <c r="C18" s="507" t="str">
        <f>'Members Data'!C18</f>
        <v>Warrior</v>
      </c>
      <c r="D18" s="410" t="str">
        <f>VLOOKUP(Output!A18,'Look-up'!A:C,3,FALSE)</f>
        <v>Protection</v>
      </c>
      <c r="E18" s="9">
        <f>VLOOKUP(Output!A18,'Look-up'!A:B,2,FALSE)</f>
        <v>625</v>
      </c>
      <c r="F18" s="355"/>
      <c r="G18" s="355"/>
      <c r="H18" s="355"/>
      <c r="I18" s="149">
        <f t="shared" si="0"/>
        <v>0</v>
      </c>
      <c r="J18" s="153">
        <f>Output!I18/VLOOKUP(C18&amp;" - "&amp;D18,'Short &amp; Simple'!$H$47:$J$82,3,FALSE)</f>
        <v>0</v>
      </c>
      <c r="K18" s="8" t="str">
        <f t="shared" si="1"/>
        <v>Traveler</v>
      </c>
      <c r="M18" s="319"/>
    </row>
    <row r="19" spans="1:15" ht="15" customHeight="1">
      <c r="A19" s="44" t="str">
        <f>'Members Data'!A19</f>
        <v>Drakodin</v>
      </c>
      <c r="B19" s="205">
        <v>40774</v>
      </c>
      <c r="C19" s="507" t="str">
        <f>'Members Data'!C19</f>
        <v>Paladin</v>
      </c>
      <c r="D19" s="410" t="str">
        <f>VLOOKUP(Output!A19,'Look-up'!A:C,3,FALSE)</f>
        <v>Protection</v>
      </c>
      <c r="E19" s="9">
        <f>VLOOKUP(Output!A19,'Look-up'!A:B,2,FALSE)</f>
        <v>636</v>
      </c>
      <c r="F19" s="355"/>
      <c r="G19" s="355"/>
      <c r="H19" s="355"/>
      <c r="I19" s="149">
        <f t="shared" si="0"/>
        <v>0</v>
      </c>
      <c r="J19" s="153">
        <f>Output!I19/VLOOKUP(C19&amp;" - "&amp;D19,'Short &amp; Simple'!$H$47:$J$82,3,FALSE)</f>
        <v>0</v>
      </c>
      <c r="K19" s="8" t="str">
        <f t="shared" si="1"/>
        <v>Traveler</v>
      </c>
      <c r="M19" s="319"/>
    </row>
    <row r="20" spans="1:15" ht="15" customHeight="1">
      <c r="A20" s="44" t="str">
        <f>'Members Data'!A20</f>
        <v>Drugged</v>
      </c>
      <c r="B20" s="205">
        <v>40774</v>
      </c>
      <c r="C20" s="507" t="str">
        <f>'Members Data'!C20</f>
        <v>Mage</v>
      </c>
      <c r="D20" s="410" t="str">
        <f>VLOOKUP(Output!A20,'Look-up'!A:C,3,FALSE)</f>
        <v>Frost</v>
      </c>
      <c r="E20" s="9">
        <f>VLOOKUP(Output!A20,'Look-up'!A:B,2,FALSE)</f>
        <v>648</v>
      </c>
      <c r="F20" s="355"/>
      <c r="G20" s="355"/>
      <c r="H20" s="355"/>
      <c r="I20" s="149">
        <f t="shared" si="0"/>
        <v>0</v>
      </c>
      <c r="J20" s="153">
        <f>Output!I20/VLOOKUP(C20&amp;" - "&amp;D20,'Short &amp; Simple'!$H$47:$J$82,3,FALSE)</f>
        <v>0</v>
      </c>
      <c r="K20" s="8" t="str">
        <f t="shared" si="1"/>
        <v>Traveler</v>
      </c>
      <c r="M20" s="319"/>
    </row>
    <row r="21" spans="1:15" ht="15" customHeight="1">
      <c r="A21" s="44" t="str">
        <f>'Members Data'!A21</f>
        <v>Eárendíl</v>
      </c>
      <c r="B21" s="205">
        <v>40774</v>
      </c>
      <c r="C21" s="507" t="str">
        <f>'Members Data'!C21</f>
        <v>Rogue</v>
      </c>
      <c r="D21" s="410" t="str">
        <f>VLOOKUP(Output!A21,'Look-up'!A:C,3,FALSE)</f>
        <v>Assassination</v>
      </c>
      <c r="E21" s="9">
        <f>VLOOKUP(Output!A21,'Look-up'!A:B,2,FALSE)</f>
        <v>637</v>
      </c>
      <c r="F21" s="355"/>
      <c r="G21" s="355"/>
      <c r="H21" s="355"/>
      <c r="I21" s="149">
        <f t="shared" si="0"/>
        <v>0</v>
      </c>
      <c r="J21" s="153">
        <f>Output!I21/VLOOKUP(C21&amp;" - "&amp;D21,'Short &amp; Simple'!$H$47:$J$82,3,FALSE)</f>
        <v>0</v>
      </c>
      <c r="K21" s="8" t="str">
        <f t="shared" si="1"/>
        <v>Traveler</v>
      </c>
      <c r="M21" s="319"/>
    </row>
    <row r="22" spans="1:15" ht="15" customHeight="1">
      <c r="A22" s="44" t="str">
        <f>'Members Data'!A22</f>
        <v>Emril</v>
      </c>
      <c r="B22" s="205">
        <v>40774</v>
      </c>
      <c r="C22" s="507" t="str">
        <f>'Members Data'!C22</f>
        <v>Death Knight</v>
      </c>
      <c r="D22" s="410" t="str">
        <f>VLOOKUP(Output!A22,'Look-up'!A:C,3,FALSE)</f>
        <v>Blood</v>
      </c>
      <c r="E22" s="9">
        <f>VLOOKUP(Output!A22,'Look-up'!A:B,2,FALSE)</f>
        <v>619</v>
      </c>
      <c r="F22" s="355"/>
      <c r="G22" s="355"/>
      <c r="H22" s="355"/>
      <c r="I22" s="149">
        <f t="shared" si="0"/>
        <v>0</v>
      </c>
      <c r="J22" s="153">
        <f>Output!I22/VLOOKUP(C22&amp;" - "&amp;D22,'Short &amp; Simple'!$H$47:$J$82,3,FALSE)</f>
        <v>0</v>
      </c>
      <c r="K22" s="8" t="str">
        <f t="shared" si="1"/>
        <v>Traveler</v>
      </c>
      <c r="M22" s="319"/>
    </row>
    <row r="23" spans="1:15" ht="15" customHeight="1">
      <c r="A23" s="44" t="str">
        <f>'Members Data'!A23</f>
        <v>Halfthings</v>
      </c>
      <c r="B23" s="205">
        <v>40774</v>
      </c>
      <c r="C23" s="507" t="str">
        <f>'Members Data'!C23</f>
        <v>Druid</v>
      </c>
      <c r="D23" s="410" t="str">
        <f>VLOOKUP(Output!A23,'Look-up'!A:C,3,FALSE)</f>
        <v>Balance</v>
      </c>
      <c r="E23" s="9">
        <f>VLOOKUP(Output!A23,'Look-up'!A:B,2,FALSE)</f>
        <v>630</v>
      </c>
      <c r="F23" s="355"/>
      <c r="G23" s="355"/>
      <c r="H23" s="355"/>
      <c r="I23" s="149">
        <f t="shared" si="0"/>
        <v>0</v>
      </c>
      <c r="J23" s="153">
        <f>Output!I23/VLOOKUP(C23&amp;" - "&amp;D23,'Short &amp; Simple'!$H$47:$J$82,3,FALSE)</f>
        <v>0</v>
      </c>
      <c r="K23" s="8" t="str">
        <f t="shared" si="1"/>
        <v>Traveler</v>
      </c>
      <c r="M23" s="319"/>
    </row>
    <row r="24" spans="1:15" ht="15" customHeight="1">
      <c r="A24" s="44" t="str">
        <f>'Members Data'!A24</f>
        <v>Harkar</v>
      </c>
      <c r="B24" s="205">
        <v>40774</v>
      </c>
      <c r="C24" s="507" t="str">
        <f>'Members Data'!C24</f>
        <v>Warlock</v>
      </c>
      <c r="D24" s="410" t="str">
        <f>VLOOKUP(Output!A24,'Look-up'!A:C,3,FALSE)</f>
        <v>Destruction</v>
      </c>
      <c r="E24" s="9">
        <f>VLOOKUP(Output!A24,'Look-up'!A:B,2,FALSE)</f>
        <v>637</v>
      </c>
      <c r="F24" s="355"/>
      <c r="G24" s="355"/>
      <c r="H24" s="355"/>
      <c r="I24" s="149">
        <f t="shared" si="0"/>
        <v>0</v>
      </c>
      <c r="J24" s="153">
        <f>Output!I24/VLOOKUP(C24&amp;" - "&amp;D24,'Short &amp; Simple'!$H$47:$J$82,3,FALSE)</f>
        <v>0</v>
      </c>
      <c r="K24" s="8" t="str">
        <f t="shared" si="1"/>
        <v>Traveler</v>
      </c>
      <c r="M24" s="319"/>
    </row>
    <row r="25" spans="1:15" ht="15" customHeight="1">
      <c r="A25" s="44" t="str">
        <f>'Members Data'!A25</f>
        <v>Hlianna</v>
      </c>
      <c r="B25" s="205">
        <v>40774</v>
      </c>
      <c r="C25" s="507" t="str">
        <f>'Members Data'!C25</f>
        <v>Rogue</v>
      </c>
      <c r="D25" s="410" t="str">
        <f>VLOOKUP(Output!A25,'Look-up'!A:C,3,FALSE)</f>
        <v>Assassination</v>
      </c>
      <c r="E25" s="9">
        <f>VLOOKUP(Output!A25,'Look-up'!A:B,2,FALSE)</f>
        <v>637</v>
      </c>
      <c r="F25" s="355"/>
      <c r="G25" s="355"/>
      <c r="H25" s="355"/>
      <c r="I25" s="149">
        <f t="shared" si="0"/>
        <v>0</v>
      </c>
      <c r="J25" s="153">
        <f>Output!I25/VLOOKUP(C25&amp;" - "&amp;D25,'Short &amp; Simple'!$H$47:$J$82,3,FALSE)</f>
        <v>0</v>
      </c>
      <c r="K25" s="8" t="str">
        <f t="shared" si="1"/>
        <v>Traveler</v>
      </c>
      <c r="M25" s="319"/>
    </row>
    <row r="26" spans="1:15" ht="15" customHeight="1">
      <c r="A26" s="44" t="str">
        <f>'Members Data'!A26</f>
        <v>Hormones</v>
      </c>
      <c r="B26" s="205">
        <v>40774</v>
      </c>
      <c r="C26" s="507" t="str">
        <f>'Members Data'!C26</f>
        <v>Warrior</v>
      </c>
      <c r="D26" s="410" t="str">
        <f>VLOOKUP(Output!A26,'Look-up'!A:C,3,FALSE)</f>
        <v>Fury</v>
      </c>
      <c r="E26" s="9">
        <f>VLOOKUP(Output!A26,'Look-up'!A:B,2,FALSE)</f>
        <v>617</v>
      </c>
      <c r="F26" s="355"/>
      <c r="G26" s="355"/>
      <c r="H26" s="355"/>
      <c r="I26" s="149">
        <f>IF(SUM($F26:$H26)=0,0,SUM($F26:$H26)/COUNTIF($F26:$H26, "&gt;0"))</f>
        <v>0</v>
      </c>
      <c r="J26" s="153">
        <f>Output!I26/VLOOKUP(C26&amp;" - "&amp;D26,'Short &amp; Simple'!$H$47:$J$82,3,FALSE)</f>
        <v>0</v>
      </c>
      <c r="K26" s="8" t="str">
        <f t="shared" si="1"/>
        <v>Traveler</v>
      </c>
      <c r="M26" s="319"/>
    </row>
    <row r="27" spans="1:15" ht="15" customHeight="1">
      <c r="A27" s="44" t="str">
        <f>'Members Data'!A27</f>
        <v>Hyperïon</v>
      </c>
      <c r="B27" s="205">
        <v>40774</v>
      </c>
      <c r="C27" s="507" t="str">
        <f>'Members Data'!C27</f>
        <v>Paladin</v>
      </c>
      <c r="D27" s="410" t="str">
        <f>VLOOKUP(Output!A27,'Look-up'!A:C,3,FALSE)</f>
        <v>Retribution</v>
      </c>
      <c r="E27" s="9">
        <f>VLOOKUP(Output!A27,'Look-up'!A:B,2,FALSE)</f>
        <v>635</v>
      </c>
      <c r="F27" s="355"/>
      <c r="G27" s="355"/>
      <c r="H27" s="355"/>
      <c r="I27" s="149">
        <f t="shared" si="0"/>
        <v>0</v>
      </c>
      <c r="J27" s="153">
        <f>Output!I27/VLOOKUP(C27&amp;" - "&amp;D27,'Short &amp; Simple'!$H$47:$J$82,3,FALSE)</f>
        <v>0</v>
      </c>
      <c r="K27" s="8" t="str">
        <f t="shared" si="1"/>
        <v>Traveler</v>
      </c>
      <c r="M27" s="319"/>
    </row>
    <row r="28" spans="1:15" ht="15" customHeight="1">
      <c r="A28" s="44" t="str">
        <f>'Members Data'!A28</f>
        <v>Hyunâ</v>
      </c>
      <c r="B28" s="205">
        <v>40774</v>
      </c>
      <c r="C28" s="507" t="str">
        <f>'Members Data'!C28</f>
        <v>Warlock</v>
      </c>
      <c r="D28" s="410" t="str">
        <f>VLOOKUP(Output!A28,'Look-up'!A:C,3,FALSE)</f>
        <v>Destruction</v>
      </c>
      <c r="E28" s="9">
        <f>VLOOKUP(Output!A28,'Look-up'!A:B,2,FALSE)</f>
        <v>569</v>
      </c>
      <c r="F28" s="355"/>
      <c r="G28" s="355"/>
      <c r="H28" s="355"/>
      <c r="I28" s="149">
        <f t="shared" si="0"/>
        <v>0</v>
      </c>
      <c r="J28" s="153">
        <f>Output!I28/VLOOKUP(C28&amp;" - "&amp;D28,'Short &amp; Simple'!$H$47:$J$82,3,FALSE)</f>
        <v>0</v>
      </c>
      <c r="K28" s="8" t="str">
        <f t="shared" si="1"/>
        <v>Traveler</v>
      </c>
      <c r="M28" s="319"/>
    </row>
    <row r="29" spans="1:15" ht="15" customHeight="1">
      <c r="A29" s="44" t="str">
        <f>'Members Data'!A29</f>
        <v>Izzabelle</v>
      </c>
      <c r="B29" s="205">
        <v>40774</v>
      </c>
      <c r="C29" s="507" t="str">
        <f>'Members Data'!C29</f>
        <v>Priest</v>
      </c>
      <c r="D29" s="410" t="str">
        <f>VLOOKUP(Output!A29,'Look-up'!A:C,3,FALSE)</f>
        <v>Shadow</v>
      </c>
      <c r="E29" s="9">
        <f>VLOOKUP(Output!A29,'Look-up'!A:B,2,FALSE)</f>
        <v>633</v>
      </c>
      <c r="F29" s="355"/>
      <c r="G29" s="355"/>
      <c r="H29" s="355"/>
      <c r="I29" s="149">
        <f t="shared" si="0"/>
        <v>0</v>
      </c>
      <c r="J29" s="153">
        <f>Output!I29/VLOOKUP(C29&amp;" - "&amp;D29,'Short &amp; Simple'!$H$47:$J$82,3,FALSE)</f>
        <v>0</v>
      </c>
      <c r="K29" s="8" t="str">
        <f t="shared" si="1"/>
        <v>Traveler</v>
      </c>
      <c r="M29" s="319"/>
    </row>
    <row r="30" spans="1:15" ht="15" customHeight="1">
      <c r="A30" s="44" t="str">
        <f>'Members Data'!A30</f>
        <v>Jimentoez</v>
      </c>
      <c r="B30" s="205">
        <v>40774</v>
      </c>
      <c r="C30" s="507" t="str">
        <f>'Members Data'!C30</f>
        <v>Hunter</v>
      </c>
      <c r="D30" s="410" t="str">
        <f>VLOOKUP(Output!A30,'Look-up'!A:C,3,FALSE)</f>
        <v>Marksmanship</v>
      </c>
      <c r="E30" s="9">
        <f>VLOOKUP(Output!A30,'Look-up'!A:B,2,FALSE)</f>
        <v>643</v>
      </c>
      <c r="F30" s="355"/>
      <c r="G30" s="355"/>
      <c r="H30" s="355"/>
      <c r="I30" s="149">
        <f t="shared" si="0"/>
        <v>0</v>
      </c>
      <c r="J30" s="153">
        <f>Output!I30/VLOOKUP(C30&amp;" - "&amp;D30,'Short &amp; Simple'!$H$47:$J$82,3,FALSE)</f>
        <v>0</v>
      </c>
      <c r="K30" s="8" t="str">
        <f t="shared" si="1"/>
        <v>Traveler</v>
      </c>
      <c r="M30" s="319"/>
      <c r="O30" s="213"/>
    </row>
    <row r="31" spans="1:15" ht="15" customHeight="1">
      <c r="A31" s="44" t="str">
        <f>'Members Data'!A31</f>
        <v>Judge</v>
      </c>
      <c r="B31" s="205">
        <v>40774</v>
      </c>
      <c r="C31" s="507" t="str">
        <f>'Members Data'!C31</f>
        <v>Paladin</v>
      </c>
      <c r="D31" s="410" t="str">
        <f>VLOOKUP(Output!A31,'Look-up'!A:C,3,FALSE)</f>
        <v>Retribution</v>
      </c>
      <c r="E31" s="9">
        <f>VLOOKUP(Output!A31,'Look-up'!A:B,2,FALSE)</f>
        <v>644</v>
      </c>
      <c r="F31" s="355"/>
      <c r="G31" s="355"/>
      <c r="H31" s="355"/>
      <c r="I31" s="149">
        <f t="shared" si="0"/>
        <v>0</v>
      </c>
      <c r="J31" s="153">
        <f>Output!I31/VLOOKUP(C31&amp;" - "&amp;D31,'Short &amp; Simple'!$H$47:$J$82,3,FALSE)</f>
        <v>0</v>
      </c>
      <c r="K31" s="8" t="str">
        <f t="shared" si="1"/>
        <v>Traveler</v>
      </c>
      <c r="M31" s="319"/>
      <c r="O31" s="213"/>
    </row>
    <row r="32" spans="1:15" ht="15" customHeight="1">
      <c r="A32" s="44" t="str">
        <f>'Members Data'!A32</f>
        <v>Kádiz</v>
      </c>
      <c r="B32" s="205">
        <v>40774</v>
      </c>
      <c r="C32" s="507" t="str">
        <f>'Members Data'!C32</f>
        <v>Warlock</v>
      </c>
      <c r="D32" s="208" t="str">
        <f>VLOOKUP(Output!A32,'Look-up'!A:C,3,FALSE)</f>
        <v>Destruction</v>
      </c>
      <c r="E32" s="9">
        <f>VLOOKUP(Output!A32,'Look-up'!A:B,2,FALSE)</f>
        <v>566</v>
      </c>
      <c r="F32" s="355"/>
      <c r="G32" s="355"/>
      <c r="H32" s="355"/>
      <c r="I32" s="149">
        <f t="shared" si="0"/>
        <v>0</v>
      </c>
      <c r="J32" s="153">
        <f>Output!I32/VLOOKUP(C32&amp;" - "&amp;D32,'Short &amp; Simple'!$H$47:$J$82,3,FALSE)</f>
        <v>0</v>
      </c>
      <c r="K32" s="8" t="str">
        <f t="shared" si="1"/>
        <v>Traveler</v>
      </c>
      <c r="M32" s="319"/>
      <c r="O32" s="213"/>
    </row>
    <row r="33" spans="1:15" ht="15" customHeight="1">
      <c r="A33" s="44" t="str">
        <f>'Members Data'!A33</f>
        <v>Kanoni</v>
      </c>
      <c r="B33" s="205">
        <v>40774</v>
      </c>
      <c r="C33" s="507" t="str">
        <f>'Members Data'!C33</f>
        <v>Hunter</v>
      </c>
      <c r="D33" s="208" t="str">
        <f>VLOOKUP(Output!A33,'Look-up'!A:C,3,FALSE)</f>
        <v>Beast Mastery</v>
      </c>
      <c r="E33" s="9">
        <f>VLOOKUP(Output!A33,'Look-up'!A:B,2,FALSE)</f>
        <v>636</v>
      </c>
      <c r="F33" s="355"/>
      <c r="G33" s="355"/>
      <c r="H33" s="355"/>
      <c r="I33" s="149">
        <f t="shared" si="0"/>
        <v>0</v>
      </c>
      <c r="J33" s="153">
        <f>Output!I33/VLOOKUP(C33&amp;" - "&amp;D33,'Short &amp; Simple'!$H$47:$J$82,3,FALSE)</f>
        <v>0</v>
      </c>
      <c r="K33" s="8" t="str">
        <f t="shared" si="1"/>
        <v>Traveler</v>
      </c>
      <c r="M33" s="319"/>
      <c r="O33" s="213"/>
    </row>
    <row r="34" spans="1:15" ht="15" customHeight="1">
      <c r="A34" s="44" t="str">
        <f>'Members Data'!A34</f>
        <v>Kristofix</v>
      </c>
      <c r="B34" s="205">
        <v>40774</v>
      </c>
      <c r="C34" s="507" t="str">
        <f>'Members Data'!C34</f>
        <v>Paladin</v>
      </c>
      <c r="D34" s="208" t="str">
        <f>VLOOKUP(Output!A34,'Look-up'!A:C,3,FALSE)</f>
        <v>Retribution</v>
      </c>
      <c r="E34" s="9">
        <f>VLOOKUP(Output!A34,'Look-up'!A:B,2,FALSE)</f>
        <v>634</v>
      </c>
      <c r="F34" s="355"/>
      <c r="G34" s="355"/>
      <c r="H34" s="355"/>
      <c r="I34" s="149">
        <f t="shared" si="0"/>
        <v>0</v>
      </c>
      <c r="J34" s="153">
        <f>Output!I34/VLOOKUP(C34&amp;" - "&amp;D34,'Short &amp; Simple'!$H$47:$J$82,3,FALSE)</f>
        <v>0</v>
      </c>
      <c r="K34" s="8" t="str">
        <f t="shared" si="1"/>
        <v>Traveler</v>
      </c>
      <c r="M34" s="319"/>
      <c r="O34" s="213"/>
    </row>
    <row r="35" spans="1:15" ht="15" customHeight="1">
      <c r="A35" s="44">
        <f>'Members Data'!A35</f>
        <v>0</v>
      </c>
      <c r="B35" s="205">
        <v>40774</v>
      </c>
      <c r="C35" s="507">
        <f>'Members Data'!C35</f>
        <v>0</v>
      </c>
      <c r="D35" s="208">
        <f>VLOOKUP(Output!A35,'Look-up'!A:C,3,FALSE)</f>
        <v>0</v>
      </c>
      <c r="E35" s="9">
        <f>VLOOKUP(Output!A35,'Look-up'!A:B,2,FALSE)</f>
        <v>0</v>
      </c>
      <c r="F35" s="355"/>
      <c r="G35" s="355"/>
      <c r="H35" s="355"/>
      <c r="I35" s="149">
        <f t="shared" si="0"/>
        <v>0</v>
      </c>
      <c r="J35" s="153" t="e">
        <f>Output!I35/VLOOKUP(C35&amp;" - "&amp;D35,'Short &amp; Simple'!$H$47:$J$82,3,FALSE)</f>
        <v>#N/A</v>
      </c>
      <c r="K35" s="8" t="e">
        <f t="shared" si="1"/>
        <v>#N/A</v>
      </c>
      <c r="M35" s="319"/>
      <c r="O35" s="213"/>
    </row>
    <row r="36" spans="1:15" ht="15" customHeight="1">
      <c r="A36" s="44">
        <f>'Members Data'!A36</f>
        <v>0</v>
      </c>
      <c r="B36" s="205">
        <v>40774</v>
      </c>
      <c r="C36" s="507">
        <f>'Members Data'!C36</f>
        <v>0</v>
      </c>
      <c r="D36" s="208">
        <f>VLOOKUP(Output!A36,'Look-up'!A:C,3,FALSE)</f>
        <v>0</v>
      </c>
      <c r="E36" s="9">
        <f>VLOOKUP(Output!A36,'Look-up'!A:B,2,FALSE)</f>
        <v>0</v>
      </c>
      <c r="F36" s="355"/>
      <c r="G36" s="355"/>
      <c r="H36" s="355"/>
      <c r="I36" s="149">
        <f t="shared" si="0"/>
        <v>0</v>
      </c>
      <c r="J36" s="153" t="e">
        <f>Output!I36/VLOOKUP(C36&amp;" - "&amp;D36,'Short &amp; Simple'!$H$47:$J$82,3,FALSE)</f>
        <v>#N/A</v>
      </c>
      <c r="K36" s="8" t="e">
        <f t="shared" si="1"/>
        <v>#N/A</v>
      </c>
      <c r="M36" s="319"/>
      <c r="O36" s="213"/>
    </row>
    <row r="37" spans="1:15" ht="15" customHeight="1">
      <c r="A37" s="44">
        <f>'Members Data'!A37</f>
        <v>0</v>
      </c>
      <c r="B37" s="205">
        <v>40774</v>
      </c>
      <c r="C37" s="507">
        <f>'Members Data'!C37</f>
        <v>0</v>
      </c>
      <c r="D37" s="208">
        <f>VLOOKUP(Output!A37,'Look-up'!A:C,3,FALSE)</f>
        <v>0</v>
      </c>
      <c r="E37" s="9">
        <f>VLOOKUP(Output!A37,'Look-up'!A:B,2,FALSE)</f>
        <v>0</v>
      </c>
      <c r="F37" s="355"/>
      <c r="G37" s="355"/>
      <c r="H37" s="355"/>
      <c r="I37" s="149">
        <f t="shared" si="0"/>
        <v>0</v>
      </c>
      <c r="J37" s="153" t="e">
        <f>Output!I37/VLOOKUP(C37&amp;" - "&amp;D37,'Short &amp; Simple'!$H$47:$J$82,3,FALSE)</f>
        <v>#N/A</v>
      </c>
      <c r="K37" s="8" t="e">
        <f t="shared" si="1"/>
        <v>#N/A</v>
      </c>
      <c r="M37" s="319"/>
      <c r="O37" s="213"/>
    </row>
    <row r="38" spans="1:15" ht="15" customHeight="1">
      <c r="A38" s="44">
        <f>'Members Data'!A38</f>
        <v>0</v>
      </c>
      <c r="B38" s="205">
        <v>40774</v>
      </c>
      <c r="C38" s="507">
        <f>'Members Data'!C38</f>
        <v>0</v>
      </c>
      <c r="D38" s="208">
        <f>VLOOKUP(Output!A38,'Look-up'!A:C,3,FALSE)</f>
        <v>0</v>
      </c>
      <c r="E38" s="9">
        <f>VLOOKUP(Output!A38,'Look-up'!A:B,2,FALSE)</f>
        <v>0</v>
      </c>
      <c r="F38" s="355"/>
      <c r="G38" s="355"/>
      <c r="H38" s="355"/>
      <c r="I38" s="149">
        <f t="shared" si="0"/>
        <v>0</v>
      </c>
      <c r="J38" s="153" t="e">
        <f>Output!I38/VLOOKUP(C38&amp;" - "&amp;D38,'Short &amp; Simple'!$H$47:$J$82,3,FALSE)</f>
        <v>#N/A</v>
      </c>
      <c r="K38" s="8" t="e">
        <f t="shared" si="1"/>
        <v>#N/A</v>
      </c>
      <c r="O38" s="213"/>
    </row>
    <row r="39" spans="1:15" ht="15" customHeight="1">
      <c r="A39" s="44" t="str">
        <f>'Members Data'!A39</f>
        <v>Mardazur</v>
      </c>
      <c r="B39" s="205"/>
      <c r="C39" s="507" t="str">
        <f>'Members Data'!C39</f>
        <v>Shaman</v>
      </c>
      <c r="D39" s="208" t="str">
        <f>VLOOKUP(Output!A39,'Look-up'!A:C,3,FALSE)</f>
        <v>Elemental</v>
      </c>
      <c r="E39" s="9">
        <f>VLOOKUP(Output!A39,'Look-up'!A:B,2,FALSE)</f>
        <v>635</v>
      </c>
      <c r="F39" s="355"/>
      <c r="G39" s="355"/>
      <c r="H39" s="355"/>
      <c r="I39" s="149">
        <f t="shared" si="0"/>
        <v>0</v>
      </c>
      <c r="J39" s="153">
        <f>Output!I39/VLOOKUP(C39&amp;" - "&amp;D39,'Short &amp; Simple'!$H$47:$J$82,3,FALSE)</f>
        <v>0</v>
      </c>
      <c r="K39" s="8" t="str">
        <f t="shared" si="1"/>
        <v>Traveler</v>
      </c>
    </row>
    <row r="40" spans="1:15" ht="15" customHeight="1">
      <c r="A40" s="44" t="str">
        <f>'Members Data'!A40</f>
        <v>Mezzolina</v>
      </c>
      <c r="B40" s="205"/>
      <c r="C40" s="507" t="str">
        <f>'Members Data'!C40</f>
        <v>Warrior</v>
      </c>
      <c r="D40" s="208" t="str">
        <f>VLOOKUP(Output!A40,'Look-up'!A:C,3,FALSE)</f>
        <v>Arms</v>
      </c>
      <c r="E40" s="9">
        <f>VLOOKUP(Output!A40,'Look-up'!A:B,2,FALSE)</f>
        <v>615</v>
      </c>
      <c r="F40" s="355"/>
      <c r="G40" s="355"/>
      <c r="H40" s="355"/>
      <c r="I40" s="149">
        <f t="shared" si="0"/>
        <v>0</v>
      </c>
      <c r="J40" s="153">
        <f>Output!I40/VLOOKUP(C40&amp;" - "&amp;D40,'Short &amp; Simple'!$H$47:$J$82,3,FALSE)</f>
        <v>0</v>
      </c>
      <c r="K40" s="8" t="str">
        <f t="shared" si="1"/>
        <v>Traveler</v>
      </c>
      <c r="O40" s="213"/>
    </row>
    <row r="41" spans="1:15" ht="15" customHeight="1">
      <c r="A41" s="44">
        <f>'Members Data'!A41</f>
        <v>0</v>
      </c>
      <c r="B41" s="205"/>
      <c r="C41" s="507">
        <f>'Members Data'!C41</f>
        <v>0</v>
      </c>
      <c r="D41" s="208">
        <f>VLOOKUP(Output!A41,'Look-up'!A:C,3,FALSE)</f>
        <v>0</v>
      </c>
      <c r="E41" s="9">
        <f>VLOOKUP(Output!A41,'Look-up'!A:B,2,FALSE)</f>
        <v>0</v>
      </c>
      <c r="F41" s="355"/>
      <c r="G41" s="355"/>
      <c r="H41" s="355"/>
      <c r="I41" s="149">
        <f t="shared" si="0"/>
        <v>0</v>
      </c>
      <c r="J41" s="153" t="e">
        <f>Output!I41/VLOOKUP(C41&amp;" - "&amp;D41,'Short &amp; Simple'!$H$47:$J$82,3,FALSE)</f>
        <v>#N/A</v>
      </c>
      <c r="K41" s="8" t="e">
        <f t="shared" si="1"/>
        <v>#N/A</v>
      </c>
      <c r="O41" s="213"/>
    </row>
    <row r="42" spans="1:15" ht="15" customHeight="1">
      <c r="A42" s="44" t="str">
        <f>'Members Data'!A42</f>
        <v>Morenna</v>
      </c>
      <c r="B42" s="205"/>
      <c r="C42" s="507" t="str">
        <f>'Members Data'!C42</f>
        <v>Warlock</v>
      </c>
      <c r="D42" s="208" t="str">
        <f>VLOOKUP(Output!A42,'Look-up'!A:C,3,FALSE)</f>
        <v>Destruction</v>
      </c>
      <c r="E42" s="9">
        <f>VLOOKUP(Output!A42,'Look-up'!A:B,2,FALSE)</f>
        <v>634</v>
      </c>
      <c r="F42" s="355"/>
      <c r="G42" s="355"/>
      <c r="H42" s="355"/>
      <c r="I42" s="149">
        <f t="shared" si="0"/>
        <v>0</v>
      </c>
      <c r="J42" s="153">
        <f>Output!I42/VLOOKUP(C42&amp;" - "&amp;D42,'Short &amp; Simple'!$H$47:$J$82,3,FALSE)</f>
        <v>0</v>
      </c>
      <c r="K42" s="8" t="str">
        <f t="shared" si="1"/>
        <v>Traveler</v>
      </c>
      <c r="O42" s="213"/>
    </row>
    <row r="43" spans="1:15" ht="15" customHeight="1">
      <c r="A43" s="44" t="str">
        <f>'Members Data'!A43</f>
        <v>Naliyas</v>
      </c>
      <c r="B43" s="205"/>
      <c r="C43" s="507" t="str">
        <f>'Members Data'!C43</f>
        <v>Monk</v>
      </c>
      <c r="D43" s="208" t="str">
        <f>VLOOKUP(Output!A43,'Look-up'!A:C,3,FALSE)</f>
        <v>Mistweaver</v>
      </c>
      <c r="E43" s="9">
        <f>VLOOKUP(Output!A43,'Look-up'!A:B,2,FALSE)</f>
        <v>619</v>
      </c>
      <c r="F43" s="355"/>
      <c r="G43" s="355"/>
      <c r="H43" s="355"/>
      <c r="I43" s="149">
        <f t="shared" si="0"/>
        <v>0</v>
      </c>
      <c r="J43" s="153">
        <f>Output!I43/VLOOKUP(C43&amp;" - "&amp;D43,'Short &amp; Simple'!$H$47:$J$82,3,FALSE)</f>
        <v>0</v>
      </c>
      <c r="K43" s="8" t="str">
        <f t="shared" si="1"/>
        <v>Traveler</v>
      </c>
      <c r="O43" s="213"/>
    </row>
    <row r="44" spans="1:15" ht="15" customHeight="1">
      <c r="A44" s="44">
        <f>'Members Data'!A44</f>
        <v>0</v>
      </c>
      <c r="B44" s="205"/>
      <c r="C44" s="507">
        <f>'Members Data'!C44</f>
        <v>0</v>
      </c>
      <c r="D44" s="208">
        <f>VLOOKUP(Output!A44,'Look-up'!A:C,3,FALSE)</f>
        <v>0</v>
      </c>
      <c r="E44" s="9">
        <f>VLOOKUP(Output!A44,'Look-up'!A:B,2,FALSE)</f>
        <v>0</v>
      </c>
      <c r="F44" s="355"/>
      <c r="G44" s="355"/>
      <c r="H44" s="355"/>
      <c r="I44" s="149">
        <f t="shared" si="0"/>
        <v>0</v>
      </c>
      <c r="J44" s="153" t="e">
        <f>Output!I44/VLOOKUP(C44&amp;" - "&amp;D44,'Short &amp; Simple'!$H$47:$J$82,3,FALSE)</f>
        <v>#N/A</v>
      </c>
      <c r="K44" s="8" t="e">
        <f t="shared" si="1"/>
        <v>#N/A</v>
      </c>
      <c r="O44" s="213"/>
    </row>
    <row r="45" spans="1:15" ht="15" customHeight="1">
      <c r="A45" s="44" t="str">
        <f>'Members Data'!A45</f>
        <v>Nazgol</v>
      </c>
      <c r="B45" s="205"/>
      <c r="C45" s="507" t="str">
        <f>'Members Data'!C45</f>
        <v>Warrior</v>
      </c>
      <c r="D45" s="208" t="str">
        <f>VLOOKUP(Output!A45,'Look-up'!A:C,3,FALSE)</f>
        <v>Fury</v>
      </c>
      <c r="E45" s="9">
        <f>VLOOKUP(Output!A45,'Look-up'!A:B,2,FALSE)</f>
        <v>635</v>
      </c>
      <c r="F45" s="355"/>
      <c r="G45" s="355"/>
      <c r="H45" s="355"/>
      <c r="I45" s="149">
        <f t="shared" si="0"/>
        <v>0</v>
      </c>
      <c r="J45" s="153">
        <f>Output!I45/VLOOKUP(C45&amp;" - "&amp;D45,'Short &amp; Simple'!$H$47:$J$82,3,FALSE)</f>
        <v>0</v>
      </c>
      <c r="K45" s="8" t="str">
        <f t="shared" si="1"/>
        <v>Traveler</v>
      </c>
      <c r="O45" s="213"/>
    </row>
    <row r="46" spans="1:15" ht="15" customHeight="1">
      <c r="A46" s="44" t="str">
        <f>'Members Data'!A46</f>
        <v>Niiwa</v>
      </c>
      <c r="B46" s="205"/>
      <c r="C46" s="507" t="str">
        <f>'Members Data'!C46</f>
        <v>Hunter</v>
      </c>
      <c r="D46" s="208" t="str">
        <f>VLOOKUP(Output!A46,'Look-up'!A:C,3,FALSE)</f>
        <v>Marksmanship</v>
      </c>
      <c r="E46" s="9">
        <f>VLOOKUP(Output!A46,'Look-up'!A:B,2,FALSE)</f>
        <v>648</v>
      </c>
      <c r="F46" s="355"/>
      <c r="G46" s="355"/>
      <c r="H46" s="355"/>
      <c r="I46" s="149">
        <f t="shared" si="0"/>
        <v>0</v>
      </c>
      <c r="J46" s="153">
        <f>Output!I46/VLOOKUP(C46&amp;" - "&amp;D46,'Short &amp; Simple'!$H$47:$J$82,3,FALSE)</f>
        <v>0</v>
      </c>
      <c r="K46" s="8" t="str">
        <f t="shared" si="1"/>
        <v>Traveler</v>
      </c>
      <c r="O46" s="213"/>
    </row>
    <row r="47" spans="1:15" ht="15" customHeight="1">
      <c r="A47" s="44" t="str">
        <f>'Members Data'!A47</f>
        <v>Octavìus</v>
      </c>
      <c r="B47" s="205"/>
      <c r="C47" s="507" t="str">
        <f>'Members Data'!C47</f>
        <v>Warrior</v>
      </c>
      <c r="D47" s="208" t="str">
        <f>VLOOKUP(Output!A47,'Look-up'!A:C,3,FALSE)</f>
        <v>Protection</v>
      </c>
      <c r="E47" s="9">
        <f>VLOOKUP(Output!A47,'Look-up'!A:B,2,FALSE)</f>
        <v>607</v>
      </c>
      <c r="F47" s="355"/>
      <c r="G47" s="355"/>
      <c r="H47" s="355"/>
      <c r="I47" s="149">
        <f t="shared" si="0"/>
        <v>0</v>
      </c>
      <c r="J47" s="153">
        <f>Output!I47/VLOOKUP(C47&amp;" - "&amp;D47,'Short &amp; Simple'!$H$47:$J$82,3,FALSE)</f>
        <v>0</v>
      </c>
      <c r="K47" s="8" t="str">
        <f t="shared" si="1"/>
        <v>Traveler</v>
      </c>
      <c r="O47" s="213"/>
    </row>
    <row r="48" spans="1:15" ht="15" customHeight="1">
      <c r="A48" s="44" t="str">
        <f>'Members Data'!A48</f>
        <v>Overtake</v>
      </c>
      <c r="B48" s="205"/>
      <c r="C48" s="507" t="str">
        <f>'Members Data'!C48</f>
        <v>Warrior</v>
      </c>
      <c r="D48" s="208" t="str">
        <f>VLOOKUP(Output!A48,'Look-up'!A:C,3,FALSE)</f>
        <v>Fury</v>
      </c>
      <c r="E48" s="9">
        <f>VLOOKUP(Output!A48,'Look-up'!A:B,2,FALSE)</f>
        <v>635</v>
      </c>
      <c r="F48" s="355"/>
      <c r="G48" s="355"/>
      <c r="H48" s="355"/>
      <c r="I48" s="149">
        <f t="shared" si="0"/>
        <v>0</v>
      </c>
      <c r="J48" s="153">
        <f>Output!I48/VLOOKUP(C48&amp;" - "&amp;D48,'Short &amp; Simple'!$H$47:$J$82,3,FALSE)</f>
        <v>0</v>
      </c>
      <c r="K48" s="8" t="str">
        <f t="shared" si="1"/>
        <v>Traveler</v>
      </c>
      <c r="O48" s="213"/>
    </row>
    <row r="49" spans="1:15" ht="15" customHeight="1">
      <c r="A49" s="44" t="str">
        <f>'Members Data'!A49</f>
        <v>Paolin</v>
      </c>
      <c r="B49" s="205"/>
      <c r="C49" s="507" t="str">
        <f>'Members Data'!C49</f>
        <v>Monk</v>
      </c>
      <c r="D49" s="208" t="str">
        <f>VLOOKUP(Output!A49,'Look-up'!A:C,3,FALSE)</f>
        <v>Brewmaster</v>
      </c>
      <c r="E49" s="9">
        <f>VLOOKUP(Output!A49,'Look-up'!A:B,2,FALSE)</f>
        <v>595</v>
      </c>
      <c r="F49" s="355"/>
      <c r="G49" s="355"/>
      <c r="H49" s="355"/>
      <c r="I49" s="149">
        <f t="shared" si="0"/>
        <v>0</v>
      </c>
      <c r="J49" s="153">
        <f>Output!I49/VLOOKUP(C49&amp;" - "&amp;D49,'Short &amp; Simple'!$H$47:$J$82,3,FALSE)</f>
        <v>0</v>
      </c>
      <c r="K49" s="8" t="str">
        <f t="shared" si="1"/>
        <v>Traveler</v>
      </c>
      <c r="O49" s="213"/>
    </row>
    <row r="50" spans="1:15" ht="15" customHeight="1">
      <c r="A50" s="44" t="str">
        <f>'Members Data'!A50</f>
        <v>Páula</v>
      </c>
      <c r="B50" s="205"/>
      <c r="C50" s="507" t="str">
        <f>'Members Data'!C50</f>
        <v>Mage</v>
      </c>
      <c r="D50" s="208" t="str">
        <f>VLOOKUP(Output!A50,'Look-up'!A:C,3,FALSE)</f>
        <v>Frost</v>
      </c>
      <c r="E50" s="9">
        <f>VLOOKUP(Output!A50,'Look-up'!A:B,2,FALSE)</f>
        <v>637</v>
      </c>
      <c r="F50" s="355"/>
      <c r="G50" s="355"/>
      <c r="H50" s="355"/>
      <c r="I50" s="149">
        <f t="shared" si="0"/>
        <v>0</v>
      </c>
      <c r="J50" s="153">
        <f>Output!I50/VLOOKUP(C50&amp;" - "&amp;D50,'Short &amp; Simple'!$H$47:$J$82,3,FALSE)</f>
        <v>0</v>
      </c>
      <c r="K50" s="8" t="str">
        <f t="shared" si="1"/>
        <v>Traveler</v>
      </c>
      <c r="O50" s="213"/>
    </row>
    <row r="51" spans="1:15" ht="15" customHeight="1">
      <c r="A51" s="44" t="str">
        <f>'Members Data'!A51</f>
        <v>Predictable</v>
      </c>
      <c r="B51" s="206"/>
      <c r="C51" s="507" t="str">
        <f>'Members Data'!C51</f>
        <v>Paladin</v>
      </c>
      <c r="D51" s="208" t="str">
        <f>VLOOKUP(Output!A51,'Look-up'!A:C,3,FALSE)</f>
        <v>Holy</v>
      </c>
      <c r="E51" s="9">
        <f>VLOOKUP(Output!A51,'Look-up'!A:B,2,FALSE)</f>
        <v>638</v>
      </c>
      <c r="F51" s="355"/>
      <c r="G51" s="355"/>
      <c r="H51" s="355"/>
      <c r="I51" s="149">
        <f t="shared" si="0"/>
        <v>0</v>
      </c>
      <c r="J51" s="153">
        <f>Output!I51/VLOOKUP(C51&amp;" - "&amp;D51,'Short &amp; Simple'!$H$47:$J$82,3,FALSE)</f>
        <v>0</v>
      </c>
      <c r="K51" s="8" t="str">
        <f t="shared" si="1"/>
        <v>Traveler</v>
      </c>
      <c r="O51" s="213"/>
    </row>
    <row r="52" spans="1:15" ht="15" customHeight="1">
      <c r="A52" s="44" t="str">
        <f>'Members Data'!A52</f>
        <v>Rhinoru</v>
      </c>
      <c r="B52" s="206"/>
      <c r="C52" s="507" t="str">
        <f>'Members Data'!C52</f>
        <v>Mage</v>
      </c>
      <c r="D52" s="208" t="str">
        <f>VLOOKUP(Output!A52,'Look-up'!A:C,3,FALSE)</f>
        <v>Frost</v>
      </c>
      <c r="E52" s="9">
        <f>VLOOKUP(Output!A52,'Look-up'!A:B,2,FALSE)</f>
        <v>599</v>
      </c>
      <c r="F52" s="355"/>
      <c r="G52" s="355"/>
      <c r="H52" s="355"/>
      <c r="I52" s="149">
        <f t="shared" si="0"/>
        <v>0</v>
      </c>
      <c r="J52" s="153">
        <f>Output!I52/VLOOKUP(C52&amp;" - "&amp;D52,'Short &amp; Simple'!$H$47:$J$82,3,FALSE)</f>
        <v>0</v>
      </c>
      <c r="K52" s="8" t="str">
        <f t="shared" si="1"/>
        <v>Traveler</v>
      </c>
      <c r="O52" s="213"/>
    </row>
    <row r="53" spans="1:15" ht="15" customHeight="1">
      <c r="A53" s="44">
        <f>'Members Data'!A53</f>
        <v>0</v>
      </c>
      <c r="B53" s="206"/>
      <c r="C53" s="507">
        <f>'Members Data'!C53</f>
        <v>0</v>
      </c>
      <c r="D53" s="208">
        <f>VLOOKUP(Output!A53,'Look-up'!A:C,3,FALSE)</f>
        <v>0</v>
      </c>
      <c r="E53" s="9">
        <f>VLOOKUP(Output!A53,'Look-up'!A:B,2,FALSE)</f>
        <v>0</v>
      </c>
      <c r="F53" s="355"/>
      <c r="G53" s="355"/>
      <c r="H53" s="355"/>
      <c r="I53" s="149">
        <f t="shared" si="0"/>
        <v>0</v>
      </c>
      <c r="J53" s="153" t="e">
        <f>Output!I53/VLOOKUP(C53&amp;" - "&amp;D53,'Short &amp; Simple'!$H$47:$J$82,3,FALSE)</f>
        <v>#N/A</v>
      </c>
      <c r="K53" s="8" t="e">
        <f t="shared" si="1"/>
        <v>#N/A</v>
      </c>
      <c r="O53" s="213"/>
    </row>
    <row r="54" spans="1:15" ht="15" customHeight="1">
      <c r="A54" s="44" t="str">
        <f>'Members Data'!A54</f>
        <v>Saltycream</v>
      </c>
      <c r="B54" s="206"/>
      <c r="C54" s="507" t="str">
        <f>'Members Data'!C54</f>
        <v>Warlock</v>
      </c>
      <c r="D54" s="208" t="str">
        <f>VLOOKUP(Output!A54,'Look-up'!A:C,3,FALSE)</f>
        <v>Destruction</v>
      </c>
      <c r="E54" s="9">
        <f>VLOOKUP(Output!A54,'Look-up'!A:B,2,FALSE)</f>
        <v>648</v>
      </c>
      <c r="F54" s="355"/>
      <c r="G54" s="355"/>
      <c r="H54" s="355"/>
      <c r="I54" s="149">
        <f t="shared" si="0"/>
        <v>0</v>
      </c>
      <c r="J54" s="153">
        <f>Output!I54/VLOOKUP(C54&amp;" - "&amp;D54,'Short &amp; Simple'!$H$47:$J$82,3,FALSE)</f>
        <v>0</v>
      </c>
      <c r="K54" s="8" t="str">
        <f t="shared" si="1"/>
        <v>Traveler</v>
      </c>
      <c r="O54" s="213"/>
    </row>
    <row r="55" spans="1:15" ht="15" customHeight="1">
      <c r="A55" s="44" t="str">
        <f>'Members Data'!A55</f>
        <v>Sarjezzar</v>
      </c>
      <c r="B55" s="206"/>
      <c r="C55" s="507" t="str">
        <f>'Members Data'!C55</f>
        <v>Death Knight</v>
      </c>
      <c r="D55" s="208" t="str">
        <f>VLOOKUP(Output!A55,'Look-up'!A:C,3,FALSE)</f>
        <v>Unholy</v>
      </c>
      <c r="E55" s="9">
        <f>VLOOKUP(Output!A55,'Look-up'!A:B,2,FALSE)</f>
        <v>640</v>
      </c>
      <c r="F55" s="355"/>
      <c r="G55" s="355"/>
      <c r="H55" s="355"/>
      <c r="I55" s="149">
        <f t="shared" si="0"/>
        <v>0</v>
      </c>
      <c r="J55" s="153">
        <f>Output!I55/VLOOKUP(C55&amp;" - "&amp;D55,'Short &amp; Simple'!$H$47:$J$82,3,FALSE)</f>
        <v>0</v>
      </c>
      <c r="K55" s="8" t="str">
        <f t="shared" si="1"/>
        <v>Traveler</v>
      </c>
      <c r="O55" s="213"/>
    </row>
    <row r="56" spans="1:15" ht="15" customHeight="1">
      <c r="A56" s="44">
        <f>'Members Data'!A56</f>
        <v>0</v>
      </c>
      <c r="B56" s="206"/>
      <c r="C56" s="507">
        <f>'Members Data'!C56</f>
        <v>0</v>
      </c>
      <c r="D56" s="208">
        <f>VLOOKUP(Output!A56,'Look-up'!A:C,3,FALSE)</f>
        <v>0</v>
      </c>
      <c r="E56" s="9">
        <f>VLOOKUP(Output!A56,'Look-up'!A:B,2,FALSE)</f>
        <v>0</v>
      </c>
      <c r="F56" s="355"/>
      <c r="G56" s="355"/>
      <c r="H56" s="355"/>
      <c r="I56" s="149">
        <f t="shared" si="0"/>
        <v>0</v>
      </c>
      <c r="J56" s="153" t="e">
        <f>Output!I56/VLOOKUP(C56&amp;" - "&amp;D56,'Short &amp; Simple'!$H$47:$J$82,3,FALSE)</f>
        <v>#N/A</v>
      </c>
      <c r="K56" s="8" t="e">
        <f t="shared" si="1"/>
        <v>#N/A</v>
      </c>
      <c r="O56" s="213"/>
    </row>
    <row r="57" spans="1:15" ht="15" customHeight="1">
      <c r="A57" s="44" t="str">
        <f>'Members Data'!A57</f>
        <v>Shinkai</v>
      </c>
      <c r="B57" s="206"/>
      <c r="C57" s="507" t="str">
        <f>'Members Data'!C57</f>
        <v>Warrior</v>
      </c>
      <c r="D57" s="208" t="str">
        <f>VLOOKUP(Output!A57,'Look-up'!A:C,3,FALSE)</f>
        <v>Fury</v>
      </c>
      <c r="E57" s="9">
        <f>VLOOKUP(Output!A57,'Look-up'!A:B,2,FALSE)</f>
        <v>634</v>
      </c>
      <c r="F57" s="355"/>
      <c r="G57" s="355"/>
      <c r="H57" s="355"/>
      <c r="I57" s="149">
        <f t="shared" si="0"/>
        <v>0</v>
      </c>
      <c r="J57" s="153">
        <f>Output!I57/VLOOKUP(C57&amp;" - "&amp;D57,'Short &amp; Simple'!$H$47:$J$82,3,FALSE)</f>
        <v>0</v>
      </c>
      <c r="K57" s="8" t="str">
        <f t="shared" si="1"/>
        <v>Traveler</v>
      </c>
      <c r="O57" s="213"/>
    </row>
    <row r="58" spans="1:15" ht="15" customHeight="1">
      <c r="A58" s="44" t="str">
        <f>'Members Data'!A58</f>
        <v>Sidac</v>
      </c>
      <c r="B58" s="206"/>
      <c r="C58" s="507" t="str">
        <f>'Members Data'!C58</f>
        <v>Paladin</v>
      </c>
      <c r="D58" s="208" t="str">
        <f>VLOOKUP(Output!A58,'Look-up'!A:C,3,FALSE)</f>
        <v>Retribution</v>
      </c>
      <c r="E58" s="9">
        <f>VLOOKUP(Output!A58,'Look-up'!A:B,2,FALSE)</f>
        <v>619</v>
      </c>
      <c r="F58" s="355"/>
      <c r="G58" s="355"/>
      <c r="H58" s="355"/>
      <c r="I58" s="149">
        <f t="shared" si="0"/>
        <v>0</v>
      </c>
      <c r="J58" s="153">
        <f>Output!I58/VLOOKUP(C58&amp;" - "&amp;D58,'Short &amp; Simple'!$H$47:$J$82,3,FALSE)</f>
        <v>0</v>
      </c>
      <c r="K58" s="8" t="str">
        <f t="shared" si="1"/>
        <v>Traveler</v>
      </c>
      <c r="O58" s="213"/>
    </row>
    <row r="59" spans="1:15" ht="15" customHeight="1">
      <c r="A59" s="44" t="str">
        <f>'Members Data'!A59</f>
        <v>Snowies</v>
      </c>
      <c r="B59" s="206"/>
      <c r="C59" s="507" t="str">
        <f>'Members Data'!C59</f>
        <v>Priest</v>
      </c>
      <c r="D59" s="208" t="str">
        <f>VLOOKUP(Output!A59,'Look-up'!A:C,3,FALSE)</f>
        <v>Discipline</v>
      </c>
      <c r="E59" s="9">
        <f>VLOOKUP(Output!A59,'Look-up'!A:B,2,FALSE)</f>
        <v>644</v>
      </c>
      <c r="F59" s="355"/>
      <c r="G59" s="355"/>
      <c r="H59" s="355"/>
      <c r="I59" s="149">
        <f t="shared" si="0"/>
        <v>0</v>
      </c>
      <c r="J59" s="153">
        <f>Output!I59/VLOOKUP(C59&amp;" - "&amp;D59,'Short &amp; Simple'!$H$47:$J$82,3,FALSE)</f>
        <v>0</v>
      </c>
      <c r="K59" s="8" t="str">
        <f t="shared" si="1"/>
        <v>Traveler</v>
      </c>
      <c r="O59" s="213"/>
    </row>
    <row r="60" spans="1:15" ht="15" customHeight="1">
      <c r="A60" s="44" t="str">
        <f>'Members Data'!A60</f>
        <v>Spruch</v>
      </c>
      <c r="B60" s="206"/>
      <c r="C60" s="507" t="str">
        <f>'Members Data'!C60</f>
        <v>Mage</v>
      </c>
      <c r="D60" s="208" t="str">
        <f>VLOOKUP(Output!A60,'Look-up'!A:C,3,FALSE)</f>
        <v>Frost</v>
      </c>
      <c r="E60" s="9">
        <f>VLOOKUP(Output!A60,'Look-up'!A:B,2,FALSE)</f>
        <v>634</v>
      </c>
      <c r="F60" s="355"/>
      <c r="G60" s="355"/>
      <c r="H60" s="355"/>
      <c r="I60" s="149">
        <f t="shared" si="0"/>
        <v>0</v>
      </c>
      <c r="J60" s="153">
        <f>Output!I60/VLOOKUP(C60&amp;" - "&amp;D60,'Short &amp; Simple'!$H$47:$J$82,3,FALSE)</f>
        <v>0</v>
      </c>
      <c r="K60" s="8" t="str">
        <f t="shared" si="1"/>
        <v>Traveler</v>
      </c>
      <c r="O60" s="213"/>
    </row>
    <row r="61" spans="1:15" ht="15" customHeight="1" thickBot="1">
      <c r="A61" s="141" t="str">
        <f>'Members Data'!A61</f>
        <v>Svicane</v>
      </c>
      <c r="B61" s="207"/>
      <c r="C61" s="508" t="str">
        <f>'Members Data'!C61</f>
        <v>Shaman</v>
      </c>
      <c r="D61" s="209" t="str">
        <f>VLOOKUP(Output!A61,'Look-up'!A:C,3,FALSE)</f>
        <v>Elemental</v>
      </c>
      <c r="E61" s="142">
        <f>VLOOKUP(Output!A61,'Look-up'!A:B,2,FALSE)</f>
        <v>644</v>
      </c>
      <c r="F61" s="355"/>
      <c r="G61" s="355"/>
      <c r="H61" s="355"/>
      <c r="I61" s="151">
        <f t="shared" si="0"/>
        <v>0</v>
      </c>
      <c r="J61" s="154">
        <f>Output!I61/VLOOKUP(C61&amp;" - "&amp;D61,'Short &amp; Simple'!$H$47:$J$82,3,FALSE)</f>
        <v>0</v>
      </c>
      <c r="K61" s="143" t="str">
        <f t="shared" si="1"/>
        <v>Traveler</v>
      </c>
      <c r="O61" s="213"/>
    </row>
    <row r="62" spans="1:15" ht="15" customHeight="1" thickTop="1">
      <c r="A62" s="44" t="str">
        <f>'Members Data'!A62</f>
        <v>Téasey</v>
      </c>
      <c r="B62" s="205">
        <v>40774</v>
      </c>
      <c r="C62" s="507" t="str">
        <f>'Members Data'!C62</f>
        <v>Warrior</v>
      </c>
      <c r="D62" s="210" t="str">
        <f>VLOOKUP(Output!A62,'Look-up'!A:C,3,FALSE)</f>
        <v>Protection</v>
      </c>
      <c r="E62" s="4">
        <f>VLOOKUP(Output!A62,'Look-up'!A:B,2,FALSE)</f>
        <v>641</v>
      </c>
      <c r="F62" s="355"/>
      <c r="G62" s="355"/>
      <c r="H62" s="355"/>
      <c r="I62" s="152">
        <f t="shared" si="0"/>
        <v>0</v>
      </c>
      <c r="J62" s="155">
        <f>Output!I62/VLOOKUP(C62&amp;" - "&amp;D62,'Short &amp; Simple'!$H$47:$J$82,3,FALSE)</f>
        <v>0</v>
      </c>
      <c r="K62" s="144" t="str">
        <f t="shared" si="1"/>
        <v>Traveler</v>
      </c>
      <c r="O62" s="213"/>
    </row>
    <row r="63" spans="1:15" ht="15" customHeight="1">
      <c r="A63" s="44" t="str">
        <f>'Members Data'!A63</f>
        <v>Tomrexx</v>
      </c>
      <c r="B63" s="205">
        <v>40774</v>
      </c>
      <c r="C63" s="507" t="str">
        <f>'Members Data'!C63</f>
        <v>Death Knight</v>
      </c>
      <c r="D63" s="208" t="str">
        <f>VLOOKUP(Output!A63,'Look-up'!A:C,3,FALSE)</f>
        <v>Frost</v>
      </c>
      <c r="E63" s="9">
        <f>VLOOKUP(Output!A63,'Look-up'!A:B,2,FALSE)</f>
        <v>610</v>
      </c>
      <c r="F63" s="355"/>
      <c r="G63" s="355"/>
      <c r="H63" s="355"/>
      <c r="I63" s="149">
        <f t="shared" si="0"/>
        <v>0</v>
      </c>
      <c r="J63" s="153">
        <f>Output!I63/VLOOKUP(C63&amp;" - "&amp;D63,'Short &amp; Simple'!$H$47:$J$82,3,FALSE)</f>
        <v>0</v>
      </c>
      <c r="K63" s="8" t="str">
        <f t="shared" si="1"/>
        <v>Traveler</v>
      </c>
      <c r="O63" s="213"/>
    </row>
    <row r="64" spans="1:15" ht="15" customHeight="1">
      <c r="A64" s="44" t="str">
        <f>'Members Data'!A64</f>
        <v>Tonitrum</v>
      </c>
      <c r="B64" s="205">
        <v>40774</v>
      </c>
      <c r="C64" s="507" t="str">
        <f>'Members Data'!C64</f>
        <v>Shaman</v>
      </c>
      <c r="D64" s="208" t="str">
        <f>VLOOKUP(Output!A64,'Look-up'!A:C,3,FALSE)</f>
        <v>Enhancement</v>
      </c>
      <c r="E64" s="9">
        <f>VLOOKUP(Output!A64,'Look-up'!A:B,2,FALSE)</f>
        <v>634</v>
      </c>
      <c r="F64" s="355"/>
      <c r="G64" s="355"/>
      <c r="H64" s="355"/>
      <c r="I64" s="149">
        <f t="shared" si="0"/>
        <v>0</v>
      </c>
      <c r="J64" s="153">
        <f>Output!I64/VLOOKUP(C64&amp;" - "&amp;D64,'Short &amp; Simple'!$H$47:$J$82,3,FALSE)</f>
        <v>0</v>
      </c>
      <c r="K64" s="8" t="str">
        <f t="shared" si="1"/>
        <v>Traveler</v>
      </c>
      <c r="O64" s="213"/>
    </row>
    <row r="65" spans="1:15" ht="15" customHeight="1">
      <c r="A65" s="44" t="str">
        <f>'Members Data'!A65</f>
        <v>Tsali</v>
      </c>
      <c r="B65" s="205">
        <v>40774</v>
      </c>
      <c r="C65" s="507" t="str">
        <f>'Members Data'!C65</f>
        <v>Warrior</v>
      </c>
      <c r="D65" s="208" t="str">
        <f>VLOOKUP(Output!A65,'Look-up'!A:C,3,FALSE)</f>
        <v>Protection</v>
      </c>
      <c r="E65" s="9">
        <f>VLOOKUP(Output!A65,'Look-up'!A:B,2,FALSE)</f>
        <v>612</v>
      </c>
      <c r="F65" s="355"/>
      <c r="G65" s="355"/>
      <c r="H65" s="355"/>
      <c r="I65" s="149">
        <f t="shared" si="0"/>
        <v>0</v>
      </c>
      <c r="J65" s="153">
        <f>Output!I65/VLOOKUP(C65&amp;" - "&amp;D65,'Short &amp; Simple'!$H$47:$J$82,3,FALSE)</f>
        <v>0</v>
      </c>
      <c r="K65" s="8" t="str">
        <f t="shared" si="1"/>
        <v>Traveler</v>
      </c>
      <c r="O65" s="213"/>
    </row>
    <row r="66" spans="1:15" ht="15" customHeight="1">
      <c r="A66" s="44" t="str">
        <f>'Members Data'!A66</f>
        <v>Twicemore</v>
      </c>
      <c r="B66" s="205">
        <v>40774</v>
      </c>
      <c r="C66" s="507" t="str">
        <f>'Members Data'!C66</f>
        <v>Druid</v>
      </c>
      <c r="D66" s="208" t="str">
        <f>VLOOKUP(Output!A66,'Look-up'!A:C,3,FALSE)</f>
        <v>Balance</v>
      </c>
      <c r="E66" s="9">
        <f>VLOOKUP(Output!A66,'Look-up'!A:B,2,FALSE)</f>
        <v>641</v>
      </c>
      <c r="F66" s="355"/>
      <c r="G66" s="355"/>
      <c r="H66" s="355"/>
      <c r="I66" s="149">
        <f t="shared" si="0"/>
        <v>0</v>
      </c>
      <c r="J66" s="153">
        <f>Output!I66/VLOOKUP(C66&amp;" - "&amp;D66,'Short &amp; Simple'!$H$47:$J$82,3,FALSE)</f>
        <v>0</v>
      </c>
      <c r="K66" s="8" t="str">
        <f t="shared" si="1"/>
        <v>Traveler</v>
      </c>
      <c r="O66" s="213"/>
    </row>
    <row r="67" spans="1:15" ht="15" customHeight="1">
      <c r="A67" s="44" t="str">
        <f>'Members Data'!A67</f>
        <v>Vereen</v>
      </c>
      <c r="B67" s="205">
        <v>40774</v>
      </c>
      <c r="C67" s="507" t="str">
        <f>'Members Data'!C67</f>
        <v>Warlock</v>
      </c>
      <c r="D67" s="208" t="str">
        <f>VLOOKUP(Output!A67,'Look-up'!A:C,3,FALSE)</f>
        <v>Destruction</v>
      </c>
      <c r="E67" s="9">
        <f>VLOOKUP(Output!A67,'Look-up'!A:B,2,FALSE)</f>
        <v>638</v>
      </c>
      <c r="F67" s="355"/>
      <c r="G67" s="355"/>
      <c r="H67" s="355"/>
      <c r="I67" s="149">
        <f t="shared" ref="I67:I100" si="2">IF(SUM($F67:$H67)=0,0,SUM($F67:$H67)/COUNTIF($F67:$H67, "&gt;0"))</f>
        <v>0</v>
      </c>
      <c r="J67" s="153">
        <f>Output!I67/VLOOKUP(C67&amp;" - "&amp;D67,'Short &amp; Simple'!$H$47:$J$82,3,FALSE)</f>
        <v>0</v>
      </c>
      <c r="K67" s="8" t="str">
        <f t="shared" ref="K67:K100" si="3">IF(J67&gt;=$Q$4,"Venturer",IF(J67&gt;=$Q$3,"Errant","Traveler"))</f>
        <v>Traveler</v>
      </c>
      <c r="O67" s="213"/>
    </row>
    <row r="68" spans="1:15" ht="15" customHeight="1">
      <c r="A68" s="44" t="str">
        <f>'Members Data'!A68</f>
        <v>Xanadaria</v>
      </c>
      <c r="B68" s="205">
        <v>40774</v>
      </c>
      <c r="C68" s="507" t="str">
        <f>'Members Data'!C68</f>
        <v>Monk</v>
      </c>
      <c r="D68" s="208" t="str">
        <f>VLOOKUP(Output!A68,'Look-up'!A:C,3,FALSE)</f>
        <v>Mistweaver</v>
      </c>
      <c r="E68" s="9">
        <f>VLOOKUP(Output!A68,'Look-up'!A:B,2,FALSE)</f>
        <v>635</v>
      </c>
      <c r="F68" s="355"/>
      <c r="G68" s="355"/>
      <c r="H68" s="355"/>
      <c r="I68" s="149">
        <f t="shared" si="2"/>
        <v>0</v>
      </c>
      <c r="J68" s="153">
        <f>Output!I68/VLOOKUP(C68&amp;" - "&amp;D68,'Short &amp; Simple'!$H$47:$J$82,3,FALSE)</f>
        <v>0</v>
      </c>
      <c r="K68" s="8" t="str">
        <f t="shared" si="3"/>
        <v>Traveler</v>
      </c>
      <c r="O68" s="213"/>
    </row>
    <row r="69" spans="1:15" ht="15" customHeight="1">
      <c r="A69" s="44" t="str">
        <f>'Members Data'!A69</f>
        <v>Xian</v>
      </c>
      <c r="B69" s="205">
        <v>40774</v>
      </c>
      <c r="C69" s="507" t="str">
        <f>'Members Data'!C69</f>
        <v>Shaman</v>
      </c>
      <c r="D69" s="208" t="str">
        <f>VLOOKUP(Output!A69,'Look-up'!A:C,3,FALSE)</f>
        <v>Elemental</v>
      </c>
      <c r="E69" s="9">
        <f>VLOOKUP(Output!A69,'Look-up'!A:B,2,FALSE)</f>
        <v>603</v>
      </c>
      <c r="F69" s="355"/>
      <c r="G69" s="355"/>
      <c r="H69" s="355"/>
      <c r="I69" s="149">
        <f t="shared" si="2"/>
        <v>0</v>
      </c>
      <c r="J69" s="153">
        <f>Output!I69/VLOOKUP(C69&amp;" - "&amp;D69,'Short &amp; Simple'!$H$47:$J$82,3,FALSE)</f>
        <v>0</v>
      </c>
      <c r="K69" s="8" t="str">
        <f t="shared" si="3"/>
        <v>Traveler</v>
      </c>
      <c r="O69" s="213"/>
    </row>
    <row r="70" spans="1:15" ht="15" customHeight="1">
      <c r="A70" s="44" t="str">
        <f>'Members Data'!A70</f>
        <v>Xytree</v>
      </c>
      <c r="B70" s="205">
        <v>40774</v>
      </c>
      <c r="C70" s="507" t="str">
        <f>'Members Data'!C70</f>
        <v>Druid</v>
      </c>
      <c r="D70" s="208" t="str">
        <f>VLOOKUP(Output!A70,'Look-up'!A:C,3,FALSE)</f>
        <v>Restoration</v>
      </c>
      <c r="E70" s="9">
        <f>VLOOKUP(Output!A70,'Look-up'!A:B,2,FALSE)</f>
        <v>637</v>
      </c>
      <c r="F70" s="355"/>
      <c r="G70" s="355"/>
      <c r="H70" s="355"/>
      <c r="I70" s="149">
        <f t="shared" si="2"/>
        <v>0</v>
      </c>
      <c r="J70" s="153">
        <f>Output!I70/VLOOKUP(C70&amp;" - "&amp;D70,'Short &amp; Simple'!$H$47:$J$82,3,FALSE)</f>
        <v>0</v>
      </c>
      <c r="K70" s="8" t="str">
        <f t="shared" si="3"/>
        <v>Traveler</v>
      </c>
      <c r="O70" s="213"/>
    </row>
    <row r="71" spans="1:15" ht="15" customHeight="1">
      <c r="A71" s="44" t="str">
        <f>'Members Data'!A71</f>
        <v>Yardk</v>
      </c>
      <c r="B71" s="205">
        <v>40774</v>
      </c>
      <c r="C71" s="507" t="str">
        <f>'Members Data'!C71</f>
        <v>Death Knight</v>
      </c>
      <c r="D71" s="208" t="str">
        <f>VLOOKUP(Output!A71,'Look-up'!A:C,3,FALSE)</f>
        <v>Frost</v>
      </c>
      <c r="E71" s="9">
        <f>VLOOKUP(Output!A71,'Look-up'!A:B,2,FALSE)</f>
        <v>620</v>
      </c>
      <c r="F71" s="355"/>
      <c r="G71" s="355"/>
      <c r="H71" s="355"/>
      <c r="I71" s="149">
        <f t="shared" si="2"/>
        <v>0</v>
      </c>
      <c r="J71" s="153">
        <f>Output!I71/VLOOKUP(C71&amp;" - "&amp;D71,'Short &amp; Simple'!$H$47:$J$82,3,FALSE)</f>
        <v>0</v>
      </c>
      <c r="K71" s="8" t="str">
        <f t="shared" si="3"/>
        <v>Traveler</v>
      </c>
      <c r="O71" s="213"/>
    </row>
    <row r="72" spans="1:15" ht="15" customHeight="1">
      <c r="A72" s="44" t="str">
        <f>'Members Data'!A72</f>
        <v>Yse</v>
      </c>
      <c r="B72" s="205">
        <v>40774</v>
      </c>
      <c r="C72" s="507" t="str">
        <f>'Members Data'!C72</f>
        <v>Shaman</v>
      </c>
      <c r="D72" s="208" t="str">
        <f>VLOOKUP(Output!A72,'Look-up'!A:C,3,FALSE)</f>
        <v>Elemental</v>
      </c>
      <c r="E72" s="9">
        <f>VLOOKUP(Output!A72,'Look-up'!A:B,2,FALSE)</f>
        <v>610</v>
      </c>
      <c r="F72" s="355"/>
      <c r="G72" s="355"/>
      <c r="H72" s="355"/>
      <c r="I72" s="149">
        <f t="shared" si="2"/>
        <v>0</v>
      </c>
      <c r="J72" s="153">
        <f>Output!I72/VLOOKUP(C72&amp;" - "&amp;D72,'Short &amp; Simple'!$H$47:$J$82,3,FALSE)</f>
        <v>0</v>
      </c>
      <c r="K72" s="8" t="str">
        <f t="shared" si="3"/>
        <v>Traveler</v>
      </c>
      <c r="O72" s="213"/>
    </row>
    <row r="73" spans="1:15" ht="15" customHeight="1">
      <c r="A73" s="44" t="str">
        <f>'Members Data'!A73</f>
        <v>Zantias</v>
      </c>
      <c r="B73" s="205">
        <v>40774</v>
      </c>
      <c r="C73" s="507" t="str">
        <f>'Members Data'!C73</f>
        <v>Mage</v>
      </c>
      <c r="D73" s="208" t="str">
        <f>VLOOKUP(Output!A73,'Look-up'!A:C,3,FALSE)</f>
        <v>Frost</v>
      </c>
      <c r="E73" s="9">
        <f>VLOOKUP(Output!A73,'Look-up'!A:B,2,FALSE)</f>
        <v>631</v>
      </c>
      <c r="F73" s="355"/>
      <c r="G73" s="355"/>
      <c r="H73" s="355"/>
      <c r="I73" s="149">
        <f t="shared" si="2"/>
        <v>0</v>
      </c>
      <c r="J73" s="153">
        <f>Output!I73/VLOOKUP(C73&amp;" - "&amp;D73,'Short &amp; Simple'!$H$47:$J$82,3,FALSE)</f>
        <v>0</v>
      </c>
      <c r="K73" s="8" t="str">
        <f t="shared" si="3"/>
        <v>Traveler</v>
      </c>
      <c r="O73" s="213"/>
    </row>
    <row r="74" spans="1:15" ht="15" customHeight="1">
      <c r="A74" s="44">
        <f>'Members Data'!A74</f>
        <v>0</v>
      </c>
      <c r="B74" s="205">
        <v>40774</v>
      </c>
      <c r="C74" s="507">
        <f>'Members Data'!C74</f>
        <v>0</v>
      </c>
      <c r="D74" s="208">
        <f>VLOOKUP(Output!A74,'Look-up'!A:C,3,FALSE)</f>
        <v>0</v>
      </c>
      <c r="E74" s="9">
        <f>VLOOKUP(Output!A74,'Look-up'!A:B,2,FALSE)</f>
        <v>0</v>
      </c>
      <c r="F74" s="309"/>
      <c r="G74" s="309"/>
      <c r="H74" s="308"/>
      <c r="I74" s="149">
        <f t="shared" si="2"/>
        <v>0</v>
      </c>
      <c r="J74" s="153" t="e">
        <f>Output!I74/VLOOKUP(C74&amp;" - "&amp;D74,'Short &amp; Simple'!$H$47:$J$82,3,FALSE)</f>
        <v>#N/A</v>
      </c>
      <c r="K74" s="8" t="e">
        <f t="shared" si="3"/>
        <v>#N/A</v>
      </c>
      <c r="O74" s="213"/>
    </row>
    <row r="75" spans="1:15" ht="15" customHeight="1">
      <c r="A75" s="44">
        <f>'Members Data'!A75</f>
        <v>0</v>
      </c>
      <c r="B75" s="205">
        <v>40774</v>
      </c>
      <c r="C75" s="507">
        <f>'Members Data'!C75</f>
        <v>0</v>
      </c>
      <c r="D75" s="208">
        <f>VLOOKUP(Output!A75,'Look-up'!A:C,3,FALSE)</f>
        <v>0</v>
      </c>
      <c r="E75" s="9">
        <f>VLOOKUP(Output!A75,'Look-up'!A:B,2,FALSE)</f>
        <v>0</v>
      </c>
      <c r="F75"/>
      <c r="G75" s="309"/>
      <c r="H75" s="308"/>
      <c r="I75" s="149">
        <f t="shared" si="2"/>
        <v>0</v>
      </c>
      <c r="J75" s="153" t="e">
        <f>Output!I75/VLOOKUP(C75&amp;" - "&amp;D75,'Short &amp; Simple'!$H$47:$J$82,3,FALSE)</f>
        <v>#N/A</v>
      </c>
      <c r="K75" s="8" t="e">
        <f t="shared" si="3"/>
        <v>#N/A</v>
      </c>
      <c r="O75" s="213"/>
    </row>
    <row r="76" spans="1:15" ht="15" customHeight="1">
      <c r="A76" s="44">
        <f>'Members Data'!A76</f>
        <v>0</v>
      </c>
      <c r="B76" s="205">
        <v>40774</v>
      </c>
      <c r="C76" s="507">
        <f>'Members Data'!C76</f>
        <v>0</v>
      </c>
      <c r="D76" s="208">
        <f>VLOOKUP(Output!A76,'Look-up'!A:C,3,FALSE)</f>
        <v>0</v>
      </c>
      <c r="E76" s="9">
        <f>VLOOKUP(Output!A76,'Look-up'!A:B,2,FALSE)</f>
        <v>0</v>
      </c>
      <c r="F76" s="309"/>
      <c r="G76" s="309"/>
      <c r="H76" s="308"/>
      <c r="I76" s="149">
        <f t="shared" si="2"/>
        <v>0</v>
      </c>
      <c r="J76" s="153" t="e">
        <f>Output!I76/VLOOKUP(C76&amp;" - "&amp;D76,'Short &amp; Simple'!$H$47:$J$82,3,FALSE)</f>
        <v>#N/A</v>
      </c>
      <c r="K76" s="8" t="e">
        <f t="shared" si="3"/>
        <v>#N/A</v>
      </c>
      <c r="O76" s="213"/>
    </row>
    <row r="77" spans="1:15" ht="15" customHeight="1">
      <c r="A77" s="44">
        <f>'Members Data'!A77</f>
        <v>0</v>
      </c>
      <c r="B77" s="205">
        <v>40774</v>
      </c>
      <c r="C77" s="507">
        <f>'Members Data'!C77</f>
        <v>0</v>
      </c>
      <c r="D77" s="208">
        <f>VLOOKUP(Output!A77,'Look-up'!A:C,3,FALSE)</f>
        <v>0</v>
      </c>
      <c r="E77" s="9">
        <f>VLOOKUP(Output!A77,'Look-up'!A:B,2,FALSE)</f>
        <v>0</v>
      </c>
      <c r="F77" s="309"/>
      <c r="G77" s="309"/>
      <c r="H77" s="308"/>
      <c r="I77" s="149">
        <f t="shared" si="2"/>
        <v>0</v>
      </c>
      <c r="J77" s="153" t="e">
        <f>Output!I77/VLOOKUP(C77&amp;" - "&amp;D77,'Short &amp; Simple'!$H$47:$J$82,3,FALSE)</f>
        <v>#N/A</v>
      </c>
      <c r="K77" s="8" t="e">
        <f t="shared" si="3"/>
        <v>#N/A</v>
      </c>
      <c r="O77" s="213"/>
    </row>
    <row r="78" spans="1:15" ht="15" customHeight="1">
      <c r="A78" s="44">
        <f>'Members Data'!A78</f>
        <v>0</v>
      </c>
      <c r="B78" s="205">
        <v>40774</v>
      </c>
      <c r="C78" s="507">
        <f>'Members Data'!C78</f>
        <v>0</v>
      </c>
      <c r="D78" s="208">
        <f>VLOOKUP(Output!A78,'Look-up'!A:C,3,FALSE)</f>
        <v>0</v>
      </c>
      <c r="E78" s="9">
        <f>VLOOKUP(Output!A78,'Look-up'!A:B,2,FALSE)</f>
        <v>0</v>
      </c>
      <c r="F78" s="309"/>
      <c r="G78" s="309"/>
      <c r="H78" s="308"/>
      <c r="I78" s="149">
        <f t="shared" si="2"/>
        <v>0</v>
      </c>
      <c r="J78" s="153" t="e">
        <f>Output!I78/VLOOKUP(C78&amp;" - "&amp;D78,'Short &amp; Simple'!$H$47:$J$82,3,FALSE)</f>
        <v>#N/A</v>
      </c>
      <c r="K78" s="8" t="e">
        <f t="shared" si="3"/>
        <v>#N/A</v>
      </c>
      <c r="O78" s="213"/>
    </row>
    <row r="79" spans="1:15" ht="15" customHeight="1">
      <c r="A79" s="44">
        <f>'Members Data'!A79</f>
        <v>0</v>
      </c>
      <c r="B79" s="205">
        <v>40774</v>
      </c>
      <c r="C79" s="507">
        <f>'Members Data'!C79</f>
        <v>0</v>
      </c>
      <c r="D79" s="208">
        <f>VLOOKUP(Output!A79,'Look-up'!A:C,3,FALSE)</f>
        <v>0</v>
      </c>
      <c r="E79" s="9">
        <f>VLOOKUP(Output!A79,'Look-up'!A:B,2,FALSE)</f>
        <v>0</v>
      </c>
      <c r="F79" s="309"/>
      <c r="G79" s="309"/>
      <c r="H79" s="308"/>
      <c r="I79" s="149">
        <f t="shared" si="2"/>
        <v>0</v>
      </c>
      <c r="J79" s="153" t="e">
        <f>Output!I79/VLOOKUP(C79&amp;" - "&amp;D79,'Short &amp; Simple'!$H$47:$J$82,3,FALSE)</f>
        <v>#N/A</v>
      </c>
      <c r="K79" s="8" t="e">
        <f t="shared" si="3"/>
        <v>#N/A</v>
      </c>
      <c r="O79" s="213"/>
    </row>
    <row r="80" spans="1:15" ht="15" customHeight="1">
      <c r="A80" s="44">
        <f>'Members Data'!A80</f>
        <v>0</v>
      </c>
      <c r="B80" s="205">
        <v>40774</v>
      </c>
      <c r="C80" s="507">
        <f>'Members Data'!C80</f>
        <v>0</v>
      </c>
      <c r="D80" s="208">
        <f>VLOOKUP(Output!A80,'Look-up'!A:C,3,FALSE)</f>
        <v>0</v>
      </c>
      <c r="E80" s="9">
        <f>VLOOKUP(Output!A80,'Look-up'!A:B,2,FALSE)</f>
        <v>0</v>
      </c>
      <c r="F80"/>
      <c r="G80" s="309"/>
      <c r="H80" s="308"/>
      <c r="I80" s="149">
        <f t="shared" si="2"/>
        <v>0</v>
      </c>
      <c r="J80" s="153" t="e">
        <f>Output!I80/VLOOKUP(C80&amp;" - "&amp;D80,'Short &amp; Simple'!$H$47:$J$82,3,FALSE)</f>
        <v>#N/A</v>
      </c>
      <c r="K80" s="8" t="e">
        <f t="shared" si="3"/>
        <v>#N/A</v>
      </c>
      <c r="O80" s="213"/>
    </row>
    <row r="81" spans="1:15" ht="15" customHeight="1">
      <c r="A81" s="44">
        <f>'Members Data'!A81</f>
        <v>0</v>
      </c>
      <c r="B81" s="205">
        <v>40774</v>
      </c>
      <c r="C81" s="507">
        <f>'Members Data'!C81</f>
        <v>0</v>
      </c>
      <c r="D81" s="208">
        <f>VLOOKUP(Output!A81,'Look-up'!A:C,3,FALSE)</f>
        <v>0</v>
      </c>
      <c r="E81" s="9">
        <f>VLOOKUP(Output!A81,'Look-up'!A:B,2,FALSE)</f>
        <v>0</v>
      </c>
      <c r="F81" s="309"/>
      <c r="G81" s="309"/>
      <c r="H81" s="308"/>
      <c r="I81" s="149">
        <f t="shared" si="2"/>
        <v>0</v>
      </c>
      <c r="J81" s="153" t="e">
        <f>Output!I81/VLOOKUP(C81&amp;" - "&amp;D81,'Short &amp; Simple'!$H$47:$J$82,3,FALSE)</f>
        <v>#N/A</v>
      </c>
      <c r="K81" s="8" t="e">
        <f t="shared" si="3"/>
        <v>#N/A</v>
      </c>
      <c r="O81" s="213"/>
    </row>
    <row r="82" spans="1:15" ht="15" customHeight="1">
      <c r="A82" s="44">
        <f>'Members Data'!A82</f>
        <v>0</v>
      </c>
      <c r="B82" s="205">
        <v>40774</v>
      </c>
      <c r="C82" s="507">
        <f>'Members Data'!C82</f>
        <v>0</v>
      </c>
      <c r="D82" s="208">
        <f>VLOOKUP(Output!A82,'Look-up'!A:C,3,FALSE)</f>
        <v>0</v>
      </c>
      <c r="E82" s="9">
        <f>VLOOKUP(Output!A82,'Look-up'!A:B,2,FALSE)</f>
        <v>0</v>
      </c>
      <c r="F82" s="309"/>
      <c r="G82" s="309"/>
      <c r="H82" s="308"/>
      <c r="I82" s="149">
        <f t="shared" si="2"/>
        <v>0</v>
      </c>
      <c r="J82" s="153" t="e">
        <f>Output!I82/VLOOKUP(C82&amp;" - "&amp;D82,'Short &amp; Simple'!$H$47:$J$82,3,FALSE)</f>
        <v>#N/A</v>
      </c>
      <c r="K82" s="8" t="e">
        <f t="shared" si="3"/>
        <v>#N/A</v>
      </c>
      <c r="O82" s="213"/>
    </row>
    <row r="83" spans="1:15" ht="15" customHeight="1">
      <c r="A83" s="44">
        <f>'Members Data'!A83</f>
        <v>0</v>
      </c>
      <c r="B83" s="205">
        <v>40774</v>
      </c>
      <c r="C83" s="507">
        <f>'Members Data'!C83</f>
        <v>0</v>
      </c>
      <c r="D83" s="208">
        <f>VLOOKUP(Output!A83,'Look-up'!A:C,3,FALSE)</f>
        <v>0</v>
      </c>
      <c r="E83" s="9">
        <f>VLOOKUP(Output!A83,'Look-up'!A:B,2,FALSE)</f>
        <v>0</v>
      </c>
      <c r="F83" s="309"/>
      <c r="G83" s="309"/>
      <c r="H83" s="308"/>
      <c r="I83" s="149">
        <f t="shared" si="2"/>
        <v>0</v>
      </c>
      <c r="J83" s="153" t="e">
        <f>Output!I83/VLOOKUP(C83&amp;" - "&amp;D83,'Short &amp; Simple'!$H$47:$J$82,3,FALSE)</f>
        <v>#N/A</v>
      </c>
      <c r="K83" s="8" t="e">
        <f t="shared" si="3"/>
        <v>#N/A</v>
      </c>
      <c r="O83" s="213"/>
    </row>
    <row r="84" spans="1:15" ht="15" customHeight="1">
      <c r="A84" s="44">
        <f>'Members Data'!A84</f>
        <v>0</v>
      </c>
      <c r="B84" s="205">
        <v>40774</v>
      </c>
      <c r="C84" s="507">
        <f>'Members Data'!C84</f>
        <v>0</v>
      </c>
      <c r="D84" s="208">
        <f>VLOOKUP(Output!A84,'Look-up'!A:C,3,FALSE)</f>
        <v>0</v>
      </c>
      <c r="E84" s="9">
        <f>VLOOKUP(Output!A84,'Look-up'!A:B,2,FALSE)</f>
        <v>0</v>
      </c>
      <c r="F84" s="309"/>
      <c r="G84" s="309"/>
      <c r="H84" s="308"/>
      <c r="I84" s="149">
        <f t="shared" si="2"/>
        <v>0</v>
      </c>
      <c r="J84" s="153" t="e">
        <f>Output!I84/VLOOKUP(C84&amp;" - "&amp;D84,'Short &amp; Simple'!$H$47:$J$82,3,FALSE)</f>
        <v>#N/A</v>
      </c>
      <c r="K84" s="8" t="e">
        <f t="shared" si="3"/>
        <v>#N/A</v>
      </c>
      <c r="O84" s="213"/>
    </row>
    <row r="85" spans="1:15" ht="15" customHeight="1">
      <c r="A85" s="44">
        <f>'Members Data'!A85</f>
        <v>0</v>
      </c>
      <c r="B85" s="205">
        <v>40774</v>
      </c>
      <c r="C85" s="507">
        <f>'Members Data'!C85</f>
        <v>0</v>
      </c>
      <c r="D85" s="208">
        <f>VLOOKUP(Output!A85,'Look-up'!A:C,3,FALSE)</f>
        <v>0</v>
      </c>
      <c r="E85" s="9">
        <f>VLOOKUP(Output!A85,'Look-up'!A:B,2,FALSE)</f>
        <v>0</v>
      </c>
      <c r="F85" s="309"/>
      <c r="G85" s="309"/>
      <c r="H85" s="308"/>
      <c r="I85" s="149">
        <f t="shared" si="2"/>
        <v>0</v>
      </c>
      <c r="J85" s="153" t="e">
        <f>Output!I85/VLOOKUP(C85&amp;" - "&amp;D85,'Short &amp; Simple'!$H$47:$J$82,3,FALSE)</f>
        <v>#N/A</v>
      </c>
      <c r="K85" s="8" t="e">
        <f t="shared" si="3"/>
        <v>#N/A</v>
      </c>
      <c r="O85" s="213"/>
    </row>
    <row r="86" spans="1:15" ht="15" customHeight="1">
      <c r="A86" s="44">
        <f>'Members Data'!A86</f>
        <v>0</v>
      </c>
      <c r="B86" s="205">
        <v>40774</v>
      </c>
      <c r="C86" s="507">
        <f>'Members Data'!C86</f>
        <v>0</v>
      </c>
      <c r="D86" s="208">
        <f>VLOOKUP(Output!A86,'Look-up'!A:C,3,FALSE)</f>
        <v>0</v>
      </c>
      <c r="E86" s="9">
        <f>VLOOKUP(Output!A86,'Look-up'!A:B,2,FALSE)</f>
        <v>0</v>
      </c>
      <c r="F86" s="309"/>
      <c r="G86" s="309"/>
      <c r="H86" s="308"/>
      <c r="I86" s="149">
        <f t="shared" si="2"/>
        <v>0</v>
      </c>
      <c r="J86" s="153" t="e">
        <f>Output!I86/VLOOKUP(C86&amp;" - "&amp;D86,'Short &amp; Simple'!$H$47:$J$82,3,FALSE)</f>
        <v>#N/A</v>
      </c>
      <c r="K86" s="8" t="e">
        <f t="shared" si="3"/>
        <v>#N/A</v>
      </c>
      <c r="O86" s="213"/>
    </row>
    <row r="87" spans="1:15" ht="15" customHeight="1">
      <c r="A87" s="44">
        <f>'Members Data'!A87</f>
        <v>0</v>
      </c>
      <c r="B87" s="205">
        <v>40774</v>
      </c>
      <c r="C87" s="507">
        <f>'Members Data'!C87</f>
        <v>0</v>
      </c>
      <c r="D87" s="208">
        <f>VLOOKUP(Output!A87,'Look-up'!A:C,3,FALSE)</f>
        <v>0</v>
      </c>
      <c r="E87" s="9">
        <f>VLOOKUP(Output!A87,'Look-up'!A:B,2,FALSE)</f>
        <v>0</v>
      </c>
      <c r="F87" s="309"/>
      <c r="G87" s="309"/>
      <c r="H87" s="308"/>
      <c r="I87" s="149">
        <f t="shared" si="2"/>
        <v>0</v>
      </c>
      <c r="J87" s="153" t="e">
        <f>Output!I87/VLOOKUP(C87&amp;" - "&amp;D87,'Short &amp; Simple'!$H$47:$J$82,3,FALSE)</f>
        <v>#N/A</v>
      </c>
      <c r="K87" s="8" t="e">
        <f t="shared" si="3"/>
        <v>#N/A</v>
      </c>
      <c r="O87" s="213"/>
    </row>
    <row r="88" spans="1:15" ht="15" customHeight="1">
      <c r="A88" s="44">
        <f>'Members Data'!A88</f>
        <v>0</v>
      </c>
      <c r="B88" s="205">
        <v>40774</v>
      </c>
      <c r="C88" s="507">
        <f>'Members Data'!C88</f>
        <v>0</v>
      </c>
      <c r="D88" s="208">
        <f>VLOOKUP(Output!A88,'Look-up'!A:C,3,FALSE)</f>
        <v>0</v>
      </c>
      <c r="E88" s="9">
        <f>VLOOKUP(Output!A88,'Look-up'!A:B,2,FALSE)</f>
        <v>0</v>
      </c>
      <c r="F88" s="309"/>
      <c r="G88" s="309"/>
      <c r="H88" s="308"/>
      <c r="I88" s="149">
        <f t="shared" si="2"/>
        <v>0</v>
      </c>
      <c r="J88" s="153" t="e">
        <f>Output!I88/VLOOKUP(C88&amp;" - "&amp;D88,'Short &amp; Simple'!$H$47:$J$82,3,FALSE)</f>
        <v>#N/A</v>
      </c>
      <c r="K88" s="8" t="e">
        <f t="shared" si="3"/>
        <v>#N/A</v>
      </c>
      <c r="O88" s="213"/>
    </row>
    <row r="89" spans="1:15" ht="15" customHeight="1">
      <c r="A89" s="44">
        <f>'Members Data'!A89</f>
        <v>0</v>
      </c>
      <c r="B89" s="205">
        <v>40774</v>
      </c>
      <c r="C89" s="507">
        <f>'Members Data'!C89</f>
        <v>0</v>
      </c>
      <c r="D89" s="208">
        <f>VLOOKUP(Output!A89,'Look-up'!A:C,3,FALSE)</f>
        <v>0</v>
      </c>
      <c r="E89" s="9">
        <f>VLOOKUP(Output!A89,'Look-up'!A:B,2,FALSE)</f>
        <v>0</v>
      </c>
      <c r="F89" s="309"/>
      <c r="G89" s="309"/>
      <c r="H89" s="308"/>
      <c r="I89" s="149">
        <f t="shared" si="2"/>
        <v>0</v>
      </c>
      <c r="J89" s="153" t="e">
        <f>Output!I89/VLOOKUP(C89&amp;" - "&amp;D89,'Short &amp; Simple'!$H$47:$J$82,3,FALSE)</f>
        <v>#N/A</v>
      </c>
      <c r="K89" s="8" t="e">
        <f t="shared" si="3"/>
        <v>#N/A</v>
      </c>
      <c r="O89" s="305"/>
    </row>
    <row r="90" spans="1:15" ht="15" customHeight="1" thickBot="1">
      <c r="A90" s="44">
        <f>'Members Data'!A90</f>
        <v>0</v>
      </c>
      <c r="B90" s="205">
        <v>40774</v>
      </c>
      <c r="C90" s="503">
        <f>'Members Data'!C90</f>
        <v>0</v>
      </c>
      <c r="D90" s="219">
        <f>VLOOKUP(Output!A90,'Look-up'!A:C,3,FALSE)</f>
        <v>0</v>
      </c>
      <c r="E90" s="9">
        <f>VLOOKUP(Output!A90,'Look-up'!A:B,2,FALSE)</f>
        <v>0</v>
      </c>
      <c r="F90" s="309"/>
      <c r="G90" s="309"/>
      <c r="H90" s="308"/>
      <c r="I90" s="149">
        <f t="shared" si="2"/>
        <v>0</v>
      </c>
      <c r="J90" s="153" t="e">
        <f>Output!I90/VLOOKUP(C90&amp;" - "&amp;D90,'Short &amp; Simple'!$H$47:$J$82,3,FALSE)</f>
        <v>#N/A</v>
      </c>
      <c r="K90" s="8" t="e">
        <f t="shared" si="3"/>
        <v>#N/A</v>
      </c>
      <c r="O90" s="213"/>
    </row>
    <row r="91" spans="1:15" ht="15" customHeight="1">
      <c r="A91" s="44">
        <f>'Members Data'!A91</f>
        <v>0</v>
      </c>
      <c r="B91" s="205">
        <v>40774</v>
      </c>
      <c r="C91" s="507">
        <f>'Members Data'!C91</f>
        <v>0</v>
      </c>
      <c r="D91" s="208">
        <f>VLOOKUP(Output!A91,'Look-up'!A:C,3,FALSE)</f>
        <v>0</v>
      </c>
      <c r="E91" s="9">
        <f>VLOOKUP(Output!A91,'Look-up'!A:B,2,FALSE)</f>
        <v>0</v>
      </c>
      <c r="F91" s="306"/>
      <c r="G91" s="307"/>
      <c r="H91" s="308"/>
      <c r="I91" s="149">
        <f t="shared" si="2"/>
        <v>0</v>
      </c>
      <c r="J91" s="153" t="e">
        <f>Output!I91/VLOOKUP(C91&amp;" - "&amp;D91,'Short &amp; Simple'!$H$47:$J$82,3,FALSE)</f>
        <v>#N/A</v>
      </c>
      <c r="K91" s="8" t="e">
        <f t="shared" si="3"/>
        <v>#N/A</v>
      </c>
      <c r="O91" s="213"/>
    </row>
    <row r="92" spans="1:15" ht="15" customHeight="1">
      <c r="A92" s="44">
        <f>'Members Data'!A92</f>
        <v>0</v>
      </c>
      <c r="B92" s="205">
        <v>40774</v>
      </c>
      <c r="C92" s="507">
        <f>'Members Data'!C92</f>
        <v>0</v>
      </c>
      <c r="D92" s="208">
        <f>VLOOKUP(Output!A92,'Look-up'!A:C,3,FALSE)</f>
        <v>0</v>
      </c>
      <c r="E92" s="9">
        <f>VLOOKUP(Output!A92,'Look-up'!A:B,2,FALSE)</f>
        <v>0</v>
      </c>
      <c r="F92" s="309"/>
      <c r="G92" s="307"/>
      <c r="H92" s="308"/>
      <c r="I92" s="149">
        <f t="shared" si="2"/>
        <v>0</v>
      </c>
      <c r="J92" s="153" t="e">
        <f>Output!I92/VLOOKUP(C92&amp;" - "&amp;D92,'Short &amp; Simple'!$H$47:$J$82,3,FALSE)</f>
        <v>#N/A</v>
      </c>
      <c r="K92" s="8" t="e">
        <f t="shared" si="3"/>
        <v>#N/A</v>
      </c>
      <c r="O92" s="213"/>
    </row>
    <row r="93" spans="1:15" ht="15" customHeight="1">
      <c r="A93" s="44">
        <f>'Members Data'!A93</f>
        <v>0</v>
      </c>
      <c r="B93" s="205">
        <v>40774</v>
      </c>
      <c r="C93" s="507">
        <f>'Members Data'!C93</f>
        <v>0</v>
      </c>
      <c r="D93" s="208">
        <f>VLOOKUP(Output!A93,'Look-up'!A:C,3,FALSE)</f>
        <v>0</v>
      </c>
      <c r="E93" s="9">
        <f>VLOOKUP(Output!A93,'Look-up'!A:B,2,FALSE)</f>
        <v>0</v>
      </c>
      <c r="F93" s="306"/>
      <c r="G93" s="307"/>
      <c r="H93" s="308"/>
      <c r="I93" s="149">
        <f t="shared" si="2"/>
        <v>0</v>
      </c>
      <c r="J93" s="153" t="e">
        <f>Output!I93/VLOOKUP(C93&amp;" - "&amp;D93,'Short &amp; Simple'!$H$47:$J$82,3,FALSE)</f>
        <v>#N/A</v>
      </c>
      <c r="K93" s="8" t="e">
        <f t="shared" si="3"/>
        <v>#N/A</v>
      </c>
    </row>
    <row r="94" spans="1:15" ht="15" customHeight="1">
      <c r="A94" s="44">
        <f>'Members Data'!A94</f>
        <v>0</v>
      </c>
      <c r="B94" s="205">
        <v>40774</v>
      </c>
      <c r="C94" s="507">
        <f>'Members Data'!C94</f>
        <v>0</v>
      </c>
      <c r="D94" s="208">
        <f>VLOOKUP(Output!A94,'Look-up'!A:C,3,FALSE)</f>
        <v>0</v>
      </c>
      <c r="E94" s="9">
        <f>VLOOKUP(Output!A94,'Look-up'!A:B,2,FALSE)</f>
        <v>0</v>
      </c>
      <c r="F94" s="306"/>
      <c r="G94" s="307"/>
      <c r="H94" s="308"/>
      <c r="I94" s="149">
        <f t="shared" si="2"/>
        <v>0</v>
      </c>
      <c r="J94" s="153" t="e">
        <f>Output!I94/VLOOKUP(C94&amp;" - "&amp;D94,'Short &amp; Simple'!$H$47:$J$82,3,FALSE)</f>
        <v>#N/A</v>
      </c>
      <c r="K94" s="8" t="e">
        <f t="shared" si="3"/>
        <v>#N/A</v>
      </c>
    </row>
    <row r="95" spans="1:15" ht="15" customHeight="1">
      <c r="A95" s="44">
        <f>'Members Data'!A95</f>
        <v>0</v>
      </c>
      <c r="B95" s="205">
        <v>40774</v>
      </c>
      <c r="C95" s="507">
        <f>'Members Data'!C95</f>
        <v>0</v>
      </c>
      <c r="D95" s="208">
        <f>VLOOKUP(Output!A95,'Look-up'!A:C,3,FALSE)</f>
        <v>0</v>
      </c>
      <c r="E95" s="9">
        <f>VLOOKUP(Output!A95,'Look-up'!A:B,2,FALSE)</f>
        <v>0</v>
      </c>
      <c r="F95" s="306"/>
      <c r="G95" s="307"/>
      <c r="H95" s="308"/>
      <c r="I95" s="149">
        <f t="shared" si="2"/>
        <v>0</v>
      </c>
      <c r="J95" s="153" t="e">
        <f>Output!I95/VLOOKUP(C95&amp;" - "&amp;D95,'Short &amp; Simple'!$H$47:$J$82,3,FALSE)</f>
        <v>#N/A</v>
      </c>
      <c r="K95" s="8" t="e">
        <f t="shared" si="3"/>
        <v>#N/A</v>
      </c>
    </row>
    <row r="96" spans="1:15" ht="15" customHeight="1">
      <c r="A96" s="44">
        <f>'Members Data'!A96</f>
        <v>0</v>
      </c>
      <c r="B96" s="205">
        <v>40774</v>
      </c>
      <c r="C96" s="507">
        <f>'Members Data'!C96</f>
        <v>0</v>
      </c>
      <c r="D96" s="208">
        <f>VLOOKUP(Output!A96,'Look-up'!A:C,3,FALSE)</f>
        <v>0</v>
      </c>
      <c r="E96" s="9">
        <f>VLOOKUP(Output!A96,'Look-up'!A:B,2,FALSE)</f>
        <v>0</v>
      </c>
      <c r="F96" s="306"/>
      <c r="G96" s="307"/>
      <c r="H96" s="308"/>
      <c r="I96" s="149">
        <f t="shared" si="2"/>
        <v>0</v>
      </c>
      <c r="J96" s="153" t="e">
        <f>Output!I96/VLOOKUP(C96&amp;" - "&amp;D96,'Short &amp; Simple'!$H$47:$J$82,3,FALSE)</f>
        <v>#N/A</v>
      </c>
      <c r="K96" s="8" t="e">
        <f t="shared" si="3"/>
        <v>#N/A</v>
      </c>
    </row>
    <row r="97" spans="1:11" ht="15" customHeight="1">
      <c r="A97" s="44">
        <f>'Members Data'!A97</f>
        <v>0</v>
      </c>
      <c r="B97" s="206"/>
      <c r="C97" s="507">
        <f>'Members Data'!C97</f>
        <v>0</v>
      </c>
      <c r="D97" s="208">
        <f>VLOOKUP(Output!A97,'Look-up'!A:C,3,FALSE)</f>
        <v>0</v>
      </c>
      <c r="E97" s="9">
        <f>VLOOKUP(Output!A97,'Look-up'!A:B,2,FALSE)</f>
        <v>0</v>
      </c>
      <c r="F97" s="306"/>
      <c r="G97" s="307"/>
      <c r="H97" s="308"/>
      <c r="I97" s="149">
        <f t="shared" si="2"/>
        <v>0</v>
      </c>
      <c r="J97" s="153" t="e">
        <f>Output!I97/VLOOKUP(C97&amp;" - "&amp;D97,'Short &amp; Simple'!$H$47:$J$82,3,FALSE)</f>
        <v>#N/A</v>
      </c>
      <c r="K97" s="8" t="e">
        <f t="shared" si="3"/>
        <v>#N/A</v>
      </c>
    </row>
    <row r="98" spans="1:11" ht="15" customHeight="1">
      <c r="A98" s="44">
        <f>'Members Data'!A98</f>
        <v>0</v>
      </c>
      <c r="B98" s="206"/>
      <c r="C98" s="507">
        <f>'Members Data'!C98</f>
        <v>0</v>
      </c>
      <c r="D98" s="208">
        <f>VLOOKUP(Output!A98,'Look-up'!A:C,3,FALSE)</f>
        <v>0</v>
      </c>
      <c r="E98" s="9">
        <f>VLOOKUP(Output!A98,'Look-up'!A:B,2,FALSE)</f>
        <v>0</v>
      </c>
      <c r="F98" s="355"/>
      <c r="G98" s="355"/>
      <c r="H98" s="309"/>
      <c r="I98" s="149">
        <f t="shared" si="2"/>
        <v>0</v>
      </c>
      <c r="J98" s="153" t="e">
        <f>Output!I98/VLOOKUP(C98&amp;" - "&amp;D98,'Short &amp; Simple'!$H$47:$J$82,3,FALSE)</f>
        <v>#N/A</v>
      </c>
      <c r="K98" s="8" t="e">
        <f t="shared" si="3"/>
        <v>#N/A</v>
      </c>
    </row>
    <row r="99" spans="1:11" ht="15" customHeight="1">
      <c r="A99" s="44">
        <f>'Members Data'!A99</f>
        <v>0</v>
      </c>
      <c r="B99" s="206"/>
      <c r="C99" s="507">
        <f>'Members Data'!C99</f>
        <v>0</v>
      </c>
      <c r="D99" s="208">
        <f>VLOOKUP(Output!A99,'Look-up'!A:C,3,FALSE)</f>
        <v>0</v>
      </c>
      <c r="E99" s="9">
        <f>VLOOKUP(Output!A99,'Look-up'!A:B,2,FALSE)</f>
        <v>0</v>
      </c>
      <c r="F99" s="309"/>
      <c r="G99" s="309"/>
      <c r="H99" s="309"/>
      <c r="I99" s="149">
        <f t="shared" si="2"/>
        <v>0</v>
      </c>
      <c r="J99" s="153" t="e">
        <f>Output!I99/VLOOKUP(C99&amp;" - "&amp;D99,'Short &amp; Simple'!$H$47:$J$82,3,FALSE)</f>
        <v>#N/A</v>
      </c>
      <c r="K99" s="8" t="e">
        <f t="shared" si="3"/>
        <v>#N/A</v>
      </c>
    </row>
    <row r="100" spans="1:11" ht="15" customHeight="1" thickBot="1">
      <c r="A100" s="220">
        <f>'Members Data'!A100</f>
        <v>0</v>
      </c>
      <c r="B100" s="218"/>
      <c r="C100" s="509">
        <f>'Members Data'!C100</f>
        <v>0</v>
      </c>
      <c r="D100" s="219">
        <f>VLOOKUP(Output!A100,'Look-up'!A:C,3,FALSE)</f>
        <v>0</v>
      </c>
      <c r="E100" s="220">
        <f>VLOOKUP(Output!A100,'Look-up'!A:B,2,FALSE)</f>
        <v>0</v>
      </c>
      <c r="F100" s="309"/>
      <c r="G100" s="309"/>
      <c r="H100" s="353"/>
      <c r="I100" s="150">
        <f t="shared" si="2"/>
        <v>0</v>
      </c>
      <c r="J100" s="156" t="e">
        <f>Output!I100/VLOOKUP(C100&amp;" - "&amp;D100,'Short &amp; Simple'!$H$47:$J$82,3,FALSE)</f>
        <v>#N/A</v>
      </c>
      <c r="K100" s="21" t="e">
        <f t="shared" si="3"/>
        <v>#N/A</v>
      </c>
    </row>
    <row r="101" spans="1:11" ht="15" customHeight="1">
      <c r="E101" s="43"/>
      <c r="F101" s="43"/>
    </row>
    <row r="102" spans="1:11" ht="15" customHeight="1" thickBot="1">
      <c r="E102" s="43"/>
      <c r="F102" s="43"/>
    </row>
    <row r="103" spans="1:11" ht="15" customHeight="1" thickBot="1">
      <c r="A103" s="469"/>
      <c r="B103" s="466"/>
      <c r="C103" s="511"/>
      <c r="D103" s="470"/>
      <c r="E103" s="43"/>
      <c r="F103" s="43"/>
    </row>
    <row r="104" spans="1:11" ht="15" customHeight="1">
      <c r="A104" s="43"/>
      <c r="B104" s="467"/>
      <c r="C104" s="511"/>
      <c r="D104" s="470"/>
    </row>
    <row r="105" spans="1:11" ht="15" customHeight="1">
      <c r="A105" s="43"/>
      <c r="B105" s="468"/>
      <c r="C105" s="511"/>
      <c r="D105" s="470"/>
    </row>
    <row r="106" spans="1:11" ht="15" customHeight="1">
      <c r="A106" s="43"/>
      <c r="B106" s="468"/>
      <c r="C106" s="511"/>
      <c r="D106" s="470"/>
    </row>
    <row r="107" spans="1:11" ht="15" customHeight="1">
      <c r="A107" s="43"/>
      <c r="B107" s="468"/>
      <c r="C107" s="511"/>
      <c r="D107" s="470"/>
    </row>
    <row r="108" spans="1:11" ht="15" customHeight="1">
      <c r="A108" s="43"/>
      <c r="B108" s="468"/>
      <c r="C108" s="511"/>
      <c r="D108" s="470"/>
    </row>
    <row r="109" spans="1:11" ht="15" customHeight="1">
      <c r="A109" s="43"/>
      <c r="B109" s="468"/>
      <c r="C109" s="511"/>
      <c r="D109" s="470"/>
    </row>
    <row r="110" spans="1:11" ht="15" customHeight="1">
      <c r="A110" s="43"/>
      <c r="B110" s="468"/>
      <c r="C110" s="511"/>
      <c r="D110" s="470"/>
    </row>
    <row r="111" spans="1:11" ht="15" customHeight="1">
      <c r="A111" s="43"/>
      <c r="B111" s="468"/>
      <c r="C111" s="511"/>
      <c r="D111" s="470"/>
    </row>
    <row r="112" spans="1:11" ht="15" customHeight="1">
      <c r="A112" s="43"/>
      <c r="B112" s="468"/>
      <c r="C112" s="511"/>
      <c r="D112" s="470"/>
    </row>
    <row r="113" spans="1:4" ht="15" customHeight="1">
      <c r="A113" s="43"/>
      <c r="B113" s="468"/>
      <c r="C113" s="511"/>
      <c r="D113" s="470"/>
    </row>
    <row r="114" spans="1:4" ht="15" customHeight="1">
      <c r="A114" s="43"/>
      <c r="B114" s="468"/>
      <c r="C114" s="511"/>
      <c r="D114" s="470"/>
    </row>
    <row r="115" spans="1:4" ht="15" customHeight="1">
      <c r="A115" s="43"/>
      <c r="B115" s="468"/>
      <c r="C115" s="511"/>
      <c r="D115" s="470"/>
    </row>
    <row r="116" spans="1:4" ht="15" customHeight="1">
      <c r="A116" s="43"/>
      <c r="B116" s="468"/>
      <c r="C116" s="511"/>
      <c r="D116" s="470"/>
    </row>
    <row r="117" spans="1:4" ht="15" customHeight="1">
      <c r="A117" s="43"/>
      <c r="B117" s="468"/>
      <c r="C117" s="511"/>
      <c r="D117" s="470"/>
    </row>
    <row r="118" spans="1:4" ht="15" customHeight="1">
      <c r="A118" s="43"/>
      <c r="B118" s="468"/>
      <c r="C118" s="511"/>
      <c r="D118" s="470"/>
    </row>
    <row r="119" spans="1:4" ht="15" customHeight="1">
      <c r="A119" s="43"/>
      <c r="B119" s="468"/>
      <c r="C119" s="511"/>
      <c r="D119" s="470"/>
    </row>
    <row r="120" spans="1:4" ht="15" customHeight="1">
      <c r="A120" s="43"/>
      <c r="B120" s="468"/>
      <c r="C120" s="511"/>
      <c r="D120" s="470"/>
    </row>
    <row r="121" spans="1:4" ht="15" customHeight="1">
      <c r="A121" s="43"/>
      <c r="B121" s="468"/>
      <c r="C121" s="511"/>
      <c r="D121" s="470"/>
    </row>
    <row r="122" spans="1:4" ht="15" customHeight="1">
      <c r="A122" s="43"/>
      <c r="B122" s="468"/>
      <c r="C122" s="511"/>
      <c r="D122" s="470"/>
    </row>
    <row r="123" spans="1:4" ht="15" customHeight="1">
      <c r="A123" s="43"/>
      <c r="B123" s="468"/>
      <c r="C123" s="511"/>
      <c r="D123" s="470"/>
    </row>
    <row r="124" spans="1:4" ht="15" customHeight="1">
      <c r="A124" s="43"/>
      <c r="B124" s="468"/>
      <c r="C124" s="511"/>
      <c r="D124" s="470"/>
    </row>
    <row r="125" spans="1:4" ht="15" customHeight="1">
      <c r="A125" s="43"/>
      <c r="B125" s="468"/>
      <c r="C125" s="511"/>
      <c r="D125" s="470"/>
    </row>
    <row r="126" spans="1:4" ht="15" customHeight="1">
      <c r="A126" s="43"/>
      <c r="B126" s="468"/>
      <c r="C126" s="511"/>
      <c r="D126" s="470"/>
    </row>
    <row r="127" spans="1:4" ht="15" customHeight="1">
      <c r="A127" s="43"/>
      <c r="B127" s="468"/>
      <c r="C127" s="511"/>
      <c r="D127" s="470"/>
    </row>
    <row r="128" spans="1:4" ht="15" customHeight="1">
      <c r="A128" s="43"/>
      <c r="B128" s="468"/>
      <c r="C128" s="511"/>
      <c r="D128" s="470"/>
    </row>
    <row r="129" spans="1:4" ht="15" customHeight="1">
      <c r="A129" s="43"/>
      <c r="B129" s="468"/>
      <c r="C129" s="511"/>
      <c r="D129" s="470"/>
    </row>
    <row r="130" spans="1:4" ht="15" customHeight="1">
      <c r="A130" s="43"/>
      <c r="B130" s="468"/>
      <c r="C130" s="511"/>
      <c r="D130" s="470"/>
    </row>
    <row r="131" spans="1:4" ht="15" customHeight="1">
      <c r="A131" s="43"/>
      <c r="B131" s="468"/>
      <c r="C131" s="511"/>
      <c r="D131" s="470"/>
    </row>
    <row r="132" spans="1:4" ht="15" customHeight="1">
      <c r="A132" s="43"/>
      <c r="B132" s="468"/>
      <c r="C132" s="511"/>
      <c r="D132" s="470"/>
    </row>
    <row r="133" spans="1:4" ht="15" customHeight="1">
      <c r="A133" s="43"/>
      <c r="B133" s="468"/>
      <c r="C133" s="511"/>
      <c r="D133" s="470"/>
    </row>
    <row r="134" spans="1:4" ht="15" customHeight="1">
      <c r="A134" s="43"/>
      <c r="B134" s="468"/>
      <c r="C134" s="511"/>
      <c r="D134" s="470"/>
    </row>
    <row r="135" spans="1:4" ht="15" customHeight="1">
      <c r="A135" s="43"/>
      <c r="B135" s="468"/>
      <c r="C135" s="511"/>
      <c r="D135" s="470"/>
    </row>
    <row r="136" spans="1:4" ht="15" customHeight="1">
      <c r="A136" s="43"/>
      <c r="B136" s="468"/>
      <c r="C136" s="511"/>
      <c r="D136" s="470"/>
    </row>
    <row r="137" spans="1:4" ht="15" customHeight="1">
      <c r="A137" s="43"/>
      <c r="B137" s="468"/>
      <c r="C137" s="511"/>
      <c r="D137" s="470"/>
    </row>
    <row r="138" spans="1:4" ht="15" customHeight="1">
      <c r="A138" s="43"/>
      <c r="B138" s="468"/>
      <c r="C138" s="511"/>
      <c r="D138" s="470"/>
    </row>
    <row r="139" spans="1:4" ht="15" customHeight="1">
      <c r="A139" s="43"/>
      <c r="B139" s="468"/>
      <c r="C139" s="511"/>
      <c r="D139" s="470"/>
    </row>
    <row r="140" spans="1:4" ht="15" customHeight="1">
      <c r="A140" s="43"/>
      <c r="B140" s="468"/>
      <c r="C140" s="511"/>
      <c r="D140" s="470"/>
    </row>
    <row r="141" spans="1:4" ht="15" customHeight="1">
      <c r="A141" s="43"/>
      <c r="B141" s="468"/>
      <c r="C141" s="511"/>
      <c r="D141" s="470"/>
    </row>
    <row r="142" spans="1:4" ht="15" customHeight="1">
      <c r="A142" s="43"/>
      <c r="B142" s="468"/>
      <c r="C142" s="511"/>
      <c r="D142" s="470"/>
    </row>
    <row r="143" spans="1:4" ht="15" customHeight="1">
      <c r="A143" s="43"/>
      <c r="B143" s="468"/>
      <c r="C143" s="511"/>
      <c r="D143" s="470"/>
    </row>
    <row r="144" spans="1:4" ht="15" customHeight="1">
      <c r="A144" s="43"/>
      <c r="B144" s="468"/>
      <c r="C144" s="511"/>
      <c r="D144" s="470"/>
    </row>
    <row r="145" spans="1:4" ht="15" customHeight="1">
      <c r="A145" s="43"/>
      <c r="B145" s="468"/>
      <c r="C145" s="511"/>
      <c r="D145" s="470"/>
    </row>
    <row r="146" spans="1:4" ht="15" customHeight="1">
      <c r="A146" s="43"/>
      <c r="B146" s="468"/>
      <c r="C146" s="511"/>
      <c r="D146" s="470"/>
    </row>
    <row r="147" spans="1:4" ht="15" customHeight="1">
      <c r="A147" s="43"/>
      <c r="B147" s="468"/>
      <c r="C147" s="511"/>
      <c r="D147" s="470"/>
    </row>
    <row r="148" spans="1:4" ht="15" customHeight="1">
      <c r="A148" s="43"/>
      <c r="B148" s="468"/>
      <c r="C148" s="511"/>
      <c r="D148" s="470"/>
    </row>
    <row r="149" spans="1:4" ht="15" customHeight="1">
      <c r="A149" s="43"/>
      <c r="B149" s="468"/>
      <c r="C149" s="511"/>
      <c r="D149" s="470"/>
    </row>
    <row r="150" spans="1:4" ht="15" customHeight="1">
      <c r="A150" s="43"/>
      <c r="B150" s="468"/>
      <c r="C150" s="511"/>
      <c r="D150" s="470"/>
    </row>
    <row r="151" spans="1:4" ht="15" customHeight="1">
      <c r="A151" s="43"/>
      <c r="B151" s="468"/>
      <c r="C151" s="511"/>
      <c r="D151" s="470"/>
    </row>
    <row r="152" spans="1:4" ht="15" customHeight="1">
      <c r="A152" s="43"/>
      <c r="B152" s="468"/>
      <c r="C152" s="511"/>
      <c r="D152" s="470"/>
    </row>
    <row r="153" spans="1:4" ht="15" customHeight="1">
      <c r="A153" s="294" t="str">
        <f t="shared" ref="A153:A163" si="4">A51</f>
        <v>Predictable</v>
      </c>
      <c r="B153" s="289"/>
      <c r="C153" s="512"/>
      <c r="D153" s="295" t="e">
        <f>#REF!</f>
        <v>#REF!</v>
      </c>
    </row>
    <row r="154" spans="1:4" ht="15" customHeight="1">
      <c r="A154" s="288" t="str">
        <f t="shared" si="4"/>
        <v>Rhinoru</v>
      </c>
      <c r="B154" s="289"/>
      <c r="C154" s="513"/>
      <c r="D154" s="290" t="e">
        <f>#REF!</f>
        <v>#REF!</v>
      </c>
    </row>
    <row r="155" spans="1:4" ht="15" customHeight="1">
      <c r="A155" s="288">
        <f t="shared" si="4"/>
        <v>0</v>
      </c>
      <c r="B155" s="289"/>
      <c r="C155" s="513"/>
      <c r="D155" s="290" t="e">
        <f>#REF!</f>
        <v>#REF!</v>
      </c>
    </row>
    <row r="156" spans="1:4" ht="15" customHeight="1">
      <c r="A156" s="288" t="str">
        <f t="shared" si="4"/>
        <v>Saltycream</v>
      </c>
      <c r="B156" s="289"/>
      <c r="C156" s="513"/>
      <c r="D156" s="290" t="e">
        <f>#REF!</f>
        <v>#REF!</v>
      </c>
    </row>
    <row r="157" spans="1:4" ht="15" customHeight="1">
      <c r="A157" s="288" t="str">
        <f t="shared" si="4"/>
        <v>Sarjezzar</v>
      </c>
      <c r="B157" s="289"/>
      <c r="C157" s="513"/>
      <c r="D157" s="290" t="e">
        <f>#REF!</f>
        <v>#REF!</v>
      </c>
    </row>
    <row r="158" spans="1:4" ht="15" customHeight="1">
      <c r="A158" s="288">
        <f t="shared" si="4"/>
        <v>0</v>
      </c>
      <c r="B158" s="289"/>
      <c r="C158" s="513"/>
      <c r="D158" s="290" t="e">
        <f>#REF!</f>
        <v>#REF!</v>
      </c>
    </row>
    <row r="159" spans="1:4" ht="15" customHeight="1">
      <c r="A159" s="288" t="str">
        <f t="shared" si="4"/>
        <v>Shinkai</v>
      </c>
      <c r="B159" s="289"/>
      <c r="C159" s="513"/>
      <c r="D159" s="290" t="e">
        <f>#REF!</f>
        <v>#REF!</v>
      </c>
    </row>
    <row r="160" spans="1:4" ht="15" customHeight="1">
      <c r="A160" s="288" t="str">
        <f t="shared" si="4"/>
        <v>Sidac</v>
      </c>
      <c r="B160" s="289"/>
      <c r="C160" s="513"/>
      <c r="D160" s="290" t="e">
        <f>#REF!</f>
        <v>#REF!</v>
      </c>
    </row>
    <row r="161" spans="1:4" ht="15" customHeight="1">
      <c r="A161" s="288" t="str">
        <f t="shared" si="4"/>
        <v>Snowies</v>
      </c>
      <c r="B161" s="289"/>
      <c r="C161" s="513"/>
      <c r="D161" s="290" t="e">
        <f>#REF!</f>
        <v>#REF!</v>
      </c>
    </row>
    <row r="162" spans="1:4" ht="15" customHeight="1">
      <c r="A162" s="288" t="str">
        <f t="shared" si="4"/>
        <v>Spruch</v>
      </c>
      <c r="B162" s="289"/>
      <c r="C162" s="513"/>
      <c r="D162" s="290" t="e">
        <f>#REF!</f>
        <v>#REF!</v>
      </c>
    </row>
    <row r="163" spans="1:4" ht="15" customHeight="1" thickBot="1">
      <c r="A163" s="291" t="str">
        <f t="shared" si="4"/>
        <v>Svicane</v>
      </c>
      <c r="B163" s="292"/>
      <c r="C163" s="514"/>
      <c r="D163" s="293" t="e">
        <f>#REF!</f>
        <v>#REF!</v>
      </c>
    </row>
  </sheetData>
  <sheetProtection autoFilter="0"/>
  <sortState ref="A104:C151">
    <sortCondition ref="A104:A151"/>
  </sortState>
  <conditionalFormatting sqref="A2:A100">
    <cfRule type="expression" dxfId="20" priority="29" stopIfTrue="1">
      <formula>IF(#REF!&gt;1,TRUE)</formula>
    </cfRule>
    <cfRule type="expression" dxfId="19" priority="30" stopIfTrue="1">
      <formula>IF(#REF!=0,TRUE)</formula>
    </cfRule>
    <cfRule type="expression" dxfId="18" priority="31" stopIfTrue="1">
      <formula>IF(#REF!&lt;=1,TRUE)</formula>
    </cfRule>
  </conditionalFormatting>
  <dataValidations count="2">
    <dataValidation type="date" operator="greaterThan" allowBlank="1" showErrorMessage="1" sqref="B62:C96 B2:B50 C4:C50">
      <formula1>1/3/2010</formula1>
      <formula2>30/12/1899</formula2>
    </dataValidation>
    <dataValidation operator="greaterThan" allowBlank="1" showErrorMessage="1" sqref="C2:C3"/>
  </dataValidations>
  <pageMargins left="0.78749999999999998" right="0.78749999999999998" top="1.0527777777777778" bottom="1.0527777777777778" header="0.78749999999999998" footer="0.78749999999999998"/>
  <pageSetup paperSize="9" firstPageNumber="0" orientation="portrait" horizontalDpi="300" verticalDpi="300" r:id="rId1"/>
  <headerFooter alignWithMargins="0">
    <oddHeader>&amp;C&amp;"Times New Roman,Regular"&amp;12&amp;A</oddHeader>
    <oddFooter>&amp;C&amp;"Times New Roman,Regular"&amp;12Page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dimension ref="A1:N108"/>
  <sheetViews>
    <sheetView zoomScale="101" zoomScaleNormal="101" workbookViewId="0">
      <pane xSplit="1" ySplit="9" topLeftCell="B10" activePane="bottomRight" state="frozen"/>
      <selection activeCell="F51" sqref="F47:F51"/>
      <selection pane="topRight" activeCell="F51" sqref="F47:F51"/>
      <selection pane="bottomLeft" activeCell="F51" sqref="F47:F51"/>
      <selection pane="bottomRight" activeCell="C63" sqref="C63"/>
    </sheetView>
  </sheetViews>
  <sheetFormatPr defaultColWidth="8.7109375" defaultRowHeight="15" customHeight="1"/>
  <cols>
    <col min="1" max="1" width="14" style="1" customWidth="1"/>
    <col min="2" max="8" width="11.140625" style="1" customWidth="1"/>
    <col min="9" max="11" width="10.28515625" style="1" customWidth="1"/>
    <col min="12" max="13" width="8.7109375" style="1"/>
    <col min="14" max="16384" width="8.7109375" style="48"/>
  </cols>
  <sheetData>
    <row r="1" spans="1:14" ht="33" customHeight="1">
      <c r="A1" s="49" t="s">
        <v>19</v>
      </c>
      <c r="B1" s="50" t="s">
        <v>43</v>
      </c>
      <c r="C1" s="51" t="s">
        <v>163</v>
      </c>
      <c r="D1" s="51" t="s">
        <v>45</v>
      </c>
      <c r="E1" s="51" t="s">
        <v>46</v>
      </c>
      <c r="F1" s="51" t="s">
        <v>47</v>
      </c>
      <c r="G1" s="51" t="s">
        <v>48</v>
      </c>
      <c r="H1" s="52" t="s">
        <v>49</v>
      </c>
      <c r="I1" s="534" t="s">
        <v>27</v>
      </c>
      <c r="J1" s="534" t="s">
        <v>28</v>
      </c>
      <c r="K1" s="537" t="s">
        <v>29</v>
      </c>
    </row>
    <row r="2" spans="1:14" ht="15.75" customHeight="1">
      <c r="A2" s="53" t="s">
        <v>30</v>
      </c>
      <c r="B2" s="54">
        <v>41976</v>
      </c>
      <c r="C2" s="195">
        <f>B2+1</f>
        <v>41977</v>
      </c>
      <c r="D2" s="195">
        <f t="shared" ref="D2:H2" si="0">C2+1</f>
        <v>41978</v>
      </c>
      <c r="E2" s="195">
        <f t="shared" si="0"/>
        <v>41979</v>
      </c>
      <c r="F2" s="195">
        <f t="shared" si="0"/>
        <v>41980</v>
      </c>
      <c r="G2" s="195">
        <f t="shared" si="0"/>
        <v>41981</v>
      </c>
      <c r="H2" s="196">
        <f t="shared" si="0"/>
        <v>41982</v>
      </c>
      <c r="I2" s="535"/>
      <c r="J2" s="535"/>
      <c r="K2" s="538"/>
    </row>
    <row r="3" spans="1:14" ht="15.75" customHeight="1">
      <c r="A3" s="53" t="s">
        <v>31</v>
      </c>
      <c r="B3" s="55" t="s">
        <v>407</v>
      </c>
      <c r="C3" s="1" t="s">
        <v>408</v>
      </c>
      <c r="D3" s="56"/>
      <c r="E3" s="56"/>
      <c r="F3" s="56"/>
      <c r="G3" s="56"/>
      <c r="H3" s="57"/>
      <c r="I3" s="535"/>
      <c r="J3" s="535"/>
      <c r="K3" s="538"/>
    </row>
    <row r="4" spans="1:14" ht="15.75" customHeight="1">
      <c r="A4" s="53" t="s">
        <v>32</v>
      </c>
      <c r="B4" s="197"/>
      <c r="C4" s="56"/>
      <c r="D4" s="56"/>
      <c r="E4" s="56"/>
      <c r="F4" s="56"/>
      <c r="G4" s="56"/>
      <c r="H4" s="57"/>
      <c r="I4" s="535"/>
      <c r="J4" s="535"/>
      <c r="K4" s="538"/>
    </row>
    <row r="5" spans="1:14" ht="30.75" customHeight="1" thickBot="1">
      <c r="A5" s="58" t="s">
        <v>33</v>
      </c>
      <c r="B5" s="59" t="s">
        <v>165</v>
      </c>
      <c r="C5" s="60" t="s">
        <v>165</v>
      </c>
      <c r="D5" s="60"/>
      <c r="E5" s="60"/>
      <c r="F5" s="59"/>
      <c r="G5" s="60"/>
      <c r="H5" s="61"/>
      <c r="I5" s="535"/>
      <c r="J5" s="535"/>
      <c r="K5" s="538"/>
      <c r="N5"/>
    </row>
    <row r="6" spans="1:14" ht="30.75" customHeight="1" thickBot="1">
      <c r="A6" s="350" t="s">
        <v>144</v>
      </c>
      <c r="B6" s="351" t="s">
        <v>152</v>
      </c>
      <c r="C6" s="351" t="s">
        <v>152</v>
      </c>
      <c r="D6" s="351"/>
      <c r="E6" s="351"/>
      <c r="F6" s="351"/>
      <c r="G6" s="351"/>
      <c r="H6" s="352"/>
      <c r="I6" s="535"/>
      <c r="J6" s="535"/>
      <c r="K6" s="538"/>
      <c r="N6"/>
    </row>
    <row r="7" spans="1:14">
      <c r="A7" s="49" t="s">
        <v>35</v>
      </c>
      <c r="B7" s="198">
        <f>COUNTIF(B10:B108,"Confirmed")</f>
        <v>27</v>
      </c>
      <c r="C7" s="198">
        <f t="shared" ref="C7:H7" si="1">COUNTIF(C10:C108,"Confirmed")</f>
        <v>26</v>
      </c>
      <c r="D7" s="198">
        <f t="shared" si="1"/>
        <v>0</v>
      </c>
      <c r="E7" s="198">
        <f t="shared" si="1"/>
        <v>0</v>
      </c>
      <c r="F7" s="198">
        <f t="shared" si="1"/>
        <v>0</v>
      </c>
      <c r="G7" s="198">
        <f t="shared" si="1"/>
        <v>0</v>
      </c>
      <c r="H7" s="199">
        <f t="shared" si="1"/>
        <v>0</v>
      </c>
      <c r="I7" s="535"/>
      <c r="J7" s="535"/>
      <c r="K7" s="538"/>
      <c r="N7"/>
    </row>
    <row r="8" spans="1:14">
      <c r="A8" s="53" t="s">
        <v>34</v>
      </c>
      <c r="B8" s="200">
        <f t="shared" ref="B8:H8" si="2">COUNTIF(B10:B69,"Standby")</f>
        <v>0</v>
      </c>
      <c r="C8" s="200">
        <f t="shared" si="2"/>
        <v>0</v>
      </c>
      <c r="D8" s="200">
        <f t="shared" si="2"/>
        <v>0</v>
      </c>
      <c r="E8" s="200">
        <f t="shared" si="2"/>
        <v>0</v>
      </c>
      <c r="F8" s="200">
        <f t="shared" si="2"/>
        <v>0</v>
      </c>
      <c r="G8" s="200">
        <f t="shared" si="2"/>
        <v>0</v>
      </c>
      <c r="H8" s="201">
        <f t="shared" si="2"/>
        <v>0</v>
      </c>
      <c r="I8" s="535"/>
      <c r="J8" s="535"/>
      <c r="K8" s="538"/>
      <c r="N8"/>
    </row>
    <row r="9" spans="1:14" ht="15.75" thickBot="1">
      <c r="A9" s="58" t="s">
        <v>26</v>
      </c>
      <c r="B9" s="202">
        <f t="shared" ref="B9:H9" si="3">COUNTIF(B10:B69,"Out")</f>
        <v>0</v>
      </c>
      <c r="C9" s="202">
        <f t="shared" si="3"/>
        <v>0</v>
      </c>
      <c r="D9" s="202">
        <f t="shared" si="3"/>
        <v>0</v>
      </c>
      <c r="E9" s="202">
        <f t="shared" si="3"/>
        <v>0</v>
      </c>
      <c r="F9" s="202">
        <f t="shared" si="3"/>
        <v>0</v>
      </c>
      <c r="G9" s="202">
        <f t="shared" si="3"/>
        <v>0</v>
      </c>
      <c r="H9" s="203">
        <f t="shared" si="3"/>
        <v>0</v>
      </c>
      <c r="I9" s="536"/>
      <c r="J9" s="536"/>
      <c r="K9" s="539"/>
      <c r="N9"/>
    </row>
    <row r="10" spans="1:14" ht="15" customHeight="1">
      <c r="A10" s="5" t="str">
        <f>'Members Data'!A2</f>
        <v>Ablon</v>
      </c>
      <c r="B10" s="180"/>
      <c r="C10" s="184"/>
      <c r="D10" s="184"/>
      <c r="E10" s="181"/>
      <c r="F10" s="181"/>
      <c r="G10" s="181"/>
      <c r="H10" s="185"/>
      <c r="I10" s="62">
        <f t="shared" ref="I10:I41" si="4">COUNTIF(B10:H10,"confirmed")</f>
        <v>0</v>
      </c>
      <c r="J10" s="62">
        <f t="shared" ref="J10:J41" si="5">COUNTIF(B10:H10,"standby")</f>
        <v>0</v>
      </c>
      <c r="K10" s="63">
        <f t="shared" ref="K10:K41" si="6">COUNTIF(B10:H10,"out")</f>
        <v>0</v>
      </c>
      <c r="N10"/>
    </row>
    <row r="11" spans="1:14" ht="15" customHeight="1">
      <c r="A11" s="9">
        <f>'Members Data'!A3</f>
        <v>0</v>
      </c>
      <c r="B11" s="183"/>
      <c r="C11" s="184"/>
      <c r="D11" s="184"/>
      <c r="E11" s="184"/>
      <c r="F11" s="184"/>
      <c r="G11" s="184"/>
      <c r="H11" s="185"/>
      <c r="I11" s="12">
        <f t="shared" si="4"/>
        <v>0</v>
      </c>
      <c r="J11" s="12">
        <f t="shared" si="5"/>
        <v>0</v>
      </c>
      <c r="K11" s="13">
        <f t="shared" si="6"/>
        <v>0</v>
      </c>
      <c r="M11"/>
      <c r="N11"/>
    </row>
    <row r="12" spans="1:14" ht="15" customHeight="1">
      <c r="A12" s="9" t="str">
        <f>'Members Data'!A4</f>
        <v>Akilta</v>
      </c>
      <c r="B12" s="183"/>
      <c r="C12" s="184"/>
      <c r="D12" s="184"/>
      <c r="E12" s="184"/>
      <c r="F12" s="184"/>
      <c r="G12" s="184"/>
      <c r="H12" s="185"/>
      <c r="I12" s="12">
        <f t="shared" si="4"/>
        <v>0</v>
      </c>
      <c r="J12" s="12">
        <f t="shared" si="5"/>
        <v>0</v>
      </c>
      <c r="K12" s="13">
        <f t="shared" si="6"/>
        <v>0</v>
      </c>
      <c r="M12"/>
      <c r="N12"/>
    </row>
    <row r="13" spans="1:14" ht="15" customHeight="1">
      <c r="A13" s="9" t="str">
        <f>'Members Data'!A5</f>
        <v>Altrezza</v>
      </c>
      <c r="B13" s="183" t="s">
        <v>35</v>
      </c>
      <c r="C13" s="184"/>
      <c r="D13" s="184"/>
      <c r="E13" s="184"/>
      <c r="F13" s="184"/>
      <c r="G13" s="184"/>
      <c r="H13" s="185"/>
      <c r="I13" s="12">
        <f t="shared" si="4"/>
        <v>1</v>
      </c>
      <c r="J13" s="12">
        <f t="shared" si="5"/>
        <v>0</v>
      </c>
      <c r="K13" s="13">
        <f t="shared" si="6"/>
        <v>0</v>
      </c>
      <c r="M13"/>
      <c r="N13"/>
    </row>
    <row r="14" spans="1:14" ht="15" customHeight="1">
      <c r="A14" s="9" t="str">
        <f>'Members Data'!A6</f>
        <v>Amaras</v>
      </c>
      <c r="B14" s="183"/>
      <c r="C14" s="184"/>
      <c r="D14" s="184"/>
      <c r="E14" s="184"/>
      <c r="F14" s="184"/>
      <c r="G14" s="184"/>
      <c r="H14" s="185"/>
      <c r="I14" s="12">
        <f t="shared" si="4"/>
        <v>0</v>
      </c>
      <c r="J14" s="12">
        <f t="shared" si="5"/>
        <v>0</v>
      </c>
      <c r="K14" s="13">
        <f t="shared" si="6"/>
        <v>0</v>
      </c>
      <c r="M14"/>
      <c r="N14"/>
    </row>
    <row r="15" spans="1:14" ht="15" customHeight="1">
      <c r="A15" s="9" t="str">
        <f>'Members Data'!A7</f>
        <v>Angelhoof</v>
      </c>
      <c r="B15" s="183"/>
      <c r="C15" s="184"/>
      <c r="D15" s="184"/>
      <c r="E15" s="184"/>
      <c r="F15" s="184"/>
      <c r="G15" s="184"/>
      <c r="H15" s="185"/>
      <c r="I15" s="12">
        <f t="shared" si="4"/>
        <v>0</v>
      </c>
      <c r="J15" s="12">
        <f t="shared" si="5"/>
        <v>0</v>
      </c>
      <c r="K15" s="13">
        <f t="shared" si="6"/>
        <v>0</v>
      </c>
      <c r="M15"/>
      <c r="N15"/>
    </row>
    <row r="16" spans="1:14" ht="15" customHeight="1">
      <c r="A16" s="9" t="str">
        <f>'Members Data'!A8</f>
        <v>Ánja</v>
      </c>
      <c r="B16" s="183" t="s">
        <v>35</v>
      </c>
      <c r="C16" s="184" t="s">
        <v>35</v>
      </c>
      <c r="D16" s="184"/>
      <c r="E16" s="184"/>
      <c r="F16" s="184"/>
      <c r="G16" s="184"/>
      <c r="H16" s="185"/>
      <c r="I16" s="12">
        <f t="shared" si="4"/>
        <v>2</v>
      </c>
      <c r="J16" s="12">
        <f t="shared" si="5"/>
        <v>0</v>
      </c>
      <c r="K16" s="13">
        <f t="shared" si="6"/>
        <v>0</v>
      </c>
      <c r="M16"/>
      <c r="N16"/>
    </row>
    <row r="17" spans="1:14" ht="15" customHeight="1">
      <c r="A17" s="9" t="str">
        <f>'Members Data'!A9</f>
        <v>Asch</v>
      </c>
      <c r="B17" s="183"/>
      <c r="C17" s="184"/>
      <c r="D17" s="184"/>
      <c r="E17" s="184"/>
      <c r="F17" s="184"/>
      <c r="G17" s="184"/>
      <c r="H17" s="185"/>
      <c r="I17" s="12">
        <f t="shared" si="4"/>
        <v>0</v>
      </c>
      <c r="J17" s="12">
        <f t="shared" si="5"/>
        <v>0</v>
      </c>
      <c r="K17" s="13">
        <f t="shared" si="6"/>
        <v>0</v>
      </c>
      <c r="M17"/>
      <c r="N17"/>
    </row>
    <row r="18" spans="1:14" ht="15" customHeight="1">
      <c r="A18" s="9" t="str">
        <f>'Members Data'!A10</f>
        <v>Avane</v>
      </c>
      <c r="B18" s="183"/>
      <c r="C18" s="184"/>
      <c r="D18" s="184"/>
      <c r="E18" s="184"/>
      <c r="F18" s="186"/>
      <c r="G18" s="184"/>
      <c r="H18" s="185"/>
      <c r="I18" s="12">
        <f t="shared" si="4"/>
        <v>0</v>
      </c>
      <c r="J18" s="12">
        <f t="shared" si="5"/>
        <v>0</v>
      </c>
      <c r="K18" s="13">
        <f t="shared" si="6"/>
        <v>0</v>
      </c>
      <c r="M18"/>
      <c r="N18"/>
    </row>
    <row r="19" spans="1:14" ht="15" customHeight="1">
      <c r="A19" s="9" t="str">
        <f>'Members Data'!A11</f>
        <v>Beargrels</v>
      </c>
      <c r="B19" s="183"/>
      <c r="C19" s="184"/>
      <c r="D19" s="184"/>
      <c r="E19" s="184"/>
      <c r="F19" s="184"/>
      <c r="G19" s="184"/>
      <c r="H19" s="185"/>
      <c r="I19" s="12">
        <f t="shared" si="4"/>
        <v>0</v>
      </c>
      <c r="J19" s="12">
        <f t="shared" si="5"/>
        <v>0</v>
      </c>
      <c r="K19" s="13">
        <f t="shared" si="6"/>
        <v>0</v>
      </c>
      <c r="M19"/>
      <c r="N19"/>
    </row>
    <row r="20" spans="1:14" ht="15" customHeight="1">
      <c r="A20" s="9" t="str">
        <f>'Members Data'!A12</f>
        <v>Blackcheeta</v>
      </c>
      <c r="B20" s="183" t="s">
        <v>35</v>
      </c>
      <c r="C20" s="184" t="s">
        <v>35</v>
      </c>
      <c r="D20" s="184"/>
      <c r="E20" s="184"/>
      <c r="F20" s="184"/>
      <c r="G20" s="184"/>
      <c r="H20" s="185"/>
      <c r="I20" s="12">
        <f t="shared" si="4"/>
        <v>2</v>
      </c>
      <c r="J20" s="12">
        <f t="shared" si="5"/>
        <v>0</v>
      </c>
      <c r="K20" s="13">
        <f t="shared" si="6"/>
        <v>0</v>
      </c>
      <c r="M20"/>
      <c r="N20"/>
    </row>
    <row r="21" spans="1:14" ht="15" customHeight="1">
      <c r="A21" s="9">
        <f>'Members Data'!A13</f>
        <v>0</v>
      </c>
      <c r="B21" s="183"/>
      <c r="C21" s="184"/>
      <c r="D21" s="184"/>
      <c r="E21" s="184"/>
      <c r="F21" s="184"/>
      <c r="G21" s="184"/>
      <c r="H21" s="185"/>
      <c r="I21" s="12">
        <f t="shared" si="4"/>
        <v>0</v>
      </c>
      <c r="J21" s="12">
        <f t="shared" si="5"/>
        <v>0</v>
      </c>
      <c r="K21" s="13">
        <f t="shared" si="6"/>
        <v>0</v>
      </c>
      <c r="M21"/>
      <c r="N21"/>
    </row>
    <row r="22" spans="1:14" ht="15" customHeight="1">
      <c r="A22" s="9" t="str">
        <f>'Members Data'!A14</f>
        <v>Brownale</v>
      </c>
      <c r="B22" s="183" t="s">
        <v>35</v>
      </c>
      <c r="C22" s="184" t="s">
        <v>35</v>
      </c>
      <c r="D22" s="184"/>
      <c r="E22" s="184"/>
      <c r="F22" s="184"/>
      <c r="G22" s="184"/>
      <c r="H22" s="185"/>
      <c r="I22" s="12">
        <f t="shared" si="4"/>
        <v>2</v>
      </c>
      <c r="J22" s="12">
        <f t="shared" si="5"/>
        <v>0</v>
      </c>
      <c r="K22" s="13">
        <f t="shared" si="6"/>
        <v>0</v>
      </c>
      <c r="M22"/>
      <c r="N22"/>
    </row>
    <row r="23" spans="1:14" ht="15" customHeight="1">
      <c r="A23" s="9">
        <f>'Members Data'!A15</f>
        <v>0</v>
      </c>
      <c r="B23" s="183"/>
      <c r="C23" s="184"/>
      <c r="D23" s="184"/>
      <c r="E23" s="184"/>
      <c r="F23" s="184"/>
      <c r="G23" s="184"/>
      <c r="H23" s="185"/>
      <c r="I23" s="12">
        <f t="shared" si="4"/>
        <v>0</v>
      </c>
      <c r="J23" s="12">
        <f t="shared" si="5"/>
        <v>0</v>
      </c>
      <c r="K23" s="13">
        <f t="shared" si="6"/>
        <v>0</v>
      </c>
      <c r="M23"/>
      <c r="N23"/>
    </row>
    <row r="24" spans="1:14" ht="15" customHeight="1">
      <c r="A24" s="9" t="str">
        <f>'Members Data'!A16</f>
        <v>Masher</v>
      </c>
      <c r="B24" s="183"/>
      <c r="C24" s="184"/>
      <c r="D24" s="184"/>
      <c r="E24" s="184"/>
      <c r="F24" s="184"/>
      <c r="G24" s="184"/>
      <c r="H24" s="185"/>
      <c r="I24" s="12">
        <f t="shared" si="4"/>
        <v>0</v>
      </c>
      <c r="J24" s="12">
        <f t="shared" si="5"/>
        <v>0</v>
      </c>
      <c r="K24" s="13">
        <f t="shared" si="6"/>
        <v>0</v>
      </c>
      <c r="M24"/>
      <c r="N24"/>
    </row>
    <row r="25" spans="1:14" ht="15" customHeight="1">
      <c r="A25" s="9" t="str">
        <f>'Members Data'!A17</f>
        <v>Dottiee</v>
      </c>
      <c r="B25" s="183" t="s">
        <v>35</v>
      </c>
      <c r="C25" s="184" t="s">
        <v>35</v>
      </c>
      <c r="D25" s="184"/>
      <c r="E25" s="184"/>
      <c r="F25" s="184"/>
      <c r="G25" s="184"/>
      <c r="H25" s="185"/>
      <c r="I25" s="12">
        <f t="shared" si="4"/>
        <v>2</v>
      </c>
      <c r="J25" s="12">
        <f t="shared" si="5"/>
        <v>0</v>
      </c>
      <c r="K25" s="13">
        <f t="shared" si="6"/>
        <v>0</v>
      </c>
      <c r="M25"/>
      <c r="N25"/>
    </row>
    <row r="26" spans="1:14" ht="15" customHeight="1">
      <c r="A26" s="9" t="str">
        <f>'Members Data'!A18</f>
        <v>Dracoar</v>
      </c>
      <c r="B26" s="183"/>
      <c r="C26" s="184"/>
      <c r="D26" s="184"/>
      <c r="E26" s="184"/>
      <c r="F26" s="184"/>
      <c r="G26" s="184"/>
      <c r="H26" s="185"/>
      <c r="I26" s="12">
        <f t="shared" si="4"/>
        <v>0</v>
      </c>
      <c r="J26" s="12">
        <f t="shared" si="5"/>
        <v>0</v>
      </c>
      <c r="K26" s="13">
        <f t="shared" si="6"/>
        <v>0</v>
      </c>
      <c r="M26"/>
      <c r="N26"/>
    </row>
    <row r="27" spans="1:14" ht="15" customHeight="1">
      <c r="A27" s="9" t="str">
        <f>'Members Data'!A19</f>
        <v>Drakodin</v>
      </c>
      <c r="B27" s="183" t="s">
        <v>35</v>
      </c>
      <c r="C27" s="184" t="s">
        <v>35</v>
      </c>
      <c r="D27" s="184"/>
      <c r="E27" s="184"/>
      <c r="F27" s="184"/>
      <c r="G27" s="184"/>
      <c r="H27" s="185"/>
      <c r="I27" s="12">
        <f t="shared" si="4"/>
        <v>2</v>
      </c>
      <c r="J27" s="12">
        <f t="shared" si="5"/>
        <v>0</v>
      </c>
      <c r="K27" s="13">
        <f t="shared" si="6"/>
        <v>0</v>
      </c>
      <c r="M27"/>
      <c r="N27"/>
    </row>
    <row r="28" spans="1:14" ht="15" customHeight="1">
      <c r="A28" s="9" t="str">
        <f>'Members Data'!A20</f>
        <v>Drugged</v>
      </c>
      <c r="B28" s="183" t="s">
        <v>35</v>
      </c>
      <c r="C28" s="184" t="s">
        <v>35</v>
      </c>
      <c r="D28" s="184"/>
      <c r="E28" s="184"/>
      <c r="F28" s="184"/>
      <c r="G28" s="184"/>
      <c r="H28" s="185"/>
      <c r="I28" s="12">
        <f t="shared" si="4"/>
        <v>2</v>
      </c>
      <c r="J28" s="12">
        <f t="shared" si="5"/>
        <v>0</v>
      </c>
      <c r="K28" s="13">
        <f t="shared" si="6"/>
        <v>0</v>
      </c>
      <c r="M28"/>
      <c r="N28"/>
    </row>
    <row r="29" spans="1:14" ht="15" customHeight="1">
      <c r="A29" s="9" t="str">
        <f>'Members Data'!A21</f>
        <v>Eárendíl</v>
      </c>
      <c r="B29" s="183" t="s">
        <v>35</v>
      </c>
      <c r="C29" s="184" t="s">
        <v>35</v>
      </c>
      <c r="D29" s="184"/>
      <c r="E29" s="184"/>
      <c r="F29" s="184"/>
      <c r="G29" s="184"/>
      <c r="H29" s="185"/>
      <c r="I29" s="12">
        <f t="shared" si="4"/>
        <v>2</v>
      </c>
      <c r="J29" s="12">
        <f t="shared" si="5"/>
        <v>0</v>
      </c>
      <c r="K29" s="13">
        <f t="shared" si="6"/>
        <v>0</v>
      </c>
      <c r="M29"/>
      <c r="N29"/>
    </row>
    <row r="30" spans="1:14" ht="15" customHeight="1">
      <c r="A30" s="9" t="str">
        <f>'Members Data'!A22</f>
        <v>Emril</v>
      </c>
      <c r="B30" s="183"/>
      <c r="C30" s="184"/>
      <c r="D30" s="184"/>
      <c r="E30" s="184"/>
      <c r="F30" s="184"/>
      <c r="G30" s="184"/>
      <c r="H30" s="185"/>
      <c r="I30" s="12">
        <f t="shared" si="4"/>
        <v>0</v>
      </c>
      <c r="J30" s="12">
        <f t="shared" si="5"/>
        <v>0</v>
      </c>
      <c r="K30" s="13">
        <f t="shared" si="6"/>
        <v>0</v>
      </c>
      <c r="M30"/>
      <c r="N30"/>
    </row>
    <row r="31" spans="1:14" ht="15" customHeight="1">
      <c r="A31" s="9" t="str">
        <f>'Members Data'!A23</f>
        <v>Halfthings</v>
      </c>
      <c r="B31" s="183"/>
      <c r="C31" s="184"/>
      <c r="D31" s="184"/>
      <c r="E31" s="184"/>
      <c r="F31" s="184"/>
      <c r="G31" s="184"/>
      <c r="H31" s="185"/>
      <c r="I31" s="12">
        <f t="shared" si="4"/>
        <v>0</v>
      </c>
      <c r="J31" s="12">
        <f t="shared" si="5"/>
        <v>0</v>
      </c>
      <c r="K31" s="13">
        <f t="shared" si="6"/>
        <v>0</v>
      </c>
      <c r="M31"/>
      <c r="N31"/>
    </row>
    <row r="32" spans="1:14" ht="15" customHeight="1">
      <c r="A32" s="9" t="str">
        <f>'Members Data'!A24</f>
        <v>Harkar</v>
      </c>
      <c r="B32" s="183" t="s">
        <v>35</v>
      </c>
      <c r="C32" s="184"/>
      <c r="D32" s="184"/>
      <c r="E32" s="184"/>
      <c r="F32" s="184"/>
      <c r="G32" s="184"/>
      <c r="H32" s="185"/>
      <c r="I32" s="12">
        <f t="shared" si="4"/>
        <v>1</v>
      </c>
      <c r="J32" s="12">
        <f t="shared" si="5"/>
        <v>0</v>
      </c>
      <c r="K32" s="13">
        <f t="shared" si="6"/>
        <v>0</v>
      </c>
      <c r="M32"/>
      <c r="N32"/>
    </row>
    <row r="33" spans="1:14" ht="15" customHeight="1">
      <c r="A33" s="9" t="str">
        <f>'Members Data'!A25</f>
        <v>Hlianna</v>
      </c>
      <c r="B33" s="183" t="s">
        <v>35</v>
      </c>
      <c r="C33" s="184" t="s">
        <v>35</v>
      </c>
      <c r="D33" s="184"/>
      <c r="E33" s="184"/>
      <c r="F33" s="184"/>
      <c r="G33" s="184"/>
      <c r="H33" s="185"/>
      <c r="I33" s="12">
        <f t="shared" si="4"/>
        <v>2</v>
      </c>
      <c r="J33" s="12">
        <f t="shared" si="5"/>
        <v>0</v>
      </c>
      <c r="K33" s="13">
        <f t="shared" si="6"/>
        <v>0</v>
      </c>
      <c r="M33"/>
      <c r="N33"/>
    </row>
    <row r="34" spans="1:14" ht="15" customHeight="1">
      <c r="A34" s="9" t="str">
        <f>'Members Data'!A26</f>
        <v>Hormones</v>
      </c>
      <c r="B34" s="183"/>
      <c r="C34" s="184"/>
      <c r="D34" s="184"/>
      <c r="E34" s="184"/>
      <c r="F34" s="184"/>
      <c r="G34" s="184"/>
      <c r="H34" s="185"/>
      <c r="I34" s="12">
        <f t="shared" si="4"/>
        <v>0</v>
      </c>
      <c r="J34" s="12">
        <f t="shared" si="5"/>
        <v>0</v>
      </c>
      <c r="K34" s="13">
        <f t="shared" si="6"/>
        <v>0</v>
      </c>
      <c r="M34"/>
      <c r="N34"/>
    </row>
    <row r="35" spans="1:14" ht="15" customHeight="1">
      <c r="A35" s="9" t="str">
        <f>'Members Data'!A27</f>
        <v>Hyperïon</v>
      </c>
      <c r="B35" s="183"/>
      <c r="C35" s="184"/>
      <c r="D35" s="184"/>
      <c r="E35" s="184"/>
      <c r="F35" s="184"/>
      <c r="G35" s="184"/>
      <c r="H35" s="185"/>
      <c r="I35" s="12">
        <f t="shared" si="4"/>
        <v>0</v>
      </c>
      <c r="J35" s="12">
        <f t="shared" si="5"/>
        <v>0</v>
      </c>
      <c r="K35" s="13">
        <f t="shared" si="6"/>
        <v>0</v>
      </c>
      <c r="M35"/>
    </row>
    <row r="36" spans="1:14" ht="15" customHeight="1">
      <c r="A36" s="9" t="str">
        <f>'Members Data'!A28</f>
        <v>Hyunâ</v>
      </c>
      <c r="B36" s="183"/>
      <c r="C36" s="184"/>
      <c r="D36" s="184"/>
      <c r="E36" s="184"/>
      <c r="F36" s="184"/>
      <c r="G36" s="184"/>
      <c r="H36" s="185"/>
      <c r="I36" s="12">
        <f t="shared" si="4"/>
        <v>0</v>
      </c>
      <c r="J36" s="12">
        <f t="shared" si="5"/>
        <v>0</v>
      </c>
      <c r="K36" s="13">
        <f t="shared" si="6"/>
        <v>0</v>
      </c>
      <c r="M36"/>
    </row>
    <row r="37" spans="1:14" ht="15" customHeight="1">
      <c r="A37" s="9" t="str">
        <f>'Members Data'!A29</f>
        <v>Izzabelle</v>
      </c>
      <c r="B37" s="183"/>
      <c r="C37" s="184"/>
      <c r="D37" s="184"/>
      <c r="E37" s="184"/>
      <c r="F37" s="184"/>
      <c r="G37" s="184"/>
      <c r="H37" s="185"/>
      <c r="I37" s="12">
        <f t="shared" si="4"/>
        <v>0</v>
      </c>
      <c r="J37" s="12">
        <f t="shared" si="5"/>
        <v>0</v>
      </c>
      <c r="K37" s="13">
        <f t="shared" si="6"/>
        <v>0</v>
      </c>
      <c r="M37"/>
    </row>
    <row r="38" spans="1:14" ht="15" customHeight="1">
      <c r="A38" s="9" t="str">
        <f>'Members Data'!A30</f>
        <v>Jimentoez</v>
      </c>
      <c r="B38" s="183" t="s">
        <v>35</v>
      </c>
      <c r="C38" s="184" t="s">
        <v>35</v>
      </c>
      <c r="D38" s="184"/>
      <c r="E38" s="184"/>
      <c r="F38" s="184"/>
      <c r="G38" s="184"/>
      <c r="H38" s="185"/>
      <c r="I38" s="12">
        <f t="shared" si="4"/>
        <v>2</v>
      </c>
      <c r="J38" s="12">
        <f t="shared" si="5"/>
        <v>0</v>
      </c>
      <c r="K38" s="13">
        <f t="shared" si="6"/>
        <v>0</v>
      </c>
      <c r="M38"/>
    </row>
    <row r="39" spans="1:14" ht="15" customHeight="1">
      <c r="A39" s="9" t="str">
        <f>'Members Data'!A31</f>
        <v>Judge</v>
      </c>
      <c r="B39" s="183" t="s">
        <v>35</v>
      </c>
      <c r="C39" s="184" t="s">
        <v>35</v>
      </c>
      <c r="D39" s="184"/>
      <c r="E39" s="184"/>
      <c r="F39" s="184"/>
      <c r="G39" s="184"/>
      <c r="H39" s="185"/>
      <c r="I39" s="12">
        <f t="shared" si="4"/>
        <v>2</v>
      </c>
      <c r="J39" s="12">
        <f t="shared" si="5"/>
        <v>0</v>
      </c>
      <c r="K39" s="13">
        <f t="shared" si="6"/>
        <v>0</v>
      </c>
      <c r="M39"/>
    </row>
    <row r="40" spans="1:14" ht="15" customHeight="1">
      <c r="A40" s="9" t="str">
        <f>'Members Data'!A32</f>
        <v>Kádiz</v>
      </c>
      <c r="B40" s="183"/>
      <c r="C40" s="184"/>
      <c r="D40" s="184"/>
      <c r="E40" s="184"/>
      <c r="F40" s="184"/>
      <c r="G40" s="184"/>
      <c r="H40" s="185"/>
      <c r="I40" s="12">
        <f t="shared" si="4"/>
        <v>0</v>
      </c>
      <c r="J40" s="12">
        <f t="shared" si="5"/>
        <v>0</v>
      </c>
      <c r="K40" s="13">
        <f t="shared" si="6"/>
        <v>0</v>
      </c>
      <c r="M40"/>
    </row>
    <row r="41" spans="1:14" ht="15" customHeight="1">
      <c r="A41" s="9" t="str">
        <f>'Members Data'!A33</f>
        <v>Kanoni</v>
      </c>
      <c r="B41" s="183" t="s">
        <v>35</v>
      </c>
      <c r="C41" s="184" t="s">
        <v>35</v>
      </c>
      <c r="D41" s="184"/>
      <c r="E41" s="184"/>
      <c r="F41" s="184"/>
      <c r="G41" s="184"/>
      <c r="H41" s="185"/>
      <c r="I41" s="12">
        <f t="shared" si="4"/>
        <v>2</v>
      </c>
      <c r="J41" s="12">
        <f t="shared" si="5"/>
        <v>0</v>
      </c>
      <c r="K41" s="13">
        <f t="shared" si="6"/>
        <v>0</v>
      </c>
      <c r="M41"/>
    </row>
    <row r="42" spans="1:14" ht="15" customHeight="1">
      <c r="A42" s="9" t="str">
        <f>'Members Data'!A34</f>
        <v>Kristofix</v>
      </c>
      <c r="B42" s="183"/>
      <c r="C42" s="184"/>
      <c r="D42" s="184"/>
      <c r="E42" s="184"/>
      <c r="F42" s="184"/>
      <c r="G42" s="184"/>
      <c r="H42" s="185"/>
      <c r="I42" s="12">
        <f t="shared" ref="I42:I68" si="7">COUNTIF(B42:H42,"confirmed")</f>
        <v>0</v>
      </c>
      <c r="J42" s="12">
        <f t="shared" ref="J42:J68" si="8">COUNTIF(B42:H42,"standby")</f>
        <v>0</v>
      </c>
      <c r="K42" s="13">
        <f t="shared" ref="K42:K68" si="9">COUNTIF(B42:H42,"out")</f>
        <v>0</v>
      </c>
    </row>
    <row r="43" spans="1:14" ht="15" customHeight="1">
      <c r="A43" s="9">
        <f>'Members Data'!A35</f>
        <v>0</v>
      </c>
      <c r="B43" s="183"/>
      <c r="C43" s="184"/>
      <c r="D43" s="184"/>
      <c r="E43" s="184"/>
      <c r="F43" s="184"/>
      <c r="G43" s="184"/>
      <c r="H43" s="185"/>
      <c r="I43" s="12">
        <f t="shared" si="7"/>
        <v>0</v>
      </c>
      <c r="J43" s="12">
        <f t="shared" si="8"/>
        <v>0</v>
      </c>
      <c r="K43" s="13">
        <f t="shared" si="9"/>
        <v>0</v>
      </c>
    </row>
    <row r="44" spans="1:14" ht="15" customHeight="1">
      <c r="A44" s="9">
        <f>'Members Data'!A36</f>
        <v>0</v>
      </c>
      <c r="B44" s="183"/>
      <c r="C44" s="184"/>
      <c r="D44" s="184"/>
      <c r="E44" s="184"/>
      <c r="F44" s="184"/>
      <c r="G44" s="184"/>
      <c r="H44" s="185"/>
      <c r="I44" s="12">
        <f t="shared" si="7"/>
        <v>0</v>
      </c>
      <c r="J44" s="12">
        <f t="shared" si="8"/>
        <v>0</v>
      </c>
      <c r="K44" s="13">
        <f t="shared" si="9"/>
        <v>0</v>
      </c>
    </row>
    <row r="45" spans="1:14" ht="15" customHeight="1">
      <c r="A45" s="9">
        <f>'Members Data'!A37</f>
        <v>0</v>
      </c>
      <c r="B45" s="183"/>
      <c r="C45" s="184"/>
      <c r="D45" s="184"/>
      <c r="E45" s="184"/>
      <c r="F45" s="184"/>
      <c r="G45" s="184"/>
      <c r="H45" s="185"/>
      <c r="I45" s="12">
        <f t="shared" si="7"/>
        <v>0</v>
      </c>
      <c r="J45" s="12">
        <f t="shared" si="8"/>
        <v>0</v>
      </c>
      <c r="K45" s="13">
        <f t="shared" si="9"/>
        <v>0</v>
      </c>
    </row>
    <row r="46" spans="1:14" ht="15" customHeight="1">
      <c r="A46" s="9">
        <f>'Members Data'!A38</f>
        <v>0</v>
      </c>
      <c r="B46" s="183"/>
      <c r="C46" s="184"/>
      <c r="D46" s="184"/>
      <c r="E46" s="184"/>
      <c r="F46" s="184"/>
      <c r="G46" s="184"/>
      <c r="H46" s="185"/>
      <c r="I46" s="12">
        <f t="shared" si="7"/>
        <v>0</v>
      </c>
      <c r="J46" s="12">
        <f t="shared" si="8"/>
        <v>0</v>
      </c>
      <c r="K46" s="13">
        <f t="shared" si="9"/>
        <v>0</v>
      </c>
    </row>
    <row r="47" spans="1:14" ht="15" customHeight="1">
      <c r="A47" s="9" t="str">
        <f>'Members Data'!A39</f>
        <v>Mardazur</v>
      </c>
      <c r="B47" s="183"/>
      <c r="C47" s="184"/>
      <c r="D47" s="184"/>
      <c r="E47" s="184"/>
      <c r="F47" s="184"/>
      <c r="G47" s="184"/>
      <c r="H47" s="185"/>
      <c r="I47" s="12">
        <f t="shared" si="7"/>
        <v>0</v>
      </c>
      <c r="J47" s="12">
        <f t="shared" si="8"/>
        <v>0</v>
      </c>
      <c r="K47" s="13">
        <f t="shared" si="9"/>
        <v>0</v>
      </c>
    </row>
    <row r="48" spans="1:14" ht="15" customHeight="1">
      <c r="A48" s="9" t="str">
        <f>'Members Data'!A40</f>
        <v>Mezzolina</v>
      </c>
      <c r="B48" s="183"/>
      <c r="C48" s="184"/>
      <c r="D48" s="184"/>
      <c r="E48" s="184"/>
      <c r="F48" s="184"/>
      <c r="G48" s="184"/>
      <c r="H48" s="185"/>
      <c r="I48" s="12">
        <f t="shared" si="7"/>
        <v>0</v>
      </c>
      <c r="J48" s="12">
        <f t="shared" si="8"/>
        <v>0</v>
      </c>
      <c r="K48" s="13">
        <f t="shared" si="9"/>
        <v>0</v>
      </c>
    </row>
    <row r="49" spans="1:11" ht="15" customHeight="1">
      <c r="A49" s="9">
        <f>'Members Data'!A41</f>
        <v>0</v>
      </c>
      <c r="B49" s="183"/>
      <c r="C49" s="184"/>
      <c r="D49" s="184"/>
      <c r="E49" s="184"/>
      <c r="F49" s="184"/>
      <c r="G49" s="184"/>
      <c r="H49" s="185"/>
      <c r="I49" s="12">
        <f t="shared" si="7"/>
        <v>0</v>
      </c>
      <c r="J49" s="12">
        <f t="shared" si="8"/>
        <v>0</v>
      </c>
      <c r="K49" s="13">
        <f t="shared" si="9"/>
        <v>0</v>
      </c>
    </row>
    <row r="50" spans="1:11" ht="15" customHeight="1">
      <c r="A50" s="9" t="str">
        <f>'Members Data'!A42</f>
        <v>Morenna</v>
      </c>
      <c r="B50" s="183"/>
      <c r="C50" s="184"/>
      <c r="D50" s="184"/>
      <c r="E50" s="184"/>
      <c r="F50" s="184"/>
      <c r="G50" s="184"/>
      <c r="H50" s="185"/>
      <c r="I50" s="12">
        <f t="shared" si="7"/>
        <v>0</v>
      </c>
      <c r="J50" s="12">
        <f t="shared" si="8"/>
        <v>0</v>
      </c>
      <c r="K50" s="13">
        <f t="shared" si="9"/>
        <v>0</v>
      </c>
    </row>
    <row r="51" spans="1:11" ht="15" customHeight="1">
      <c r="A51" s="9" t="str">
        <f>'Members Data'!A43</f>
        <v>Naliyas</v>
      </c>
      <c r="B51" s="183"/>
      <c r="C51" s="184"/>
      <c r="D51" s="184"/>
      <c r="E51" s="184"/>
      <c r="F51" s="184"/>
      <c r="G51" s="184"/>
      <c r="H51" s="185"/>
      <c r="I51" s="12">
        <f t="shared" si="7"/>
        <v>0</v>
      </c>
      <c r="J51" s="12">
        <f t="shared" si="8"/>
        <v>0</v>
      </c>
      <c r="K51" s="13">
        <f t="shared" si="9"/>
        <v>0</v>
      </c>
    </row>
    <row r="52" spans="1:11" ht="15" customHeight="1">
      <c r="A52" s="9">
        <f>'Members Data'!A44</f>
        <v>0</v>
      </c>
      <c r="B52" s="183"/>
      <c r="C52" s="184"/>
      <c r="D52" s="184"/>
      <c r="E52" s="184"/>
      <c r="F52" s="184"/>
      <c r="G52" s="184"/>
      <c r="H52" s="185"/>
      <c r="I52" s="12">
        <f t="shared" si="7"/>
        <v>0</v>
      </c>
      <c r="J52" s="12">
        <f t="shared" si="8"/>
        <v>0</v>
      </c>
      <c r="K52" s="13">
        <f t="shared" si="9"/>
        <v>0</v>
      </c>
    </row>
    <row r="53" spans="1:11" ht="15" customHeight="1">
      <c r="A53" s="9" t="str">
        <f>'Members Data'!A45</f>
        <v>Nazgol</v>
      </c>
      <c r="B53" s="183"/>
      <c r="C53" s="184"/>
      <c r="D53" s="184"/>
      <c r="E53" s="184"/>
      <c r="F53" s="184"/>
      <c r="G53" s="184"/>
      <c r="H53" s="185"/>
      <c r="I53" s="12">
        <f t="shared" si="7"/>
        <v>0</v>
      </c>
      <c r="J53" s="12">
        <f t="shared" si="8"/>
        <v>0</v>
      </c>
      <c r="K53" s="13">
        <f t="shared" si="9"/>
        <v>0</v>
      </c>
    </row>
    <row r="54" spans="1:11" ht="15" customHeight="1">
      <c r="A54" s="9" t="str">
        <f>'Members Data'!A46</f>
        <v>Niiwa</v>
      </c>
      <c r="B54" s="183" t="s">
        <v>35</v>
      </c>
      <c r="C54" s="184" t="s">
        <v>35</v>
      </c>
      <c r="D54" s="184"/>
      <c r="E54" s="184"/>
      <c r="F54" s="184"/>
      <c r="G54" s="184"/>
      <c r="H54" s="185"/>
      <c r="I54" s="12">
        <f t="shared" si="7"/>
        <v>2</v>
      </c>
      <c r="J54" s="12">
        <f t="shared" si="8"/>
        <v>0</v>
      </c>
      <c r="K54" s="13">
        <f t="shared" si="9"/>
        <v>0</v>
      </c>
    </row>
    <row r="55" spans="1:11" ht="15" customHeight="1">
      <c r="A55" s="9" t="str">
        <f>'Members Data'!A47</f>
        <v>Octavìus</v>
      </c>
      <c r="B55" s="183" t="s">
        <v>35</v>
      </c>
      <c r="C55" s="184" t="s">
        <v>35</v>
      </c>
      <c r="D55" s="184"/>
      <c r="E55" s="184"/>
      <c r="F55" s="184"/>
      <c r="G55" s="184"/>
      <c r="H55" s="185"/>
      <c r="I55" s="12">
        <f t="shared" si="7"/>
        <v>2</v>
      </c>
      <c r="J55" s="12">
        <f t="shared" si="8"/>
        <v>0</v>
      </c>
      <c r="K55" s="13">
        <f t="shared" si="9"/>
        <v>0</v>
      </c>
    </row>
    <row r="56" spans="1:11" ht="15" customHeight="1">
      <c r="A56" s="9" t="str">
        <f>'Members Data'!A48</f>
        <v>Overtake</v>
      </c>
      <c r="B56" s="183" t="s">
        <v>35</v>
      </c>
      <c r="C56" s="184" t="s">
        <v>35</v>
      </c>
      <c r="D56" s="184"/>
      <c r="E56" s="184"/>
      <c r="F56" s="184"/>
      <c r="G56" s="184"/>
      <c r="H56" s="185"/>
      <c r="I56" s="12">
        <f t="shared" si="7"/>
        <v>2</v>
      </c>
      <c r="J56" s="12">
        <f t="shared" si="8"/>
        <v>0</v>
      </c>
      <c r="K56" s="13">
        <f t="shared" si="9"/>
        <v>0</v>
      </c>
    </row>
    <row r="57" spans="1:11" ht="15" customHeight="1">
      <c r="A57" s="9" t="str">
        <f>'Members Data'!A49</f>
        <v>Paolin</v>
      </c>
      <c r="B57" s="183"/>
      <c r="C57" s="184"/>
      <c r="D57" s="184"/>
      <c r="E57" s="184"/>
      <c r="F57" s="184"/>
      <c r="G57" s="184"/>
      <c r="H57" s="185"/>
      <c r="I57" s="12">
        <f t="shared" si="7"/>
        <v>0</v>
      </c>
      <c r="J57" s="12">
        <f t="shared" si="8"/>
        <v>0</v>
      </c>
      <c r="K57" s="13">
        <f t="shared" si="9"/>
        <v>0</v>
      </c>
    </row>
    <row r="58" spans="1:11" ht="15" customHeight="1">
      <c r="A58" s="9" t="str">
        <f>'Members Data'!A50</f>
        <v>Páula</v>
      </c>
      <c r="B58" s="183" t="s">
        <v>35</v>
      </c>
      <c r="C58" s="184" t="s">
        <v>35</v>
      </c>
      <c r="D58" s="184"/>
      <c r="E58" s="184"/>
      <c r="F58" s="184"/>
      <c r="G58" s="184"/>
      <c r="H58" s="185"/>
      <c r="I58" s="12">
        <f t="shared" si="7"/>
        <v>2</v>
      </c>
      <c r="J58" s="12">
        <f t="shared" si="8"/>
        <v>0</v>
      </c>
      <c r="K58" s="13">
        <f t="shared" si="9"/>
        <v>0</v>
      </c>
    </row>
    <row r="59" spans="1:11" ht="15" customHeight="1">
      <c r="A59" s="9" t="str">
        <f>'Members Data'!A51</f>
        <v>Predictable</v>
      </c>
      <c r="B59" s="183" t="s">
        <v>35</v>
      </c>
      <c r="C59" s="184" t="s">
        <v>35</v>
      </c>
      <c r="D59" s="184"/>
      <c r="E59" s="184"/>
      <c r="F59" s="184"/>
      <c r="G59" s="184"/>
      <c r="H59" s="185"/>
      <c r="I59" s="12">
        <f t="shared" si="7"/>
        <v>2</v>
      </c>
      <c r="J59" s="12">
        <f t="shared" si="8"/>
        <v>0</v>
      </c>
      <c r="K59" s="13">
        <f t="shared" si="9"/>
        <v>0</v>
      </c>
    </row>
    <row r="60" spans="1:11" ht="15" customHeight="1">
      <c r="A60" s="9" t="str">
        <f>'Members Data'!A52</f>
        <v>Rhinoru</v>
      </c>
      <c r="B60" s="183"/>
      <c r="C60" s="184"/>
      <c r="D60" s="184"/>
      <c r="E60" s="184"/>
      <c r="F60" s="184"/>
      <c r="G60" s="184"/>
      <c r="H60" s="185"/>
      <c r="I60" s="12">
        <f t="shared" si="7"/>
        <v>0</v>
      </c>
      <c r="J60" s="12">
        <f t="shared" si="8"/>
        <v>0</v>
      </c>
      <c r="K60" s="13">
        <f t="shared" si="9"/>
        <v>0</v>
      </c>
    </row>
    <row r="61" spans="1:11" ht="15" customHeight="1">
      <c r="A61" s="9">
        <f>'Members Data'!A53</f>
        <v>0</v>
      </c>
      <c r="B61" s="183"/>
      <c r="C61" s="184"/>
      <c r="D61" s="184"/>
      <c r="E61" s="184"/>
      <c r="F61" s="184"/>
      <c r="G61" s="184"/>
      <c r="H61" s="185"/>
      <c r="I61" s="12">
        <f t="shared" si="7"/>
        <v>0</v>
      </c>
      <c r="J61" s="12">
        <f t="shared" si="8"/>
        <v>0</v>
      </c>
      <c r="K61" s="13">
        <f t="shared" si="9"/>
        <v>0</v>
      </c>
    </row>
    <row r="62" spans="1:11" ht="15" customHeight="1">
      <c r="A62" s="9" t="str">
        <f>'Members Data'!A54</f>
        <v>Saltycream</v>
      </c>
      <c r="B62" s="183" t="s">
        <v>35</v>
      </c>
      <c r="C62" s="184" t="s">
        <v>35</v>
      </c>
      <c r="D62" s="184"/>
      <c r="E62" s="184"/>
      <c r="F62" s="184"/>
      <c r="G62" s="184"/>
      <c r="H62" s="185"/>
      <c r="I62" s="12">
        <f t="shared" si="7"/>
        <v>2</v>
      </c>
      <c r="J62" s="12">
        <f t="shared" si="8"/>
        <v>0</v>
      </c>
      <c r="K62" s="13">
        <f t="shared" si="9"/>
        <v>0</v>
      </c>
    </row>
    <row r="63" spans="1:11" ht="15" customHeight="1">
      <c r="A63" s="9" t="str">
        <f>'Members Data'!A55</f>
        <v>Sarjezzar</v>
      </c>
      <c r="B63" s="183"/>
      <c r="C63" s="184" t="s">
        <v>35</v>
      </c>
      <c r="D63" s="184"/>
      <c r="E63" s="184"/>
      <c r="F63" s="184"/>
      <c r="G63" s="184"/>
      <c r="H63" s="185"/>
      <c r="I63" s="12">
        <f t="shared" si="7"/>
        <v>1</v>
      </c>
      <c r="J63" s="12">
        <f t="shared" si="8"/>
        <v>0</v>
      </c>
      <c r="K63" s="13">
        <f t="shared" si="9"/>
        <v>0</v>
      </c>
    </row>
    <row r="64" spans="1:11" ht="15" customHeight="1" thickBot="1">
      <c r="A64" s="9">
        <f>'Members Data'!A56</f>
        <v>0</v>
      </c>
      <c r="B64" s="183"/>
      <c r="C64" s="184"/>
      <c r="D64" s="184"/>
      <c r="E64" s="184"/>
      <c r="F64" s="190"/>
      <c r="G64" s="190"/>
      <c r="H64" s="185"/>
      <c r="I64" s="12">
        <f t="shared" si="7"/>
        <v>0</v>
      </c>
      <c r="J64" s="12">
        <f t="shared" si="8"/>
        <v>0</v>
      </c>
      <c r="K64" s="13">
        <f t="shared" si="9"/>
        <v>0</v>
      </c>
    </row>
    <row r="65" spans="1:11" ht="15" customHeight="1" thickTop="1">
      <c r="A65" s="9" t="str">
        <f>'Members Data'!A57</f>
        <v>Shinkai</v>
      </c>
      <c r="B65" s="187"/>
      <c r="C65" s="184"/>
      <c r="D65" s="184"/>
      <c r="E65" s="184"/>
      <c r="F65" s="184"/>
      <c r="G65" s="184"/>
      <c r="H65" s="185"/>
      <c r="I65" s="12">
        <f t="shared" si="7"/>
        <v>0</v>
      </c>
      <c r="J65" s="12">
        <f t="shared" si="8"/>
        <v>0</v>
      </c>
      <c r="K65" s="13">
        <f t="shared" si="9"/>
        <v>0</v>
      </c>
    </row>
    <row r="66" spans="1:11" ht="15" customHeight="1">
      <c r="A66" s="68" t="str">
        <f>'Members Data'!A58</f>
        <v>Sidac</v>
      </c>
      <c r="B66" s="187"/>
      <c r="C66" s="184"/>
      <c r="D66" s="184"/>
      <c r="E66" s="184"/>
      <c r="F66" s="184"/>
      <c r="G66" s="184"/>
      <c r="H66" s="185"/>
      <c r="I66" s="12">
        <f>COUNTIF(B66:H66,"confirmed")</f>
        <v>0</v>
      </c>
      <c r="J66" s="12">
        <f>COUNTIF(B66:H66,"standby")</f>
        <v>0</v>
      </c>
      <c r="K66" s="13">
        <f>COUNTIF(B66:H66,"out")</f>
        <v>0</v>
      </c>
    </row>
    <row r="67" spans="1:11" ht="15" customHeight="1">
      <c r="A67" s="68" t="str">
        <f>'Members Data'!A59</f>
        <v>Snowies</v>
      </c>
      <c r="B67" s="187" t="s">
        <v>35</v>
      </c>
      <c r="C67" s="184" t="s">
        <v>35</v>
      </c>
      <c r="D67" s="184"/>
      <c r="E67" s="184"/>
      <c r="F67" s="184"/>
      <c r="G67" s="184"/>
      <c r="H67" s="188"/>
      <c r="I67" s="65">
        <f t="shared" si="7"/>
        <v>2</v>
      </c>
      <c r="J67" s="65">
        <f t="shared" si="8"/>
        <v>0</v>
      </c>
      <c r="K67" s="66">
        <f t="shared" si="9"/>
        <v>0</v>
      </c>
    </row>
    <row r="68" spans="1:11" ht="15" customHeight="1">
      <c r="A68" s="68" t="str">
        <f>'Members Data'!A60</f>
        <v>Spruch</v>
      </c>
      <c r="B68" s="183" t="s">
        <v>35</v>
      </c>
      <c r="C68" s="184" t="s">
        <v>35</v>
      </c>
      <c r="D68" s="184"/>
      <c r="E68" s="184"/>
      <c r="F68" s="184"/>
      <c r="G68" s="184"/>
      <c r="H68" s="188"/>
      <c r="I68" s="65">
        <f t="shared" si="7"/>
        <v>2</v>
      </c>
      <c r="J68" s="65">
        <f t="shared" si="8"/>
        <v>0</v>
      </c>
      <c r="K68" s="66">
        <f t="shared" si="9"/>
        <v>0</v>
      </c>
    </row>
    <row r="69" spans="1:11" ht="15" customHeight="1" thickBot="1">
      <c r="A69" s="122" t="str">
        <f>'Members Data'!A61</f>
        <v>Svicane</v>
      </c>
      <c r="B69" s="189" t="s">
        <v>35</v>
      </c>
      <c r="C69" s="184" t="s">
        <v>35</v>
      </c>
      <c r="D69" s="190"/>
      <c r="E69" s="190"/>
      <c r="F69" s="190"/>
      <c r="G69" s="190"/>
      <c r="H69" s="191"/>
      <c r="I69" s="123">
        <f t="shared" ref="I69:I108" si="10">COUNTIF(B69:H69,"confirmed")</f>
        <v>2</v>
      </c>
      <c r="J69" s="123">
        <f t="shared" ref="J69:J108" si="11">COUNTIF(B69:H69,"standby")</f>
        <v>0</v>
      </c>
      <c r="K69" s="124">
        <f t="shared" ref="K69:K108" si="12">COUNTIF(B69:H69,"out")</f>
        <v>0</v>
      </c>
    </row>
    <row r="70" spans="1:11" ht="15" customHeight="1" thickTop="1">
      <c r="A70" s="67" t="str">
        <f>'Members Data'!A62</f>
        <v>Téasey</v>
      </c>
      <c r="B70" s="183" t="s">
        <v>35</v>
      </c>
      <c r="C70" s="184" t="s">
        <v>35</v>
      </c>
      <c r="D70" s="184"/>
      <c r="E70" s="184"/>
      <c r="F70" s="184"/>
      <c r="G70" s="184"/>
      <c r="H70" s="185"/>
      <c r="I70" s="120">
        <f t="shared" si="10"/>
        <v>2</v>
      </c>
      <c r="J70" s="120">
        <f t="shared" si="11"/>
        <v>0</v>
      </c>
      <c r="K70" s="121">
        <f t="shared" si="12"/>
        <v>0</v>
      </c>
    </row>
    <row r="71" spans="1:11" ht="15" customHeight="1">
      <c r="A71" s="68" t="str">
        <f>'Members Data'!A63</f>
        <v>Tomrexx</v>
      </c>
      <c r="B71" s="183"/>
      <c r="C71" s="184"/>
      <c r="D71" s="184"/>
      <c r="E71" s="184"/>
      <c r="F71" s="184"/>
      <c r="G71" s="184"/>
      <c r="H71" s="185"/>
      <c r="I71" s="65">
        <f t="shared" si="10"/>
        <v>0</v>
      </c>
      <c r="J71" s="65">
        <f t="shared" si="11"/>
        <v>0</v>
      </c>
      <c r="K71" s="66">
        <f t="shared" si="12"/>
        <v>0</v>
      </c>
    </row>
    <row r="72" spans="1:11" ht="15" customHeight="1">
      <c r="A72" s="68" t="str">
        <f>'Members Data'!A64</f>
        <v>Tonitrum</v>
      </c>
      <c r="B72" s="183" t="s">
        <v>35</v>
      </c>
      <c r="C72" s="184" t="s">
        <v>35</v>
      </c>
      <c r="D72" s="184"/>
      <c r="E72" s="184"/>
      <c r="F72" s="184"/>
      <c r="G72" s="184"/>
      <c r="H72" s="185"/>
      <c r="I72" s="65">
        <f t="shared" si="10"/>
        <v>2</v>
      </c>
      <c r="J72" s="65">
        <f t="shared" si="11"/>
        <v>0</v>
      </c>
      <c r="K72" s="66">
        <f t="shared" si="12"/>
        <v>0</v>
      </c>
    </row>
    <row r="73" spans="1:11" ht="15" customHeight="1">
      <c r="A73" s="68" t="str">
        <f>'Members Data'!A65</f>
        <v>Tsali</v>
      </c>
      <c r="B73" s="183"/>
      <c r="C73" s="184"/>
      <c r="D73" s="184"/>
      <c r="E73" s="184"/>
      <c r="F73" s="184"/>
      <c r="G73" s="184"/>
      <c r="H73" s="185"/>
      <c r="I73" s="65">
        <f t="shared" si="10"/>
        <v>0</v>
      </c>
      <c r="J73" s="65">
        <f t="shared" si="11"/>
        <v>0</v>
      </c>
      <c r="K73" s="66">
        <f t="shared" si="12"/>
        <v>0</v>
      </c>
    </row>
    <row r="74" spans="1:11" ht="15" customHeight="1">
      <c r="A74" s="68" t="str">
        <f>'Members Data'!A66</f>
        <v>Twicemore</v>
      </c>
      <c r="B74" s="183" t="s">
        <v>35</v>
      </c>
      <c r="C74" s="184" t="s">
        <v>35</v>
      </c>
      <c r="D74" s="184"/>
      <c r="E74" s="184"/>
      <c r="F74" s="184"/>
      <c r="G74" s="184"/>
      <c r="H74" s="185"/>
      <c r="I74" s="65">
        <f t="shared" si="10"/>
        <v>2</v>
      </c>
      <c r="J74" s="65">
        <f t="shared" si="11"/>
        <v>0</v>
      </c>
      <c r="K74" s="66">
        <f t="shared" si="12"/>
        <v>0</v>
      </c>
    </row>
    <row r="75" spans="1:11" ht="15" customHeight="1">
      <c r="A75" s="68" t="str">
        <f>'Members Data'!A67</f>
        <v>Vereen</v>
      </c>
      <c r="B75" s="183"/>
      <c r="C75" s="184"/>
      <c r="D75" s="184"/>
      <c r="E75" s="184"/>
      <c r="F75" s="184"/>
      <c r="G75" s="184"/>
      <c r="H75" s="185"/>
      <c r="I75" s="65">
        <f t="shared" si="10"/>
        <v>0</v>
      </c>
      <c r="J75" s="65">
        <f t="shared" si="11"/>
        <v>0</v>
      </c>
      <c r="K75" s="66">
        <f t="shared" si="12"/>
        <v>0</v>
      </c>
    </row>
    <row r="76" spans="1:11" ht="15" customHeight="1">
      <c r="A76" s="68" t="str">
        <f>'Members Data'!A68</f>
        <v>Xanadaria</v>
      </c>
      <c r="B76" s="183" t="s">
        <v>35</v>
      </c>
      <c r="C76" s="184" t="s">
        <v>35</v>
      </c>
      <c r="D76" s="184"/>
      <c r="E76" s="184"/>
      <c r="F76" s="184"/>
      <c r="G76" s="184"/>
      <c r="H76" s="185"/>
      <c r="I76" s="65">
        <f t="shared" si="10"/>
        <v>2</v>
      </c>
      <c r="J76" s="65">
        <f t="shared" si="11"/>
        <v>0</v>
      </c>
      <c r="K76" s="66">
        <f t="shared" si="12"/>
        <v>0</v>
      </c>
    </row>
    <row r="77" spans="1:11" ht="15" customHeight="1">
      <c r="A77" s="68" t="str">
        <f>'Members Data'!A69</f>
        <v>Xian</v>
      </c>
      <c r="B77" s="183"/>
      <c r="C77" s="184"/>
      <c r="D77" s="184"/>
      <c r="E77" s="184"/>
      <c r="F77" s="184"/>
      <c r="G77" s="184"/>
      <c r="H77" s="185"/>
      <c r="I77" s="65">
        <f t="shared" si="10"/>
        <v>0</v>
      </c>
      <c r="J77" s="65">
        <f t="shared" si="11"/>
        <v>0</v>
      </c>
      <c r="K77" s="66">
        <f t="shared" si="12"/>
        <v>0</v>
      </c>
    </row>
    <row r="78" spans="1:11" ht="15" customHeight="1">
      <c r="A78" s="68" t="str">
        <f>'Members Data'!A70</f>
        <v>Xytree</v>
      </c>
      <c r="B78" s="183" t="s">
        <v>35</v>
      </c>
      <c r="C78" s="184" t="s">
        <v>35</v>
      </c>
      <c r="D78" s="184"/>
      <c r="E78" s="184"/>
      <c r="F78" s="184"/>
      <c r="G78" s="184"/>
      <c r="H78" s="185"/>
      <c r="I78" s="65">
        <f t="shared" si="10"/>
        <v>2</v>
      </c>
      <c r="J78" s="65">
        <f t="shared" si="11"/>
        <v>0</v>
      </c>
      <c r="K78" s="66">
        <f t="shared" si="12"/>
        <v>0</v>
      </c>
    </row>
    <row r="79" spans="1:11" ht="15" customHeight="1">
      <c r="A79" s="68" t="str">
        <f>'Members Data'!A71</f>
        <v>Yardk</v>
      </c>
      <c r="B79" s="183"/>
      <c r="C79" s="184"/>
      <c r="D79" s="184"/>
      <c r="E79" s="184"/>
      <c r="F79" s="184"/>
      <c r="G79" s="184"/>
      <c r="H79" s="185"/>
      <c r="I79" s="65">
        <f t="shared" si="10"/>
        <v>0</v>
      </c>
      <c r="J79" s="65">
        <f t="shared" si="11"/>
        <v>0</v>
      </c>
      <c r="K79" s="66">
        <f t="shared" si="12"/>
        <v>0</v>
      </c>
    </row>
    <row r="80" spans="1:11" ht="15" customHeight="1">
      <c r="A80" s="68" t="str">
        <f>'Members Data'!A72</f>
        <v>Yse</v>
      </c>
      <c r="B80" s="183"/>
      <c r="C80" s="184"/>
      <c r="D80" s="184"/>
      <c r="E80" s="184"/>
      <c r="F80" s="184"/>
      <c r="G80" s="184"/>
      <c r="H80" s="185"/>
      <c r="I80" s="65">
        <f t="shared" si="10"/>
        <v>0</v>
      </c>
      <c r="J80" s="65">
        <f t="shared" si="11"/>
        <v>0</v>
      </c>
      <c r="K80" s="66">
        <f t="shared" si="12"/>
        <v>0</v>
      </c>
    </row>
    <row r="81" spans="1:11" ht="15" customHeight="1">
      <c r="A81" s="68" t="str">
        <f>'Members Data'!A73</f>
        <v>Zantias</v>
      </c>
      <c r="B81" s="183"/>
      <c r="C81" s="184"/>
      <c r="D81" s="184"/>
      <c r="E81" s="184"/>
      <c r="F81" s="184"/>
      <c r="G81" s="184"/>
      <c r="H81" s="185"/>
      <c r="I81" s="65">
        <f t="shared" si="10"/>
        <v>0</v>
      </c>
      <c r="J81" s="65">
        <f t="shared" si="11"/>
        <v>0</v>
      </c>
      <c r="K81" s="66">
        <f t="shared" si="12"/>
        <v>0</v>
      </c>
    </row>
    <row r="82" spans="1:11" ht="15" customHeight="1">
      <c r="A82" s="68">
        <f>'Members Data'!A74</f>
        <v>0</v>
      </c>
      <c r="B82" s="183"/>
      <c r="C82" s="184"/>
      <c r="D82" s="184"/>
      <c r="E82" s="184"/>
      <c r="F82" s="184"/>
      <c r="G82" s="184"/>
      <c r="H82" s="185"/>
      <c r="I82" s="65">
        <f t="shared" si="10"/>
        <v>0</v>
      </c>
      <c r="J82" s="65">
        <f t="shared" si="11"/>
        <v>0</v>
      </c>
      <c r="K82" s="66">
        <f t="shared" si="12"/>
        <v>0</v>
      </c>
    </row>
    <row r="83" spans="1:11" ht="15" customHeight="1">
      <c r="A83" s="68">
        <f>'Members Data'!A75</f>
        <v>0</v>
      </c>
      <c r="B83" s="183"/>
      <c r="C83" s="184"/>
      <c r="D83" s="184"/>
      <c r="E83" s="184"/>
      <c r="F83" s="184"/>
      <c r="G83" s="184"/>
      <c r="H83" s="185"/>
      <c r="I83" s="65">
        <f t="shared" si="10"/>
        <v>0</v>
      </c>
      <c r="J83" s="65">
        <f t="shared" si="11"/>
        <v>0</v>
      </c>
      <c r="K83" s="66">
        <f t="shared" si="12"/>
        <v>0</v>
      </c>
    </row>
    <row r="84" spans="1:11" ht="15" customHeight="1">
      <c r="A84" s="68">
        <f>'Members Data'!A76</f>
        <v>0</v>
      </c>
      <c r="B84" s="183"/>
      <c r="C84" s="184"/>
      <c r="D84" s="184"/>
      <c r="E84" s="184"/>
      <c r="F84" s="184"/>
      <c r="G84" s="184"/>
      <c r="H84" s="185"/>
      <c r="I84" s="65">
        <f t="shared" si="10"/>
        <v>0</v>
      </c>
      <c r="J84" s="65">
        <f t="shared" si="11"/>
        <v>0</v>
      </c>
      <c r="K84" s="66">
        <f t="shared" si="12"/>
        <v>0</v>
      </c>
    </row>
    <row r="85" spans="1:11" ht="15" customHeight="1">
      <c r="A85" s="68">
        <f>'Members Data'!A77</f>
        <v>0</v>
      </c>
      <c r="B85" s="183"/>
      <c r="C85" s="184"/>
      <c r="D85" s="184"/>
      <c r="E85" s="184"/>
      <c r="F85" s="184"/>
      <c r="G85" s="184"/>
      <c r="H85" s="185"/>
      <c r="I85" s="65">
        <f t="shared" si="10"/>
        <v>0</v>
      </c>
      <c r="J85" s="65">
        <f t="shared" si="11"/>
        <v>0</v>
      </c>
      <c r="K85" s="66">
        <f t="shared" si="12"/>
        <v>0</v>
      </c>
    </row>
    <row r="86" spans="1:11" ht="15" customHeight="1">
      <c r="A86" s="68">
        <f>'Members Data'!A78</f>
        <v>0</v>
      </c>
      <c r="B86" s="183"/>
      <c r="C86" s="184"/>
      <c r="D86" s="184"/>
      <c r="E86" s="184"/>
      <c r="F86" s="184"/>
      <c r="G86" s="184"/>
      <c r="H86" s="185"/>
      <c r="I86" s="65">
        <f t="shared" si="10"/>
        <v>0</v>
      </c>
      <c r="J86" s="65">
        <f t="shared" si="11"/>
        <v>0</v>
      </c>
      <c r="K86" s="66">
        <f t="shared" si="12"/>
        <v>0</v>
      </c>
    </row>
    <row r="87" spans="1:11" ht="15" customHeight="1">
      <c r="A87" s="68">
        <f>'Members Data'!A79</f>
        <v>0</v>
      </c>
      <c r="B87" s="183"/>
      <c r="C87" s="184"/>
      <c r="D87" s="184"/>
      <c r="E87" s="184"/>
      <c r="F87" s="184"/>
      <c r="G87" s="184"/>
      <c r="H87" s="185"/>
      <c r="I87" s="65">
        <f t="shared" si="10"/>
        <v>0</v>
      </c>
      <c r="J87" s="65">
        <f t="shared" si="11"/>
        <v>0</v>
      </c>
      <c r="K87" s="66">
        <f t="shared" si="12"/>
        <v>0</v>
      </c>
    </row>
    <row r="88" spans="1:11" ht="15" customHeight="1">
      <c r="A88" s="68">
        <f>'Members Data'!A80</f>
        <v>0</v>
      </c>
      <c r="B88" s="183"/>
      <c r="C88" s="184"/>
      <c r="D88" s="184"/>
      <c r="E88" s="184"/>
      <c r="F88" s="184"/>
      <c r="G88" s="184"/>
      <c r="H88" s="185"/>
      <c r="I88" s="65">
        <f t="shared" si="10"/>
        <v>0</v>
      </c>
      <c r="J88" s="65">
        <f t="shared" si="11"/>
        <v>0</v>
      </c>
      <c r="K88" s="66">
        <f t="shared" si="12"/>
        <v>0</v>
      </c>
    </row>
    <row r="89" spans="1:11" ht="15" customHeight="1">
      <c r="A89" s="68">
        <f>'Members Data'!A81</f>
        <v>0</v>
      </c>
      <c r="B89" s="183"/>
      <c r="C89" s="184"/>
      <c r="D89" s="184"/>
      <c r="E89" s="184"/>
      <c r="F89" s="184"/>
      <c r="G89" s="184"/>
      <c r="H89" s="185"/>
      <c r="I89" s="65">
        <f t="shared" si="10"/>
        <v>0</v>
      </c>
      <c r="J89" s="65">
        <f t="shared" si="11"/>
        <v>0</v>
      </c>
      <c r="K89" s="66">
        <f t="shared" si="12"/>
        <v>0</v>
      </c>
    </row>
    <row r="90" spans="1:11" ht="15" customHeight="1">
      <c r="A90" s="68">
        <f>'Members Data'!A82</f>
        <v>0</v>
      </c>
      <c r="B90" s="183"/>
      <c r="C90" s="184"/>
      <c r="D90" s="184"/>
      <c r="E90" s="184"/>
      <c r="F90" s="184"/>
      <c r="G90" s="184"/>
      <c r="H90" s="185"/>
      <c r="I90" s="65">
        <f t="shared" si="10"/>
        <v>0</v>
      </c>
      <c r="J90" s="65">
        <f t="shared" si="11"/>
        <v>0</v>
      </c>
      <c r="K90" s="66">
        <f t="shared" si="12"/>
        <v>0</v>
      </c>
    </row>
    <row r="91" spans="1:11" ht="15" customHeight="1">
      <c r="A91" s="68">
        <f>'Members Data'!A83</f>
        <v>0</v>
      </c>
      <c r="B91" s="183"/>
      <c r="C91" s="184"/>
      <c r="D91" s="184"/>
      <c r="E91" s="184"/>
      <c r="F91" s="184"/>
      <c r="G91" s="184"/>
      <c r="H91" s="185"/>
      <c r="I91" s="65">
        <f t="shared" si="10"/>
        <v>0</v>
      </c>
      <c r="J91" s="65">
        <f t="shared" si="11"/>
        <v>0</v>
      </c>
      <c r="K91" s="66">
        <f t="shared" si="12"/>
        <v>0</v>
      </c>
    </row>
    <row r="92" spans="1:11" ht="15" customHeight="1">
      <c r="A92" s="68">
        <f>'Members Data'!A84</f>
        <v>0</v>
      </c>
      <c r="B92" s="183"/>
      <c r="C92" s="184"/>
      <c r="D92" s="184"/>
      <c r="E92" s="184"/>
      <c r="F92" s="184"/>
      <c r="G92" s="184"/>
      <c r="H92" s="185"/>
      <c r="I92" s="65">
        <f t="shared" si="10"/>
        <v>0</v>
      </c>
      <c r="J92" s="65">
        <f t="shared" si="11"/>
        <v>0</v>
      </c>
      <c r="K92" s="66">
        <f t="shared" si="12"/>
        <v>0</v>
      </c>
    </row>
    <row r="93" spans="1:11" ht="15" customHeight="1">
      <c r="A93" s="68">
        <f>'Members Data'!A85</f>
        <v>0</v>
      </c>
      <c r="B93" s="183"/>
      <c r="C93" s="184"/>
      <c r="D93" s="184"/>
      <c r="E93" s="184"/>
      <c r="F93" s="184"/>
      <c r="G93" s="184"/>
      <c r="H93" s="185"/>
      <c r="I93" s="65">
        <f t="shared" si="10"/>
        <v>0</v>
      </c>
      <c r="J93" s="65">
        <f t="shared" si="11"/>
        <v>0</v>
      </c>
      <c r="K93" s="66">
        <f t="shared" si="12"/>
        <v>0</v>
      </c>
    </row>
    <row r="94" spans="1:11" ht="15" customHeight="1">
      <c r="A94" s="68">
        <f>'Members Data'!A86</f>
        <v>0</v>
      </c>
      <c r="B94" s="183"/>
      <c r="C94" s="184"/>
      <c r="D94" s="184"/>
      <c r="E94" s="184"/>
      <c r="F94" s="184"/>
      <c r="G94" s="184"/>
      <c r="H94" s="185"/>
      <c r="I94" s="65">
        <f t="shared" si="10"/>
        <v>0</v>
      </c>
      <c r="J94" s="65">
        <f t="shared" si="11"/>
        <v>0</v>
      </c>
      <c r="K94" s="66">
        <f t="shared" si="12"/>
        <v>0</v>
      </c>
    </row>
    <row r="95" spans="1:11" ht="15" customHeight="1">
      <c r="A95" s="68">
        <f>'Members Data'!A87</f>
        <v>0</v>
      </c>
      <c r="B95" s="183"/>
      <c r="C95" s="184"/>
      <c r="D95" s="184"/>
      <c r="E95" s="184"/>
      <c r="F95" s="184"/>
      <c r="G95" s="184"/>
      <c r="H95" s="185"/>
      <c r="I95" s="65">
        <f t="shared" si="10"/>
        <v>0</v>
      </c>
      <c r="J95" s="65">
        <f t="shared" si="11"/>
        <v>0</v>
      </c>
      <c r="K95" s="66">
        <f t="shared" si="12"/>
        <v>0</v>
      </c>
    </row>
    <row r="96" spans="1:11" ht="15" customHeight="1">
      <c r="A96" s="68">
        <f>'Members Data'!A88</f>
        <v>0</v>
      </c>
      <c r="B96" s="183"/>
      <c r="C96" s="184"/>
      <c r="D96" s="184"/>
      <c r="E96" s="184"/>
      <c r="F96" s="184"/>
      <c r="G96" s="184"/>
      <c r="H96" s="185"/>
      <c r="I96" s="65">
        <f t="shared" si="10"/>
        <v>0</v>
      </c>
      <c r="J96" s="65">
        <f t="shared" si="11"/>
        <v>0</v>
      </c>
      <c r="K96" s="66">
        <f t="shared" si="12"/>
        <v>0</v>
      </c>
    </row>
    <row r="97" spans="1:11" ht="15" customHeight="1">
      <c r="A97" s="68">
        <f>'Members Data'!A89</f>
        <v>0</v>
      </c>
      <c r="B97" s="183"/>
      <c r="C97" s="184"/>
      <c r="D97" s="184"/>
      <c r="E97" s="184"/>
      <c r="F97" s="184"/>
      <c r="G97" s="184"/>
      <c r="H97" s="185"/>
      <c r="I97" s="65">
        <f t="shared" si="10"/>
        <v>0</v>
      </c>
      <c r="J97" s="65">
        <f t="shared" si="11"/>
        <v>0</v>
      </c>
      <c r="K97" s="66">
        <f t="shared" si="12"/>
        <v>0</v>
      </c>
    </row>
    <row r="98" spans="1:11" ht="15" customHeight="1">
      <c r="A98" s="68">
        <f>'Members Data'!A90</f>
        <v>0</v>
      </c>
      <c r="B98" s="183"/>
      <c r="C98" s="184"/>
      <c r="D98" s="184"/>
      <c r="E98" s="184"/>
      <c r="F98" s="184"/>
      <c r="G98" s="184"/>
      <c r="H98" s="185"/>
      <c r="I98" s="65">
        <f t="shared" si="10"/>
        <v>0</v>
      </c>
      <c r="J98" s="65">
        <f t="shared" si="11"/>
        <v>0</v>
      </c>
      <c r="K98" s="66">
        <f t="shared" si="12"/>
        <v>0</v>
      </c>
    </row>
    <row r="99" spans="1:11" ht="15" customHeight="1">
      <c r="A99" s="68">
        <f>'Members Data'!A91</f>
        <v>0</v>
      </c>
      <c r="B99" s="183"/>
      <c r="C99" s="184"/>
      <c r="D99" s="184"/>
      <c r="E99" s="184"/>
      <c r="F99" s="184"/>
      <c r="G99" s="184"/>
      <c r="H99" s="185"/>
      <c r="I99" s="65">
        <f t="shared" si="10"/>
        <v>0</v>
      </c>
      <c r="J99" s="65">
        <f t="shared" si="11"/>
        <v>0</v>
      </c>
      <c r="K99" s="66">
        <f t="shared" si="12"/>
        <v>0</v>
      </c>
    </row>
    <row r="100" spans="1:11" ht="15" customHeight="1">
      <c r="A100" s="68">
        <f>'Members Data'!A92</f>
        <v>0</v>
      </c>
      <c r="B100" s="183"/>
      <c r="C100" s="184"/>
      <c r="D100" s="184"/>
      <c r="E100" s="184"/>
      <c r="F100" s="184"/>
      <c r="G100" s="184"/>
      <c r="H100" s="185"/>
      <c r="I100" s="65">
        <f t="shared" si="10"/>
        <v>0</v>
      </c>
      <c r="J100" s="65">
        <f t="shared" si="11"/>
        <v>0</v>
      </c>
      <c r="K100" s="66">
        <f t="shared" si="12"/>
        <v>0</v>
      </c>
    </row>
    <row r="101" spans="1:11" ht="15" customHeight="1">
      <c r="A101" s="68">
        <f>'Members Data'!A93</f>
        <v>0</v>
      </c>
      <c r="B101" s="183"/>
      <c r="C101" s="184"/>
      <c r="D101" s="184"/>
      <c r="E101" s="184"/>
      <c r="F101" s="184"/>
      <c r="G101" s="184"/>
      <c r="H101" s="185"/>
      <c r="I101" s="65">
        <f t="shared" si="10"/>
        <v>0</v>
      </c>
      <c r="J101" s="65">
        <f t="shared" si="11"/>
        <v>0</v>
      </c>
      <c r="K101" s="66">
        <f t="shared" si="12"/>
        <v>0</v>
      </c>
    </row>
    <row r="102" spans="1:11" ht="15" customHeight="1">
      <c r="A102" s="68">
        <f>'Members Data'!A94</f>
        <v>0</v>
      </c>
      <c r="B102" s="183"/>
      <c r="C102" s="184"/>
      <c r="D102" s="184"/>
      <c r="E102" s="184"/>
      <c r="F102" s="184"/>
      <c r="G102" s="184"/>
      <c r="H102" s="185"/>
      <c r="I102" s="65">
        <f t="shared" si="10"/>
        <v>0</v>
      </c>
      <c r="J102" s="65">
        <f t="shared" si="11"/>
        <v>0</v>
      </c>
      <c r="K102" s="66">
        <f t="shared" si="12"/>
        <v>0</v>
      </c>
    </row>
    <row r="103" spans="1:11" ht="15" customHeight="1">
      <c r="A103" s="68">
        <f>'Members Data'!A95</f>
        <v>0</v>
      </c>
      <c r="B103" s="183"/>
      <c r="C103" s="184"/>
      <c r="D103" s="184"/>
      <c r="E103" s="184"/>
      <c r="F103" s="184"/>
      <c r="G103" s="184"/>
      <c r="H103" s="185"/>
      <c r="I103" s="65">
        <f t="shared" si="10"/>
        <v>0</v>
      </c>
      <c r="J103" s="65">
        <f t="shared" si="11"/>
        <v>0</v>
      </c>
      <c r="K103" s="66">
        <f t="shared" si="12"/>
        <v>0</v>
      </c>
    </row>
    <row r="104" spans="1:11" ht="15" customHeight="1">
      <c r="A104" s="68">
        <f>'Members Data'!A96</f>
        <v>0</v>
      </c>
      <c r="B104" s="183"/>
      <c r="C104" s="184"/>
      <c r="D104" s="184"/>
      <c r="E104" s="184"/>
      <c r="F104" s="184"/>
      <c r="G104" s="184"/>
      <c r="H104" s="185"/>
      <c r="I104" s="65">
        <f t="shared" si="10"/>
        <v>0</v>
      </c>
      <c r="J104" s="65">
        <f t="shared" si="11"/>
        <v>0</v>
      </c>
      <c r="K104" s="66">
        <f t="shared" si="12"/>
        <v>0</v>
      </c>
    </row>
    <row r="105" spans="1:11" ht="15" customHeight="1">
      <c r="A105" s="68">
        <f>'Members Data'!A97</f>
        <v>0</v>
      </c>
      <c r="B105" s="183"/>
      <c r="C105" s="184"/>
      <c r="D105" s="184"/>
      <c r="E105" s="184"/>
      <c r="F105" s="184"/>
      <c r="G105" s="184"/>
      <c r="H105" s="185"/>
      <c r="I105" s="65">
        <f t="shared" si="10"/>
        <v>0</v>
      </c>
      <c r="J105" s="65">
        <f t="shared" si="11"/>
        <v>0</v>
      </c>
      <c r="K105" s="66">
        <f t="shared" si="12"/>
        <v>0</v>
      </c>
    </row>
    <row r="106" spans="1:11" ht="15" customHeight="1">
      <c r="A106" s="68">
        <f>'Members Data'!A98</f>
        <v>0</v>
      </c>
      <c r="B106" s="183"/>
      <c r="C106" s="184"/>
      <c r="D106" s="184"/>
      <c r="E106" s="184"/>
      <c r="F106" s="184"/>
      <c r="G106" s="184"/>
      <c r="H106" s="185"/>
      <c r="I106" s="65">
        <f t="shared" si="10"/>
        <v>0</v>
      </c>
      <c r="J106" s="65">
        <f t="shared" si="11"/>
        <v>0</v>
      </c>
      <c r="K106" s="66">
        <f t="shared" si="12"/>
        <v>0</v>
      </c>
    </row>
    <row r="107" spans="1:11" ht="15" customHeight="1">
      <c r="A107" s="68">
        <f>'Members Data'!A99</f>
        <v>0</v>
      </c>
      <c r="B107" s="183"/>
      <c r="C107" s="184"/>
      <c r="D107" s="184"/>
      <c r="E107" s="184"/>
      <c r="F107" s="184"/>
      <c r="G107" s="184"/>
      <c r="H107" s="185"/>
      <c r="I107" s="65">
        <f t="shared" si="10"/>
        <v>0</v>
      </c>
      <c r="J107" s="65">
        <f t="shared" si="11"/>
        <v>0</v>
      </c>
      <c r="K107" s="66">
        <f t="shared" si="12"/>
        <v>0</v>
      </c>
    </row>
    <row r="108" spans="1:11" ht="15" customHeight="1" thickBot="1">
      <c r="A108" s="134">
        <f>'Members Data'!A100</f>
        <v>0</v>
      </c>
      <c r="B108" s="193"/>
      <c r="C108" s="193"/>
      <c r="D108" s="193"/>
      <c r="E108" s="193"/>
      <c r="F108" s="193"/>
      <c r="G108" s="193"/>
      <c r="H108" s="194"/>
      <c r="I108" s="70">
        <f t="shared" si="10"/>
        <v>0</v>
      </c>
      <c r="J108" s="70">
        <f t="shared" si="11"/>
        <v>0</v>
      </c>
      <c r="K108" s="71">
        <f t="shared" si="12"/>
        <v>0</v>
      </c>
    </row>
  </sheetData>
  <mergeCells count="3">
    <mergeCell ref="I1:I9"/>
    <mergeCell ref="J1:J9"/>
    <mergeCell ref="K1:K9"/>
  </mergeCells>
  <conditionalFormatting sqref="A10:A108">
    <cfRule type="expression" dxfId="17" priority="1" stopIfTrue="1">
      <formula>IF(K10&gt;0,TRUE)</formula>
    </cfRule>
    <cfRule type="expression" dxfId="16" priority="2" stopIfTrue="1">
      <formula>IF(SUM(I10:J10)&gt;1,TRUE)</formula>
    </cfRule>
    <cfRule type="expression" dxfId="15" priority="3" stopIfTrue="1">
      <formula>IF(SUM(I10:J10)&lt;2,TRUE)</formula>
    </cfRule>
  </conditionalFormatting>
  <dataValidations count="2">
    <dataValidation type="list" operator="equal" showErrorMessage="1" sqref="N5:N9 B10:H108">
      <formula1>"Invited,Confirmed,Standby,Out"</formula1>
      <formula2>0</formula2>
    </dataValidation>
    <dataValidation type="list" operator="equal" sqref="B4 D4:H4">
      <formula1>"??,10,25"</formula1>
      <formula2>0</formula2>
    </dataValidation>
  </dataValidations>
  <pageMargins left="0.78749999999999998" right="0.78749999999999998" top="1.0527777777777778" bottom="1.0527777777777778" header="0.78749999999999998" footer="0.78749999999999998"/>
  <pageSetup paperSize="9" firstPageNumber="0" orientation="portrait" horizontalDpi="300" verticalDpi="300" r:id="rId1"/>
  <headerFooter alignWithMargins="0">
    <oddHeader>&amp;C&amp;"Times New Roman,Regular"&amp;12&amp;A</oddHeader>
    <oddFooter>&amp;C&amp;"Times New Roman,Regular"&amp;12Page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>
  <dimension ref="A1:N108"/>
  <sheetViews>
    <sheetView workbookViewId="0">
      <pane xSplit="1" ySplit="9" topLeftCell="B10" activePane="bottomRight" state="frozen"/>
      <selection activeCell="F51" sqref="F47:F51"/>
      <selection pane="topRight" activeCell="F51" sqref="F47:F51"/>
      <selection pane="bottomLeft" activeCell="F51" sqref="F47:F51"/>
      <selection pane="bottomRight" activeCell="K1" sqref="K1:K9"/>
    </sheetView>
  </sheetViews>
  <sheetFormatPr defaultColWidth="8.7109375" defaultRowHeight="15" customHeight="1"/>
  <cols>
    <col min="1" max="1" width="14" style="1" customWidth="1"/>
    <col min="2" max="8" width="11.140625" style="1" customWidth="1"/>
    <col min="9" max="11" width="10.28515625" style="1" customWidth="1"/>
    <col min="12" max="16384" width="8.7109375" style="1"/>
  </cols>
  <sheetData>
    <row r="1" spans="1:14" ht="33" customHeight="1" thickBot="1">
      <c r="A1" s="49" t="s">
        <v>19</v>
      </c>
      <c r="B1" s="50" t="s">
        <v>43</v>
      </c>
      <c r="C1" s="50" t="s">
        <v>163</v>
      </c>
      <c r="D1" s="50" t="s">
        <v>45</v>
      </c>
      <c r="E1" s="50" t="s">
        <v>46</v>
      </c>
      <c r="F1" s="50" t="s">
        <v>47</v>
      </c>
      <c r="G1" s="50" t="s">
        <v>48</v>
      </c>
      <c r="H1" s="50" t="s">
        <v>49</v>
      </c>
      <c r="I1" s="534" t="s">
        <v>27</v>
      </c>
      <c r="J1" s="534" t="s">
        <v>28</v>
      </c>
      <c r="K1" s="537" t="s">
        <v>29</v>
      </c>
    </row>
    <row r="2" spans="1:14" ht="15.75" customHeight="1" thickBot="1">
      <c r="A2" s="49" t="s">
        <v>30</v>
      </c>
      <c r="B2" s="204">
        <f>'wk1'!H2+1</f>
        <v>41983</v>
      </c>
      <c r="C2" s="195">
        <f>B2+1</f>
        <v>41984</v>
      </c>
      <c r="D2" s="195">
        <f t="shared" ref="D2:H2" si="0">C2+1</f>
        <v>41985</v>
      </c>
      <c r="E2" s="195">
        <f t="shared" si="0"/>
        <v>41986</v>
      </c>
      <c r="F2" s="195">
        <f t="shared" si="0"/>
        <v>41987</v>
      </c>
      <c r="G2" s="195">
        <f t="shared" si="0"/>
        <v>41988</v>
      </c>
      <c r="H2" s="196">
        <f t="shared" si="0"/>
        <v>41989</v>
      </c>
      <c r="I2" s="535"/>
      <c r="J2" s="535"/>
      <c r="K2" s="538"/>
    </row>
    <row r="3" spans="1:14" ht="15.75" customHeight="1" thickBot="1">
      <c r="A3" s="49" t="s">
        <v>31</v>
      </c>
      <c r="B3" s="55"/>
      <c r="C3" s="56"/>
      <c r="D3" s="56"/>
      <c r="E3" s="56"/>
      <c r="F3" s="56"/>
      <c r="G3" s="56"/>
      <c r="H3" s="57"/>
      <c r="I3" s="535"/>
      <c r="J3" s="535"/>
      <c r="K3" s="538"/>
    </row>
    <row r="4" spans="1:14" ht="15.75" customHeight="1" thickBot="1">
      <c r="A4" s="49" t="s">
        <v>32</v>
      </c>
      <c r="B4" s="197"/>
      <c r="C4" s="56"/>
      <c r="D4" s="56"/>
      <c r="E4" s="56"/>
      <c r="F4" s="56"/>
      <c r="G4" s="56"/>
      <c r="H4" s="57"/>
      <c r="I4" s="535"/>
      <c r="J4" s="535"/>
      <c r="K4" s="538"/>
    </row>
    <row r="5" spans="1:14" ht="30.75" customHeight="1" thickBot="1">
      <c r="A5" s="49" t="s">
        <v>33</v>
      </c>
      <c r="B5" s="59"/>
      <c r="C5" s="60"/>
      <c r="D5" s="60"/>
      <c r="E5" s="60"/>
      <c r="F5" s="60"/>
      <c r="G5" s="60"/>
      <c r="H5" s="61"/>
      <c r="I5" s="535"/>
      <c r="J5" s="535"/>
      <c r="K5" s="538"/>
      <c r="N5" s="64"/>
    </row>
    <row r="6" spans="1:14" ht="30.75" customHeight="1" thickBot="1">
      <c r="A6" s="49" t="s">
        <v>144</v>
      </c>
      <c r="B6" s="351"/>
      <c r="C6" s="351"/>
      <c r="D6" s="351"/>
      <c r="E6" s="351"/>
      <c r="F6" s="351"/>
      <c r="G6" s="351"/>
      <c r="H6" s="352"/>
      <c r="I6" s="535"/>
      <c r="J6" s="535"/>
      <c r="K6" s="538"/>
      <c r="N6" s="64"/>
    </row>
    <row r="7" spans="1:14">
      <c r="A7" s="49" t="s">
        <v>35</v>
      </c>
      <c r="B7" s="198">
        <f t="shared" ref="B7:H7" si="1">COUNTIF(B10:B69,"Confirmed")</f>
        <v>0</v>
      </c>
      <c r="C7" s="198">
        <f t="shared" si="1"/>
        <v>0</v>
      </c>
      <c r="D7" s="198">
        <f t="shared" si="1"/>
        <v>0</v>
      </c>
      <c r="E7" s="198">
        <f t="shared" si="1"/>
        <v>0</v>
      </c>
      <c r="F7" s="198">
        <f t="shared" si="1"/>
        <v>0</v>
      </c>
      <c r="G7" s="198">
        <f t="shared" si="1"/>
        <v>0</v>
      </c>
      <c r="H7" s="199">
        <f t="shared" si="1"/>
        <v>0</v>
      </c>
      <c r="I7" s="535"/>
      <c r="J7" s="535"/>
      <c r="K7" s="538"/>
      <c r="N7" s="64"/>
    </row>
    <row r="8" spans="1:14">
      <c r="A8" s="53" t="s">
        <v>34</v>
      </c>
      <c r="B8" s="200">
        <f t="shared" ref="B8:H8" si="2">COUNTIF(B10:B69,"Standby")</f>
        <v>0</v>
      </c>
      <c r="C8" s="200">
        <f t="shared" si="2"/>
        <v>0</v>
      </c>
      <c r="D8" s="200">
        <f t="shared" si="2"/>
        <v>0</v>
      </c>
      <c r="E8" s="200">
        <f t="shared" si="2"/>
        <v>0</v>
      </c>
      <c r="F8" s="200">
        <f t="shared" si="2"/>
        <v>0</v>
      </c>
      <c r="G8" s="200">
        <f t="shared" si="2"/>
        <v>0</v>
      </c>
      <c r="H8" s="201">
        <f t="shared" si="2"/>
        <v>0</v>
      </c>
      <c r="I8" s="535"/>
      <c r="J8" s="535"/>
      <c r="K8" s="538"/>
      <c r="N8" s="64"/>
    </row>
    <row r="9" spans="1:14" ht="15.75" thickBot="1">
      <c r="A9" s="58" t="s">
        <v>26</v>
      </c>
      <c r="B9" s="202">
        <f t="shared" ref="B9:H9" si="3">COUNTIF(B10:B69,"Out")</f>
        <v>0</v>
      </c>
      <c r="C9" s="202">
        <f t="shared" si="3"/>
        <v>0</v>
      </c>
      <c r="D9" s="202">
        <f t="shared" si="3"/>
        <v>0</v>
      </c>
      <c r="E9" s="202">
        <f t="shared" si="3"/>
        <v>0</v>
      </c>
      <c r="F9" s="202">
        <f t="shared" si="3"/>
        <v>0</v>
      </c>
      <c r="G9" s="202">
        <f t="shared" si="3"/>
        <v>0</v>
      </c>
      <c r="H9" s="203">
        <f t="shared" si="3"/>
        <v>0</v>
      </c>
      <c r="I9" s="536"/>
      <c r="J9" s="536"/>
      <c r="K9" s="539"/>
      <c r="N9" s="64"/>
    </row>
    <row r="10" spans="1:14" ht="15" customHeight="1">
      <c r="A10" s="5" t="str">
        <f>'Members Data'!A2</f>
        <v>Ablon</v>
      </c>
      <c r="B10" s="180"/>
      <c r="C10" s="184"/>
      <c r="D10" s="181"/>
      <c r="E10" s="181"/>
      <c r="F10" s="181"/>
      <c r="G10" s="184"/>
      <c r="H10" s="182"/>
      <c r="I10" s="62">
        <f t="shared" ref="I10:I41" si="4">COUNTIF(B10:H10,"confirmed")</f>
        <v>0</v>
      </c>
      <c r="J10" s="62">
        <f t="shared" ref="J10:J41" si="5">COUNTIF(B10:H10,"standby")</f>
        <v>0</v>
      </c>
      <c r="K10" s="63">
        <f t="shared" ref="K10:K41" si="6">COUNTIF(B10:H10,"out")</f>
        <v>0</v>
      </c>
      <c r="N10" s="64"/>
    </row>
    <row r="11" spans="1:14" ht="15" customHeight="1">
      <c r="A11" s="9">
        <f>'Members Data'!A3</f>
        <v>0</v>
      </c>
      <c r="B11" s="183"/>
      <c r="C11" s="184"/>
      <c r="D11" s="184"/>
      <c r="E11" s="184"/>
      <c r="F11" s="184"/>
      <c r="G11" s="184"/>
      <c r="H11" s="185"/>
      <c r="I11" s="12">
        <f t="shared" si="4"/>
        <v>0</v>
      </c>
      <c r="J11" s="12">
        <f t="shared" si="5"/>
        <v>0</v>
      </c>
      <c r="K11" s="13">
        <f t="shared" si="6"/>
        <v>0</v>
      </c>
      <c r="N11"/>
    </row>
    <row r="12" spans="1:14" ht="15" customHeight="1">
      <c r="A12" s="9" t="str">
        <f>'Members Data'!A4</f>
        <v>Akilta</v>
      </c>
      <c r="B12" s="183"/>
      <c r="C12" s="184"/>
      <c r="D12" s="184"/>
      <c r="E12" s="184"/>
      <c r="F12" s="184"/>
      <c r="G12" s="184"/>
      <c r="H12" s="185"/>
      <c r="I12" s="12">
        <f t="shared" si="4"/>
        <v>0</v>
      </c>
      <c r="J12" s="12">
        <f t="shared" si="5"/>
        <v>0</v>
      </c>
      <c r="K12" s="13">
        <f t="shared" si="6"/>
        <v>0</v>
      </c>
      <c r="N12"/>
    </row>
    <row r="13" spans="1:14" ht="15" customHeight="1">
      <c r="A13" s="9" t="str">
        <f>'Members Data'!A5</f>
        <v>Altrezza</v>
      </c>
      <c r="B13" s="183"/>
      <c r="C13" s="186"/>
      <c r="D13" s="184"/>
      <c r="E13" s="184"/>
      <c r="F13" s="184"/>
      <c r="G13" s="184"/>
      <c r="H13" s="185"/>
      <c r="I13" s="12">
        <f t="shared" si="4"/>
        <v>0</v>
      </c>
      <c r="J13" s="12">
        <f t="shared" si="5"/>
        <v>0</v>
      </c>
      <c r="K13" s="13">
        <f t="shared" si="6"/>
        <v>0</v>
      </c>
      <c r="N13"/>
    </row>
    <row r="14" spans="1:14" ht="15" customHeight="1">
      <c r="A14" s="9" t="str">
        <f>'Members Data'!A6</f>
        <v>Amaras</v>
      </c>
      <c r="B14" s="183"/>
      <c r="C14" s="184"/>
      <c r="D14" s="184"/>
      <c r="E14" s="184"/>
      <c r="F14" s="184"/>
      <c r="G14" s="184"/>
      <c r="H14" s="185"/>
      <c r="I14" s="12">
        <f t="shared" si="4"/>
        <v>0</v>
      </c>
      <c r="J14" s="12">
        <f t="shared" si="5"/>
        <v>0</v>
      </c>
      <c r="K14" s="13">
        <f t="shared" si="6"/>
        <v>0</v>
      </c>
      <c r="N14"/>
    </row>
    <row r="15" spans="1:14" ht="15" customHeight="1">
      <c r="A15" s="9" t="str">
        <f>'Members Data'!A7</f>
        <v>Angelhoof</v>
      </c>
      <c r="B15" s="183"/>
      <c r="C15" s="184"/>
      <c r="D15" s="184"/>
      <c r="E15" s="184"/>
      <c r="F15" s="184"/>
      <c r="G15" s="184"/>
      <c r="H15" s="185"/>
      <c r="I15" s="12">
        <f t="shared" si="4"/>
        <v>0</v>
      </c>
      <c r="J15" s="12">
        <f t="shared" si="5"/>
        <v>0</v>
      </c>
      <c r="K15" s="13">
        <f t="shared" si="6"/>
        <v>0</v>
      </c>
      <c r="N15"/>
    </row>
    <row r="16" spans="1:14" ht="15" customHeight="1">
      <c r="A16" s="9" t="str">
        <f>'Members Data'!A8</f>
        <v>Ánja</v>
      </c>
      <c r="B16" s="183"/>
      <c r="C16" s="184"/>
      <c r="D16" s="184"/>
      <c r="E16" s="184"/>
      <c r="F16" s="184"/>
      <c r="G16" s="184"/>
      <c r="H16" s="185"/>
      <c r="I16" s="12">
        <f t="shared" si="4"/>
        <v>0</v>
      </c>
      <c r="J16" s="12">
        <f t="shared" si="5"/>
        <v>0</v>
      </c>
      <c r="K16" s="13">
        <f t="shared" si="6"/>
        <v>0</v>
      </c>
      <c r="N16"/>
    </row>
    <row r="17" spans="1:14" ht="15" customHeight="1">
      <c r="A17" s="9" t="str">
        <f>'Members Data'!A9</f>
        <v>Asch</v>
      </c>
      <c r="B17" s="183"/>
      <c r="C17" s="184"/>
      <c r="D17" s="184"/>
      <c r="E17" s="184"/>
      <c r="F17" s="184"/>
      <c r="G17" s="184"/>
      <c r="H17" s="185"/>
      <c r="I17" s="12">
        <f t="shared" si="4"/>
        <v>0</v>
      </c>
      <c r="J17" s="12">
        <f t="shared" si="5"/>
        <v>0</v>
      </c>
      <c r="K17" s="13">
        <f t="shared" si="6"/>
        <v>0</v>
      </c>
      <c r="N17"/>
    </row>
    <row r="18" spans="1:14" ht="15" customHeight="1">
      <c r="A18" s="9" t="str">
        <f>'Members Data'!A10</f>
        <v>Avane</v>
      </c>
      <c r="B18" s="183"/>
      <c r="C18" s="184"/>
      <c r="D18" s="184"/>
      <c r="E18" s="184"/>
      <c r="F18" s="184"/>
      <c r="G18" s="184"/>
      <c r="H18" s="185"/>
      <c r="I18" s="12">
        <f t="shared" si="4"/>
        <v>0</v>
      </c>
      <c r="J18" s="12">
        <f t="shared" si="5"/>
        <v>0</v>
      </c>
      <c r="K18" s="13">
        <f t="shared" si="6"/>
        <v>0</v>
      </c>
      <c r="N18"/>
    </row>
    <row r="19" spans="1:14" ht="15" customHeight="1">
      <c r="A19" s="9" t="str">
        <f>'Members Data'!A11</f>
        <v>Beargrels</v>
      </c>
      <c r="B19" s="183"/>
      <c r="C19" s="184"/>
      <c r="D19" s="184"/>
      <c r="E19" s="184"/>
      <c r="F19" s="184"/>
      <c r="G19" s="184"/>
      <c r="H19" s="185"/>
      <c r="I19" s="12">
        <f t="shared" si="4"/>
        <v>0</v>
      </c>
      <c r="J19" s="12">
        <f t="shared" si="5"/>
        <v>0</v>
      </c>
      <c r="K19" s="13">
        <f t="shared" si="6"/>
        <v>0</v>
      </c>
      <c r="N19"/>
    </row>
    <row r="20" spans="1:14" ht="15" customHeight="1">
      <c r="A20" s="9" t="str">
        <f>'Members Data'!A12</f>
        <v>Blackcheeta</v>
      </c>
      <c r="B20" s="183"/>
      <c r="C20" s="184"/>
      <c r="D20" s="184"/>
      <c r="E20" s="184"/>
      <c r="F20" s="184"/>
      <c r="G20" s="184"/>
      <c r="H20" s="185"/>
      <c r="I20" s="12">
        <f t="shared" si="4"/>
        <v>0</v>
      </c>
      <c r="J20" s="12">
        <f t="shared" si="5"/>
        <v>0</v>
      </c>
      <c r="K20" s="13">
        <f t="shared" si="6"/>
        <v>0</v>
      </c>
      <c r="N20"/>
    </row>
    <row r="21" spans="1:14" ht="15" customHeight="1">
      <c r="A21" s="9">
        <f>'Members Data'!A13</f>
        <v>0</v>
      </c>
      <c r="B21" s="183"/>
      <c r="C21" s="184"/>
      <c r="D21" s="184"/>
      <c r="E21" s="184"/>
      <c r="F21" s="184"/>
      <c r="G21" s="184"/>
      <c r="H21" s="185"/>
      <c r="I21" s="12">
        <f t="shared" si="4"/>
        <v>0</v>
      </c>
      <c r="J21" s="12">
        <f t="shared" si="5"/>
        <v>0</v>
      </c>
      <c r="K21" s="13">
        <f t="shared" si="6"/>
        <v>0</v>
      </c>
    </row>
    <row r="22" spans="1:14" ht="15" customHeight="1">
      <c r="A22" s="9" t="str">
        <f>'Members Data'!A14</f>
        <v>Brownale</v>
      </c>
      <c r="B22" s="183"/>
      <c r="C22" s="184"/>
      <c r="D22" s="184"/>
      <c r="E22" s="184"/>
      <c r="F22" s="184"/>
      <c r="G22" s="184"/>
      <c r="H22" s="185"/>
      <c r="I22" s="12">
        <f t="shared" si="4"/>
        <v>0</v>
      </c>
      <c r="J22" s="12">
        <f t="shared" si="5"/>
        <v>0</v>
      </c>
      <c r="K22" s="13">
        <f t="shared" si="6"/>
        <v>0</v>
      </c>
    </row>
    <row r="23" spans="1:14" ht="15" customHeight="1">
      <c r="A23" s="9">
        <f>'Members Data'!A15</f>
        <v>0</v>
      </c>
      <c r="B23" s="183"/>
      <c r="C23" s="184"/>
      <c r="D23" s="184"/>
      <c r="E23" s="184"/>
      <c r="F23" s="184"/>
      <c r="G23" s="184"/>
      <c r="H23" s="185"/>
      <c r="I23" s="12">
        <f t="shared" si="4"/>
        <v>0</v>
      </c>
      <c r="J23" s="12">
        <f t="shared" si="5"/>
        <v>0</v>
      </c>
      <c r="K23" s="13">
        <f t="shared" si="6"/>
        <v>0</v>
      </c>
    </row>
    <row r="24" spans="1:14" ht="15" customHeight="1">
      <c r="A24" s="9" t="str">
        <f>'Members Data'!A16</f>
        <v>Masher</v>
      </c>
      <c r="B24" s="183"/>
      <c r="C24" s="184"/>
      <c r="D24" s="184"/>
      <c r="E24" s="184"/>
      <c r="F24" s="184"/>
      <c r="G24" s="184"/>
      <c r="H24" s="185"/>
      <c r="I24" s="12">
        <f t="shared" si="4"/>
        <v>0</v>
      </c>
      <c r="J24" s="12">
        <f t="shared" si="5"/>
        <v>0</v>
      </c>
      <c r="K24" s="13">
        <f t="shared" si="6"/>
        <v>0</v>
      </c>
    </row>
    <row r="25" spans="1:14" ht="15" customHeight="1">
      <c r="A25" s="9" t="str">
        <f>'Members Data'!A17</f>
        <v>Dottiee</v>
      </c>
      <c r="B25" s="183"/>
      <c r="C25" s="184"/>
      <c r="D25" s="184"/>
      <c r="E25" s="184"/>
      <c r="F25" s="184"/>
      <c r="G25" s="184"/>
      <c r="H25" s="185"/>
      <c r="I25" s="12">
        <f t="shared" si="4"/>
        <v>0</v>
      </c>
      <c r="J25" s="12">
        <f t="shared" si="5"/>
        <v>0</v>
      </c>
      <c r="K25" s="13">
        <f t="shared" si="6"/>
        <v>0</v>
      </c>
    </row>
    <row r="26" spans="1:14" ht="15" customHeight="1">
      <c r="A26" s="9" t="str">
        <f>'Members Data'!A18</f>
        <v>Dracoar</v>
      </c>
      <c r="B26" s="183"/>
      <c r="C26" s="184"/>
      <c r="D26" s="184"/>
      <c r="E26" s="184"/>
      <c r="F26" s="184"/>
      <c r="G26" s="184"/>
      <c r="H26" s="185"/>
      <c r="I26" s="12">
        <f t="shared" si="4"/>
        <v>0</v>
      </c>
      <c r="J26" s="12">
        <f t="shared" si="5"/>
        <v>0</v>
      </c>
      <c r="K26" s="13">
        <f t="shared" si="6"/>
        <v>0</v>
      </c>
    </row>
    <row r="27" spans="1:14" ht="15" customHeight="1">
      <c r="A27" s="9" t="str">
        <f>'Members Data'!A19</f>
        <v>Drakodin</v>
      </c>
      <c r="B27" s="183"/>
      <c r="C27" s="184"/>
      <c r="D27" s="184"/>
      <c r="E27" s="184"/>
      <c r="F27" s="184"/>
      <c r="G27" s="184"/>
      <c r="H27" s="185"/>
      <c r="I27" s="12">
        <f t="shared" si="4"/>
        <v>0</v>
      </c>
      <c r="J27" s="12">
        <f t="shared" si="5"/>
        <v>0</v>
      </c>
      <c r="K27" s="13">
        <f t="shared" si="6"/>
        <v>0</v>
      </c>
    </row>
    <row r="28" spans="1:14" ht="15" customHeight="1">
      <c r="A28" s="9" t="str">
        <f>'Members Data'!A20</f>
        <v>Drugged</v>
      </c>
      <c r="B28" s="183"/>
      <c r="C28" s="184"/>
      <c r="D28" s="184"/>
      <c r="E28" s="184"/>
      <c r="F28" s="184"/>
      <c r="G28" s="184"/>
      <c r="H28" s="185"/>
      <c r="I28" s="12">
        <f t="shared" si="4"/>
        <v>0</v>
      </c>
      <c r="J28" s="12">
        <f t="shared" si="5"/>
        <v>0</v>
      </c>
      <c r="K28" s="13">
        <f t="shared" si="6"/>
        <v>0</v>
      </c>
    </row>
    <row r="29" spans="1:14" ht="15" customHeight="1">
      <c r="A29" s="9" t="str">
        <f>'Members Data'!A21</f>
        <v>Eárendíl</v>
      </c>
      <c r="B29" s="183"/>
      <c r="C29" s="184"/>
      <c r="D29" s="184"/>
      <c r="E29" s="184"/>
      <c r="F29" s="184"/>
      <c r="G29" s="184"/>
      <c r="H29" s="185"/>
      <c r="I29" s="12">
        <f t="shared" si="4"/>
        <v>0</v>
      </c>
      <c r="J29" s="12">
        <f t="shared" si="5"/>
        <v>0</v>
      </c>
      <c r="K29" s="13">
        <f t="shared" si="6"/>
        <v>0</v>
      </c>
      <c r="M29"/>
    </row>
    <row r="30" spans="1:14" ht="15" customHeight="1">
      <c r="A30" s="9" t="str">
        <f>'Members Data'!A22</f>
        <v>Emril</v>
      </c>
      <c r="B30" s="183"/>
      <c r="C30" s="184"/>
      <c r="D30" s="184"/>
      <c r="E30" s="184"/>
      <c r="F30" s="184"/>
      <c r="G30" s="184"/>
      <c r="H30" s="185"/>
      <c r="I30" s="12">
        <f t="shared" si="4"/>
        <v>0</v>
      </c>
      <c r="J30" s="12">
        <f t="shared" si="5"/>
        <v>0</v>
      </c>
      <c r="K30" s="13">
        <f t="shared" si="6"/>
        <v>0</v>
      </c>
      <c r="M30"/>
    </row>
    <row r="31" spans="1:14" ht="15" customHeight="1">
      <c r="A31" s="9" t="str">
        <f>'Members Data'!A23</f>
        <v>Halfthings</v>
      </c>
      <c r="B31" s="183"/>
      <c r="C31" s="184"/>
      <c r="D31" s="184"/>
      <c r="E31" s="184"/>
      <c r="F31" s="184"/>
      <c r="G31" s="184"/>
      <c r="H31" s="185"/>
      <c r="I31" s="12">
        <f t="shared" si="4"/>
        <v>0</v>
      </c>
      <c r="J31" s="12">
        <f t="shared" si="5"/>
        <v>0</v>
      </c>
      <c r="K31" s="13">
        <f t="shared" si="6"/>
        <v>0</v>
      </c>
      <c r="M31"/>
    </row>
    <row r="32" spans="1:14" ht="15" customHeight="1">
      <c r="A32" s="9" t="str">
        <f>'Members Data'!A24</f>
        <v>Harkar</v>
      </c>
      <c r="B32" s="183"/>
      <c r="C32" s="184"/>
      <c r="D32" s="184"/>
      <c r="E32" s="184"/>
      <c r="F32" s="184"/>
      <c r="G32" s="184"/>
      <c r="H32" s="185"/>
      <c r="I32" s="12">
        <f t="shared" si="4"/>
        <v>0</v>
      </c>
      <c r="J32" s="12">
        <f t="shared" si="5"/>
        <v>0</v>
      </c>
      <c r="K32" s="13">
        <f t="shared" si="6"/>
        <v>0</v>
      </c>
      <c r="M32"/>
    </row>
    <row r="33" spans="1:13" ht="15" customHeight="1">
      <c r="A33" s="9" t="str">
        <f>'Members Data'!A25</f>
        <v>Hlianna</v>
      </c>
      <c r="B33" s="183"/>
      <c r="C33" s="186"/>
      <c r="D33" s="184"/>
      <c r="E33" s="184"/>
      <c r="F33" s="184"/>
      <c r="G33" s="184"/>
      <c r="H33" s="185"/>
      <c r="I33" s="12">
        <f t="shared" si="4"/>
        <v>0</v>
      </c>
      <c r="J33" s="12">
        <f t="shared" si="5"/>
        <v>0</v>
      </c>
      <c r="K33" s="13">
        <f t="shared" si="6"/>
        <v>0</v>
      </c>
      <c r="M33"/>
    </row>
    <row r="34" spans="1:13" ht="15" customHeight="1">
      <c r="A34" s="9" t="str">
        <f>'Members Data'!A26</f>
        <v>Hormones</v>
      </c>
      <c r="B34" s="183"/>
      <c r="C34" s="184"/>
      <c r="D34" s="184"/>
      <c r="E34" s="184"/>
      <c r="F34" s="184"/>
      <c r="G34" s="184"/>
      <c r="H34" s="185"/>
      <c r="I34" s="12">
        <f t="shared" si="4"/>
        <v>0</v>
      </c>
      <c r="J34" s="12">
        <f t="shared" si="5"/>
        <v>0</v>
      </c>
      <c r="K34" s="13">
        <f t="shared" si="6"/>
        <v>0</v>
      </c>
      <c r="M34"/>
    </row>
    <row r="35" spans="1:13" ht="15" customHeight="1">
      <c r="A35" s="9" t="str">
        <f>'Members Data'!A27</f>
        <v>Hyperïon</v>
      </c>
      <c r="B35" s="183"/>
      <c r="C35" s="184"/>
      <c r="D35" s="184"/>
      <c r="E35" s="184"/>
      <c r="F35" s="184"/>
      <c r="G35" s="184"/>
      <c r="H35" s="185"/>
      <c r="I35" s="12">
        <f t="shared" si="4"/>
        <v>0</v>
      </c>
      <c r="J35" s="12">
        <f t="shared" si="5"/>
        <v>0</v>
      </c>
      <c r="K35" s="13">
        <f t="shared" si="6"/>
        <v>0</v>
      </c>
      <c r="M35"/>
    </row>
    <row r="36" spans="1:13" ht="15" customHeight="1">
      <c r="A36" s="9" t="str">
        <f>'Members Data'!A28</f>
        <v>Hyunâ</v>
      </c>
      <c r="B36" s="183"/>
      <c r="C36" s="184"/>
      <c r="D36" s="184"/>
      <c r="E36" s="184"/>
      <c r="F36" s="184"/>
      <c r="G36" s="184"/>
      <c r="H36" s="185"/>
      <c r="I36" s="12">
        <f t="shared" si="4"/>
        <v>0</v>
      </c>
      <c r="J36" s="12">
        <f t="shared" si="5"/>
        <v>0</v>
      </c>
      <c r="K36" s="13">
        <f t="shared" si="6"/>
        <v>0</v>
      </c>
      <c r="M36"/>
    </row>
    <row r="37" spans="1:13" ht="15" customHeight="1">
      <c r="A37" s="9" t="str">
        <f>'Members Data'!A29</f>
        <v>Izzabelle</v>
      </c>
      <c r="B37" s="183"/>
      <c r="C37" s="184"/>
      <c r="D37" s="184"/>
      <c r="E37" s="184"/>
      <c r="F37" s="184"/>
      <c r="G37" s="184"/>
      <c r="H37" s="185"/>
      <c r="I37" s="12">
        <f t="shared" si="4"/>
        <v>0</v>
      </c>
      <c r="J37" s="12">
        <f t="shared" si="5"/>
        <v>0</v>
      </c>
      <c r="K37" s="13">
        <f t="shared" si="6"/>
        <v>0</v>
      </c>
      <c r="M37"/>
    </row>
    <row r="38" spans="1:13" ht="15" customHeight="1">
      <c r="A38" s="9" t="str">
        <f>'Members Data'!A30</f>
        <v>Jimentoez</v>
      </c>
      <c r="B38" s="183"/>
      <c r="C38" s="184"/>
      <c r="D38" s="184"/>
      <c r="E38" s="184"/>
      <c r="F38" s="184"/>
      <c r="G38" s="184"/>
      <c r="H38" s="185"/>
      <c r="I38" s="12">
        <f t="shared" si="4"/>
        <v>0</v>
      </c>
      <c r="J38" s="12">
        <f t="shared" si="5"/>
        <v>0</v>
      </c>
      <c r="K38" s="13">
        <f t="shared" si="6"/>
        <v>0</v>
      </c>
      <c r="M38"/>
    </row>
    <row r="39" spans="1:13" ht="15" customHeight="1">
      <c r="A39" s="9" t="str">
        <f>'Members Data'!A31</f>
        <v>Judge</v>
      </c>
      <c r="B39" s="183"/>
      <c r="C39" s="184"/>
      <c r="D39" s="184"/>
      <c r="E39" s="184"/>
      <c r="F39" s="184"/>
      <c r="G39" s="184"/>
      <c r="H39" s="185"/>
      <c r="I39" s="12">
        <f t="shared" si="4"/>
        <v>0</v>
      </c>
      <c r="J39" s="12">
        <f t="shared" si="5"/>
        <v>0</v>
      </c>
      <c r="K39" s="13">
        <f t="shared" si="6"/>
        <v>0</v>
      </c>
      <c r="M39"/>
    </row>
    <row r="40" spans="1:13" ht="15" customHeight="1">
      <c r="A40" s="9" t="str">
        <f>'Members Data'!A32</f>
        <v>Kádiz</v>
      </c>
      <c r="B40" s="183"/>
      <c r="C40" s="184"/>
      <c r="D40" s="184"/>
      <c r="E40" s="184"/>
      <c r="F40" s="184"/>
      <c r="G40" s="184"/>
      <c r="H40" s="185"/>
      <c r="I40" s="12">
        <f t="shared" si="4"/>
        <v>0</v>
      </c>
      <c r="J40" s="12">
        <f t="shared" si="5"/>
        <v>0</v>
      </c>
      <c r="K40" s="13">
        <f t="shared" si="6"/>
        <v>0</v>
      </c>
    </row>
    <row r="41" spans="1:13" ht="15" customHeight="1">
      <c r="A41" s="9" t="str">
        <f>'Members Data'!A33</f>
        <v>Kanoni</v>
      </c>
      <c r="B41" s="183"/>
      <c r="C41" s="184"/>
      <c r="D41" s="184"/>
      <c r="E41" s="184"/>
      <c r="F41" s="184"/>
      <c r="G41" s="184"/>
      <c r="H41" s="185"/>
      <c r="I41" s="12">
        <f t="shared" si="4"/>
        <v>0</v>
      </c>
      <c r="J41" s="12">
        <f t="shared" si="5"/>
        <v>0</v>
      </c>
      <c r="K41" s="13">
        <f t="shared" si="6"/>
        <v>0</v>
      </c>
    </row>
    <row r="42" spans="1:13" ht="15" customHeight="1">
      <c r="A42" s="9" t="str">
        <f>'Members Data'!A34</f>
        <v>Kristofix</v>
      </c>
      <c r="B42" s="183"/>
      <c r="C42" s="184"/>
      <c r="D42" s="184"/>
      <c r="E42" s="184"/>
      <c r="F42" s="184"/>
      <c r="G42" s="184"/>
      <c r="H42" s="185"/>
      <c r="I42" s="12">
        <f t="shared" ref="I42:I68" si="7">COUNTIF(B42:H42,"confirmed")</f>
        <v>0</v>
      </c>
      <c r="J42" s="12">
        <f t="shared" ref="J42:J68" si="8">COUNTIF(B42:H42,"standby")</f>
        <v>0</v>
      </c>
      <c r="K42" s="13">
        <f t="shared" ref="K42:K68" si="9">COUNTIF(B42:H42,"out")</f>
        <v>0</v>
      </c>
    </row>
    <row r="43" spans="1:13" ht="15" customHeight="1">
      <c r="A43" s="9">
        <f>'Members Data'!A35</f>
        <v>0</v>
      </c>
      <c r="B43" s="183"/>
      <c r="C43" s="184"/>
      <c r="D43" s="184"/>
      <c r="E43" s="184"/>
      <c r="F43" s="184"/>
      <c r="G43" s="184"/>
      <c r="H43" s="185"/>
      <c r="I43" s="12">
        <f t="shared" si="7"/>
        <v>0</v>
      </c>
      <c r="J43" s="12">
        <f t="shared" si="8"/>
        <v>0</v>
      </c>
      <c r="K43" s="13">
        <f t="shared" si="9"/>
        <v>0</v>
      </c>
    </row>
    <row r="44" spans="1:13" ht="15" customHeight="1">
      <c r="A44" s="9">
        <f>'Members Data'!A36</f>
        <v>0</v>
      </c>
      <c r="B44" s="183"/>
      <c r="C44" s="184"/>
      <c r="D44" s="184"/>
      <c r="E44" s="184"/>
      <c r="F44" s="184"/>
      <c r="G44" s="184"/>
      <c r="H44" s="185"/>
      <c r="I44" s="12">
        <f t="shared" si="7"/>
        <v>0</v>
      </c>
      <c r="J44" s="12">
        <f t="shared" si="8"/>
        <v>0</v>
      </c>
      <c r="K44" s="13">
        <f t="shared" si="9"/>
        <v>0</v>
      </c>
    </row>
    <row r="45" spans="1:13" ht="15" customHeight="1">
      <c r="A45" s="9">
        <f>'Members Data'!A37</f>
        <v>0</v>
      </c>
      <c r="B45" s="183"/>
      <c r="C45" s="184"/>
      <c r="D45" s="184"/>
      <c r="E45" s="184"/>
      <c r="F45" s="184"/>
      <c r="G45" s="184"/>
      <c r="H45" s="185"/>
      <c r="I45" s="12">
        <f t="shared" si="7"/>
        <v>0</v>
      </c>
      <c r="J45" s="12">
        <f t="shared" si="8"/>
        <v>0</v>
      </c>
      <c r="K45" s="13">
        <f t="shared" si="9"/>
        <v>0</v>
      </c>
    </row>
    <row r="46" spans="1:13" ht="15" customHeight="1">
      <c r="A46" s="9">
        <f>'Members Data'!A38</f>
        <v>0</v>
      </c>
      <c r="B46" s="183"/>
      <c r="C46" s="184"/>
      <c r="D46" s="184"/>
      <c r="E46" s="184"/>
      <c r="F46" s="184"/>
      <c r="G46" s="184"/>
      <c r="H46" s="185"/>
      <c r="I46" s="12">
        <f t="shared" si="7"/>
        <v>0</v>
      </c>
      <c r="J46" s="12">
        <f t="shared" si="8"/>
        <v>0</v>
      </c>
      <c r="K46" s="13">
        <f t="shared" si="9"/>
        <v>0</v>
      </c>
    </row>
    <row r="47" spans="1:13" ht="15" customHeight="1">
      <c r="A47" s="9" t="str">
        <f>'Members Data'!A39</f>
        <v>Mardazur</v>
      </c>
      <c r="B47" s="183"/>
      <c r="C47" s="184"/>
      <c r="D47" s="184"/>
      <c r="E47" s="184"/>
      <c r="F47" s="184"/>
      <c r="G47" s="184"/>
      <c r="H47" s="185"/>
      <c r="I47" s="12">
        <f t="shared" si="7"/>
        <v>0</v>
      </c>
      <c r="J47" s="12">
        <f t="shared" si="8"/>
        <v>0</v>
      </c>
      <c r="K47" s="13">
        <f t="shared" si="9"/>
        <v>0</v>
      </c>
    </row>
    <row r="48" spans="1:13" ht="15" customHeight="1">
      <c r="A48" s="9" t="str">
        <f>'Members Data'!A40</f>
        <v>Mezzolina</v>
      </c>
      <c r="B48" s="183"/>
      <c r="C48" s="184"/>
      <c r="D48" s="184"/>
      <c r="E48" s="184"/>
      <c r="F48" s="184"/>
      <c r="G48" s="184"/>
      <c r="H48" s="185"/>
      <c r="I48" s="12">
        <f t="shared" si="7"/>
        <v>0</v>
      </c>
      <c r="J48" s="12">
        <f t="shared" si="8"/>
        <v>0</v>
      </c>
      <c r="K48" s="13">
        <f t="shared" si="9"/>
        <v>0</v>
      </c>
    </row>
    <row r="49" spans="1:11" ht="15" customHeight="1">
      <c r="A49" s="9">
        <f>'Members Data'!A41</f>
        <v>0</v>
      </c>
      <c r="B49" s="183"/>
      <c r="C49" s="184"/>
      <c r="D49" s="184"/>
      <c r="E49" s="184"/>
      <c r="F49" s="184"/>
      <c r="G49" s="184"/>
      <c r="H49" s="185"/>
      <c r="I49" s="12">
        <f t="shared" si="7"/>
        <v>0</v>
      </c>
      <c r="J49" s="12">
        <f t="shared" si="8"/>
        <v>0</v>
      </c>
      <c r="K49" s="13">
        <f t="shared" si="9"/>
        <v>0</v>
      </c>
    </row>
    <row r="50" spans="1:11" ht="15" customHeight="1">
      <c r="A50" s="9" t="str">
        <f>'Members Data'!A42</f>
        <v>Morenna</v>
      </c>
      <c r="B50" s="183"/>
      <c r="C50" s="184"/>
      <c r="D50" s="184"/>
      <c r="E50" s="184"/>
      <c r="F50" s="184"/>
      <c r="G50" s="184"/>
      <c r="H50" s="185"/>
      <c r="I50" s="12">
        <f t="shared" si="7"/>
        <v>0</v>
      </c>
      <c r="J50" s="12">
        <f t="shared" si="8"/>
        <v>0</v>
      </c>
      <c r="K50" s="13">
        <f t="shared" si="9"/>
        <v>0</v>
      </c>
    </row>
    <row r="51" spans="1:11" ht="15" customHeight="1">
      <c r="A51" s="9" t="str">
        <f>'Members Data'!A43</f>
        <v>Naliyas</v>
      </c>
      <c r="B51" s="183"/>
      <c r="C51" s="184"/>
      <c r="D51" s="184"/>
      <c r="E51" s="184"/>
      <c r="F51" s="184"/>
      <c r="G51" s="184"/>
      <c r="H51" s="185"/>
      <c r="I51" s="12">
        <f t="shared" si="7"/>
        <v>0</v>
      </c>
      <c r="J51" s="12">
        <f t="shared" si="8"/>
        <v>0</v>
      </c>
      <c r="K51" s="13">
        <f t="shared" si="9"/>
        <v>0</v>
      </c>
    </row>
    <row r="52" spans="1:11" ht="15" customHeight="1">
      <c r="A52" s="9">
        <f>'Members Data'!A44</f>
        <v>0</v>
      </c>
      <c r="B52" s="183"/>
      <c r="C52" s="184"/>
      <c r="D52" s="184"/>
      <c r="E52" s="184"/>
      <c r="F52" s="184"/>
      <c r="G52" s="184"/>
      <c r="H52" s="185"/>
      <c r="I52" s="12">
        <f t="shared" si="7"/>
        <v>0</v>
      </c>
      <c r="J52" s="12">
        <f t="shared" si="8"/>
        <v>0</v>
      </c>
      <c r="K52" s="13">
        <f t="shared" si="9"/>
        <v>0</v>
      </c>
    </row>
    <row r="53" spans="1:11" ht="15" customHeight="1">
      <c r="A53" s="9" t="str">
        <f>'Members Data'!A45</f>
        <v>Nazgol</v>
      </c>
      <c r="B53" s="183"/>
      <c r="C53" s="184"/>
      <c r="D53" s="184"/>
      <c r="E53" s="184"/>
      <c r="F53" s="184"/>
      <c r="G53" s="184"/>
      <c r="H53" s="185"/>
      <c r="I53" s="12">
        <f t="shared" si="7"/>
        <v>0</v>
      </c>
      <c r="J53" s="12">
        <f t="shared" si="8"/>
        <v>0</v>
      </c>
      <c r="K53" s="13">
        <f t="shared" si="9"/>
        <v>0</v>
      </c>
    </row>
    <row r="54" spans="1:11" ht="15" customHeight="1">
      <c r="A54" s="9" t="str">
        <f>'Members Data'!A46</f>
        <v>Niiwa</v>
      </c>
      <c r="B54" s="183"/>
      <c r="C54" s="184"/>
      <c r="D54" s="184"/>
      <c r="E54" s="184"/>
      <c r="F54" s="184"/>
      <c r="G54" s="184"/>
      <c r="H54" s="185"/>
      <c r="I54" s="12">
        <f t="shared" si="7"/>
        <v>0</v>
      </c>
      <c r="J54" s="12">
        <f t="shared" si="8"/>
        <v>0</v>
      </c>
      <c r="K54" s="13">
        <f t="shared" si="9"/>
        <v>0</v>
      </c>
    </row>
    <row r="55" spans="1:11" ht="15" customHeight="1">
      <c r="A55" s="9" t="str">
        <f>'Members Data'!A47</f>
        <v>Octavìus</v>
      </c>
      <c r="B55" s="183"/>
      <c r="C55" s="184"/>
      <c r="D55" s="184"/>
      <c r="E55" s="184"/>
      <c r="F55" s="184"/>
      <c r="G55" s="184"/>
      <c r="H55" s="185"/>
      <c r="I55" s="12">
        <f t="shared" si="7"/>
        <v>0</v>
      </c>
      <c r="J55" s="12">
        <f t="shared" si="8"/>
        <v>0</v>
      </c>
      <c r="K55" s="13">
        <f t="shared" si="9"/>
        <v>0</v>
      </c>
    </row>
    <row r="56" spans="1:11" ht="15" customHeight="1">
      <c r="A56" s="9" t="str">
        <f>'Members Data'!A48</f>
        <v>Overtake</v>
      </c>
      <c r="B56" s="183"/>
      <c r="C56" s="184"/>
      <c r="D56" s="184"/>
      <c r="E56" s="184"/>
      <c r="F56" s="184"/>
      <c r="G56" s="184"/>
      <c r="H56" s="185"/>
      <c r="I56" s="12">
        <f t="shared" si="7"/>
        <v>0</v>
      </c>
      <c r="J56" s="12">
        <f t="shared" si="8"/>
        <v>0</v>
      </c>
      <c r="K56" s="13">
        <f t="shared" si="9"/>
        <v>0</v>
      </c>
    </row>
    <row r="57" spans="1:11" ht="15" customHeight="1">
      <c r="A57" s="9" t="str">
        <f>'Members Data'!A49</f>
        <v>Paolin</v>
      </c>
      <c r="B57" s="183"/>
      <c r="C57" s="184"/>
      <c r="D57" s="184"/>
      <c r="E57" s="184"/>
      <c r="F57" s="184"/>
      <c r="G57" s="184"/>
      <c r="H57" s="185"/>
      <c r="I57" s="12">
        <f t="shared" si="7"/>
        <v>0</v>
      </c>
      <c r="J57" s="12">
        <f t="shared" si="8"/>
        <v>0</v>
      </c>
      <c r="K57" s="13">
        <f t="shared" si="9"/>
        <v>0</v>
      </c>
    </row>
    <row r="58" spans="1:11" ht="15" customHeight="1">
      <c r="A58" s="9" t="str">
        <f>'Members Data'!A50</f>
        <v>Páula</v>
      </c>
      <c r="B58" s="183"/>
      <c r="C58" s="184"/>
      <c r="D58" s="184"/>
      <c r="E58" s="184"/>
      <c r="F58" s="184"/>
      <c r="G58" s="184"/>
      <c r="H58" s="185"/>
      <c r="I58" s="12">
        <f t="shared" si="7"/>
        <v>0</v>
      </c>
      <c r="J58" s="12">
        <f t="shared" si="8"/>
        <v>0</v>
      </c>
      <c r="K58" s="13">
        <f t="shared" si="9"/>
        <v>0</v>
      </c>
    </row>
    <row r="59" spans="1:11" ht="15" customHeight="1">
      <c r="A59" s="9" t="str">
        <f>'Members Data'!A51</f>
        <v>Predictable</v>
      </c>
      <c r="B59" s="183"/>
      <c r="C59" s="184"/>
      <c r="D59" s="184"/>
      <c r="E59" s="184"/>
      <c r="F59" s="184"/>
      <c r="G59" s="184"/>
      <c r="H59" s="185"/>
      <c r="I59" s="12">
        <f t="shared" si="7"/>
        <v>0</v>
      </c>
      <c r="J59" s="12">
        <f t="shared" si="8"/>
        <v>0</v>
      </c>
      <c r="K59" s="13">
        <f t="shared" si="9"/>
        <v>0</v>
      </c>
    </row>
    <row r="60" spans="1:11" ht="15" customHeight="1">
      <c r="A60" s="9" t="str">
        <f>'Members Data'!A52</f>
        <v>Rhinoru</v>
      </c>
      <c r="B60" s="183"/>
      <c r="C60" s="184"/>
      <c r="D60" s="184"/>
      <c r="E60" s="184"/>
      <c r="F60" s="184"/>
      <c r="G60" s="184"/>
      <c r="H60" s="185"/>
      <c r="I60" s="12">
        <f t="shared" si="7"/>
        <v>0</v>
      </c>
      <c r="J60" s="12">
        <f t="shared" si="8"/>
        <v>0</v>
      </c>
      <c r="K60" s="13">
        <f t="shared" si="9"/>
        <v>0</v>
      </c>
    </row>
    <row r="61" spans="1:11" ht="15" customHeight="1">
      <c r="A61" s="9">
        <f>'Members Data'!A53</f>
        <v>0</v>
      </c>
      <c r="B61" s="183"/>
      <c r="C61" s="184"/>
      <c r="D61" s="184"/>
      <c r="E61" s="184"/>
      <c r="F61" s="184"/>
      <c r="G61" s="184"/>
      <c r="H61" s="185"/>
      <c r="I61" s="12">
        <f t="shared" si="7"/>
        <v>0</v>
      </c>
      <c r="J61" s="12">
        <f t="shared" si="8"/>
        <v>0</v>
      </c>
      <c r="K61" s="13">
        <f t="shared" si="9"/>
        <v>0</v>
      </c>
    </row>
    <row r="62" spans="1:11" ht="15" customHeight="1">
      <c r="A62" s="9" t="str">
        <f>'Members Data'!A54</f>
        <v>Saltycream</v>
      </c>
      <c r="B62" s="183"/>
      <c r="C62" s="184"/>
      <c r="D62" s="184"/>
      <c r="E62" s="184"/>
      <c r="F62" s="184"/>
      <c r="G62" s="184"/>
      <c r="H62" s="185"/>
      <c r="I62" s="12">
        <f t="shared" si="7"/>
        <v>0</v>
      </c>
      <c r="J62" s="12">
        <f t="shared" si="8"/>
        <v>0</v>
      </c>
      <c r="K62" s="13">
        <f t="shared" si="9"/>
        <v>0</v>
      </c>
    </row>
    <row r="63" spans="1:11" ht="15" customHeight="1">
      <c r="A63" s="9" t="str">
        <f>'Members Data'!A55</f>
        <v>Sarjezzar</v>
      </c>
      <c r="B63" s="183"/>
      <c r="C63" s="184"/>
      <c r="D63" s="184"/>
      <c r="E63" s="184"/>
      <c r="F63" s="184"/>
      <c r="G63" s="184"/>
      <c r="H63" s="185"/>
      <c r="I63" s="12">
        <f t="shared" si="7"/>
        <v>0</v>
      </c>
      <c r="J63" s="12">
        <f t="shared" si="8"/>
        <v>0</v>
      </c>
      <c r="K63" s="13">
        <f t="shared" si="9"/>
        <v>0</v>
      </c>
    </row>
    <row r="64" spans="1:11" ht="15" customHeight="1">
      <c r="A64" s="9">
        <f>'Members Data'!A56</f>
        <v>0</v>
      </c>
      <c r="B64" s="183"/>
      <c r="C64" s="184"/>
      <c r="D64" s="184"/>
      <c r="E64" s="184"/>
      <c r="F64" s="184"/>
      <c r="G64" s="184"/>
      <c r="H64" s="185"/>
      <c r="I64" s="12">
        <f t="shared" si="7"/>
        <v>0</v>
      </c>
      <c r="J64" s="12">
        <f t="shared" si="8"/>
        <v>0</v>
      </c>
      <c r="K64" s="13">
        <f t="shared" si="9"/>
        <v>0</v>
      </c>
    </row>
    <row r="65" spans="1:11" ht="15" customHeight="1">
      <c r="A65" s="9" t="str">
        <f>'Members Data'!A57</f>
        <v>Shinkai</v>
      </c>
      <c r="B65" s="187"/>
      <c r="C65" s="184"/>
      <c r="D65" s="184"/>
      <c r="E65" s="184"/>
      <c r="F65" s="184"/>
      <c r="G65" s="184"/>
      <c r="H65" s="185"/>
      <c r="I65" s="12">
        <f t="shared" si="7"/>
        <v>0</v>
      </c>
      <c r="J65" s="12">
        <f t="shared" si="8"/>
        <v>0</v>
      </c>
      <c r="K65" s="13">
        <f t="shared" si="9"/>
        <v>0</v>
      </c>
    </row>
    <row r="66" spans="1:11" ht="15" customHeight="1">
      <c r="A66" s="68" t="str">
        <f>'Members Data'!A58</f>
        <v>Sidac</v>
      </c>
      <c r="B66" s="187"/>
      <c r="C66" s="184"/>
      <c r="D66" s="184"/>
      <c r="E66" s="184"/>
      <c r="F66" s="184"/>
      <c r="G66" s="184"/>
      <c r="H66" s="185"/>
      <c r="I66" s="12">
        <f>COUNTIF(B66:H66,"confirmed")</f>
        <v>0</v>
      </c>
      <c r="J66" s="12">
        <f>COUNTIF(B66:H66,"standby")</f>
        <v>0</v>
      </c>
      <c r="K66" s="13">
        <f>COUNTIF(B66:H66,"out")</f>
        <v>0</v>
      </c>
    </row>
    <row r="67" spans="1:11" ht="15" customHeight="1">
      <c r="A67" s="68" t="str">
        <f>'Members Data'!A59</f>
        <v>Snowies</v>
      </c>
      <c r="B67" s="187"/>
      <c r="C67" s="184"/>
      <c r="D67" s="184"/>
      <c r="E67" s="184"/>
      <c r="F67" s="184"/>
      <c r="G67" s="184"/>
      <c r="H67" s="188"/>
      <c r="I67" s="65">
        <f t="shared" si="7"/>
        <v>0</v>
      </c>
      <c r="J67" s="65">
        <f t="shared" si="8"/>
        <v>0</v>
      </c>
      <c r="K67" s="66">
        <f t="shared" si="9"/>
        <v>0</v>
      </c>
    </row>
    <row r="68" spans="1:11" ht="15" customHeight="1">
      <c r="A68" s="68" t="str">
        <f>'Members Data'!A60</f>
        <v>Spruch</v>
      </c>
      <c r="B68" s="183"/>
      <c r="C68" s="184"/>
      <c r="D68" s="184"/>
      <c r="E68" s="184"/>
      <c r="F68" s="184"/>
      <c r="G68" s="184"/>
      <c r="H68" s="188"/>
      <c r="I68" s="65">
        <f t="shared" si="7"/>
        <v>0</v>
      </c>
      <c r="J68" s="65">
        <f t="shared" si="8"/>
        <v>0</v>
      </c>
      <c r="K68" s="66">
        <f t="shared" si="9"/>
        <v>0</v>
      </c>
    </row>
    <row r="69" spans="1:11" ht="15" customHeight="1" thickBot="1">
      <c r="A69" s="122" t="str">
        <f>'Members Data'!A61</f>
        <v>Svicane</v>
      </c>
      <c r="B69" s="189"/>
      <c r="C69" s="190"/>
      <c r="D69" s="190"/>
      <c r="E69" s="190"/>
      <c r="F69" s="190"/>
      <c r="G69" s="190"/>
      <c r="H69" s="191"/>
      <c r="I69" s="123">
        <f t="shared" ref="I69:I108" si="10">COUNTIF(B69:H69,"confirmed")</f>
        <v>0</v>
      </c>
      <c r="J69" s="123">
        <f t="shared" ref="J69:J108" si="11">COUNTIF(B69:H69,"standby")</f>
        <v>0</v>
      </c>
      <c r="K69" s="124">
        <f t="shared" ref="K69:K108" si="12">COUNTIF(B69:H69,"out")</f>
        <v>0</v>
      </c>
    </row>
    <row r="70" spans="1:11" ht="15" customHeight="1" thickTop="1">
      <c r="A70" s="67" t="str">
        <f>'Members Data'!A62</f>
        <v>Téasey</v>
      </c>
      <c r="B70" s="183"/>
      <c r="C70" s="184"/>
      <c r="D70" s="184"/>
      <c r="E70" s="184"/>
      <c r="F70" s="184"/>
      <c r="G70" s="184"/>
      <c r="H70" s="185"/>
      <c r="I70" s="120">
        <f t="shared" si="10"/>
        <v>0</v>
      </c>
      <c r="J70" s="120">
        <f t="shared" si="11"/>
        <v>0</v>
      </c>
      <c r="K70" s="121">
        <f t="shared" si="12"/>
        <v>0</v>
      </c>
    </row>
    <row r="71" spans="1:11" ht="15" customHeight="1">
      <c r="A71" s="68" t="str">
        <f>'Members Data'!A63</f>
        <v>Tomrexx</v>
      </c>
      <c r="B71" s="183"/>
      <c r="C71" s="184"/>
      <c r="D71" s="184"/>
      <c r="E71" s="184"/>
      <c r="F71" s="186"/>
      <c r="G71" s="184"/>
      <c r="H71" s="185"/>
      <c r="I71" s="65">
        <f t="shared" si="10"/>
        <v>0</v>
      </c>
      <c r="J71" s="65">
        <f t="shared" si="11"/>
        <v>0</v>
      </c>
      <c r="K71" s="66">
        <f t="shared" si="12"/>
        <v>0</v>
      </c>
    </row>
    <row r="72" spans="1:11" ht="15" customHeight="1">
      <c r="A72" s="68" t="str">
        <f>'Members Data'!A64</f>
        <v>Tonitrum</v>
      </c>
      <c r="B72" s="183"/>
      <c r="C72" s="184"/>
      <c r="D72" s="184"/>
      <c r="E72" s="184"/>
      <c r="F72" s="184"/>
      <c r="G72" s="184"/>
      <c r="H72" s="185"/>
      <c r="I72" s="65">
        <f t="shared" si="10"/>
        <v>0</v>
      </c>
      <c r="J72" s="65">
        <f t="shared" si="11"/>
        <v>0</v>
      </c>
      <c r="K72" s="66">
        <f t="shared" si="12"/>
        <v>0</v>
      </c>
    </row>
    <row r="73" spans="1:11" ht="15" customHeight="1">
      <c r="A73" s="68" t="str">
        <f>'Members Data'!A65</f>
        <v>Tsali</v>
      </c>
      <c r="B73" s="183"/>
      <c r="C73" s="184"/>
      <c r="D73" s="184"/>
      <c r="E73" s="184"/>
      <c r="F73" s="184"/>
      <c r="G73" s="184"/>
      <c r="H73" s="185"/>
      <c r="I73" s="65">
        <f t="shared" si="10"/>
        <v>0</v>
      </c>
      <c r="J73" s="65">
        <f t="shared" si="11"/>
        <v>0</v>
      </c>
      <c r="K73" s="66">
        <f t="shared" si="12"/>
        <v>0</v>
      </c>
    </row>
    <row r="74" spans="1:11" ht="15" customHeight="1">
      <c r="A74" s="68" t="str">
        <f>'Members Data'!A66</f>
        <v>Twicemore</v>
      </c>
      <c r="B74" s="183"/>
      <c r="C74" s="184"/>
      <c r="D74" s="184"/>
      <c r="E74" s="184"/>
      <c r="F74" s="184"/>
      <c r="G74" s="184"/>
      <c r="H74" s="185"/>
      <c r="I74" s="65">
        <f t="shared" si="10"/>
        <v>0</v>
      </c>
      <c r="J74" s="65">
        <f t="shared" si="11"/>
        <v>0</v>
      </c>
      <c r="K74" s="66">
        <f t="shared" si="12"/>
        <v>0</v>
      </c>
    </row>
    <row r="75" spans="1:11" ht="15" customHeight="1">
      <c r="A75" s="68" t="str">
        <f>'Members Data'!A67</f>
        <v>Vereen</v>
      </c>
      <c r="B75" s="183"/>
      <c r="C75" s="184"/>
      <c r="D75" s="184"/>
      <c r="E75" s="184"/>
      <c r="F75" s="184"/>
      <c r="G75" s="184"/>
      <c r="H75" s="185"/>
      <c r="I75" s="65">
        <f t="shared" si="10"/>
        <v>0</v>
      </c>
      <c r="J75" s="65">
        <f t="shared" si="11"/>
        <v>0</v>
      </c>
      <c r="K75" s="66">
        <f t="shared" si="12"/>
        <v>0</v>
      </c>
    </row>
    <row r="76" spans="1:11" ht="15" customHeight="1">
      <c r="A76" s="68" t="str">
        <f>'Members Data'!A68</f>
        <v>Xanadaria</v>
      </c>
      <c r="B76" s="183"/>
      <c r="C76" s="184"/>
      <c r="D76" s="184"/>
      <c r="E76" s="184"/>
      <c r="F76" s="184"/>
      <c r="G76" s="184"/>
      <c r="H76" s="185"/>
      <c r="I76" s="65">
        <f t="shared" si="10"/>
        <v>0</v>
      </c>
      <c r="J76" s="65">
        <f t="shared" si="11"/>
        <v>0</v>
      </c>
      <c r="K76" s="66">
        <f t="shared" si="12"/>
        <v>0</v>
      </c>
    </row>
    <row r="77" spans="1:11" ht="15" customHeight="1">
      <c r="A77" s="68" t="str">
        <f>'Members Data'!A69</f>
        <v>Xian</v>
      </c>
      <c r="B77" s="183"/>
      <c r="C77" s="184"/>
      <c r="D77" s="184"/>
      <c r="E77" s="184"/>
      <c r="F77" s="184"/>
      <c r="G77" s="184"/>
      <c r="H77" s="185"/>
      <c r="I77" s="65">
        <f t="shared" si="10"/>
        <v>0</v>
      </c>
      <c r="J77" s="65">
        <f t="shared" si="11"/>
        <v>0</v>
      </c>
      <c r="K77" s="66">
        <f t="shared" si="12"/>
        <v>0</v>
      </c>
    </row>
    <row r="78" spans="1:11" ht="15" customHeight="1">
      <c r="A78" s="68" t="str">
        <f>'Members Data'!A70</f>
        <v>Xytree</v>
      </c>
      <c r="B78" s="183"/>
      <c r="C78" s="184"/>
      <c r="D78" s="184"/>
      <c r="E78" s="184"/>
      <c r="F78" s="184"/>
      <c r="G78" s="184"/>
      <c r="H78" s="185"/>
      <c r="I78" s="65">
        <f t="shared" si="10"/>
        <v>0</v>
      </c>
      <c r="J78" s="65">
        <f t="shared" si="11"/>
        <v>0</v>
      </c>
      <c r="K78" s="66">
        <f t="shared" si="12"/>
        <v>0</v>
      </c>
    </row>
    <row r="79" spans="1:11" ht="15" customHeight="1">
      <c r="A79" s="68" t="str">
        <f>'Members Data'!A71</f>
        <v>Yardk</v>
      </c>
      <c r="B79" s="183"/>
      <c r="C79" s="184"/>
      <c r="D79" s="184"/>
      <c r="E79" s="184"/>
      <c r="F79" s="184"/>
      <c r="G79" s="184"/>
      <c r="H79" s="185"/>
      <c r="I79" s="65">
        <f t="shared" si="10"/>
        <v>0</v>
      </c>
      <c r="J79" s="65">
        <f t="shared" si="11"/>
        <v>0</v>
      </c>
      <c r="K79" s="66">
        <f t="shared" si="12"/>
        <v>0</v>
      </c>
    </row>
    <row r="80" spans="1:11" ht="15" customHeight="1">
      <c r="A80" s="68" t="str">
        <f>'Members Data'!A72</f>
        <v>Yse</v>
      </c>
      <c r="B80" s="183"/>
      <c r="C80" s="184"/>
      <c r="D80" s="184"/>
      <c r="E80" s="184"/>
      <c r="F80" s="184"/>
      <c r="G80" s="184"/>
      <c r="H80" s="185"/>
      <c r="I80" s="65">
        <f t="shared" si="10"/>
        <v>0</v>
      </c>
      <c r="J80" s="65">
        <f t="shared" si="11"/>
        <v>0</v>
      </c>
      <c r="K80" s="66">
        <f t="shared" si="12"/>
        <v>0</v>
      </c>
    </row>
    <row r="81" spans="1:11" ht="15" customHeight="1">
      <c r="A81" s="68" t="str">
        <f>'Members Data'!A73</f>
        <v>Zantias</v>
      </c>
      <c r="B81" s="183"/>
      <c r="C81" s="184"/>
      <c r="D81" s="184"/>
      <c r="E81" s="184"/>
      <c r="F81" s="184"/>
      <c r="G81" s="184"/>
      <c r="H81" s="185"/>
      <c r="I81" s="65">
        <f t="shared" si="10"/>
        <v>0</v>
      </c>
      <c r="J81" s="65">
        <f t="shared" si="11"/>
        <v>0</v>
      </c>
      <c r="K81" s="66">
        <f t="shared" si="12"/>
        <v>0</v>
      </c>
    </row>
    <row r="82" spans="1:11" ht="15" customHeight="1">
      <c r="A82" s="68">
        <f>'Members Data'!A74</f>
        <v>0</v>
      </c>
      <c r="B82" s="183"/>
      <c r="C82" s="184"/>
      <c r="D82" s="184"/>
      <c r="E82" s="184"/>
      <c r="F82" s="184"/>
      <c r="G82" s="184"/>
      <c r="H82" s="185"/>
      <c r="I82" s="65">
        <f t="shared" si="10"/>
        <v>0</v>
      </c>
      <c r="J82" s="65">
        <f t="shared" si="11"/>
        <v>0</v>
      </c>
      <c r="K82" s="66">
        <f t="shared" si="12"/>
        <v>0</v>
      </c>
    </row>
    <row r="83" spans="1:11" ht="15" customHeight="1">
      <c r="A83" s="68">
        <f>'Members Data'!A75</f>
        <v>0</v>
      </c>
      <c r="B83" s="183"/>
      <c r="C83" s="184"/>
      <c r="D83" s="184"/>
      <c r="E83" s="184"/>
      <c r="F83" s="184"/>
      <c r="G83" s="184"/>
      <c r="H83" s="185"/>
      <c r="I83" s="65">
        <f t="shared" si="10"/>
        <v>0</v>
      </c>
      <c r="J83" s="65">
        <f t="shared" si="11"/>
        <v>0</v>
      </c>
      <c r="K83" s="66">
        <f t="shared" si="12"/>
        <v>0</v>
      </c>
    </row>
    <row r="84" spans="1:11" ht="15" customHeight="1">
      <c r="A84" s="68">
        <f>'Members Data'!A76</f>
        <v>0</v>
      </c>
      <c r="B84" s="183"/>
      <c r="C84" s="184"/>
      <c r="D84" s="184"/>
      <c r="E84" s="184"/>
      <c r="F84" s="184"/>
      <c r="G84" s="184"/>
      <c r="H84" s="185"/>
      <c r="I84" s="65">
        <f t="shared" si="10"/>
        <v>0</v>
      </c>
      <c r="J84" s="65">
        <f t="shared" si="11"/>
        <v>0</v>
      </c>
      <c r="K84" s="66">
        <f t="shared" si="12"/>
        <v>0</v>
      </c>
    </row>
    <row r="85" spans="1:11" ht="15" customHeight="1">
      <c r="A85" s="68">
        <f>'Members Data'!A77</f>
        <v>0</v>
      </c>
      <c r="B85" s="183"/>
      <c r="C85" s="184"/>
      <c r="D85" s="184"/>
      <c r="E85" s="184"/>
      <c r="F85" s="184"/>
      <c r="G85" s="184"/>
      <c r="H85" s="185"/>
      <c r="I85" s="65">
        <f t="shared" si="10"/>
        <v>0</v>
      </c>
      <c r="J85" s="65">
        <f t="shared" si="11"/>
        <v>0</v>
      </c>
      <c r="K85" s="66">
        <f t="shared" si="12"/>
        <v>0</v>
      </c>
    </row>
    <row r="86" spans="1:11" ht="15" customHeight="1">
      <c r="A86" s="68">
        <f>'Members Data'!A78</f>
        <v>0</v>
      </c>
      <c r="B86" s="183"/>
      <c r="C86" s="184"/>
      <c r="D86" s="184"/>
      <c r="E86" s="184"/>
      <c r="F86" s="184"/>
      <c r="G86" s="184"/>
      <c r="H86" s="185"/>
      <c r="I86" s="65">
        <f t="shared" si="10"/>
        <v>0</v>
      </c>
      <c r="J86" s="65">
        <f t="shared" si="11"/>
        <v>0</v>
      </c>
      <c r="K86" s="66">
        <f t="shared" si="12"/>
        <v>0</v>
      </c>
    </row>
    <row r="87" spans="1:11" ht="15" customHeight="1">
      <c r="A87" s="68">
        <f>'Members Data'!A79</f>
        <v>0</v>
      </c>
      <c r="B87" s="183"/>
      <c r="C87" s="184"/>
      <c r="D87" s="184"/>
      <c r="E87" s="184"/>
      <c r="F87" s="184"/>
      <c r="G87" s="184"/>
      <c r="H87" s="185"/>
      <c r="I87" s="65">
        <f t="shared" si="10"/>
        <v>0</v>
      </c>
      <c r="J87" s="65">
        <f t="shared" si="11"/>
        <v>0</v>
      </c>
      <c r="K87" s="66">
        <f t="shared" si="12"/>
        <v>0</v>
      </c>
    </row>
    <row r="88" spans="1:11" ht="15" customHeight="1">
      <c r="A88" s="68">
        <f>'Members Data'!A80</f>
        <v>0</v>
      </c>
      <c r="B88" s="183"/>
      <c r="C88" s="184"/>
      <c r="D88" s="184"/>
      <c r="E88" s="184"/>
      <c r="F88" s="184"/>
      <c r="G88" s="184"/>
      <c r="H88" s="185"/>
      <c r="I88" s="65">
        <f t="shared" si="10"/>
        <v>0</v>
      </c>
      <c r="J88" s="65">
        <f t="shared" si="11"/>
        <v>0</v>
      </c>
      <c r="K88" s="66">
        <f t="shared" si="12"/>
        <v>0</v>
      </c>
    </row>
    <row r="89" spans="1:11" ht="15" customHeight="1">
      <c r="A89" s="68">
        <f>'Members Data'!A81</f>
        <v>0</v>
      </c>
      <c r="B89" s="183"/>
      <c r="C89" s="184"/>
      <c r="D89" s="184"/>
      <c r="E89" s="184"/>
      <c r="F89" s="184"/>
      <c r="G89" s="184"/>
      <c r="H89" s="185"/>
      <c r="I89" s="65">
        <f t="shared" si="10"/>
        <v>0</v>
      </c>
      <c r="J89" s="65">
        <f t="shared" si="11"/>
        <v>0</v>
      </c>
      <c r="K89" s="66">
        <f t="shared" si="12"/>
        <v>0</v>
      </c>
    </row>
    <row r="90" spans="1:11" ht="15" customHeight="1">
      <c r="A90" s="68">
        <f>'Members Data'!A82</f>
        <v>0</v>
      </c>
      <c r="B90" s="183"/>
      <c r="C90" s="184"/>
      <c r="D90" s="184"/>
      <c r="E90" s="184"/>
      <c r="F90" s="184"/>
      <c r="G90" s="184"/>
      <c r="H90" s="185"/>
      <c r="I90" s="65">
        <f t="shared" si="10"/>
        <v>0</v>
      </c>
      <c r="J90" s="65">
        <f t="shared" si="11"/>
        <v>0</v>
      </c>
      <c r="K90" s="66">
        <f t="shared" si="12"/>
        <v>0</v>
      </c>
    </row>
    <row r="91" spans="1:11" ht="15" customHeight="1">
      <c r="A91" s="68">
        <f>'Members Data'!A83</f>
        <v>0</v>
      </c>
      <c r="B91" s="183"/>
      <c r="C91" s="184"/>
      <c r="D91" s="184"/>
      <c r="E91" s="184"/>
      <c r="F91" s="184"/>
      <c r="G91" s="184"/>
      <c r="H91" s="185"/>
      <c r="I91" s="65">
        <f t="shared" si="10"/>
        <v>0</v>
      </c>
      <c r="J91" s="65">
        <f t="shared" si="11"/>
        <v>0</v>
      </c>
      <c r="K91" s="66">
        <f t="shared" si="12"/>
        <v>0</v>
      </c>
    </row>
    <row r="92" spans="1:11" ht="15" customHeight="1">
      <c r="A92" s="68">
        <f>'Members Data'!A84</f>
        <v>0</v>
      </c>
      <c r="B92" s="183"/>
      <c r="C92" s="184"/>
      <c r="D92" s="184"/>
      <c r="E92" s="184"/>
      <c r="F92" s="184"/>
      <c r="G92" s="184"/>
      <c r="H92" s="185"/>
      <c r="I92" s="65">
        <f t="shared" si="10"/>
        <v>0</v>
      </c>
      <c r="J92" s="65">
        <f t="shared" si="11"/>
        <v>0</v>
      </c>
      <c r="K92" s="66">
        <f t="shared" si="12"/>
        <v>0</v>
      </c>
    </row>
    <row r="93" spans="1:11" ht="15" customHeight="1">
      <c r="A93" s="68">
        <f>'Members Data'!A85</f>
        <v>0</v>
      </c>
      <c r="B93" s="183"/>
      <c r="C93" s="184"/>
      <c r="D93" s="184"/>
      <c r="E93" s="184"/>
      <c r="F93" s="184"/>
      <c r="G93" s="184"/>
      <c r="H93" s="185"/>
      <c r="I93" s="65">
        <f t="shared" si="10"/>
        <v>0</v>
      </c>
      <c r="J93" s="65">
        <f t="shared" si="11"/>
        <v>0</v>
      </c>
      <c r="K93" s="66">
        <f t="shared" si="12"/>
        <v>0</v>
      </c>
    </row>
    <row r="94" spans="1:11" ht="15" customHeight="1">
      <c r="A94" s="68">
        <f>'Members Data'!A86</f>
        <v>0</v>
      </c>
      <c r="B94" s="183"/>
      <c r="C94" s="184"/>
      <c r="D94" s="184"/>
      <c r="E94" s="184"/>
      <c r="F94" s="184"/>
      <c r="G94" s="184"/>
      <c r="H94" s="185"/>
      <c r="I94" s="65">
        <f t="shared" si="10"/>
        <v>0</v>
      </c>
      <c r="J94" s="65">
        <f t="shared" si="11"/>
        <v>0</v>
      </c>
      <c r="K94" s="66">
        <f t="shared" si="12"/>
        <v>0</v>
      </c>
    </row>
    <row r="95" spans="1:11" ht="15" customHeight="1">
      <c r="A95" s="68">
        <f>'Members Data'!A87</f>
        <v>0</v>
      </c>
      <c r="B95" s="183"/>
      <c r="C95" s="184"/>
      <c r="D95" s="184"/>
      <c r="E95" s="184"/>
      <c r="F95" s="184"/>
      <c r="G95" s="184"/>
      <c r="H95" s="185"/>
      <c r="I95" s="65">
        <f t="shared" si="10"/>
        <v>0</v>
      </c>
      <c r="J95" s="65">
        <f t="shared" si="11"/>
        <v>0</v>
      </c>
      <c r="K95" s="66">
        <f t="shared" si="12"/>
        <v>0</v>
      </c>
    </row>
    <row r="96" spans="1:11" ht="15" customHeight="1">
      <c r="A96" s="68">
        <f>'Members Data'!A88</f>
        <v>0</v>
      </c>
      <c r="B96" s="183"/>
      <c r="C96" s="184"/>
      <c r="D96" s="184"/>
      <c r="E96" s="184"/>
      <c r="F96" s="184"/>
      <c r="G96" s="184"/>
      <c r="H96" s="185"/>
      <c r="I96" s="65">
        <f t="shared" si="10"/>
        <v>0</v>
      </c>
      <c r="J96" s="65">
        <f t="shared" si="11"/>
        <v>0</v>
      </c>
      <c r="K96" s="66">
        <f t="shared" si="12"/>
        <v>0</v>
      </c>
    </row>
    <row r="97" spans="1:11" ht="15" customHeight="1">
      <c r="A97" s="68">
        <f>'Members Data'!A89</f>
        <v>0</v>
      </c>
      <c r="B97" s="183"/>
      <c r="C97" s="184"/>
      <c r="D97" s="184"/>
      <c r="E97" s="184"/>
      <c r="F97" s="184"/>
      <c r="G97" s="184"/>
      <c r="H97" s="185"/>
      <c r="I97" s="65">
        <f t="shared" si="10"/>
        <v>0</v>
      </c>
      <c r="J97" s="65">
        <f t="shared" si="11"/>
        <v>0</v>
      </c>
      <c r="K97" s="66">
        <f t="shared" si="12"/>
        <v>0</v>
      </c>
    </row>
    <row r="98" spans="1:11" ht="15" customHeight="1">
      <c r="A98" s="68">
        <f>'Members Data'!A90</f>
        <v>0</v>
      </c>
      <c r="B98" s="310"/>
      <c r="C98" s="184"/>
      <c r="D98" s="184"/>
      <c r="E98" s="184"/>
      <c r="F98" s="184"/>
      <c r="G98" s="184"/>
      <c r="H98" s="185"/>
      <c r="I98" s="65">
        <f t="shared" si="10"/>
        <v>0</v>
      </c>
      <c r="J98" s="65">
        <f t="shared" si="11"/>
        <v>0</v>
      </c>
      <c r="K98" s="66">
        <f t="shared" si="12"/>
        <v>0</v>
      </c>
    </row>
    <row r="99" spans="1:11" ht="15" customHeight="1">
      <c r="A99" s="68">
        <f>'Members Data'!A91</f>
        <v>0</v>
      </c>
      <c r="B99" s="183"/>
      <c r="C99" s="184"/>
      <c r="D99" s="184"/>
      <c r="E99" s="184"/>
      <c r="F99" s="184"/>
      <c r="G99" s="184"/>
      <c r="H99" s="185"/>
      <c r="I99" s="65">
        <f t="shared" si="10"/>
        <v>0</v>
      </c>
      <c r="J99" s="65">
        <f t="shared" si="11"/>
        <v>0</v>
      </c>
      <c r="K99" s="66">
        <f t="shared" si="12"/>
        <v>0</v>
      </c>
    </row>
    <row r="100" spans="1:11" ht="15" customHeight="1">
      <c r="A100" s="68">
        <f>'Members Data'!A92</f>
        <v>0</v>
      </c>
      <c r="B100" s="183"/>
      <c r="C100" s="184"/>
      <c r="D100" s="184"/>
      <c r="E100" s="184"/>
      <c r="F100" s="184"/>
      <c r="G100" s="184"/>
      <c r="H100" s="185"/>
      <c r="I100" s="65">
        <f t="shared" si="10"/>
        <v>0</v>
      </c>
      <c r="J100" s="65">
        <f t="shared" si="11"/>
        <v>0</v>
      </c>
      <c r="K100" s="66">
        <f t="shared" si="12"/>
        <v>0</v>
      </c>
    </row>
    <row r="101" spans="1:11" ht="15" customHeight="1">
      <c r="A101" s="68">
        <f>'Members Data'!A93</f>
        <v>0</v>
      </c>
      <c r="B101" s="183"/>
      <c r="C101" s="184"/>
      <c r="D101" s="184"/>
      <c r="E101" s="184"/>
      <c r="F101" s="184"/>
      <c r="G101" s="184"/>
      <c r="H101" s="185"/>
      <c r="I101" s="65">
        <f t="shared" si="10"/>
        <v>0</v>
      </c>
      <c r="J101" s="65">
        <f t="shared" si="11"/>
        <v>0</v>
      </c>
      <c r="K101" s="66">
        <f t="shared" si="12"/>
        <v>0</v>
      </c>
    </row>
    <row r="102" spans="1:11" ht="15" customHeight="1">
      <c r="A102" s="68">
        <f>'Members Data'!A94</f>
        <v>0</v>
      </c>
      <c r="B102" s="183"/>
      <c r="C102" s="184"/>
      <c r="D102" s="184"/>
      <c r="E102" s="184"/>
      <c r="F102" s="184"/>
      <c r="G102" s="184"/>
      <c r="H102" s="185"/>
      <c r="I102" s="65">
        <f t="shared" si="10"/>
        <v>0</v>
      </c>
      <c r="J102" s="65">
        <f t="shared" si="11"/>
        <v>0</v>
      </c>
      <c r="K102" s="66">
        <f t="shared" si="12"/>
        <v>0</v>
      </c>
    </row>
    <row r="103" spans="1:11" ht="15" customHeight="1">
      <c r="A103" s="68">
        <f>'Members Data'!A95</f>
        <v>0</v>
      </c>
      <c r="B103" s="183"/>
      <c r="C103" s="184"/>
      <c r="D103" s="184"/>
      <c r="E103" s="184"/>
      <c r="F103" s="184"/>
      <c r="G103" s="184"/>
      <c r="H103" s="185"/>
      <c r="I103" s="65">
        <f t="shared" si="10"/>
        <v>0</v>
      </c>
      <c r="J103" s="65">
        <f t="shared" si="11"/>
        <v>0</v>
      </c>
      <c r="K103" s="66">
        <f t="shared" si="12"/>
        <v>0</v>
      </c>
    </row>
    <row r="104" spans="1:11" ht="15" customHeight="1">
      <c r="A104" s="68">
        <f>'Members Data'!A96</f>
        <v>0</v>
      </c>
      <c r="B104" s="183"/>
      <c r="C104" s="184"/>
      <c r="D104" s="184"/>
      <c r="E104" s="184"/>
      <c r="F104" s="184"/>
      <c r="G104" s="184"/>
      <c r="H104" s="185"/>
      <c r="I104" s="65">
        <f t="shared" si="10"/>
        <v>0</v>
      </c>
      <c r="J104" s="65">
        <f t="shared" si="11"/>
        <v>0</v>
      </c>
      <c r="K104" s="66">
        <f t="shared" si="12"/>
        <v>0</v>
      </c>
    </row>
    <row r="105" spans="1:11" ht="15" customHeight="1">
      <c r="A105" s="68">
        <f>'Members Data'!A97</f>
        <v>0</v>
      </c>
      <c r="B105" s="183"/>
      <c r="C105" s="184"/>
      <c r="D105" s="184"/>
      <c r="E105" s="184"/>
      <c r="F105" s="184"/>
      <c r="G105" s="184"/>
      <c r="H105" s="185"/>
      <c r="I105" s="65">
        <f t="shared" si="10"/>
        <v>0</v>
      </c>
      <c r="J105" s="65">
        <f t="shared" si="11"/>
        <v>0</v>
      </c>
      <c r="K105" s="66">
        <f t="shared" si="12"/>
        <v>0</v>
      </c>
    </row>
    <row r="106" spans="1:11" ht="15" customHeight="1">
      <c r="A106" s="68">
        <f>'Members Data'!A98</f>
        <v>0</v>
      </c>
      <c r="B106" s="183"/>
      <c r="C106" s="184"/>
      <c r="D106" s="184"/>
      <c r="E106" s="184"/>
      <c r="F106" s="184"/>
      <c r="G106" s="184"/>
      <c r="H106" s="185"/>
      <c r="I106" s="65">
        <f t="shared" si="10"/>
        <v>0</v>
      </c>
      <c r="J106" s="65">
        <f t="shared" si="11"/>
        <v>0</v>
      </c>
      <c r="K106" s="66">
        <f t="shared" si="12"/>
        <v>0</v>
      </c>
    </row>
    <row r="107" spans="1:11" ht="15" customHeight="1">
      <c r="A107" s="68">
        <f>'Members Data'!A99</f>
        <v>0</v>
      </c>
      <c r="B107" s="183"/>
      <c r="C107" s="184"/>
      <c r="D107" s="184"/>
      <c r="E107" s="184"/>
      <c r="F107" s="184"/>
      <c r="G107" s="184"/>
      <c r="H107" s="185"/>
      <c r="I107" s="65">
        <f t="shared" si="10"/>
        <v>0</v>
      </c>
      <c r="J107" s="65">
        <f t="shared" si="11"/>
        <v>0</v>
      </c>
      <c r="K107" s="66">
        <f t="shared" si="12"/>
        <v>0</v>
      </c>
    </row>
    <row r="108" spans="1:11" ht="15" customHeight="1" thickBot="1">
      <c r="A108" s="134">
        <f>'Members Data'!A100</f>
        <v>0</v>
      </c>
      <c r="B108" s="192"/>
      <c r="C108" s="193"/>
      <c r="D108" s="193"/>
      <c r="E108" s="193"/>
      <c r="F108" s="193"/>
      <c r="G108" s="193"/>
      <c r="H108" s="194"/>
      <c r="I108" s="70">
        <f t="shared" si="10"/>
        <v>0</v>
      </c>
      <c r="J108" s="70">
        <f t="shared" si="11"/>
        <v>0</v>
      </c>
      <c r="K108" s="71">
        <f t="shared" si="12"/>
        <v>0</v>
      </c>
    </row>
  </sheetData>
  <mergeCells count="3">
    <mergeCell ref="I1:I9"/>
    <mergeCell ref="J1:J9"/>
    <mergeCell ref="K1:K9"/>
  </mergeCells>
  <conditionalFormatting sqref="A10:A108">
    <cfRule type="expression" dxfId="14" priority="1" stopIfTrue="1">
      <formula>IF(K10&gt;0,TRUE)</formula>
    </cfRule>
    <cfRule type="expression" dxfId="13" priority="2" stopIfTrue="1">
      <formula>IF(SUM(I10:J10)&gt;1,TRUE)</formula>
    </cfRule>
    <cfRule type="expression" dxfId="12" priority="3" stopIfTrue="1">
      <formula>IF(SUM(I10:J10)&lt;2,TRUE)</formula>
    </cfRule>
  </conditionalFormatting>
  <dataValidations count="2">
    <dataValidation type="list" operator="equal" showErrorMessage="1" sqref="N5:N9 B10:H108">
      <formula1>"Invited,Confirmed,Standby,Out"</formula1>
      <formula2>0</formula2>
    </dataValidation>
    <dataValidation type="list" operator="equal" sqref="B4:H4">
      <formula1>"??,10,25"</formula1>
      <formula2>0</formula2>
    </dataValidation>
  </dataValidations>
  <pageMargins left="0.78749999999999998" right="0.78749999999999998" top="1.0527777777777778" bottom="1.0527777777777778" header="0.78749999999999998" footer="0.78749999999999998"/>
  <pageSetup paperSize="9" firstPageNumber="0" orientation="portrait" horizontalDpi="300" verticalDpi="300" r:id="rId1"/>
  <headerFooter alignWithMargins="0">
    <oddHeader>&amp;C&amp;"Times New Roman,Regular"&amp;12&amp;A</oddHeader>
    <oddFooter>&amp;C&amp;"Times New Roman,Regular"&amp;12Page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>
  <dimension ref="A1:Q108"/>
  <sheetViews>
    <sheetView zoomScale="101" zoomScaleNormal="101" workbookViewId="0">
      <pane xSplit="1" ySplit="9" topLeftCell="B10" activePane="bottomRight" state="frozen"/>
      <selection activeCell="F51" sqref="F47:F51"/>
      <selection pane="topRight" activeCell="F51" sqref="F47:F51"/>
      <selection pane="bottomLeft" activeCell="F51" sqref="F47:F51"/>
      <selection pane="bottomRight" activeCell="I1" sqref="I1:L1048576"/>
    </sheetView>
  </sheetViews>
  <sheetFormatPr defaultColWidth="8.7109375" defaultRowHeight="15" customHeight="1"/>
  <cols>
    <col min="1" max="1" width="14" style="1" customWidth="1"/>
    <col min="2" max="8" width="11.140625" style="1" customWidth="1"/>
    <col min="9" max="11" width="10.28515625" style="1" customWidth="1"/>
    <col min="12" max="16384" width="8.7109375" style="1"/>
  </cols>
  <sheetData>
    <row r="1" spans="1:17" ht="33" customHeight="1" thickBot="1">
      <c r="A1" s="49" t="s">
        <v>19</v>
      </c>
      <c r="B1" s="50" t="s">
        <v>43</v>
      </c>
      <c r="C1" s="50" t="s">
        <v>163</v>
      </c>
      <c r="D1" s="50" t="s">
        <v>45</v>
      </c>
      <c r="E1" s="50" t="s">
        <v>46</v>
      </c>
      <c r="F1" s="50" t="s">
        <v>47</v>
      </c>
      <c r="G1" s="50" t="s">
        <v>48</v>
      </c>
      <c r="H1" s="50" t="s">
        <v>49</v>
      </c>
      <c r="I1" s="534" t="s">
        <v>27</v>
      </c>
      <c r="J1" s="534" t="s">
        <v>28</v>
      </c>
      <c r="K1" s="537" t="s">
        <v>29</v>
      </c>
    </row>
    <row r="2" spans="1:17" ht="15.75" customHeight="1" thickBot="1">
      <c r="A2" s="49" t="s">
        <v>30</v>
      </c>
      <c r="B2" s="204">
        <f>'wk2'!H2+1</f>
        <v>41990</v>
      </c>
      <c r="C2" s="195">
        <f>B2+1</f>
        <v>41991</v>
      </c>
      <c r="D2" s="195">
        <f t="shared" ref="D2:H2" si="0">C2+1</f>
        <v>41992</v>
      </c>
      <c r="E2" s="195">
        <f t="shared" si="0"/>
        <v>41993</v>
      </c>
      <c r="F2" s="195">
        <f t="shared" si="0"/>
        <v>41994</v>
      </c>
      <c r="G2" s="195">
        <f t="shared" si="0"/>
        <v>41995</v>
      </c>
      <c r="H2" s="196">
        <f t="shared" si="0"/>
        <v>41996</v>
      </c>
      <c r="I2" s="535"/>
      <c r="J2" s="535"/>
      <c r="K2" s="538"/>
    </row>
    <row r="3" spans="1:17" ht="15.75" customHeight="1" thickBot="1">
      <c r="A3" s="49" t="s">
        <v>31</v>
      </c>
      <c r="B3" s="55"/>
      <c r="C3" s="56"/>
      <c r="D3" s="56"/>
      <c r="E3" s="56"/>
      <c r="F3" s="56"/>
      <c r="G3" s="56"/>
      <c r="H3" s="57"/>
      <c r="I3" s="535"/>
      <c r="J3" s="535"/>
      <c r="K3" s="538"/>
    </row>
    <row r="4" spans="1:17" ht="15.75" customHeight="1" thickBot="1">
      <c r="A4" s="49" t="s">
        <v>32</v>
      </c>
      <c r="B4" s="197"/>
      <c r="C4" s="56"/>
      <c r="D4" s="56"/>
      <c r="E4" s="56"/>
      <c r="F4" s="56"/>
      <c r="G4" s="56"/>
      <c r="H4" s="57"/>
      <c r="I4" s="535"/>
      <c r="J4" s="535"/>
      <c r="K4" s="538"/>
    </row>
    <row r="5" spans="1:17" ht="30.75" customHeight="1" thickBot="1">
      <c r="A5" s="49" t="s">
        <v>33</v>
      </c>
      <c r="B5" s="59"/>
      <c r="C5" s="60"/>
      <c r="D5" s="60"/>
      <c r="E5" s="60"/>
      <c r="F5" s="60"/>
      <c r="G5" s="60"/>
      <c r="H5" s="61"/>
      <c r="I5" s="535"/>
      <c r="J5" s="535"/>
      <c r="K5" s="538"/>
      <c r="N5" s="64"/>
    </row>
    <row r="6" spans="1:17" ht="30.75" customHeight="1" thickBot="1">
      <c r="A6" s="49" t="s">
        <v>144</v>
      </c>
      <c r="B6" s="351"/>
      <c r="C6" s="351"/>
      <c r="D6" s="351"/>
      <c r="E6" s="351"/>
      <c r="F6" s="351"/>
      <c r="G6" s="351"/>
      <c r="H6" s="352"/>
      <c r="I6" s="535"/>
      <c r="J6" s="535"/>
      <c r="K6" s="538"/>
      <c r="N6" s="64"/>
    </row>
    <row r="7" spans="1:17">
      <c r="A7" s="49" t="s">
        <v>35</v>
      </c>
      <c r="B7" s="198">
        <f t="shared" ref="B7:H7" si="1">COUNTIF(B10:B69,"Confirmed")</f>
        <v>0</v>
      </c>
      <c r="C7" s="198">
        <f t="shared" si="1"/>
        <v>0</v>
      </c>
      <c r="D7" s="198">
        <f t="shared" si="1"/>
        <v>0</v>
      </c>
      <c r="E7" s="198">
        <f t="shared" si="1"/>
        <v>0</v>
      </c>
      <c r="F7" s="198">
        <f t="shared" si="1"/>
        <v>0</v>
      </c>
      <c r="G7" s="198">
        <f t="shared" si="1"/>
        <v>0</v>
      </c>
      <c r="H7" s="199">
        <f t="shared" si="1"/>
        <v>0</v>
      </c>
      <c r="I7" s="535"/>
      <c r="J7" s="535"/>
      <c r="K7" s="538"/>
      <c r="N7" s="64"/>
    </row>
    <row r="8" spans="1:17">
      <c r="A8" s="53" t="s">
        <v>34</v>
      </c>
      <c r="B8" s="200">
        <f t="shared" ref="B8:H8" si="2">COUNTIF(B10:B69,"Standby")</f>
        <v>0</v>
      </c>
      <c r="C8" s="200">
        <f t="shared" si="2"/>
        <v>0</v>
      </c>
      <c r="D8" s="200">
        <f t="shared" si="2"/>
        <v>0</v>
      </c>
      <c r="E8" s="200">
        <f t="shared" si="2"/>
        <v>0</v>
      </c>
      <c r="F8" s="200">
        <f t="shared" si="2"/>
        <v>0</v>
      </c>
      <c r="G8" s="200">
        <f t="shared" si="2"/>
        <v>0</v>
      </c>
      <c r="H8" s="201">
        <f t="shared" si="2"/>
        <v>0</v>
      </c>
      <c r="I8" s="535"/>
      <c r="J8" s="535"/>
      <c r="K8" s="538"/>
      <c r="N8" s="64"/>
    </row>
    <row r="9" spans="1:17" ht="15.75" thickBot="1">
      <c r="A9" s="58" t="s">
        <v>26</v>
      </c>
      <c r="B9" s="202">
        <f t="shared" ref="B9:H9" si="3">COUNTIF(B10:B69,"Out")</f>
        <v>0</v>
      </c>
      <c r="C9" s="202">
        <f t="shared" si="3"/>
        <v>0</v>
      </c>
      <c r="D9" s="202">
        <f t="shared" si="3"/>
        <v>0</v>
      </c>
      <c r="E9" s="202">
        <f t="shared" si="3"/>
        <v>0</v>
      </c>
      <c r="F9" s="202">
        <f t="shared" si="3"/>
        <v>0</v>
      </c>
      <c r="G9" s="202">
        <f t="shared" si="3"/>
        <v>0</v>
      </c>
      <c r="H9" s="203">
        <f t="shared" si="3"/>
        <v>0</v>
      </c>
      <c r="I9" s="536"/>
      <c r="J9" s="536"/>
      <c r="K9" s="539"/>
      <c r="N9" s="64"/>
    </row>
    <row r="10" spans="1:17" ht="15" customHeight="1">
      <c r="A10" s="5" t="str">
        <f>'Members Data'!A2</f>
        <v>Ablon</v>
      </c>
      <c r="B10" s="180"/>
      <c r="C10" s="181"/>
      <c r="D10" s="181"/>
      <c r="E10" s="181"/>
      <c r="F10" s="181"/>
      <c r="G10" s="181"/>
      <c r="H10" s="182"/>
      <c r="I10" s="62">
        <f t="shared" ref="I10:I41" si="4">COUNTIF(B10:H10,"confirmed")</f>
        <v>0</v>
      </c>
      <c r="J10" s="62">
        <f t="shared" ref="J10:J41" si="5">COUNTIF(B10:H10,"standby")</f>
        <v>0</v>
      </c>
      <c r="K10" s="63">
        <f t="shared" ref="K10:K41" si="6">COUNTIF(B10:H10,"out")</f>
        <v>0</v>
      </c>
      <c r="N10" s="64"/>
    </row>
    <row r="11" spans="1:17" ht="15" customHeight="1">
      <c r="A11" s="9">
        <f>'Members Data'!A3</f>
        <v>0</v>
      </c>
      <c r="B11" s="183"/>
      <c r="C11" s="184"/>
      <c r="D11" s="184"/>
      <c r="E11" s="184"/>
      <c r="F11" s="184"/>
      <c r="G11" s="184"/>
      <c r="H11" s="185"/>
      <c r="I11" s="12">
        <f t="shared" si="4"/>
        <v>0</v>
      </c>
      <c r="J11" s="12">
        <f t="shared" si="5"/>
        <v>0</v>
      </c>
      <c r="K11" s="13">
        <f t="shared" si="6"/>
        <v>0</v>
      </c>
      <c r="M11"/>
      <c r="Q11"/>
    </row>
    <row r="12" spans="1:17" ht="15" customHeight="1">
      <c r="A12" s="9" t="str">
        <f>'Members Data'!A4</f>
        <v>Akilta</v>
      </c>
      <c r="B12" s="183"/>
      <c r="C12" s="184"/>
      <c r="D12" s="184"/>
      <c r="E12" s="184"/>
      <c r="F12" s="184"/>
      <c r="G12" s="184"/>
      <c r="H12" s="185"/>
      <c r="I12" s="12">
        <f t="shared" si="4"/>
        <v>0</v>
      </c>
      <c r="J12" s="12">
        <f t="shared" si="5"/>
        <v>0</v>
      </c>
      <c r="K12" s="13">
        <f t="shared" si="6"/>
        <v>0</v>
      </c>
      <c r="M12"/>
      <c r="Q12"/>
    </row>
    <row r="13" spans="1:17" ht="15" customHeight="1">
      <c r="A13" s="9" t="str">
        <f>'Members Data'!A5</f>
        <v>Altrezza</v>
      </c>
      <c r="B13" s="183"/>
      <c r="C13" s="184"/>
      <c r="D13" s="184"/>
      <c r="E13" s="184"/>
      <c r="F13" s="184"/>
      <c r="G13" s="184"/>
      <c r="H13" s="185"/>
      <c r="I13" s="12">
        <f t="shared" si="4"/>
        <v>0</v>
      </c>
      <c r="J13" s="12">
        <f t="shared" si="5"/>
        <v>0</v>
      </c>
      <c r="K13" s="13">
        <f t="shared" si="6"/>
        <v>0</v>
      </c>
      <c r="M13"/>
      <c r="Q13"/>
    </row>
    <row r="14" spans="1:17" ht="15" customHeight="1">
      <c r="A14" s="9" t="str">
        <f>'Members Data'!A6</f>
        <v>Amaras</v>
      </c>
      <c r="B14" s="183"/>
      <c r="C14" s="184"/>
      <c r="D14" s="186"/>
      <c r="E14" s="184"/>
      <c r="F14" s="184"/>
      <c r="G14" s="184"/>
      <c r="H14" s="185"/>
      <c r="I14" s="12">
        <f t="shared" si="4"/>
        <v>0</v>
      </c>
      <c r="J14" s="12">
        <f t="shared" si="5"/>
        <v>0</v>
      </c>
      <c r="K14" s="13">
        <f t="shared" si="6"/>
        <v>0</v>
      </c>
      <c r="M14"/>
      <c r="Q14"/>
    </row>
    <row r="15" spans="1:17" ht="15" customHeight="1">
      <c r="A15" s="9" t="str">
        <f>'Members Data'!A7</f>
        <v>Angelhoof</v>
      </c>
      <c r="B15" s="310"/>
      <c r="C15" s="184"/>
      <c r="D15" s="186"/>
      <c r="E15" s="184"/>
      <c r="F15" s="184"/>
      <c r="G15" s="184"/>
      <c r="H15" s="185"/>
      <c r="I15" s="12">
        <f t="shared" si="4"/>
        <v>0</v>
      </c>
      <c r="J15" s="12">
        <f t="shared" si="5"/>
        <v>0</v>
      </c>
      <c r="K15" s="13">
        <f t="shared" si="6"/>
        <v>0</v>
      </c>
      <c r="M15"/>
      <c r="Q15"/>
    </row>
    <row r="16" spans="1:17" ht="15" customHeight="1">
      <c r="A16" s="9" t="str">
        <f>'Members Data'!A8</f>
        <v>Ánja</v>
      </c>
      <c r="B16" s="183"/>
      <c r="C16" s="184"/>
      <c r="D16" s="184"/>
      <c r="E16" s="184"/>
      <c r="F16" s="184"/>
      <c r="G16" s="184"/>
      <c r="H16" s="185"/>
      <c r="I16" s="12">
        <f t="shared" si="4"/>
        <v>0</v>
      </c>
      <c r="J16" s="12">
        <f t="shared" si="5"/>
        <v>0</v>
      </c>
      <c r="K16" s="13">
        <f t="shared" si="6"/>
        <v>0</v>
      </c>
      <c r="M16"/>
      <c r="Q16"/>
    </row>
    <row r="17" spans="1:17" ht="15" customHeight="1">
      <c r="A17" s="9" t="str">
        <f>'Members Data'!A9</f>
        <v>Asch</v>
      </c>
      <c r="B17" s="183"/>
      <c r="C17" s="184"/>
      <c r="D17" s="184"/>
      <c r="E17" s="184"/>
      <c r="F17" s="184"/>
      <c r="G17" s="184"/>
      <c r="H17" s="185"/>
      <c r="I17" s="12">
        <f t="shared" si="4"/>
        <v>0</v>
      </c>
      <c r="J17" s="12">
        <f t="shared" si="5"/>
        <v>0</v>
      </c>
      <c r="K17" s="13">
        <f t="shared" si="6"/>
        <v>0</v>
      </c>
      <c r="M17"/>
      <c r="Q17"/>
    </row>
    <row r="18" spans="1:17" ht="15" customHeight="1">
      <c r="A18" s="9" t="str">
        <f>'Members Data'!A10</f>
        <v>Avane</v>
      </c>
      <c r="B18" s="310"/>
      <c r="C18" s="184"/>
      <c r="D18" s="186"/>
      <c r="E18" s="184"/>
      <c r="F18" s="184"/>
      <c r="G18" s="184"/>
      <c r="H18" s="185"/>
      <c r="I18" s="12">
        <f t="shared" si="4"/>
        <v>0</v>
      </c>
      <c r="J18" s="12">
        <f t="shared" si="5"/>
        <v>0</v>
      </c>
      <c r="K18" s="13">
        <f t="shared" si="6"/>
        <v>0</v>
      </c>
      <c r="M18"/>
      <c r="Q18"/>
    </row>
    <row r="19" spans="1:17" ht="15" customHeight="1">
      <c r="A19" s="9" t="str">
        <f>'Members Data'!A11</f>
        <v>Beargrels</v>
      </c>
      <c r="B19" s="183"/>
      <c r="C19" s="184"/>
      <c r="D19" s="184"/>
      <c r="E19" s="184"/>
      <c r="F19" s="184"/>
      <c r="G19" s="184"/>
      <c r="H19" s="185"/>
      <c r="I19" s="12">
        <f t="shared" si="4"/>
        <v>0</v>
      </c>
      <c r="J19" s="12">
        <f t="shared" si="5"/>
        <v>0</v>
      </c>
      <c r="K19" s="13">
        <f t="shared" si="6"/>
        <v>0</v>
      </c>
      <c r="M19"/>
      <c r="Q19"/>
    </row>
    <row r="20" spans="1:17" ht="15" customHeight="1">
      <c r="A20" s="9" t="str">
        <f>'Members Data'!A12</f>
        <v>Blackcheeta</v>
      </c>
      <c r="B20" s="183"/>
      <c r="C20" s="184"/>
      <c r="D20" s="184"/>
      <c r="E20" s="184"/>
      <c r="F20" s="184"/>
      <c r="G20" s="184"/>
      <c r="H20" s="185"/>
      <c r="I20" s="12">
        <f t="shared" si="4"/>
        <v>0</v>
      </c>
      <c r="J20" s="12">
        <f t="shared" si="5"/>
        <v>0</v>
      </c>
      <c r="K20" s="13">
        <f t="shared" si="6"/>
        <v>0</v>
      </c>
      <c r="M20"/>
      <c r="Q20"/>
    </row>
    <row r="21" spans="1:17" ht="15" customHeight="1">
      <c r="A21" s="9">
        <f>'Members Data'!A13</f>
        <v>0</v>
      </c>
      <c r="B21" s="183"/>
      <c r="C21" s="184"/>
      <c r="D21" s="184"/>
      <c r="E21" s="184"/>
      <c r="F21" s="184"/>
      <c r="G21" s="184"/>
      <c r="H21" s="185"/>
      <c r="I21" s="12">
        <f t="shared" si="4"/>
        <v>0</v>
      </c>
      <c r="J21" s="12">
        <f t="shared" si="5"/>
        <v>0</v>
      </c>
      <c r="K21" s="13">
        <f t="shared" si="6"/>
        <v>0</v>
      </c>
      <c r="M21"/>
      <c r="N21"/>
      <c r="Q21"/>
    </row>
    <row r="22" spans="1:17" ht="15" customHeight="1">
      <c r="A22" s="9" t="str">
        <f>'Members Data'!A14</f>
        <v>Brownale</v>
      </c>
      <c r="B22" s="183"/>
      <c r="C22" s="184"/>
      <c r="D22" s="184"/>
      <c r="E22" s="184"/>
      <c r="F22" s="184"/>
      <c r="G22" s="184"/>
      <c r="H22" s="185"/>
      <c r="I22" s="12">
        <f t="shared" si="4"/>
        <v>0</v>
      </c>
      <c r="J22" s="12">
        <f t="shared" si="5"/>
        <v>0</v>
      </c>
      <c r="K22" s="13">
        <f t="shared" si="6"/>
        <v>0</v>
      </c>
      <c r="M22"/>
      <c r="N22"/>
      <c r="Q22"/>
    </row>
    <row r="23" spans="1:17" ht="15" customHeight="1">
      <c r="A23" s="9">
        <f>'Members Data'!A15</f>
        <v>0</v>
      </c>
      <c r="B23" s="183"/>
      <c r="C23" s="184"/>
      <c r="D23" s="184"/>
      <c r="E23" s="184"/>
      <c r="F23" s="184"/>
      <c r="G23" s="184"/>
      <c r="H23" s="185"/>
      <c r="I23" s="12">
        <f t="shared" si="4"/>
        <v>0</v>
      </c>
      <c r="J23" s="12">
        <f t="shared" si="5"/>
        <v>0</v>
      </c>
      <c r="K23" s="13">
        <f t="shared" si="6"/>
        <v>0</v>
      </c>
      <c r="M23"/>
      <c r="Q23"/>
    </row>
    <row r="24" spans="1:17" ht="15" customHeight="1">
      <c r="A24" s="9" t="str">
        <f>'Members Data'!A16</f>
        <v>Masher</v>
      </c>
      <c r="B24" s="183"/>
      <c r="C24" s="184"/>
      <c r="D24" s="184"/>
      <c r="E24" s="184"/>
      <c r="F24" s="184"/>
      <c r="G24" s="184"/>
      <c r="H24" s="185"/>
      <c r="I24" s="12">
        <f t="shared" si="4"/>
        <v>0</v>
      </c>
      <c r="J24" s="12">
        <f t="shared" si="5"/>
        <v>0</v>
      </c>
      <c r="K24" s="13">
        <f t="shared" si="6"/>
        <v>0</v>
      </c>
      <c r="M24"/>
      <c r="Q24"/>
    </row>
    <row r="25" spans="1:17" ht="15" customHeight="1">
      <c r="A25" s="9" t="str">
        <f>'Members Data'!A17</f>
        <v>Dottiee</v>
      </c>
      <c r="B25" s="183"/>
      <c r="C25" s="184"/>
      <c r="D25" s="184"/>
      <c r="E25" s="184"/>
      <c r="F25" s="184"/>
      <c r="G25" s="184"/>
      <c r="H25" s="185"/>
      <c r="I25" s="12">
        <f t="shared" si="4"/>
        <v>0</v>
      </c>
      <c r="J25" s="12">
        <f t="shared" si="5"/>
        <v>0</v>
      </c>
      <c r="K25" s="13">
        <f t="shared" si="6"/>
        <v>0</v>
      </c>
      <c r="M25"/>
      <c r="Q25"/>
    </row>
    <row r="26" spans="1:17" ht="15" customHeight="1">
      <c r="A26" s="9" t="str">
        <f>'Members Data'!A18</f>
        <v>Dracoar</v>
      </c>
      <c r="B26" s="183"/>
      <c r="C26" s="184"/>
      <c r="D26" s="184"/>
      <c r="E26" s="184"/>
      <c r="F26" s="184"/>
      <c r="G26" s="184"/>
      <c r="H26" s="185"/>
      <c r="I26" s="12">
        <f t="shared" si="4"/>
        <v>0</v>
      </c>
      <c r="J26" s="12">
        <f t="shared" si="5"/>
        <v>0</v>
      </c>
      <c r="K26" s="13">
        <f t="shared" si="6"/>
        <v>0</v>
      </c>
      <c r="M26"/>
      <c r="Q26"/>
    </row>
    <row r="27" spans="1:17" ht="15" customHeight="1">
      <c r="A27" s="9" t="str">
        <f>'Members Data'!A19</f>
        <v>Drakodin</v>
      </c>
      <c r="B27" s="183"/>
      <c r="C27" s="184"/>
      <c r="D27" s="184"/>
      <c r="E27" s="184"/>
      <c r="F27" s="184"/>
      <c r="G27" s="184"/>
      <c r="H27" s="185"/>
      <c r="I27" s="12">
        <f t="shared" si="4"/>
        <v>0</v>
      </c>
      <c r="J27" s="12">
        <f t="shared" si="5"/>
        <v>0</v>
      </c>
      <c r="K27" s="13">
        <f t="shared" si="6"/>
        <v>0</v>
      </c>
      <c r="M27"/>
      <c r="Q27"/>
    </row>
    <row r="28" spans="1:17" ht="15" customHeight="1">
      <c r="A28" s="9" t="str">
        <f>'Members Data'!A20</f>
        <v>Drugged</v>
      </c>
      <c r="B28" s="183"/>
      <c r="C28" s="184"/>
      <c r="D28" s="184"/>
      <c r="E28" s="184"/>
      <c r="F28" s="184"/>
      <c r="G28" s="184"/>
      <c r="H28" s="185"/>
      <c r="I28" s="12">
        <f t="shared" si="4"/>
        <v>0</v>
      </c>
      <c r="J28" s="12">
        <f t="shared" si="5"/>
        <v>0</v>
      </c>
      <c r="K28" s="13">
        <f t="shared" si="6"/>
        <v>0</v>
      </c>
      <c r="M28"/>
    </row>
    <row r="29" spans="1:17" ht="15" customHeight="1">
      <c r="A29" s="9" t="str">
        <f>'Members Data'!A21</f>
        <v>Eárendíl</v>
      </c>
      <c r="B29" s="183"/>
      <c r="C29" s="184"/>
      <c r="D29" s="184"/>
      <c r="E29" s="184"/>
      <c r="F29" s="184"/>
      <c r="G29" s="184"/>
      <c r="H29" s="185"/>
      <c r="I29" s="12">
        <f t="shared" si="4"/>
        <v>0</v>
      </c>
      <c r="J29" s="12">
        <f t="shared" si="5"/>
        <v>0</v>
      </c>
      <c r="K29" s="13">
        <f t="shared" si="6"/>
        <v>0</v>
      </c>
      <c r="M29"/>
    </row>
    <row r="30" spans="1:17" ht="15" customHeight="1">
      <c r="A30" s="9" t="str">
        <f>'Members Data'!A22</f>
        <v>Emril</v>
      </c>
      <c r="B30" s="183"/>
      <c r="C30" s="184"/>
      <c r="D30" s="184"/>
      <c r="E30" s="184"/>
      <c r="F30" s="184"/>
      <c r="G30" s="184"/>
      <c r="H30" s="185"/>
      <c r="I30" s="12">
        <f t="shared" si="4"/>
        <v>0</v>
      </c>
      <c r="J30" s="12">
        <f t="shared" si="5"/>
        <v>0</v>
      </c>
      <c r="K30" s="13">
        <f t="shared" si="6"/>
        <v>0</v>
      </c>
      <c r="M30"/>
    </row>
    <row r="31" spans="1:17" ht="15" customHeight="1">
      <c r="A31" s="9" t="str">
        <f>'Members Data'!A23</f>
        <v>Halfthings</v>
      </c>
      <c r="B31" s="183"/>
      <c r="C31" s="184"/>
      <c r="D31" s="184"/>
      <c r="E31" s="184"/>
      <c r="F31" s="184"/>
      <c r="G31" s="184"/>
      <c r="H31" s="185"/>
      <c r="I31" s="12">
        <f t="shared" si="4"/>
        <v>0</v>
      </c>
      <c r="J31" s="12">
        <f t="shared" si="5"/>
        <v>0</v>
      </c>
      <c r="K31" s="13">
        <f t="shared" si="6"/>
        <v>0</v>
      </c>
      <c r="M31"/>
    </row>
    <row r="32" spans="1:17" ht="15" customHeight="1">
      <c r="A32" s="9" t="str">
        <f>'Members Data'!A24</f>
        <v>Harkar</v>
      </c>
      <c r="B32" s="183"/>
      <c r="C32" s="184"/>
      <c r="D32" s="184"/>
      <c r="E32" s="184"/>
      <c r="F32" s="184"/>
      <c r="G32" s="184"/>
      <c r="H32" s="185"/>
      <c r="I32" s="12">
        <f t="shared" si="4"/>
        <v>0</v>
      </c>
      <c r="J32" s="12">
        <f t="shared" si="5"/>
        <v>0</v>
      </c>
      <c r="K32" s="13">
        <f t="shared" si="6"/>
        <v>0</v>
      </c>
      <c r="M32"/>
    </row>
    <row r="33" spans="1:13" ht="15" customHeight="1">
      <c r="A33" s="9" t="str">
        <f>'Members Data'!A25</f>
        <v>Hlianna</v>
      </c>
      <c r="B33" s="183"/>
      <c r="C33" s="184"/>
      <c r="D33" s="184"/>
      <c r="E33" s="184"/>
      <c r="F33" s="184"/>
      <c r="G33" s="184"/>
      <c r="H33" s="185"/>
      <c r="I33" s="12">
        <f t="shared" si="4"/>
        <v>0</v>
      </c>
      <c r="J33" s="12">
        <f t="shared" si="5"/>
        <v>0</v>
      </c>
      <c r="K33" s="13">
        <f t="shared" si="6"/>
        <v>0</v>
      </c>
      <c r="M33"/>
    </row>
    <row r="34" spans="1:13" ht="15" customHeight="1">
      <c r="A34" s="9" t="str">
        <f>'Members Data'!A26</f>
        <v>Hormones</v>
      </c>
      <c r="B34" s="183"/>
      <c r="C34" s="184"/>
      <c r="D34" s="184"/>
      <c r="E34" s="184"/>
      <c r="F34" s="184"/>
      <c r="G34" s="184"/>
      <c r="H34" s="185"/>
      <c r="I34" s="12">
        <f t="shared" si="4"/>
        <v>0</v>
      </c>
      <c r="J34" s="12">
        <f t="shared" si="5"/>
        <v>0</v>
      </c>
      <c r="K34" s="13">
        <f t="shared" si="6"/>
        <v>0</v>
      </c>
      <c r="M34"/>
    </row>
    <row r="35" spans="1:13" ht="15" customHeight="1">
      <c r="A35" s="9" t="str">
        <f>'Members Data'!A27</f>
        <v>Hyperïon</v>
      </c>
      <c r="B35" s="183"/>
      <c r="C35" s="184"/>
      <c r="D35" s="184"/>
      <c r="E35" s="184"/>
      <c r="F35" s="184"/>
      <c r="G35" s="184"/>
      <c r="H35" s="185"/>
      <c r="I35" s="12">
        <f t="shared" si="4"/>
        <v>0</v>
      </c>
      <c r="J35" s="12">
        <f t="shared" si="5"/>
        <v>0</v>
      </c>
      <c r="K35" s="13">
        <f t="shared" si="6"/>
        <v>0</v>
      </c>
      <c r="M35"/>
    </row>
    <row r="36" spans="1:13" ht="15" customHeight="1">
      <c r="A36" s="9" t="str">
        <f>'Members Data'!A28</f>
        <v>Hyunâ</v>
      </c>
      <c r="B36" s="183"/>
      <c r="C36" s="184"/>
      <c r="D36" s="184"/>
      <c r="E36" s="184"/>
      <c r="F36" s="184"/>
      <c r="G36" s="184"/>
      <c r="H36" s="185"/>
      <c r="I36" s="12">
        <f t="shared" si="4"/>
        <v>0</v>
      </c>
      <c r="J36" s="12">
        <f t="shared" si="5"/>
        <v>0</v>
      </c>
      <c r="K36" s="13">
        <f t="shared" si="6"/>
        <v>0</v>
      </c>
    </row>
    <row r="37" spans="1:13" ht="15" customHeight="1">
      <c r="A37" s="9" t="str">
        <f>'Members Data'!A29</f>
        <v>Izzabelle</v>
      </c>
      <c r="B37" s="183"/>
      <c r="C37" s="184"/>
      <c r="D37" s="184"/>
      <c r="E37" s="184"/>
      <c r="F37" s="184"/>
      <c r="G37" s="184"/>
      <c r="H37" s="185"/>
      <c r="I37" s="12">
        <f t="shared" si="4"/>
        <v>0</v>
      </c>
      <c r="J37" s="12">
        <f t="shared" si="5"/>
        <v>0</v>
      </c>
      <c r="K37" s="13">
        <f t="shared" si="6"/>
        <v>0</v>
      </c>
    </row>
    <row r="38" spans="1:13" ht="15" customHeight="1">
      <c r="A38" s="9" t="str">
        <f>'Members Data'!A30</f>
        <v>Jimentoez</v>
      </c>
      <c r="B38" s="183"/>
      <c r="C38" s="184"/>
      <c r="D38" s="184"/>
      <c r="E38" s="184"/>
      <c r="F38" s="184"/>
      <c r="G38" s="184"/>
      <c r="H38" s="185"/>
      <c r="I38" s="12">
        <f t="shared" si="4"/>
        <v>0</v>
      </c>
      <c r="J38" s="12">
        <f t="shared" si="5"/>
        <v>0</v>
      </c>
      <c r="K38" s="13">
        <f t="shared" si="6"/>
        <v>0</v>
      </c>
    </row>
    <row r="39" spans="1:13" ht="15" customHeight="1">
      <c r="A39" s="9" t="str">
        <f>'Members Data'!A31</f>
        <v>Judge</v>
      </c>
      <c r="B39" s="183"/>
      <c r="C39" s="184"/>
      <c r="D39" s="184"/>
      <c r="E39" s="184"/>
      <c r="F39" s="184"/>
      <c r="G39" s="184"/>
      <c r="H39" s="185"/>
      <c r="I39" s="12">
        <f t="shared" si="4"/>
        <v>0</v>
      </c>
      <c r="J39" s="12">
        <f t="shared" si="5"/>
        <v>0</v>
      </c>
      <c r="K39" s="13">
        <f t="shared" si="6"/>
        <v>0</v>
      </c>
    </row>
    <row r="40" spans="1:13" ht="15" customHeight="1">
      <c r="A40" s="9" t="str">
        <f>'Members Data'!A32</f>
        <v>Kádiz</v>
      </c>
      <c r="B40" s="183"/>
      <c r="C40" s="184"/>
      <c r="D40" s="184"/>
      <c r="E40" s="184"/>
      <c r="F40" s="184"/>
      <c r="G40" s="184"/>
      <c r="H40" s="185"/>
      <c r="I40" s="12">
        <f t="shared" si="4"/>
        <v>0</v>
      </c>
      <c r="J40" s="12">
        <f t="shared" si="5"/>
        <v>0</v>
      </c>
      <c r="K40" s="13">
        <f t="shared" si="6"/>
        <v>0</v>
      </c>
    </row>
    <row r="41" spans="1:13" ht="15" customHeight="1">
      <c r="A41" s="9" t="str">
        <f>'Members Data'!A33</f>
        <v>Kanoni</v>
      </c>
      <c r="B41" s="310"/>
      <c r="C41" s="184"/>
      <c r="D41" s="184"/>
      <c r="E41" s="184"/>
      <c r="F41" s="184"/>
      <c r="G41" s="184"/>
      <c r="H41" s="185"/>
      <c r="I41" s="12">
        <f t="shared" si="4"/>
        <v>0</v>
      </c>
      <c r="J41" s="12">
        <f t="shared" si="5"/>
        <v>0</v>
      </c>
      <c r="K41" s="13">
        <f t="shared" si="6"/>
        <v>0</v>
      </c>
    </row>
    <row r="42" spans="1:13" ht="15" customHeight="1">
      <c r="A42" s="9" t="str">
        <f>'Members Data'!A34</f>
        <v>Kristofix</v>
      </c>
      <c r="B42" s="310"/>
      <c r="C42" s="184"/>
      <c r="D42" s="184"/>
      <c r="E42" s="184"/>
      <c r="F42" s="184"/>
      <c r="G42" s="184"/>
      <c r="H42" s="185"/>
      <c r="I42" s="12">
        <f t="shared" ref="I42:I68" si="7">COUNTIF(B42:H42,"confirmed")</f>
        <v>0</v>
      </c>
      <c r="J42" s="12">
        <f t="shared" ref="J42:J68" si="8">COUNTIF(B42:H42,"standby")</f>
        <v>0</v>
      </c>
      <c r="K42" s="13">
        <f t="shared" ref="K42:K68" si="9">COUNTIF(B42:H42,"out")</f>
        <v>0</v>
      </c>
    </row>
    <row r="43" spans="1:13" ht="15" customHeight="1">
      <c r="A43" s="9">
        <f>'Members Data'!A35</f>
        <v>0</v>
      </c>
      <c r="B43" s="310"/>
      <c r="C43" s="184"/>
      <c r="D43" s="184"/>
      <c r="E43" s="184"/>
      <c r="F43" s="184"/>
      <c r="G43" s="184"/>
      <c r="H43" s="185"/>
      <c r="I43" s="12">
        <f t="shared" si="7"/>
        <v>0</v>
      </c>
      <c r="J43" s="12">
        <f t="shared" si="8"/>
        <v>0</v>
      </c>
      <c r="K43" s="13">
        <f t="shared" si="9"/>
        <v>0</v>
      </c>
    </row>
    <row r="44" spans="1:13" ht="15" customHeight="1">
      <c r="A44" s="9">
        <f>'Members Data'!A36</f>
        <v>0</v>
      </c>
      <c r="B44" s="310"/>
      <c r="C44" s="184"/>
      <c r="D44" s="184"/>
      <c r="E44" s="184"/>
      <c r="F44" s="184"/>
      <c r="G44" s="184"/>
      <c r="H44" s="185"/>
      <c r="I44" s="12">
        <f t="shared" si="7"/>
        <v>0</v>
      </c>
      <c r="J44" s="12">
        <f t="shared" si="8"/>
        <v>0</v>
      </c>
      <c r="K44" s="13">
        <f t="shared" si="9"/>
        <v>0</v>
      </c>
    </row>
    <row r="45" spans="1:13" ht="15" customHeight="1">
      <c r="A45" s="9">
        <f>'Members Data'!A37</f>
        <v>0</v>
      </c>
      <c r="B45" s="183"/>
      <c r="C45" s="184"/>
      <c r="D45" s="184"/>
      <c r="E45" s="184"/>
      <c r="F45" s="184"/>
      <c r="G45" s="184"/>
      <c r="H45" s="185"/>
      <c r="I45" s="12">
        <f t="shared" si="7"/>
        <v>0</v>
      </c>
      <c r="J45" s="12">
        <f t="shared" si="8"/>
        <v>0</v>
      </c>
      <c r="K45" s="13">
        <f t="shared" si="9"/>
        <v>0</v>
      </c>
    </row>
    <row r="46" spans="1:13" ht="15" customHeight="1">
      <c r="A46" s="9">
        <f>'Members Data'!A38</f>
        <v>0</v>
      </c>
      <c r="B46" s="183"/>
      <c r="C46" s="184"/>
      <c r="D46" s="184"/>
      <c r="E46" s="184"/>
      <c r="F46" s="184"/>
      <c r="G46" s="184"/>
      <c r="H46" s="185"/>
      <c r="I46" s="12">
        <f t="shared" si="7"/>
        <v>0</v>
      </c>
      <c r="J46" s="12">
        <f t="shared" si="8"/>
        <v>0</v>
      </c>
      <c r="K46" s="13">
        <f t="shared" si="9"/>
        <v>0</v>
      </c>
    </row>
    <row r="47" spans="1:13" ht="15" customHeight="1">
      <c r="A47" s="9" t="str">
        <f>'Members Data'!A39</f>
        <v>Mardazur</v>
      </c>
      <c r="B47" s="183"/>
      <c r="C47" s="184"/>
      <c r="D47" s="184"/>
      <c r="E47" s="184"/>
      <c r="F47" s="184"/>
      <c r="G47" s="184"/>
      <c r="H47" s="185"/>
      <c r="I47" s="12">
        <f t="shared" si="7"/>
        <v>0</v>
      </c>
      <c r="J47" s="12">
        <f t="shared" si="8"/>
        <v>0</v>
      </c>
      <c r="K47" s="13">
        <f t="shared" si="9"/>
        <v>0</v>
      </c>
    </row>
    <row r="48" spans="1:13" ht="15" customHeight="1">
      <c r="A48" s="9" t="str">
        <f>'Members Data'!A40</f>
        <v>Mezzolina</v>
      </c>
      <c r="B48" s="183"/>
      <c r="C48" s="184"/>
      <c r="D48" s="184"/>
      <c r="E48" s="184"/>
      <c r="F48" s="184"/>
      <c r="G48" s="184"/>
      <c r="H48" s="185"/>
      <c r="I48" s="12">
        <f t="shared" si="7"/>
        <v>0</v>
      </c>
      <c r="J48" s="12">
        <f t="shared" si="8"/>
        <v>0</v>
      </c>
      <c r="K48" s="13">
        <f t="shared" si="9"/>
        <v>0</v>
      </c>
    </row>
    <row r="49" spans="1:11" ht="15" customHeight="1">
      <c r="A49" s="9">
        <f>'Members Data'!A41</f>
        <v>0</v>
      </c>
      <c r="B49" s="183"/>
      <c r="C49" s="184"/>
      <c r="D49" s="184"/>
      <c r="E49" s="184"/>
      <c r="F49" s="184"/>
      <c r="G49" s="184"/>
      <c r="H49" s="185"/>
      <c r="I49" s="12">
        <f t="shared" si="7"/>
        <v>0</v>
      </c>
      <c r="J49" s="12">
        <f t="shared" si="8"/>
        <v>0</v>
      </c>
      <c r="K49" s="13">
        <f t="shared" si="9"/>
        <v>0</v>
      </c>
    </row>
    <row r="50" spans="1:11" ht="15" customHeight="1">
      <c r="A50" s="9" t="str">
        <f>'Members Data'!A42</f>
        <v>Morenna</v>
      </c>
      <c r="B50" s="183"/>
      <c r="C50" s="184"/>
      <c r="D50" s="184"/>
      <c r="E50" s="184"/>
      <c r="F50" s="184"/>
      <c r="G50" s="184"/>
      <c r="H50" s="185"/>
      <c r="I50" s="12">
        <f t="shared" si="7"/>
        <v>0</v>
      </c>
      <c r="J50" s="12">
        <f t="shared" si="8"/>
        <v>0</v>
      </c>
      <c r="K50" s="13">
        <f t="shared" si="9"/>
        <v>0</v>
      </c>
    </row>
    <row r="51" spans="1:11" ht="15" customHeight="1">
      <c r="A51" s="9" t="str">
        <f>'Members Data'!A43</f>
        <v>Naliyas</v>
      </c>
      <c r="B51" s="183"/>
      <c r="C51" s="184"/>
      <c r="D51" s="184"/>
      <c r="E51" s="184"/>
      <c r="F51" s="184"/>
      <c r="G51" s="184"/>
      <c r="H51" s="185"/>
      <c r="I51" s="12">
        <f t="shared" si="7"/>
        <v>0</v>
      </c>
      <c r="J51" s="12">
        <f t="shared" si="8"/>
        <v>0</v>
      </c>
      <c r="K51" s="13">
        <f t="shared" si="9"/>
        <v>0</v>
      </c>
    </row>
    <row r="52" spans="1:11" ht="15" customHeight="1">
      <c r="A52" s="9">
        <f>'Members Data'!A44</f>
        <v>0</v>
      </c>
      <c r="B52" s="183"/>
      <c r="C52" s="184"/>
      <c r="D52" s="184"/>
      <c r="E52" s="184"/>
      <c r="F52" s="184"/>
      <c r="G52" s="184"/>
      <c r="H52" s="185"/>
      <c r="I52" s="12">
        <f t="shared" si="7"/>
        <v>0</v>
      </c>
      <c r="J52" s="12">
        <f t="shared" si="8"/>
        <v>0</v>
      </c>
      <c r="K52" s="13">
        <f t="shared" si="9"/>
        <v>0</v>
      </c>
    </row>
    <row r="53" spans="1:11" ht="15" customHeight="1">
      <c r="A53" s="9" t="str">
        <f>'Members Data'!A45</f>
        <v>Nazgol</v>
      </c>
      <c r="B53" s="183"/>
      <c r="C53" s="184"/>
      <c r="D53" s="184"/>
      <c r="E53" s="184"/>
      <c r="F53" s="184"/>
      <c r="G53" s="184"/>
      <c r="H53" s="185"/>
      <c r="I53" s="12">
        <f t="shared" si="7"/>
        <v>0</v>
      </c>
      <c r="J53" s="12">
        <f t="shared" si="8"/>
        <v>0</v>
      </c>
      <c r="K53" s="13">
        <f t="shared" si="9"/>
        <v>0</v>
      </c>
    </row>
    <row r="54" spans="1:11" ht="15" customHeight="1">
      <c r="A54" s="9" t="str">
        <f>'Members Data'!A46</f>
        <v>Niiwa</v>
      </c>
      <c r="B54" s="183"/>
      <c r="C54" s="184"/>
      <c r="D54" s="184"/>
      <c r="E54" s="184"/>
      <c r="F54" s="184"/>
      <c r="G54" s="184"/>
      <c r="H54" s="185"/>
      <c r="I54" s="12">
        <f t="shared" si="7"/>
        <v>0</v>
      </c>
      <c r="J54" s="12">
        <f t="shared" si="8"/>
        <v>0</v>
      </c>
      <c r="K54" s="13">
        <f t="shared" si="9"/>
        <v>0</v>
      </c>
    </row>
    <row r="55" spans="1:11" ht="15" customHeight="1">
      <c r="A55" s="9" t="str">
        <f>'Members Data'!A47</f>
        <v>Octavìus</v>
      </c>
      <c r="B55" s="183"/>
      <c r="C55" s="184"/>
      <c r="D55" s="184"/>
      <c r="E55" s="184"/>
      <c r="F55" s="184"/>
      <c r="G55" s="184"/>
      <c r="H55" s="185"/>
      <c r="I55" s="12">
        <f t="shared" si="7"/>
        <v>0</v>
      </c>
      <c r="J55" s="12">
        <f t="shared" si="8"/>
        <v>0</v>
      </c>
      <c r="K55" s="13">
        <f t="shared" si="9"/>
        <v>0</v>
      </c>
    </row>
    <row r="56" spans="1:11" ht="15" customHeight="1">
      <c r="A56" s="9" t="str">
        <f>'Members Data'!A48</f>
        <v>Overtake</v>
      </c>
      <c r="B56" s="183"/>
      <c r="C56" s="184"/>
      <c r="D56" s="184"/>
      <c r="E56" s="184"/>
      <c r="F56" s="184"/>
      <c r="G56" s="184"/>
      <c r="H56" s="185"/>
      <c r="I56" s="12">
        <f t="shared" si="7"/>
        <v>0</v>
      </c>
      <c r="J56" s="12">
        <f t="shared" si="8"/>
        <v>0</v>
      </c>
      <c r="K56" s="13">
        <f t="shared" si="9"/>
        <v>0</v>
      </c>
    </row>
    <row r="57" spans="1:11" ht="15" customHeight="1">
      <c r="A57" s="9" t="str">
        <f>'Members Data'!A49</f>
        <v>Paolin</v>
      </c>
      <c r="B57" s="183"/>
      <c r="C57" s="184"/>
      <c r="D57" s="184"/>
      <c r="E57" s="184"/>
      <c r="F57" s="184"/>
      <c r="G57" s="184"/>
      <c r="H57" s="185"/>
      <c r="I57" s="12">
        <f t="shared" si="7"/>
        <v>0</v>
      </c>
      <c r="J57" s="12">
        <f t="shared" si="8"/>
        <v>0</v>
      </c>
      <c r="K57" s="13">
        <f t="shared" si="9"/>
        <v>0</v>
      </c>
    </row>
    <row r="58" spans="1:11" ht="15" customHeight="1">
      <c r="A58" s="9" t="str">
        <f>'Members Data'!A50</f>
        <v>Páula</v>
      </c>
      <c r="B58" s="183"/>
      <c r="C58" s="184"/>
      <c r="D58" s="184"/>
      <c r="E58" s="184"/>
      <c r="F58" s="184"/>
      <c r="G58" s="184"/>
      <c r="H58" s="185"/>
      <c r="I58" s="12">
        <f t="shared" si="7"/>
        <v>0</v>
      </c>
      <c r="J58" s="12">
        <f t="shared" si="8"/>
        <v>0</v>
      </c>
      <c r="K58" s="13">
        <f t="shared" si="9"/>
        <v>0</v>
      </c>
    </row>
    <row r="59" spans="1:11" ht="15" customHeight="1">
      <c r="A59" s="9" t="str">
        <f>'Members Data'!A51</f>
        <v>Predictable</v>
      </c>
      <c r="B59" s="183"/>
      <c r="C59" s="184"/>
      <c r="D59" s="184"/>
      <c r="E59" s="184"/>
      <c r="F59" s="184"/>
      <c r="G59" s="184"/>
      <c r="H59" s="185"/>
      <c r="I59" s="12">
        <f t="shared" si="7"/>
        <v>0</v>
      </c>
      <c r="J59" s="12">
        <f t="shared" si="8"/>
        <v>0</v>
      </c>
      <c r="K59" s="13">
        <f t="shared" si="9"/>
        <v>0</v>
      </c>
    </row>
    <row r="60" spans="1:11" ht="15" customHeight="1">
      <c r="A60" s="9" t="str">
        <f>'Members Data'!A52</f>
        <v>Rhinoru</v>
      </c>
      <c r="B60" s="183"/>
      <c r="C60" s="184"/>
      <c r="D60" s="184"/>
      <c r="E60" s="184"/>
      <c r="F60" s="184"/>
      <c r="G60" s="184"/>
      <c r="H60" s="185"/>
      <c r="I60" s="12">
        <f t="shared" si="7"/>
        <v>0</v>
      </c>
      <c r="J60" s="12">
        <f t="shared" si="8"/>
        <v>0</v>
      </c>
      <c r="K60" s="13">
        <f t="shared" si="9"/>
        <v>0</v>
      </c>
    </row>
    <row r="61" spans="1:11" ht="15" customHeight="1">
      <c r="A61" s="9">
        <f>'Members Data'!A53</f>
        <v>0</v>
      </c>
      <c r="B61" s="183"/>
      <c r="C61" s="184"/>
      <c r="D61" s="184"/>
      <c r="E61" s="184"/>
      <c r="F61" s="184"/>
      <c r="G61" s="184"/>
      <c r="H61" s="185"/>
      <c r="I61" s="12">
        <f t="shared" si="7"/>
        <v>0</v>
      </c>
      <c r="J61" s="12">
        <f t="shared" si="8"/>
        <v>0</v>
      </c>
      <c r="K61" s="13">
        <f t="shared" si="9"/>
        <v>0</v>
      </c>
    </row>
    <row r="62" spans="1:11" ht="15" customHeight="1">
      <c r="A62" s="9" t="str">
        <f>'Members Data'!A54</f>
        <v>Saltycream</v>
      </c>
      <c r="B62" s="183"/>
      <c r="C62" s="184"/>
      <c r="D62" s="184"/>
      <c r="E62" s="184"/>
      <c r="F62" s="184"/>
      <c r="G62" s="184"/>
      <c r="H62" s="185"/>
      <c r="I62" s="12">
        <f t="shared" si="7"/>
        <v>0</v>
      </c>
      <c r="J62" s="12">
        <f t="shared" si="8"/>
        <v>0</v>
      </c>
      <c r="K62" s="13">
        <f t="shared" si="9"/>
        <v>0</v>
      </c>
    </row>
    <row r="63" spans="1:11" ht="15" customHeight="1">
      <c r="A63" s="9" t="str">
        <f>'Members Data'!A55</f>
        <v>Sarjezzar</v>
      </c>
      <c r="B63" s="183"/>
      <c r="C63" s="184"/>
      <c r="D63" s="184"/>
      <c r="E63" s="184"/>
      <c r="F63" s="184"/>
      <c r="G63" s="184"/>
      <c r="H63" s="185"/>
      <c r="I63" s="12">
        <f t="shared" si="7"/>
        <v>0</v>
      </c>
      <c r="J63" s="12">
        <f t="shared" si="8"/>
        <v>0</v>
      </c>
      <c r="K63" s="13">
        <f t="shared" si="9"/>
        <v>0</v>
      </c>
    </row>
    <row r="64" spans="1:11" ht="15" customHeight="1">
      <c r="A64" s="9">
        <f>'Members Data'!A56</f>
        <v>0</v>
      </c>
      <c r="B64" s="183"/>
      <c r="C64" s="184"/>
      <c r="D64" s="184"/>
      <c r="E64" s="184"/>
      <c r="F64" s="184"/>
      <c r="G64" s="184"/>
      <c r="H64" s="185"/>
      <c r="I64" s="12">
        <f t="shared" si="7"/>
        <v>0</v>
      </c>
      <c r="J64" s="12">
        <f t="shared" si="8"/>
        <v>0</v>
      </c>
      <c r="K64" s="13">
        <f t="shared" si="9"/>
        <v>0</v>
      </c>
    </row>
    <row r="65" spans="1:11" ht="15" customHeight="1">
      <c r="A65" s="9" t="str">
        <f>'Members Data'!A57</f>
        <v>Shinkai</v>
      </c>
      <c r="B65" s="187"/>
      <c r="C65" s="184"/>
      <c r="D65" s="184"/>
      <c r="E65" s="184"/>
      <c r="F65" s="184"/>
      <c r="G65" s="184"/>
      <c r="H65" s="185"/>
      <c r="I65" s="12">
        <f t="shared" si="7"/>
        <v>0</v>
      </c>
      <c r="J65" s="12">
        <f t="shared" si="8"/>
        <v>0</v>
      </c>
      <c r="K65" s="13">
        <f t="shared" si="9"/>
        <v>0</v>
      </c>
    </row>
    <row r="66" spans="1:11" ht="15" customHeight="1">
      <c r="A66" s="68" t="str">
        <f>'Members Data'!A58</f>
        <v>Sidac</v>
      </c>
      <c r="B66" s="187"/>
      <c r="C66" s="184"/>
      <c r="D66" s="184"/>
      <c r="E66" s="184"/>
      <c r="F66" s="184"/>
      <c r="G66" s="184"/>
      <c r="H66" s="185"/>
      <c r="I66" s="12">
        <f>COUNTIF(B66:H66,"confirmed")</f>
        <v>0</v>
      </c>
      <c r="J66" s="12">
        <f>COUNTIF(B66:H66,"standby")</f>
        <v>0</v>
      </c>
      <c r="K66" s="13">
        <f>COUNTIF(B66:H66,"out")</f>
        <v>0</v>
      </c>
    </row>
    <row r="67" spans="1:11" ht="15" customHeight="1">
      <c r="A67" s="68" t="str">
        <f>'Members Data'!A59</f>
        <v>Snowies</v>
      </c>
      <c r="B67" s="187"/>
      <c r="C67" s="184"/>
      <c r="D67" s="184"/>
      <c r="E67" s="184"/>
      <c r="F67" s="184"/>
      <c r="G67" s="184"/>
      <c r="H67" s="188"/>
      <c r="I67" s="65">
        <f t="shared" si="7"/>
        <v>0</v>
      </c>
      <c r="J67" s="65">
        <f t="shared" si="8"/>
        <v>0</v>
      </c>
      <c r="K67" s="66">
        <f t="shared" si="9"/>
        <v>0</v>
      </c>
    </row>
    <row r="68" spans="1:11" ht="15" customHeight="1">
      <c r="A68" s="68" t="str">
        <f>'Members Data'!A60</f>
        <v>Spruch</v>
      </c>
      <c r="B68" s="183"/>
      <c r="C68" s="184"/>
      <c r="D68" s="184"/>
      <c r="E68" s="184"/>
      <c r="F68" s="184"/>
      <c r="G68" s="184"/>
      <c r="H68" s="188"/>
      <c r="I68" s="65">
        <f t="shared" si="7"/>
        <v>0</v>
      </c>
      <c r="J68" s="65">
        <f t="shared" si="8"/>
        <v>0</v>
      </c>
      <c r="K68" s="66">
        <f t="shared" si="9"/>
        <v>0</v>
      </c>
    </row>
    <row r="69" spans="1:11" ht="15" customHeight="1" thickBot="1">
      <c r="A69" s="122" t="str">
        <f>'Members Data'!A61</f>
        <v>Svicane</v>
      </c>
      <c r="B69" s="189"/>
      <c r="C69" s="190"/>
      <c r="D69" s="190"/>
      <c r="E69" s="190"/>
      <c r="F69" s="190"/>
      <c r="G69" s="190"/>
      <c r="H69" s="191"/>
      <c r="I69" s="123">
        <f t="shared" ref="I69:I108" si="10">COUNTIF(B69:H69,"confirmed")</f>
        <v>0</v>
      </c>
      <c r="J69" s="123">
        <f t="shared" ref="J69:J108" si="11">COUNTIF(B69:H69,"standby")</f>
        <v>0</v>
      </c>
      <c r="K69" s="124">
        <f t="shared" ref="K69:K108" si="12">COUNTIF(B69:H69,"out")</f>
        <v>0</v>
      </c>
    </row>
    <row r="70" spans="1:11" ht="15" customHeight="1" thickTop="1">
      <c r="A70" s="67" t="str">
        <f>'Members Data'!A62</f>
        <v>Téasey</v>
      </c>
      <c r="B70" s="183"/>
      <c r="C70" s="184"/>
      <c r="D70" s="184"/>
      <c r="E70" s="184"/>
      <c r="F70" s="184"/>
      <c r="G70" s="184"/>
      <c r="H70" s="185"/>
      <c r="I70" s="120">
        <f t="shared" si="10"/>
        <v>0</v>
      </c>
      <c r="J70" s="120">
        <f t="shared" si="11"/>
        <v>0</v>
      </c>
      <c r="K70" s="121">
        <f t="shared" si="12"/>
        <v>0</v>
      </c>
    </row>
    <row r="71" spans="1:11" ht="15" customHeight="1">
      <c r="A71" s="68" t="str">
        <f>'Members Data'!A63</f>
        <v>Tomrexx</v>
      </c>
      <c r="B71" s="183"/>
      <c r="C71" s="184"/>
      <c r="D71" s="184"/>
      <c r="E71" s="184"/>
      <c r="F71" s="184"/>
      <c r="G71" s="184"/>
      <c r="H71" s="185"/>
      <c r="I71" s="65">
        <f t="shared" si="10"/>
        <v>0</v>
      </c>
      <c r="J71" s="65">
        <f t="shared" si="11"/>
        <v>0</v>
      </c>
      <c r="K71" s="66">
        <f t="shared" si="12"/>
        <v>0</v>
      </c>
    </row>
    <row r="72" spans="1:11" ht="15" customHeight="1">
      <c r="A72" s="68" t="str">
        <f>'Members Data'!A64</f>
        <v>Tonitrum</v>
      </c>
      <c r="B72" s="183"/>
      <c r="C72" s="184"/>
      <c r="D72" s="184"/>
      <c r="E72" s="184"/>
      <c r="F72" s="184"/>
      <c r="G72" s="184"/>
      <c r="H72" s="185"/>
      <c r="I72" s="65">
        <f t="shared" si="10"/>
        <v>0</v>
      </c>
      <c r="J72" s="65">
        <f t="shared" si="11"/>
        <v>0</v>
      </c>
      <c r="K72" s="66">
        <f t="shared" si="12"/>
        <v>0</v>
      </c>
    </row>
    <row r="73" spans="1:11" ht="15" customHeight="1">
      <c r="A73" s="68" t="str">
        <f>'Members Data'!A65</f>
        <v>Tsali</v>
      </c>
      <c r="B73" s="183"/>
      <c r="C73" s="184"/>
      <c r="D73" s="184"/>
      <c r="E73" s="184"/>
      <c r="F73" s="184"/>
      <c r="G73" s="184"/>
      <c r="H73" s="185"/>
      <c r="I73" s="65">
        <f t="shared" si="10"/>
        <v>0</v>
      </c>
      <c r="J73" s="65">
        <f t="shared" si="11"/>
        <v>0</v>
      </c>
      <c r="K73" s="66">
        <f t="shared" si="12"/>
        <v>0</v>
      </c>
    </row>
    <row r="74" spans="1:11" ht="15" customHeight="1">
      <c r="A74" s="68" t="str">
        <f>'Members Data'!A66</f>
        <v>Twicemore</v>
      </c>
      <c r="B74" s="183"/>
      <c r="C74" s="184"/>
      <c r="D74" s="184"/>
      <c r="E74" s="184"/>
      <c r="F74" s="184"/>
      <c r="G74" s="184"/>
      <c r="H74" s="185"/>
      <c r="I74" s="65">
        <f t="shared" si="10"/>
        <v>0</v>
      </c>
      <c r="J74" s="65">
        <f t="shared" si="11"/>
        <v>0</v>
      </c>
      <c r="K74" s="66">
        <f t="shared" si="12"/>
        <v>0</v>
      </c>
    </row>
    <row r="75" spans="1:11" ht="15" customHeight="1">
      <c r="A75" s="68" t="str">
        <f>'Members Data'!A67</f>
        <v>Vereen</v>
      </c>
      <c r="B75" s="183"/>
      <c r="C75" s="184"/>
      <c r="D75" s="184"/>
      <c r="E75" s="184"/>
      <c r="F75" s="184"/>
      <c r="G75" s="184"/>
      <c r="H75" s="185"/>
      <c r="I75" s="65">
        <f t="shared" si="10"/>
        <v>0</v>
      </c>
      <c r="J75" s="65">
        <f t="shared" si="11"/>
        <v>0</v>
      </c>
      <c r="K75" s="66">
        <f t="shared" si="12"/>
        <v>0</v>
      </c>
    </row>
    <row r="76" spans="1:11" ht="15" customHeight="1">
      <c r="A76" s="68" t="str">
        <f>'Members Data'!A68</f>
        <v>Xanadaria</v>
      </c>
      <c r="B76" s="183"/>
      <c r="C76" s="184"/>
      <c r="D76" s="184"/>
      <c r="E76" s="184"/>
      <c r="F76" s="184"/>
      <c r="G76" s="184"/>
      <c r="H76" s="185"/>
      <c r="I76" s="65">
        <f t="shared" si="10"/>
        <v>0</v>
      </c>
      <c r="J76" s="65">
        <f t="shared" si="11"/>
        <v>0</v>
      </c>
      <c r="K76" s="66">
        <f t="shared" si="12"/>
        <v>0</v>
      </c>
    </row>
    <row r="77" spans="1:11" ht="15" customHeight="1">
      <c r="A77" s="68" t="str">
        <f>'Members Data'!A69</f>
        <v>Xian</v>
      </c>
      <c r="B77" s="183"/>
      <c r="C77" s="184"/>
      <c r="D77" s="184"/>
      <c r="E77" s="184"/>
      <c r="F77" s="184"/>
      <c r="G77" s="184"/>
      <c r="H77" s="185"/>
      <c r="I77" s="65">
        <f t="shared" si="10"/>
        <v>0</v>
      </c>
      <c r="J77" s="65">
        <f t="shared" si="11"/>
        <v>0</v>
      </c>
      <c r="K77" s="66">
        <f t="shared" si="12"/>
        <v>0</v>
      </c>
    </row>
    <row r="78" spans="1:11" ht="15" customHeight="1">
      <c r="A78" s="68" t="str">
        <f>'Members Data'!A70</f>
        <v>Xytree</v>
      </c>
      <c r="B78" s="183"/>
      <c r="C78" s="184"/>
      <c r="D78" s="184"/>
      <c r="E78" s="184"/>
      <c r="F78" s="184"/>
      <c r="G78" s="184"/>
      <c r="H78" s="185"/>
      <c r="I78" s="65">
        <f t="shared" si="10"/>
        <v>0</v>
      </c>
      <c r="J78" s="65">
        <f t="shared" si="11"/>
        <v>0</v>
      </c>
      <c r="K78" s="66">
        <f t="shared" si="12"/>
        <v>0</v>
      </c>
    </row>
    <row r="79" spans="1:11" ht="15" customHeight="1">
      <c r="A79" s="68" t="str">
        <f>'Members Data'!A71</f>
        <v>Yardk</v>
      </c>
      <c r="B79" s="183"/>
      <c r="C79" s="184"/>
      <c r="D79" s="184"/>
      <c r="E79" s="184"/>
      <c r="F79" s="184"/>
      <c r="G79" s="184"/>
      <c r="H79" s="185"/>
      <c r="I79" s="65">
        <f t="shared" si="10"/>
        <v>0</v>
      </c>
      <c r="J79" s="65">
        <f t="shared" si="11"/>
        <v>0</v>
      </c>
      <c r="K79" s="66">
        <f t="shared" si="12"/>
        <v>0</v>
      </c>
    </row>
    <row r="80" spans="1:11" ht="15" customHeight="1">
      <c r="A80" s="68" t="str">
        <f>'Members Data'!A72</f>
        <v>Yse</v>
      </c>
      <c r="B80" s="183"/>
      <c r="C80" s="184"/>
      <c r="D80" s="184"/>
      <c r="E80" s="184"/>
      <c r="F80" s="184"/>
      <c r="G80" s="184"/>
      <c r="H80" s="185"/>
      <c r="I80" s="65">
        <f t="shared" si="10"/>
        <v>0</v>
      </c>
      <c r="J80" s="65">
        <f t="shared" si="11"/>
        <v>0</v>
      </c>
      <c r="K80" s="66">
        <f t="shared" si="12"/>
        <v>0</v>
      </c>
    </row>
    <row r="81" spans="1:11" ht="15" customHeight="1">
      <c r="A81" s="68" t="str">
        <f>'Members Data'!A73</f>
        <v>Zantias</v>
      </c>
      <c r="B81" s="183"/>
      <c r="C81" s="184"/>
      <c r="D81" s="184"/>
      <c r="E81" s="184"/>
      <c r="F81" s="184"/>
      <c r="G81" s="184"/>
      <c r="H81" s="185"/>
      <c r="I81" s="65">
        <f t="shared" si="10"/>
        <v>0</v>
      </c>
      <c r="J81" s="65">
        <f t="shared" si="11"/>
        <v>0</v>
      </c>
      <c r="K81" s="66">
        <f t="shared" si="12"/>
        <v>0</v>
      </c>
    </row>
    <row r="82" spans="1:11" ht="15" customHeight="1">
      <c r="A82" s="68">
        <f>'Members Data'!A74</f>
        <v>0</v>
      </c>
      <c r="B82" s="183"/>
      <c r="C82" s="184"/>
      <c r="D82" s="184"/>
      <c r="E82" s="184"/>
      <c r="F82" s="184"/>
      <c r="G82" s="184"/>
      <c r="H82" s="185"/>
      <c r="I82" s="65">
        <f t="shared" si="10"/>
        <v>0</v>
      </c>
      <c r="J82" s="65">
        <f t="shared" si="11"/>
        <v>0</v>
      </c>
      <c r="K82" s="66">
        <f t="shared" si="12"/>
        <v>0</v>
      </c>
    </row>
    <row r="83" spans="1:11" ht="15" customHeight="1">
      <c r="A83" s="68">
        <f>'Members Data'!A75</f>
        <v>0</v>
      </c>
      <c r="B83" s="183"/>
      <c r="C83" s="184"/>
      <c r="D83" s="184"/>
      <c r="E83" s="184"/>
      <c r="F83" s="184"/>
      <c r="G83" s="184"/>
      <c r="H83" s="185"/>
      <c r="I83" s="65">
        <f t="shared" si="10"/>
        <v>0</v>
      </c>
      <c r="J83" s="65">
        <f t="shared" si="11"/>
        <v>0</v>
      </c>
      <c r="K83" s="66">
        <f t="shared" si="12"/>
        <v>0</v>
      </c>
    </row>
    <row r="84" spans="1:11" ht="15" customHeight="1">
      <c r="A84" s="68">
        <f>'Members Data'!A76</f>
        <v>0</v>
      </c>
      <c r="B84" s="183"/>
      <c r="C84" s="184"/>
      <c r="D84" s="184"/>
      <c r="E84" s="184"/>
      <c r="F84" s="184"/>
      <c r="G84" s="184"/>
      <c r="H84" s="185"/>
      <c r="I84" s="65">
        <f t="shared" si="10"/>
        <v>0</v>
      </c>
      <c r="J84" s="65">
        <f t="shared" si="11"/>
        <v>0</v>
      </c>
      <c r="K84" s="66">
        <f t="shared" si="12"/>
        <v>0</v>
      </c>
    </row>
    <row r="85" spans="1:11" ht="15" customHeight="1">
      <c r="A85" s="68">
        <f>'Members Data'!A77</f>
        <v>0</v>
      </c>
      <c r="B85" s="183"/>
      <c r="C85" s="184"/>
      <c r="D85" s="184"/>
      <c r="E85" s="184"/>
      <c r="F85" s="184"/>
      <c r="G85" s="184"/>
      <c r="H85" s="185"/>
      <c r="I85" s="65">
        <f t="shared" si="10"/>
        <v>0</v>
      </c>
      <c r="J85" s="65">
        <f t="shared" si="11"/>
        <v>0</v>
      </c>
      <c r="K85" s="66">
        <f t="shared" si="12"/>
        <v>0</v>
      </c>
    </row>
    <row r="86" spans="1:11" ht="15" customHeight="1">
      <c r="A86" s="68">
        <f>'Members Data'!A78</f>
        <v>0</v>
      </c>
      <c r="B86" s="183"/>
      <c r="C86" s="184"/>
      <c r="D86" s="184"/>
      <c r="E86" s="184"/>
      <c r="F86" s="184"/>
      <c r="G86" s="184"/>
      <c r="H86" s="185"/>
      <c r="I86" s="65">
        <f t="shared" si="10"/>
        <v>0</v>
      </c>
      <c r="J86" s="65">
        <f t="shared" si="11"/>
        <v>0</v>
      </c>
      <c r="K86" s="66">
        <f t="shared" si="12"/>
        <v>0</v>
      </c>
    </row>
    <row r="87" spans="1:11" ht="15" customHeight="1">
      <c r="A87" s="68">
        <f>'Members Data'!A79</f>
        <v>0</v>
      </c>
      <c r="B87" s="183"/>
      <c r="C87" s="184"/>
      <c r="D87" s="184"/>
      <c r="E87" s="184"/>
      <c r="F87" s="184"/>
      <c r="G87" s="184"/>
      <c r="H87" s="185"/>
      <c r="I87" s="65">
        <f t="shared" si="10"/>
        <v>0</v>
      </c>
      <c r="J87" s="65">
        <f t="shared" si="11"/>
        <v>0</v>
      </c>
      <c r="K87" s="66">
        <f t="shared" si="12"/>
        <v>0</v>
      </c>
    </row>
    <row r="88" spans="1:11" ht="15" customHeight="1">
      <c r="A88" s="68">
        <f>'Members Data'!A80</f>
        <v>0</v>
      </c>
      <c r="B88" s="183"/>
      <c r="C88" s="184"/>
      <c r="D88" s="184"/>
      <c r="E88" s="184"/>
      <c r="F88" s="184"/>
      <c r="G88" s="184"/>
      <c r="H88" s="185"/>
      <c r="I88" s="65">
        <f t="shared" si="10"/>
        <v>0</v>
      </c>
      <c r="J88" s="65">
        <f t="shared" si="11"/>
        <v>0</v>
      </c>
      <c r="K88" s="66">
        <f t="shared" si="12"/>
        <v>0</v>
      </c>
    </row>
    <row r="89" spans="1:11" ht="15" customHeight="1">
      <c r="A89" s="68">
        <f>'Members Data'!A81</f>
        <v>0</v>
      </c>
      <c r="B89" s="183"/>
      <c r="C89" s="184"/>
      <c r="D89" s="184"/>
      <c r="E89" s="184"/>
      <c r="F89" s="184"/>
      <c r="G89" s="184"/>
      <c r="H89" s="185"/>
      <c r="I89" s="65">
        <f t="shared" si="10"/>
        <v>0</v>
      </c>
      <c r="J89" s="65">
        <f t="shared" si="11"/>
        <v>0</v>
      </c>
      <c r="K89" s="66">
        <f t="shared" si="12"/>
        <v>0</v>
      </c>
    </row>
    <row r="90" spans="1:11" ht="15" customHeight="1">
      <c r="A90" s="68">
        <f>'Members Data'!A82</f>
        <v>0</v>
      </c>
      <c r="B90" s="183"/>
      <c r="C90" s="184"/>
      <c r="D90" s="184"/>
      <c r="E90" s="184"/>
      <c r="F90" s="184"/>
      <c r="G90" s="184"/>
      <c r="H90" s="185"/>
      <c r="I90" s="65">
        <f t="shared" si="10"/>
        <v>0</v>
      </c>
      <c r="J90" s="65">
        <f t="shared" si="11"/>
        <v>0</v>
      </c>
      <c r="K90" s="66">
        <f t="shared" si="12"/>
        <v>0</v>
      </c>
    </row>
    <row r="91" spans="1:11" ht="15" customHeight="1">
      <c r="A91" s="68">
        <f>'Members Data'!A83</f>
        <v>0</v>
      </c>
      <c r="B91" s="183"/>
      <c r="C91" s="184"/>
      <c r="D91" s="184"/>
      <c r="E91" s="184"/>
      <c r="F91" s="184"/>
      <c r="G91" s="184"/>
      <c r="H91" s="185"/>
      <c r="I91" s="65">
        <f t="shared" si="10"/>
        <v>0</v>
      </c>
      <c r="J91" s="65">
        <f t="shared" si="11"/>
        <v>0</v>
      </c>
      <c r="K91" s="66">
        <f t="shared" si="12"/>
        <v>0</v>
      </c>
    </row>
    <row r="92" spans="1:11" ht="15" customHeight="1">
      <c r="A92" s="68">
        <f>'Members Data'!A84</f>
        <v>0</v>
      </c>
      <c r="B92" s="183"/>
      <c r="C92" s="184"/>
      <c r="D92" s="184"/>
      <c r="E92" s="184"/>
      <c r="F92" s="184"/>
      <c r="G92" s="184"/>
      <c r="H92" s="185"/>
      <c r="I92" s="65">
        <f t="shared" si="10"/>
        <v>0</v>
      </c>
      <c r="J92" s="65">
        <f t="shared" si="11"/>
        <v>0</v>
      </c>
      <c r="K92" s="66">
        <f t="shared" si="12"/>
        <v>0</v>
      </c>
    </row>
    <row r="93" spans="1:11" ht="15" customHeight="1">
      <c r="A93" s="68">
        <f>'Members Data'!A85</f>
        <v>0</v>
      </c>
      <c r="B93" s="183"/>
      <c r="C93" s="184"/>
      <c r="D93" s="184"/>
      <c r="E93" s="184"/>
      <c r="F93" s="184"/>
      <c r="G93" s="184"/>
      <c r="H93" s="185"/>
      <c r="I93" s="65">
        <f t="shared" si="10"/>
        <v>0</v>
      </c>
      <c r="J93" s="65">
        <f t="shared" si="11"/>
        <v>0</v>
      </c>
      <c r="K93" s="66">
        <f t="shared" si="12"/>
        <v>0</v>
      </c>
    </row>
    <row r="94" spans="1:11" ht="15" customHeight="1">
      <c r="A94" s="68">
        <f>'Members Data'!A86</f>
        <v>0</v>
      </c>
      <c r="B94" s="183"/>
      <c r="C94" s="184"/>
      <c r="D94" s="184"/>
      <c r="E94" s="184"/>
      <c r="F94" s="184"/>
      <c r="G94" s="184"/>
      <c r="H94" s="185"/>
      <c r="I94" s="65">
        <f t="shared" si="10"/>
        <v>0</v>
      </c>
      <c r="J94" s="65">
        <f t="shared" si="11"/>
        <v>0</v>
      </c>
      <c r="K94" s="66">
        <f t="shared" si="12"/>
        <v>0</v>
      </c>
    </row>
    <row r="95" spans="1:11" ht="15" customHeight="1">
      <c r="A95" s="68">
        <f>'Members Data'!A87</f>
        <v>0</v>
      </c>
      <c r="B95" s="183"/>
      <c r="C95" s="184"/>
      <c r="D95" s="184"/>
      <c r="E95" s="184"/>
      <c r="F95" s="184"/>
      <c r="G95" s="184"/>
      <c r="H95" s="185"/>
      <c r="I95" s="65">
        <f t="shared" si="10"/>
        <v>0</v>
      </c>
      <c r="J95" s="65">
        <f t="shared" si="11"/>
        <v>0</v>
      </c>
      <c r="K95" s="66">
        <f t="shared" si="12"/>
        <v>0</v>
      </c>
    </row>
    <row r="96" spans="1:11" ht="15" customHeight="1">
      <c r="A96" s="68">
        <f>'Members Data'!A88</f>
        <v>0</v>
      </c>
      <c r="B96" s="183"/>
      <c r="C96" s="184"/>
      <c r="D96" s="184"/>
      <c r="E96" s="184"/>
      <c r="F96" s="184"/>
      <c r="G96" s="184"/>
      <c r="H96" s="185"/>
      <c r="I96" s="65">
        <f t="shared" si="10"/>
        <v>0</v>
      </c>
      <c r="J96" s="65">
        <f t="shared" si="11"/>
        <v>0</v>
      </c>
      <c r="K96" s="66">
        <f t="shared" si="12"/>
        <v>0</v>
      </c>
    </row>
    <row r="97" spans="1:11" ht="15" customHeight="1">
      <c r="A97" s="68">
        <f>'Members Data'!A89</f>
        <v>0</v>
      </c>
      <c r="B97" s="183"/>
      <c r="C97" s="184"/>
      <c r="D97" s="184"/>
      <c r="E97" s="184"/>
      <c r="F97" s="184"/>
      <c r="G97" s="184"/>
      <c r="H97" s="185"/>
      <c r="I97" s="65">
        <f t="shared" si="10"/>
        <v>0</v>
      </c>
      <c r="J97" s="65">
        <f t="shared" si="11"/>
        <v>0</v>
      </c>
      <c r="K97" s="66">
        <f t="shared" si="12"/>
        <v>0</v>
      </c>
    </row>
    <row r="98" spans="1:11" ht="15" customHeight="1">
      <c r="A98" s="68">
        <f>'Members Data'!A90</f>
        <v>0</v>
      </c>
      <c r="B98" s="183"/>
      <c r="C98" s="184"/>
      <c r="D98" s="184"/>
      <c r="E98" s="184"/>
      <c r="F98" s="184"/>
      <c r="G98" s="184"/>
      <c r="H98" s="185"/>
      <c r="I98" s="65">
        <f t="shared" si="10"/>
        <v>0</v>
      </c>
      <c r="J98" s="65">
        <f t="shared" si="11"/>
        <v>0</v>
      </c>
      <c r="K98" s="66">
        <f t="shared" si="12"/>
        <v>0</v>
      </c>
    </row>
    <row r="99" spans="1:11" ht="15" customHeight="1">
      <c r="A99" s="68">
        <f>'Members Data'!A91</f>
        <v>0</v>
      </c>
      <c r="B99" s="183"/>
      <c r="C99" s="184"/>
      <c r="D99" s="184"/>
      <c r="E99" s="184"/>
      <c r="F99" s="184"/>
      <c r="G99" s="184"/>
      <c r="H99" s="185"/>
      <c r="I99" s="65">
        <f t="shared" si="10"/>
        <v>0</v>
      </c>
      <c r="J99" s="65">
        <f t="shared" si="11"/>
        <v>0</v>
      </c>
      <c r="K99" s="66">
        <f t="shared" si="12"/>
        <v>0</v>
      </c>
    </row>
    <row r="100" spans="1:11" ht="15" customHeight="1">
      <c r="A100" s="68">
        <f>'Members Data'!A92</f>
        <v>0</v>
      </c>
      <c r="B100" s="183"/>
      <c r="C100" s="184"/>
      <c r="D100" s="184"/>
      <c r="E100" s="184"/>
      <c r="F100" s="184"/>
      <c r="G100" s="184"/>
      <c r="H100" s="185"/>
      <c r="I100" s="65">
        <f t="shared" si="10"/>
        <v>0</v>
      </c>
      <c r="J100" s="65">
        <f t="shared" si="11"/>
        <v>0</v>
      </c>
      <c r="K100" s="66">
        <f t="shared" si="12"/>
        <v>0</v>
      </c>
    </row>
    <row r="101" spans="1:11" ht="15" customHeight="1">
      <c r="A101" s="68">
        <f>'Members Data'!A93</f>
        <v>0</v>
      </c>
      <c r="B101" s="183"/>
      <c r="C101" s="184"/>
      <c r="D101" s="184"/>
      <c r="E101" s="184"/>
      <c r="F101" s="184"/>
      <c r="G101" s="184"/>
      <c r="H101" s="185"/>
      <c r="I101" s="65">
        <f t="shared" si="10"/>
        <v>0</v>
      </c>
      <c r="J101" s="65">
        <f t="shared" si="11"/>
        <v>0</v>
      </c>
      <c r="K101" s="66">
        <f t="shared" si="12"/>
        <v>0</v>
      </c>
    </row>
    <row r="102" spans="1:11" ht="15" customHeight="1">
      <c r="A102" s="68">
        <f>'Members Data'!A94</f>
        <v>0</v>
      </c>
      <c r="B102" s="183"/>
      <c r="C102" s="184"/>
      <c r="D102" s="184"/>
      <c r="E102" s="184"/>
      <c r="F102" s="184"/>
      <c r="G102" s="184"/>
      <c r="H102" s="185"/>
      <c r="I102" s="65">
        <f t="shared" si="10"/>
        <v>0</v>
      </c>
      <c r="J102" s="65">
        <f t="shared" si="11"/>
        <v>0</v>
      </c>
      <c r="K102" s="66">
        <f t="shared" si="12"/>
        <v>0</v>
      </c>
    </row>
    <row r="103" spans="1:11" ht="15" customHeight="1">
      <c r="A103" s="68">
        <f>'Members Data'!A95</f>
        <v>0</v>
      </c>
      <c r="B103" s="183"/>
      <c r="C103" s="184"/>
      <c r="D103" s="184"/>
      <c r="E103" s="184"/>
      <c r="F103" s="184"/>
      <c r="G103" s="184"/>
      <c r="H103" s="185"/>
      <c r="I103" s="65">
        <f t="shared" si="10"/>
        <v>0</v>
      </c>
      <c r="J103" s="65">
        <f t="shared" si="11"/>
        <v>0</v>
      </c>
      <c r="K103" s="66">
        <f t="shared" si="12"/>
        <v>0</v>
      </c>
    </row>
    <row r="104" spans="1:11" ht="15" customHeight="1">
      <c r="A104" s="68">
        <f>'Members Data'!A96</f>
        <v>0</v>
      </c>
      <c r="B104" s="183"/>
      <c r="C104" s="184"/>
      <c r="D104" s="184"/>
      <c r="E104" s="184"/>
      <c r="F104" s="184"/>
      <c r="G104" s="184"/>
      <c r="H104" s="185"/>
      <c r="I104" s="65">
        <f t="shared" si="10"/>
        <v>0</v>
      </c>
      <c r="J104" s="65">
        <f t="shared" si="11"/>
        <v>0</v>
      </c>
      <c r="K104" s="66">
        <f t="shared" si="12"/>
        <v>0</v>
      </c>
    </row>
    <row r="105" spans="1:11" ht="15" customHeight="1">
      <c r="A105" s="68">
        <f>'Members Data'!A97</f>
        <v>0</v>
      </c>
      <c r="B105" s="183"/>
      <c r="C105" s="184"/>
      <c r="D105" s="184"/>
      <c r="E105" s="184"/>
      <c r="F105" s="184"/>
      <c r="G105" s="184"/>
      <c r="H105" s="185"/>
      <c r="I105" s="65">
        <f t="shared" si="10"/>
        <v>0</v>
      </c>
      <c r="J105" s="65">
        <f t="shared" si="11"/>
        <v>0</v>
      </c>
      <c r="K105" s="66">
        <f t="shared" si="12"/>
        <v>0</v>
      </c>
    </row>
    <row r="106" spans="1:11" ht="15" customHeight="1">
      <c r="A106" s="68">
        <f>'Members Data'!A98</f>
        <v>0</v>
      </c>
      <c r="B106" s="183"/>
      <c r="C106" s="184"/>
      <c r="D106" s="184"/>
      <c r="E106" s="184"/>
      <c r="F106" s="184"/>
      <c r="G106" s="184"/>
      <c r="H106" s="185"/>
      <c r="I106" s="65">
        <f t="shared" si="10"/>
        <v>0</v>
      </c>
      <c r="J106" s="65">
        <f t="shared" si="11"/>
        <v>0</v>
      </c>
      <c r="K106" s="66">
        <f t="shared" si="12"/>
        <v>0</v>
      </c>
    </row>
    <row r="107" spans="1:11" ht="15" customHeight="1">
      <c r="A107" s="68">
        <f>'Members Data'!A99</f>
        <v>0</v>
      </c>
      <c r="B107" s="183"/>
      <c r="C107" s="184"/>
      <c r="D107" s="184"/>
      <c r="E107" s="184"/>
      <c r="F107" s="184"/>
      <c r="G107" s="184"/>
      <c r="H107" s="185"/>
      <c r="I107" s="65">
        <f t="shared" si="10"/>
        <v>0</v>
      </c>
      <c r="J107" s="65">
        <f t="shared" si="11"/>
        <v>0</v>
      </c>
      <c r="K107" s="66">
        <f t="shared" si="12"/>
        <v>0</v>
      </c>
    </row>
    <row r="108" spans="1:11" ht="15" customHeight="1" thickBot="1">
      <c r="A108" s="134">
        <f>'Members Data'!A100</f>
        <v>0</v>
      </c>
      <c r="B108" s="192"/>
      <c r="C108" s="193"/>
      <c r="D108" s="193"/>
      <c r="E108" s="193"/>
      <c r="F108" s="193"/>
      <c r="G108" s="193"/>
      <c r="H108" s="194"/>
      <c r="I108" s="70">
        <f t="shared" si="10"/>
        <v>0</v>
      </c>
      <c r="J108" s="70">
        <f t="shared" si="11"/>
        <v>0</v>
      </c>
      <c r="K108" s="71">
        <f t="shared" si="12"/>
        <v>0</v>
      </c>
    </row>
  </sheetData>
  <mergeCells count="3">
    <mergeCell ref="I1:I9"/>
    <mergeCell ref="J1:J9"/>
    <mergeCell ref="K1:K9"/>
  </mergeCells>
  <conditionalFormatting sqref="A10:A108">
    <cfRule type="expression" dxfId="11" priority="4" stopIfTrue="1">
      <formula>IF(K10&gt;0,TRUE)</formula>
    </cfRule>
    <cfRule type="expression" dxfId="10" priority="5" stopIfTrue="1">
      <formula>IF(SUM(I10:J10)&gt;1,TRUE)</formula>
    </cfRule>
    <cfRule type="expression" dxfId="9" priority="6" stopIfTrue="1">
      <formula>IF(SUM(I10:J10)&lt;2,TRUE)</formula>
    </cfRule>
  </conditionalFormatting>
  <conditionalFormatting sqref="A97:A108">
    <cfRule type="expression" dxfId="8" priority="1" stopIfTrue="1">
      <formula>IF(K97&gt;0,TRUE)</formula>
    </cfRule>
    <cfRule type="expression" dxfId="7" priority="2" stopIfTrue="1">
      <formula>IF(SUM(I97:J97)&gt;1,TRUE)</formula>
    </cfRule>
    <cfRule type="expression" dxfId="6" priority="3" stopIfTrue="1">
      <formula>IF(SUM(I97:J97)&lt;2,TRUE)</formula>
    </cfRule>
  </conditionalFormatting>
  <dataValidations count="2">
    <dataValidation type="list" operator="equal" showErrorMessage="1" sqref="N5:N9 B10:H108">
      <formula1>"Invited,Confirmed,Standby,Out"</formula1>
      <formula2>0</formula2>
    </dataValidation>
    <dataValidation type="list" operator="equal" sqref="B4:H4">
      <formula1>"??,10,25"</formula1>
      <formula2>0</formula2>
    </dataValidation>
  </dataValidations>
  <pageMargins left="0.78749999999999998" right="0.78749999999999998" top="1.0527777777777778" bottom="1.0527777777777778" header="0.78749999999999998" footer="0.78749999999999998"/>
  <pageSetup paperSize="9" firstPageNumber="0" orientation="portrait" horizontalDpi="300" verticalDpi="300" r:id="rId1"/>
  <headerFooter alignWithMargins="0">
    <oddHeader>&amp;C&amp;"Times New Roman,Regular"&amp;12&amp;A</oddHeader>
    <oddFooter>&amp;C&amp;"Times New Roman,Regular"&amp;12Page &amp;P</oddFoot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>
  <dimension ref="A1:N108"/>
  <sheetViews>
    <sheetView zoomScale="101" zoomScaleNormal="101" workbookViewId="0">
      <pane xSplit="1" ySplit="9" topLeftCell="B10" activePane="bottomRight" state="frozen"/>
      <selection activeCell="F51" sqref="F47:F51"/>
      <selection pane="topRight" activeCell="F51" sqref="F47:F51"/>
      <selection pane="bottomLeft" activeCell="F51" sqref="F47:F51"/>
      <selection pane="bottomRight" activeCell="I1" sqref="I1:L1048576"/>
    </sheetView>
  </sheetViews>
  <sheetFormatPr defaultColWidth="8.7109375" defaultRowHeight="15" customHeight="1"/>
  <cols>
    <col min="1" max="1" width="14" style="1" customWidth="1"/>
    <col min="2" max="8" width="11.140625" style="1" customWidth="1"/>
    <col min="9" max="11" width="10.28515625" style="1" customWidth="1"/>
    <col min="12" max="16384" width="8.7109375" style="1"/>
  </cols>
  <sheetData>
    <row r="1" spans="1:14" ht="33" customHeight="1" thickBot="1">
      <c r="A1" s="49" t="s">
        <v>19</v>
      </c>
      <c r="B1" s="50" t="s">
        <v>43</v>
      </c>
      <c r="C1" s="50" t="s">
        <v>163</v>
      </c>
      <c r="D1" s="50" t="s">
        <v>45</v>
      </c>
      <c r="E1" s="50" t="s">
        <v>46</v>
      </c>
      <c r="F1" s="50" t="s">
        <v>47</v>
      </c>
      <c r="G1" s="50" t="s">
        <v>48</v>
      </c>
      <c r="H1" s="50" t="s">
        <v>49</v>
      </c>
      <c r="I1" s="534" t="s">
        <v>27</v>
      </c>
      <c r="J1" s="534" t="s">
        <v>28</v>
      </c>
      <c r="K1" s="537" t="s">
        <v>29</v>
      </c>
    </row>
    <row r="2" spans="1:14" ht="15.75" customHeight="1" thickBot="1">
      <c r="A2" s="49" t="s">
        <v>30</v>
      </c>
      <c r="B2" s="204">
        <f>'wk3'!H2+1</f>
        <v>41997</v>
      </c>
      <c r="C2" s="195">
        <f>B2+1</f>
        <v>41998</v>
      </c>
      <c r="D2" s="195">
        <f t="shared" ref="D2:H2" si="0">C2+1</f>
        <v>41999</v>
      </c>
      <c r="E2" s="195">
        <f t="shared" si="0"/>
        <v>42000</v>
      </c>
      <c r="F2" s="195">
        <f t="shared" si="0"/>
        <v>42001</v>
      </c>
      <c r="G2" s="195">
        <f t="shared" si="0"/>
        <v>42002</v>
      </c>
      <c r="H2" s="196">
        <f t="shared" si="0"/>
        <v>42003</v>
      </c>
      <c r="I2" s="535"/>
      <c r="J2" s="535"/>
      <c r="K2" s="538"/>
    </row>
    <row r="3" spans="1:14" ht="15.75" customHeight="1" thickBot="1">
      <c r="A3" s="49" t="s">
        <v>31</v>
      </c>
      <c r="B3" s="55"/>
      <c r="C3" s="56"/>
      <c r="D3" s="56"/>
      <c r="E3" s="56"/>
      <c r="F3" s="56"/>
      <c r="G3" s="56"/>
      <c r="H3" s="57"/>
      <c r="I3" s="535"/>
      <c r="J3" s="535"/>
      <c r="K3" s="538"/>
    </row>
    <row r="4" spans="1:14" ht="15.75" customHeight="1" thickBot="1">
      <c r="A4" s="49" t="s">
        <v>32</v>
      </c>
      <c r="B4" s="197"/>
      <c r="C4" s="56"/>
      <c r="D4" s="56"/>
      <c r="E4" s="56"/>
      <c r="F4" s="56"/>
      <c r="G4" s="56"/>
      <c r="H4" s="57"/>
      <c r="I4" s="535"/>
      <c r="J4" s="535"/>
      <c r="K4" s="538"/>
    </row>
    <row r="5" spans="1:14" ht="30.75" customHeight="1" thickBot="1">
      <c r="A5" s="49" t="s">
        <v>33</v>
      </c>
      <c r="B5" s="59"/>
      <c r="C5" s="60"/>
      <c r="D5" s="60"/>
      <c r="E5" s="60"/>
      <c r="F5" s="60"/>
      <c r="G5" s="60"/>
      <c r="H5" s="61"/>
      <c r="I5" s="535"/>
      <c r="J5" s="535"/>
      <c r="K5" s="538"/>
      <c r="N5" s="64"/>
    </row>
    <row r="6" spans="1:14" ht="30.75" customHeight="1" thickBot="1">
      <c r="A6" s="49" t="s">
        <v>144</v>
      </c>
      <c r="B6" s="351"/>
      <c r="C6" s="351"/>
      <c r="D6" s="351"/>
      <c r="E6" s="351"/>
      <c r="F6" s="351"/>
      <c r="G6" s="351"/>
      <c r="H6" s="352"/>
      <c r="I6" s="535"/>
      <c r="J6" s="535"/>
      <c r="K6" s="538"/>
      <c r="N6" s="64"/>
    </row>
    <row r="7" spans="1:14">
      <c r="A7" s="49" t="s">
        <v>35</v>
      </c>
      <c r="B7" s="198">
        <f t="shared" ref="B7:H7" si="1">COUNTIF(B10:B69,"Confirmed")</f>
        <v>0</v>
      </c>
      <c r="C7" s="198">
        <f t="shared" si="1"/>
        <v>0</v>
      </c>
      <c r="D7" s="198">
        <f t="shared" si="1"/>
        <v>0</v>
      </c>
      <c r="E7" s="198">
        <f t="shared" si="1"/>
        <v>0</v>
      </c>
      <c r="F7" s="198">
        <f t="shared" si="1"/>
        <v>0</v>
      </c>
      <c r="G7" s="198">
        <f t="shared" si="1"/>
        <v>0</v>
      </c>
      <c r="H7" s="199">
        <f t="shared" si="1"/>
        <v>0</v>
      </c>
      <c r="I7" s="535"/>
      <c r="J7" s="535"/>
      <c r="K7" s="538"/>
      <c r="N7" s="64"/>
    </row>
    <row r="8" spans="1:14">
      <c r="A8" s="53" t="s">
        <v>34</v>
      </c>
      <c r="B8" s="200">
        <f t="shared" ref="B8:H8" si="2">COUNTIF(B10:B69,"Standby")</f>
        <v>0</v>
      </c>
      <c r="C8" s="200">
        <f t="shared" si="2"/>
        <v>0</v>
      </c>
      <c r="D8" s="200">
        <f t="shared" si="2"/>
        <v>0</v>
      </c>
      <c r="E8" s="200">
        <f t="shared" si="2"/>
        <v>0</v>
      </c>
      <c r="F8" s="200">
        <f t="shared" si="2"/>
        <v>0</v>
      </c>
      <c r="G8" s="200">
        <f t="shared" si="2"/>
        <v>0</v>
      </c>
      <c r="H8" s="201">
        <f t="shared" si="2"/>
        <v>0</v>
      </c>
      <c r="I8" s="535"/>
      <c r="J8" s="535"/>
      <c r="K8" s="538"/>
      <c r="N8" s="64"/>
    </row>
    <row r="9" spans="1:14" ht="15.75" thickBot="1">
      <c r="A9" s="58" t="s">
        <v>26</v>
      </c>
      <c r="B9" s="202">
        <f t="shared" ref="B9:H9" si="3">COUNTIF(B10:B69,"Out")</f>
        <v>0</v>
      </c>
      <c r="C9" s="202">
        <f t="shared" si="3"/>
        <v>0</v>
      </c>
      <c r="D9" s="202">
        <f t="shared" si="3"/>
        <v>0</v>
      </c>
      <c r="E9" s="202">
        <f t="shared" si="3"/>
        <v>0</v>
      </c>
      <c r="F9" s="202">
        <f t="shared" si="3"/>
        <v>0</v>
      </c>
      <c r="G9" s="202">
        <f t="shared" si="3"/>
        <v>0</v>
      </c>
      <c r="H9" s="203">
        <f t="shared" si="3"/>
        <v>0</v>
      </c>
      <c r="I9" s="536"/>
      <c r="J9" s="536"/>
      <c r="K9" s="539"/>
      <c r="N9" s="64"/>
    </row>
    <row r="10" spans="1:14" ht="15" customHeight="1">
      <c r="A10" s="5" t="str">
        <f>'Members Data'!A2</f>
        <v>Ablon</v>
      </c>
      <c r="B10" s="180"/>
      <c r="C10" s="181"/>
      <c r="D10" s="181"/>
      <c r="E10" s="181"/>
      <c r="F10" s="181"/>
      <c r="G10" s="181"/>
      <c r="H10" s="182"/>
      <c r="I10" s="62">
        <f t="shared" ref="I10:I41" si="4">COUNTIF(B10:H10,"confirmed")</f>
        <v>0</v>
      </c>
      <c r="J10" s="62">
        <f t="shared" ref="J10:J41" si="5">COUNTIF(B10:H10,"standby")</f>
        <v>0</v>
      </c>
      <c r="K10" s="63">
        <f t="shared" ref="K10:K41" si="6">COUNTIF(B10:H10,"out")</f>
        <v>0</v>
      </c>
      <c r="N10" s="64"/>
    </row>
    <row r="11" spans="1:14" ht="15" customHeight="1">
      <c r="A11" s="9">
        <f>'Members Data'!A3</f>
        <v>0</v>
      </c>
      <c r="B11" s="183"/>
      <c r="C11" s="184"/>
      <c r="D11" s="184"/>
      <c r="E11" s="184"/>
      <c r="F11" s="184"/>
      <c r="G11" s="184"/>
      <c r="H11" s="185"/>
      <c r="I11" s="12">
        <f t="shared" si="4"/>
        <v>0</v>
      </c>
      <c r="J11" s="12">
        <f t="shared" si="5"/>
        <v>0</v>
      </c>
      <c r="K11" s="13">
        <f t="shared" si="6"/>
        <v>0</v>
      </c>
      <c r="M11"/>
      <c r="N11"/>
    </row>
    <row r="12" spans="1:14" ht="15" customHeight="1">
      <c r="A12" s="9" t="str">
        <f>'Members Data'!A4</f>
        <v>Akilta</v>
      </c>
      <c r="B12" s="183"/>
      <c r="C12" s="184"/>
      <c r="D12" s="184"/>
      <c r="E12" s="184"/>
      <c r="F12" s="184"/>
      <c r="G12" s="184"/>
      <c r="H12" s="185"/>
      <c r="I12" s="12">
        <f t="shared" si="4"/>
        <v>0</v>
      </c>
      <c r="J12" s="12">
        <f t="shared" si="5"/>
        <v>0</v>
      </c>
      <c r="K12" s="13">
        <f t="shared" si="6"/>
        <v>0</v>
      </c>
      <c r="M12"/>
      <c r="N12"/>
    </row>
    <row r="13" spans="1:14" ht="15" customHeight="1">
      <c r="A13" s="9" t="str">
        <f>'Members Data'!A5</f>
        <v>Altrezza</v>
      </c>
      <c r="B13" s="183"/>
      <c r="C13" s="184"/>
      <c r="D13" s="184"/>
      <c r="E13" s="184"/>
      <c r="F13" s="184"/>
      <c r="G13" s="184"/>
      <c r="H13" s="185"/>
      <c r="I13" s="12">
        <f t="shared" si="4"/>
        <v>0</v>
      </c>
      <c r="J13" s="12">
        <f t="shared" si="5"/>
        <v>0</v>
      </c>
      <c r="K13" s="13">
        <f t="shared" si="6"/>
        <v>0</v>
      </c>
      <c r="M13"/>
      <c r="N13"/>
    </row>
    <row r="14" spans="1:14" ht="15" customHeight="1">
      <c r="A14" s="9" t="str">
        <f>'Members Data'!A6</f>
        <v>Amaras</v>
      </c>
      <c r="B14" s="183"/>
      <c r="C14" s="215"/>
      <c r="D14" s="215"/>
      <c r="E14" s="184"/>
      <c r="F14" s="184"/>
      <c r="G14" s="184"/>
      <c r="H14" s="185"/>
      <c r="I14" s="12">
        <f t="shared" si="4"/>
        <v>0</v>
      </c>
      <c r="J14" s="12">
        <f t="shared" si="5"/>
        <v>0</v>
      </c>
      <c r="K14" s="13">
        <f t="shared" si="6"/>
        <v>0</v>
      </c>
      <c r="M14"/>
      <c r="N14"/>
    </row>
    <row r="15" spans="1:14" ht="15" customHeight="1">
      <c r="A15" s="9" t="str">
        <f>'Members Data'!A7</f>
        <v>Angelhoof</v>
      </c>
      <c r="B15" s="183"/>
      <c r="C15" s="217"/>
      <c r="D15" s="217"/>
      <c r="E15" s="184"/>
      <c r="F15" s="184"/>
      <c r="G15" s="184"/>
      <c r="H15" s="185"/>
      <c r="I15" s="12">
        <f t="shared" si="4"/>
        <v>0</v>
      </c>
      <c r="J15" s="12">
        <f t="shared" si="5"/>
        <v>0</v>
      </c>
      <c r="K15" s="13">
        <f t="shared" si="6"/>
        <v>0</v>
      </c>
      <c r="M15"/>
      <c r="N15"/>
    </row>
    <row r="16" spans="1:14" ht="15" customHeight="1">
      <c r="A16" s="9" t="str">
        <f>'Members Data'!A8</f>
        <v>Ánja</v>
      </c>
      <c r="B16" s="214"/>
      <c r="C16" s="217"/>
      <c r="D16" s="217"/>
      <c r="E16" s="184"/>
      <c r="F16" s="184"/>
      <c r="G16" s="184"/>
      <c r="H16" s="185"/>
      <c r="I16" s="12">
        <f t="shared" si="4"/>
        <v>0</v>
      </c>
      <c r="J16" s="12">
        <f t="shared" si="5"/>
        <v>0</v>
      </c>
      <c r="K16" s="13">
        <f t="shared" si="6"/>
        <v>0</v>
      </c>
      <c r="M16"/>
      <c r="N16"/>
    </row>
    <row r="17" spans="1:14" ht="15" customHeight="1">
      <c r="A17" s="9" t="str">
        <f>'Members Data'!A9</f>
        <v>Asch</v>
      </c>
      <c r="B17" s="214"/>
      <c r="C17" s="217"/>
      <c r="D17" s="217"/>
      <c r="E17" s="215"/>
      <c r="F17" s="184"/>
      <c r="G17" s="184"/>
      <c r="H17" s="185"/>
      <c r="I17" s="12">
        <f t="shared" si="4"/>
        <v>0</v>
      </c>
      <c r="J17" s="12">
        <f t="shared" si="5"/>
        <v>0</v>
      </c>
      <c r="K17" s="13">
        <f t="shared" si="6"/>
        <v>0</v>
      </c>
      <c r="M17"/>
      <c r="N17"/>
    </row>
    <row r="18" spans="1:14" ht="15" customHeight="1">
      <c r="A18" s="9" t="str">
        <f>'Members Data'!A10</f>
        <v>Avane</v>
      </c>
      <c r="B18" s="183"/>
      <c r="C18" s="184"/>
      <c r="D18" s="184"/>
      <c r="E18" s="217"/>
      <c r="F18" s="183"/>
      <c r="G18" s="184"/>
      <c r="H18" s="185"/>
      <c r="I18" s="12">
        <f t="shared" si="4"/>
        <v>0</v>
      </c>
      <c r="J18" s="12">
        <f t="shared" si="5"/>
        <v>0</v>
      </c>
      <c r="K18" s="13">
        <f t="shared" si="6"/>
        <v>0</v>
      </c>
      <c r="M18"/>
      <c r="N18"/>
    </row>
    <row r="19" spans="1:14" ht="15" customHeight="1">
      <c r="A19" s="9" t="str">
        <f>'Members Data'!A11</f>
        <v>Beargrels</v>
      </c>
      <c r="B19" s="183"/>
      <c r="C19" s="316"/>
      <c r="D19" s="316"/>
      <c r="E19" s="217"/>
      <c r="F19" s="183"/>
      <c r="G19" s="184"/>
      <c r="H19" s="185"/>
      <c r="I19" s="12">
        <f t="shared" si="4"/>
        <v>0</v>
      </c>
      <c r="J19" s="12">
        <f t="shared" si="5"/>
        <v>0</v>
      </c>
      <c r="K19" s="13">
        <f t="shared" si="6"/>
        <v>0</v>
      </c>
      <c r="M19"/>
      <c r="N19"/>
    </row>
    <row r="20" spans="1:14" ht="15" customHeight="1">
      <c r="A20" s="9" t="str">
        <f>'Members Data'!A12</f>
        <v>Blackcheeta</v>
      </c>
      <c r="B20" s="214"/>
      <c r="C20" s="217"/>
      <c r="D20" s="217"/>
      <c r="E20" s="217"/>
      <c r="F20" s="183"/>
      <c r="G20" s="184"/>
      <c r="H20" s="185"/>
      <c r="I20" s="12">
        <f t="shared" si="4"/>
        <v>0</v>
      </c>
      <c r="J20" s="12">
        <f t="shared" si="5"/>
        <v>0</v>
      </c>
      <c r="K20" s="13">
        <f t="shared" si="6"/>
        <v>0</v>
      </c>
      <c r="M20"/>
      <c r="N20"/>
    </row>
    <row r="21" spans="1:14" ht="15" customHeight="1">
      <c r="A21" s="9">
        <f>'Members Data'!A13</f>
        <v>0</v>
      </c>
      <c r="B21" s="183"/>
      <c r="C21" s="184"/>
      <c r="D21" s="184"/>
      <c r="E21" s="217"/>
      <c r="F21" s="183"/>
      <c r="G21" s="184"/>
      <c r="H21" s="185"/>
      <c r="I21" s="12">
        <f t="shared" si="4"/>
        <v>0</v>
      </c>
      <c r="J21" s="12">
        <f t="shared" si="5"/>
        <v>0</v>
      </c>
      <c r="K21" s="13">
        <f t="shared" si="6"/>
        <v>0</v>
      </c>
      <c r="M21"/>
      <c r="N21"/>
    </row>
    <row r="22" spans="1:14" ht="15" customHeight="1">
      <c r="A22" s="9" t="str">
        <f>'Members Data'!A14</f>
        <v>Brownale</v>
      </c>
      <c r="B22" s="183"/>
      <c r="C22" s="217"/>
      <c r="D22" s="217"/>
      <c r="E22" s="217"/>
      <c r="F22" s="183"/>
      <c r="G22" s="184"/>
      <c r="H22" s="185"/>
      <c r="I22" s="12">
        <f t="shared" si="4"/>
        <v>0</v>
      </c>
      <c r="J22" s="12">
        <f t="shared" si="5"/>
        <v>0</v>
      </c>
      <c r="K22" s="13">
        <f t="shared" si="6"/>
        <v>0</v>
      </c>
      <c r="M22"/>
      <c r="N22"/>
    </row>
    <row r="23" spans="1:14" ht="15" customHeight="1">
      <c r="A23" s="9">
        <f>'Members Data'!A15</f>
        <v>0</v>
      </c>
      <c r="B23" s="214"/>
      <c r="C23" s="184"/>
      <c r="D23" s="184"/>
      <c r="E23" s="217"/>
      <c r="F23" s="183"/>
      <c r="G23" s="184"/>
      <c r="H23" s="185"/>
      <c r="I23" s="12">
        <f t="shared" si="4"/>
        <v>0</v>
      </c>
      <c r="J23" s="12">
        <f t="shared" si="5"/>
        <v>0</v>
      </c>
      <c r="K23" s="13">
        <f t="shared" si="6"/>
        <v>0</v>
      </c>
      <c r="M23"/>
      <c r="N23"/>
    </row>
    <row r="24" spans="1:14" ht="15" customHeight="1">
      <c r="A24" s="9" t="str">
        <f>'Members Data'!A16</f>
        <v>Masher</v>
      </c>
      <c r="B24" s="214"/>
      <c r="C24" s="217"/>
      <c r="D24" s="217"/>
      <c r="E24" s="217"/>
      <c r="F24" s="184"/>
      <c r="G24" s="184"/>
      <c r="H24" s="185"/>
      <c r="I24" s="12">
        <f t="shared" si="4"/>
        <v>0</v>
      </c>
      <c r="J24" s="12">
        <f t="shared" si="5"/>
        <v>0</v>
      </c>
      <c r="K24" s="13">
        <f t="shared" si="6"/>
        <v>0</v>
      </c>
      <c r="M24"/>
      <c r="N24"/>
    </row>
    <row r="25" spans="1:14" ht="15" customHeight="1">
      <c r="A25" s="9" t="str">
        <f>'Members Data'!A17</f>
        <v>Dottiee</v>
      </c>
      <c r="B25" s="214"/>
      <c r="C25" s="217"/>
      <c r="D25" s="217"/>
      <c r="E25" s="217"/>
      <c r="F25" s="183"/>
      <c r="G25" s="184"/>
      <c r="H25" s="185"/>
      <c r="I25" s="12">
        <f t="shared" si="4"/>
        <v>0</v>
      </c>
      <c r="J25" s="12">
        <f t="shared" si="5"/>
        <v>0</v>
      </c>
      <c r="K25" s="13">
        <f t="shared" si="6"/>
        <v>0</v>
      </c>
      <c r="M25"/>
      <c r="N25"/>
    </row>
    <row r="26" spans="1:14" ht="15" customHeight="1">
      <c r="A26" s="9" t="str">
        <f>'Members Data'!A18</f>
        <v>Dracoar</v>
      </c>
      <c r="B26" s="183"/>
      <c r="C26" s="217"/>
      <c r="D26" s="217"/>
      <c r="E26" s="217"/>
      <c r="F26" s="183"/>
      <c r="G26" s="184"/>
      <c r="H26" s="185"/>
      <c r="I26" s="12">
        <f t="shared" si="4"/>
        <v>0</v>
      </c>
      <c r="J26" s="12">
        <f t="shared" si="5"/>
        <v>0</v>
      </c>
      <c r="K26" s="13">
        <f t="shared" si="6"/>
        <v>0</v>
      </c>
      <c r="M26"/>
      <c r="N26"/>
    </row>
    <row r="27" spans="1:14" ht="15" customHeight="1">
      <c r="A27" s="9" t="str">
        <f>'Members Data'!A19</f>
        <v>Drakodin</v>
      </c>
      <c r="B27" s="214"/>
      <c r="C27" s="217"/>
      <c r="D27" s="217"/>
      <c r="E27" s="217"/>
      <c r="F27" s="183"/>
      <c r="G27" s="184"/>
      <c r="H27" s="185"/>
      <c r="I27" s="12">
        <f t="shared" si="4"/>
        <v>0</v>
      </c>
      <c r="J27" s="12">
        <f t="shared" si="5"/>
        <v>0</v>
      </c>
      <c r="K27" s="13">
        <f t="shared" si="6"/>
        <v>0</v>
      </c>
      <c r="M27"/>
      <c r="N27"/>
    </row>
    <row r="28" spans="1:14" ht="15" customHeight="1">
      <c r="A28" s="9" t="str">
        <f>'Members Data'!A20</f>
        <v>Drugged</v>
      </c>
      <c r="B28" s="214"/>
      <c r="C28" s="184"/>
      <c r="D28" s="184"/>
      <c r="E28" s="217"/>
      <c r="F28" s="184"/>
      <c r="G28" s="184"/>
      <c r="H28" s="185"/>
      <c r="I28" s="12">
        <f t="shared" si="4"/>
        <v>0</v>
      </c>
      <c r="J28" s="12">
        <f t="shared" si="5"/>
        <v>0</v>
      </c>
      <c r="K28" s="13">
        <f t="shared" si="6"/>
        <v>0</v>
      </c>
      <c r="M28"/>
      <c r="N28"/>
    </row>
    <row r="29" spans="1:14" ht="15" customHeight="1">
      <c r="A29" s="9" t="str">
        <f>'Members Data'!A21</f>
        <v>Eárendíl</v>
      </c>
      <c r="B29" s="214"/>
      <c r="C29" s="217"/>
      <c r="D29" s="217"/>
      <c r="E29" s="217"/>
      <c r="F29" s="184"/>
      <c r="G29" s="184"/>
      <c r="H29" s="185"/>
      <c r="I29" s="12">
        <f t="shared" si="4"/>
        <v>0</v>
      </c>
      <c r="J29" s="12">
        <f t="shared" si="5"/>
        <v>0</v>
      </c>
      <c r="K29" s="13">
        <f t="shared" si="6"/>
        <v>0</v>
      </c>
      <c r="M29"/>
      <c r="N29"/>
    </row>
    <row r="30" spans="1:14" ht="15" customHeight="1">
      <c r="A30" s="9" t="str">
        <f>'Members Data'!A22</f>
        <v>Emril</v>
      </c>
      <c r="B30" s="183"/>
      <c r="C30" s="184"/>
      <c r="D30" s="184"/>
      <c r="E30" s="217"/>
      <c r="F30" s="183"/>
      <c r="G30" s="184"/>
      <c r="H30" s="185"/>
      <c r="I30" s="12">
        <f t="shared" si="4"/>
        <v>0</v>
      </c>
      <c r="J30" s="12">
        <f t="shared" si="5"/>
        <v>0</v>
      </c>
      <c r="K30" s="13">
        <f t="shared" si="6"/>
        <v>0</v>
      </c>
      <c r="M30"/>
      <c r="N30"/>
    </row>
    <row r="31" spans="1:14" ht="15" customHeight="1">
      <c r="A31" s="9" t="str">
        <f>'Members Data'!A23</f>
        <v>Halfthings</v>
      </c>
      <c r="B31" s="214"/>
      <c r="C31" s="184"/>
      <c r="D31" s="184"/>
      <c r="E31" s="217"/>
      <c r="F31" s="183"/>
      <c r="G31" s="184"/>
      <c r="H31" s="185"/>
      <c r="I31" s="12">
        <f t="shared" si="4"/>
        <v>0</v>
      </c>
      <c r="J31" s="12">
        <f t="shared" si="5"/>
        <v>0</v>
      </c>
      <c r="K31" s="13">
        <f t="shared" si="6"/>
        <v>0</v>
      </c>
      <c r="M31"/>
      <c r="N31"/>
    </row>
    <row r="32" spans="1:14" ht="15" customHeight="1">
      <c r="A32" s="9" t="str">
        <f>'Members Data'!A24</f>
        <v>Harkar</v>
      </c>
      <c r="B32" s="214"/>
      <c r="C32" s="217"/>
      <c r="D32" s="217"/>
      <c r="E32" s="217"/>
      <c r="F32" s="183"/>
      <c r="G32" s="184"/>
      <c r="H32" s="185"/>
      <c r="I32" s="12">
        <f t="shared" si="4"/>
        <v>0</v>
      </c>
      <c r="J32" s="12">
        <f t="shared" si="5"/>
        <v>0</v>
      </c>
      <c r="K32" s="13">
        <f t="shared" si="6"/>
        <v>0</v>
      </c>
    </row>
    <row r="33" spans="1:14" ht="15" customHeight="1">
      <c r="A33" s="9" t="str">
        <f>'Members Data'!A25</f>
        <v>Hlianna</v>
      </c>
      <c r="B33" s="183"/>
      <c r="C33" s="217"/>
      <c r="D33" s="217"/>
      <c r="E33" s="217"/>
      <c r="F33" s="184"/>
      <c r="G33" s="184"/>
      <c r="H33" s="185"/>
      <c r="I33" s="12">
        <f t="shared" si="4"/>
        <v>0</v>
      </c>
      <c r="J33" s="12">
        <f t="shared" si="5"/>
        <v>0</v>
      </c>
      <c r="K33" s="13">
        <f t="shared" si="6"/>
        <v>0</v>
      </c>
    </row>
    <row r="34" spans="1:14" ht="15" customHeight="1">
      <c r="A34" s="9" t="str">
        <f>'Members Data'!A26</f>
        <v>Hormones</v>
      </c>
      <c r="B34" s="183"/>
      <c r="C34" s="217"/>
      <c r="D34" s="217"/>
      <c r="E34" s="217"/>
      <c r="F34" s="184"/>
      <c r="G34" s="184"/>
      <c r="H34" s="185"/>
      <c r="I34" s="12">
        <f t="shared" si="4"/>
        <v>0</v>
      </c>
      <c r="J34" s="12">
        <f t="shared" si="5"/>
        <v>0</v>
      </c>
      <c r="K34" s="13">
        <f t="shared" si="6"/>
        <v>0</v>
      </c>
    </row>
    <row r="35" spans="1:14" ht="15" customHeight="1">
      <c r="A35" s="9" t="str">
        <f>'Members Data'!A27</f>
        <v>Hyperïon</v>
      </c>
      <c r="B35" s="214"/>
      <c r="C35" s="184"/>
      <c r="D35" s="184"/>
      <c r="E35" s="217"/>
      <c r="F35" s="184"/>
      <c r="G35" s="184"/>
      <c r="H35" s="185"/>
      <c r="I35" s="12">
        <f t="shared" si="4"/>
        <v>0</v>
      </c>
      <c r="J35" s="12">
        <f t="shared" si="5"/>
        <v>0</v>
      </c>
      <c r="K35" s="13">
        <f t="shared" si="6"/>
        <v>0</v>
      </c>
    </row>
    <row r="36" spans="1:14" ht="15" customHeight="1">
      <c r="A36" s="9" t="str">
        <f>'Members Data'!A28</f>
        <v>Hyunâ</v>
      </c>
      <c r="B36" s="315"/>
      <c r="C36" s="217"/>
      <c r="D36" s="217"/>
      <c r="E36" s="217"/>
      <c r="F36" s="184"/>
      <c r="G36" s="184"/>
      <c r="H36" s="185"/>
      <c r="I36" s="12">
        <f t="shared" si="4"/>
        <v>0</v>
      </c>
      <c r="J36" s="12">
        <f t="shared" si="5"/>
        <v>0</v>
      </c>
      <c r="K36" s="13">
        <f t="shared" si="6"/>
        <v>0</v>
      </c>
    </row>
    <row r="37" spans="1:14" ht="15" customHeight="1">
      <c r="A37" s="9" t="str">
        <f>'Members Data'!A29</f>
        <v>Izzabelle</v>
      </c>
      <c r="B37" s="183"/>
      <c r="C37" s="217"/>
      <c r="D37" s="217"/>
      <c r="E37" s="217"/>
      <c r="F37" s="183"/>
      <c r="G37" s="184"/>
      <c r="H37" s="185"/>
      <c r="I37" s="12">
        <f t="shared" si="4"/>
        <v>0</v>
      </c>
      <c r="J37" s="12">
        <f t="shared" si="5"/>
        <v>0</v>
      </c>
      <c r="K37" s="13">
        <f t="shared" si="6"/>
        <v>0</v>
      </c>
    </row>
    <row r="38" spans="1:14" ht="15" customHeight="1">
      <c r="A38" s="9" t="str">
        <f>'Members Data'!A30</f>
        <v>Jimentoez</v>
      </c>
      <c r="B38" s="214"/>
      <c r="C38" s="184"/>
      <c r="D38" s="184"/>
      <c r="E38" s="216"/>
      <c r="F38" s="184"/>
      <c r="G38" s="184"/>
      <c r="H38" s="185"/>
      <c r="I38" s="12">
        <f t="shared" si="4"/>
        <v>0</v>
      </c>
      <c r="J38" s="12">
        <f t="shared" si="5"/>
        <v>0</v>
      </c>
      <c r="K38" s="13">
        <f t="shared" si="6"/>
        <v>0</v>
      </c>
    </row>
    <row r="39" spans="1:14" ht="15" customHeight="1">
      <c r="A39" s="9" t="str">
        <f>'Members Data'!A31</f>
        <v>Judge</v>
      </c>
      <c r="B39" s="214"/>
      <c r="C39" s="217"/>
      <c r="D39" s="217"/>
      <c r="E39" s="184"/>
      <c r="F39" s="184"/>
      <c r="G39" s="184"/>
      <c r="H39" s="185"/>
      <c r="I39" s="12">
        <f t="shared" si="4"/>
        <v>0</v>
      </c>
      <c r="J39" s="12">
        <f t="shared" si="5"/>
        <v>0</v>
      </c>
      <c r="K39" s="13">
        <f t="shared" si="6"/>
        <v>0</v>
      </c>
    </row>
    <row r="40" spans="1:14" ht="15" customHeight="1">
      <c r="A40" s="9" t="str">
        <f>'Members Data'!A32</f>
        <v>Kádiz</v>
      </c>
      <c r="B40" s="214"/>
      <c r="C40" s="184"/>
      <c r="D40" s="184"/>
      <c r="E40" s="184"/>
      <c r="F40" s="184"/>
      <c r="G40" s="184"/>
      <c r="H40" s="185"/>
      <c r="I40" s="12">
        <f t="shared" si="4"/>
        <v>0</v>
      </c>
      <c r="J40" s="12">
        <f t="shared" si="5"/>
        <v>0</v>
      </c>
      <c r="K40" s="13">
        <f t="shared" si="6"/>
        <v>0</v>
      </c>
    </row>
    <row r="41" spans="1:14" ht="15" customHeight="1">
      <c r="A41" s="9" t="str">
        <f>'Members Data'!A33</f>
        <v>Kanoni</v>
      </c>
      <c r="B41" s="183"/>
      <c r="C41" s="217"/>
      <c r="D41" s="184"/>
      <c r="E41" s="184"/>
      <c r="F41" s="184"/>
      <c r="G41" s="184"/>
      <c r="H41" s="185"/>
      <c r="I41" s="12">
        <f t="shared" si="4"/>
        <v>0</v>
      </c>
      <c r="J41" s="12">
        <f t="shared" si="5"/>
        <v>0</v>
      </c>
      <c r="K41" s="13">
        <f t="shared" si="6"/>
        <v>0</v>
      </c>
      <c r="M41"/>
      <c r="N41"/>
    </row>
    <row r="42" spans="1:14" ht="15" customHeight="1">
      <c r="A42" s="9" t="str">
        <f>'Members Data'!A34</f>
        <v>Kristofix</v>
      </c>
      <c r="B42" s="214"/>
      <c r="C42" s="217"/>
      <c r="D42" s="183"/>
      <c r="E42" s="184"/>
      <c r="F42" s="184"/>
      <c r="G42" s="184"/>
      <c r="H42" s="185"/>
      <c r="I42" s="12">
        <f t="shared" ref="I42:I68" si="7">COUNTIF(B42:H42,"confirmed")</f>
        <v>0</v>
      </c>
      <c r="J42" s="12">
        <f t="shared" ref="J42:J68" si="8">COUNTIF(B42:H42,"standby")</f>
        <v>0</v>
      </c>
      <c r="K42" s="13">
        <f t="shared" ref="K42:K68" si="9">COUNTIF(B42:H42,"out")</f>
        <v>0</v>
      </c>
      <c r="M42"/>
      <c r="N42"/>
    </row>
    <row r="43" spans="1:14" ht="15" customHeight="1">
      <c r="A43" s="9">
        <f>'Members Data'!A35</f>
        <v>0</v>
      </c>
      <c r="B43" s="214"/>
      <c r="C43" s="217"/>
      <c r="D43" s="184"/>
      <c r="E43" s="184"/>
      <c r="F43" s="184"/>
      <c r="G43" s="184"/>
      <c r="H43" s="185"/>
      <c r="I43" s="12">
        <f t="shared" si="7"/>
        <v>0</v>
      </c>
      <c r="J43" s="12">
        <f t="shared" si="8"/>
        <v>0</v>
      </c>
      <c r="K43" s="13">
        <f t="shared" si="9"/>
        <v>0</v>
      </c>
      <c r="M43"/>
    </row>
    <row r="44" spans="1:14" ht="15" customHeight="1">
      <c r="A44" s="9">
        <f>'Members Data'!A36</f>
        <v>0</v>
      </c>
      <c r="B44" s="183"/>
      <c r="C44" s="217"/>
      <c r="D44" s="183"/>
      <c r="E44" s="184"/>
      <c r="F44" s="184"/>
      <c r="G44" s="184"/>
      <c r="H44" s="185"/>
      <c r="I44" s="12">
        <f t="shared" si="7"/>
        <v>0</v>
      </c>
      <c r="J44" s="12">
        <f t="shared" si="8"/>
        <v>0</v>
      </c>
      <c r="K44" s="13">
        <f t="shared" si="9"/>
        <v>0</v>
      </c>
      <c r="M44"/>
    </row>
    <row r="45" spans="1:14" ht="15" customHeight="1">
      <c r="A45" s="9">
        <f>'Members Data'!A37</f>
        <v>0</v>
      </c>
      <c r="B45" s="183"/>
      <c r="C45" s="217"/>
      <c r="D45" s="183"/>
      <c r="E45" s="184"/>
      <c r="F45" s="184"/>
      <c r="G45" s="184"/>
      <c r="H45" s="185"/>
      <c r="I45" s="12">
        <f t="shared" si="7"/>
        <v>0</v>
      </c>
      <c r="J45" s="12">
        <f t="shared" si="8"/>
        <v>0</v>
      </c>
      <c r="K45" s="13">
        <f t="shared" si="9"/>
        <v>0</v>
      </c>
    </row>
    <row r="46" spans="1:14" ht="15" customHeight="1">
      <c r="A46" s="9">
        <f>'Members Data'!A38</f>
        <v>0</v>
      </c>
      <c r="B46" s="214"/>
      <c r="C46" s="217"/>
      <c r="D46" s="183"/>
      <c r="E46" s="184"/>
      <c r="F46" s="184"/>
      <c r="G46" s="184"/>
      <c r="H46" s="185"/>
      <c r="I46" s="12">
        <f t="shared" si="7"/>
        <v>0</v>
      </c>
      <c r="J46" s="12">
        <f t="shared" si="8"/>
        <v>0</v>
      </c>
      <c r="K46" s="13">
        <f t="shared" si="9"/>
        <v>0</v>
      </c>
    </row>
    <row r="47" spans="1:14" ht="15" customHeight="1">
      <c r="A47" s="9" t="str">
        <f>'Members Data'!A39</f>
        <v>Mardazur</v>
      </c>
      <c r="B47" s="214"/>
      <c r="C47" s="217"/>
      <c r="D47" s="183"/>
      <c r="E47" s="184"/>
      <c r="F47" s="184"/>
      <c r="G47" s="184"/>
      <c r="H47" s="185"/>
      <c r="I47" s="12">
        <f t="shared" si="7"/>
        <v>0</v>
      </c>
      <c r="J47" s="12">
        <f t="shared" si="8"/>
        <v>0</v>
      </c>
      <c r="K47" s="13">
        <f t="shared" si="9"/>
        <v>0</v>
      </c>
    </row>
    <row r="48" spans="1:14" ht="15" customHeight="1">
      <c r="A48" s="9" t="str">
        <f>'Members Data'!A40</f>
        <v>Mezzolina</v>
      </c>
      <c r="B48" s="183"/>
      <c r="C48" s="216"/>
      <c r="D48" s="184"/>
      <c r="E48" s="184"/>
      <c r="F48" s="184"/>
      <c r="G48" s="184"/>
      <c r="H48" s="185"/>
      <c r="I48" s="12">
        <f t="shared" si="7"/>
        <v>0</v>
      </c>
      <c r="J48" s="12">
        <f t="shared" si="8"/>
        <v>0</v>
      </c>
      <c r="K48" s="13">
        <f t="shared" si="9"/>
        <v>0</v>
      </c>
    </row>
    <row r="49" spans="1:11" ht="15" customHeight="1">
      <c r="A49" s="9">
        <f>'Members Data'!A41</f>
        <v>0</v>
      </c>
      <c r="B49" s="183"/>
      <c r="C49" s="184"/>
      <c r="D49" s="184"/>
      <c r="E49" s="184"/>
      <c r="F49" s="184"/>
      <c r="G49" s="184"/>
      <c r="H49" s="185"/>
      <c r="I49" s="12">
        <f t="shared" si="7"/>
        <v>0</v>
      </c>
      <c r="J49" s="12">
        <f t="shared" si="8"/>
        <v>0</v>
      </c>
      <c r="K49" s="13">
        <f t="shared" si="9"/>
        <v>0</v>
      </c>
    </row>
    <row r="50" spans="1:11" ht="15" customHeight="1">
      <c r="A50" s="9" t="str">
        <f>'Members Data'!A42</f>
        <v>Morenna</v>
      </c>
      <c r="B50" s="183"/>
      <c r="C50" s="184"/>
      <c r="D50" s="184"/>
      <c r="E50" s="184"/>
      <c r="F50" s="184"/>
      <c r="G50" s="184"/>
      <c r="H50" s="185"/>
      <c r="I50" s="12">
        <f t="shared" si="7"/>
        <v>0</v>
      </c>
      <c r="J50" s="12">
        <f t="shared" si="8"/>
        <v>0</v>
      </c>
      <c r="K50" s="13">
        <f t="shared" si="9"/>
        <v>0</v>
      </c>
    </row>
    <row r="51" spans="1:11" ht="15" customHeight="1">
      <c r="A51" s="9" t="str">
        <f>'Members Data'!A43</f>
        <v>Naliyas</v>
      </c>
      <c r="B51" s="183"/>
      <c r="C51" s="184"/>
      <c r="D51" s="184"/>
      <c r="E51" s="184"/>
      <c r="F51" s="184"/>
      <c r="G51" s="184"/>
      <c r="H51" s="185"/>
      <c r="I51" s="12">
        <f t="shared" si="7"/>
        <v>0</v>
      </c>
      <c r="J51" s="12">
        <f t="shared" si="8"/>
        <v>0</v>
      </c>
      <c r="K51" s="13">
        <f t="shared" si="9"/>
        <v>0</v>
      </c>
    </row>
    <row r="52" spans="1:11" ht="15" customHeight="1">
      <c r="A52" s="9">
        <f>'Members Data'!A44</f>
        <v>0</v>
      </c>
      <c r="B52" s="183"/>
      <c r="C52" s="184"/>
      <c r="D52" s="184"/>
      <c r="E52" s="184"/>
      <c r="F52" s="184"/>
      <c r="G52" s="184"/>
      <c r="H52" s="185"/>
      <c r="I52" s="12">
        <f t="shared" si="7"/>
        <v>0</v>
      </c>
      <c r="J52" s="12">
        <f t="shared" si="8"/>
        <v>0</v>
      </c>
      <c r="K52" s="13">
        <f t="shared" si="9"/>
        <v>0</v>
      </c>
    </row>
    <row r="53" spans="1:11" ht="15" customHeight="1">
      <c r="A53" s="9" t="str">
        <f>'Members Data'!A45</f>
        <v>Nazgol</v>
      </c>
      <c r="B53" s="183"/>
      <c r="C53" s="184"/>
      <c r="D53" s="184"/>
      <c r="E53" s="184"/>
      <c r="F53" s="184"/>
      <c r="G53" s="184"/>
      <c r="H53" s="185"/>
      <c r="I53" s="12">
        <f t="shared" si="7"/>
        <v>0</v>
      </c>
      <c r="J53" s="12">
        <f t="shared" si="8"/>
        <v>0</v>
      </c>
      <c r="K53" s="13">
        <f t="shared" si="9"/>
        <v>0</v>
      </c>
    </row>
    <row r="54" spans="1:11" ht="15" customHeight="1">
      <c r="A54" s="9" t="str">
        <f>'Members Data'!A46</f>
        <v>Niiwa</v>
      </c>
      <c r="B54" s="183"/>
      <c r="C54" s="184"/>
      <c r="D54" s="184"/>
      <c r="E54" s="184"/>
      <c r="F54" s="184"/>
      <c r="G54" s="184"/>
      <c r="H54" s="185"/>
      <c r="I54" s="12">
        <f t="shared" si="7"/>
        <v>0</v>
      </c>
      <c r="J54" s="12">
        <f t="shared" si="8"/>
        <v>0</v>
      </c>
      <c r="K54" s="13">
        <f t="shared" si="9"/>
        <v>0</v>
      </c>
    </row>
    <row r="55" spans="1:11" ht="15" customHeight="1">
      <c r="A55" s="9" t="str">
        <f>'Members Data'!A47</f>
        <v>Octavìus</v>
      </c>
      <c r="B55" s="183"/>
      <c r="C55" s="184"/>
      <c r="D55" s="184"/>
      <c r="E55" s="184"/>
      <c r="F55" s="184"/>
      <c r="G55" s="184"/>
      <c r="H55" s="185"/>
      <c r="I55" s="12">
        <f t="shared" si="7"/>
        <v>0</v>
      </c>
      <c r="J55" s="12">
        <f t="shared" si="8"/>
        <v>0</v>
      </c>
      <c r="K55" s="13">
        <f t="shared" si="9"/>
        <v>0</v>
      </c>
    </row>
    <row r="56" spans="1:11" ht="15" customHeight="1">
      <c r="A56" s="9" t="str">
        <f>'Members Data'!A48</f>
        <v>Overtake</v>
      </c>
      <c r="B56" s="183"/>
      <c r="C56" s="184"/>
      <c r="D56" s="184"/>
      <c r="E56" s="184"/>
      <c r="F56" s="184"/>
      <c r="G56" s="184"/>
      <c r="H56" s="185"/>
      <c r="I56" s="12">
        <f t="shared" si="7"/>
        <v>0</v>
      </c>
      <c r="J56" s="12">
        <f t="shared" si="8"/>
        <v>0</v>
      </c>
      <c r="K56" s="13">
        <f t="shared" si="9"/>
        <v>0</v>
      </c>
    </row>
    <row r="57" spans="1:11" ht="15" customHeight="1">
      <c r="A57" s="9" t="str">
        <f>'Members Data'!A49</f>
        <v>Paolin</v>
      </c>
      <c r="B57" s="183"/>
      <c r="C57" s="184"/>
      <c r="D57" s="184"/>
      <c r="E57" s="184"/>
      <c r="F57" s="184"/>
      <c r="G57" s="184"/>
      <c r="H57" s="185"/>
      <c r="I57" s="12">
        <f t="shared" si="7"/>
        <v>0</v>
      </c>
      <c r="J57" s="12">
        <f t="shared" si="8"/>
        <v>0</v>
      </c>
      <c r="K57" s="13">
        <f t="shared" si="9"/>
        <v>0</v>
      </c>
    </row>
    <row r="58" spans="1:11" ht="15" customHeight="1">
      <c r="A58" s="9" t="str">
        <f>'Members Data'!A50</f>
        <v>Páula</v>
      </c>
      <c r="B58" s="183"/>
      <c r="C58" s="184"/>
      <c r="D58" s="184"/>
      <c r="E58" s="184"/>
      <c r="F58" s="184"/>
      <c r="G58" s="184"/>
      <c r="H58" s="185"/>
      <c r="I58" s="12">
        <f t="shared" si="7"/>
        <v>0</v>
      </c>
      <c r="J58" s="12">
        <f t="shared" si="8"/>
        <v>0</v>
      </c>
      <c r="K58" s="13">
        <f t="shared" si="9"/>
        <v>0</v>
      </c>
    </row>
    <row r="59" spans="1:11" ht="15" customHeight="1">
      <c r="A59" s="9" t="str">
        <f>'Members Data'!A51</f>
        <v>Predictable</v>
      </c>
      <c r="B59" s="183"/>
      <c r="C59" s="184"/>
      <c r="D59" s="184"/>
      <c r="E59" s="184"/>
      <c r="F59" s="184"/>
      <c r="G59" s="184"/>
      <c r="H59" s="185"/>
      <c r="I59" s="12">
        <f t="shared" si="7"/>
        <v>0</v>
      </c>
      <c r="J59" s="12">
        <f t="shared" si="8"/>
        <v>0</v>
      </c>
      <c r="K59" s="13">
        <f t="shared" si="9"/>
        <v>0</v>
      </c>
    </row>
    <row r="60" spans="1:11" ht="15" customHeight="1">
      <c r="A60" s="9" t="str">
        <f>'Members Data'!A52</f>
        <v>Rhinoru</v>
      </c>
      <c r="B60" s="183"/>
      <c r="C60" s="184"/>
      <c r="D60" s="184"/>
      <c r="E60" s="184"/>
      <c r="F60" s="184"/>
      <c r="G60" s="184"/>
      <c r="H60" s="185"/>
      <c r="I60" s="12">
        <f t="shared" si="7"/>
        <v>0</v>
      </c>
      <c r="J60" s="12">
        <f t="shared" si="8"/>
        <v>0</v>
      </c>
      <c r="K60" s="13">
        <f t="shared" si="9"/>
        <v>0</v>
      </c>
    </row>
    <row r="61" spans="1:11" ht="15" customHeight="1">
      <c r="A61" s="9">
        <f>'Members Data'!A53</f>
        <v>0</v>
      </c>
      <c r="B61" s="183"/>
      <c r="C61" s="184"/>
      <c r="D61" s="184"/>
      <c r="E61" s="184"/>
      <c r="F61" s="184"/>
      <c r="G61" s="184"/>
      <c r="H61" s="185"/>
      <c r="I61" s="12">
        <f t="shared" si="7"/>
        <v>0</v>
      </c>
      <c r="J61" s="12">
        <f t="shared" si="8"/>
        <v>0</v>
      </c>
      <c r="K61" s="13">
        <f t="shared" si="9"/>
        <v>0</v>
      </c>
    </row>
    <row r="62" spans="1:11" ht="15" customHeight="1">
      <c r="A62" s="9" t="str">
        <f>'Members Data'!A54</f>
        <v>Saltycream</v>
      </c>
      <c r="B62" s="183"/>
      <c r="C62" s="184"/>
      <c r="D62" s="184"/>
      <c r="E62" s="184"/>
      <c r="F62" s="184"/>
      <c r="G62" s="184"/>
      <c r="H62" s="185"/>
      <c r="I62" s="12">
        <f t="shared" si="7"/>
        <v>0</v>
      </c>
      <c r="J62" s="12">
        <f t="shared" si="8"/>
        <v>0</v>
      </c>
      <c r="K62" s="13">
        <f t="shared" si="9"/>
        <v>0</v>
      </c>
    </row>
    <row r="63" spans="1:11" ht="15" customHeight="1">
      <c r="A63" s="9" t="str">
        <f>'Members Data'!A55</f>
        <v>Sarjezzar</v>
      </c>
      <c r="B63" s="183"/>
      <c r="C63" s="184"/>
      <c r="D63" s="184"/>
      <c r="E63" s="184"/>
      <c r="F63" s="184"/>
      <c r="G63" s="184"/>
      <c r="H63" s="185"/>
      <c r="I63" s="12">
        <f t="shared" si="7"/>
        <v>0</v>
      </c>
      <c r="J63" s="12">
        <f t="shared" si="8"/>
        <v>0</v>
      </c>
      <c r="K63" s="13">
        <f t="shared" si="9"/>
        <v>0</v>
      </c>
    </row>
    <row r="64" spans="1:11" ht="15" customHeight="1">
      <c r="A64" s="9">
        <f>'Members Data'!A56</f>
        <v>0</v>
      </c>
      <c r="B64" s="183"/>
      <c r="C64" s="184"/>
      <c r="D64" s="184"/>
      <c r="E64" s="184"/>
      <c r="F64" s="184"/>
      <c r="G64" s="184"/>
      <c r="H64" s="185"/>
      <c r="I64" s="12">
        <f t="shared" si="7"/>
        <v>0</v>
      </c>
      <c r="J64" s="12">
        <f t="shared" si="8"/>
        <v>0</v>
      </c>
      <c r="K64" s="13">
        <f t="shared" si="9"/>
        <v>0</v>
      </c>
    </row>
    <row r="65" spans="1:11" ht="15" customHeight="1">
      <c r="A65" s="9" t="str">
        <f>'Members Data'!A57</f>
        <v>Shinkai</v>
      </c>
      <c r="B65" s="187"/>
      <c r="C65" s="184"/>
      <c r="D65" s="184"/>
      <c r="E65" s="184"/>
      <c r="F65" s="184"/>
      <c r="G65" s="184"/>
      <c r="H65" s="185"/>
      <c r="I65" s="12">
        <f t="shared" si="7"/>
        <v>0</v>
      </c>
      <c r="J65" s="12">
        <f t="shared" si="8"/>
        <v>0</v>
      </c>
      <c r="K65" s="13">
        <f t="shared" si="9"/>
        <v>0</v>
      </c>
    </row>
    <row r="66" spans="1:11" ht="15" customHeight="1">
      <c r="A66" s="68" t="str">
        <f>'Members Data'!A58</f>
        <v>Sidac</v>
      </c>
      <c r="B66" s="187"/>
      <c r="C66" s="184"/>
      <c r="D66" s="184"/>
      <c r="E66" s="184"/>
      <c r="F66" s="184"/>
      <c r="G66" s="184"/>
      <c r="H66" s="185"/>
      <c r="I66" s="12">
        <f>COUNTIF(B66:H66,"confirmed")</f>
        <v>0</v>
      </c>
      <c r="J66" s="12">
        <f>COUNTIF(B66:H66,"standby")</f>
        <v>0</v>
      </c>
      <c r="K66" s="13">
        <f>COUNTIF(B66:H66,"out")</f>
        <v>0</v>
      </c>
    </row>
    <row r="67" spans="1:11" ht="15" customHeight="1">
      <c r="A67" s="68" t="str">
        <f>'Members Data'!A59</f>
        <v>Snowies</v>
      </c>
      <c r="B67" s="187"/>
      <c r="C67" s="184"/>
      <c r="D67" s="184"/>
      <c r="E67" s="184"/>
      <c r="F67" s="184"/>
      <c r="G67" s="184"/>
      <c r="H67" s="188"/>
      <c r="I67" s="65">
        <f t="shared" si="7"/>
        <v>0</v>
      </c>
      <c r="J67" s="65">
        <f t="shared" si="8"/>
        <v>0</v>
      </c>
      <c r="K67" s="66">
        <f t="shared" si="9"/>
        <v>0</v>
      </c>
    </row>
    <row r="68" spans="1:11" ht="15" customHeight="1">
      <c r="A68" s="68" t="str">
        <f>'Members Data'!A60</f>
        <v>Spruch</v>
      </c>
      <c r="B68" s="183"/>
      <c r="C68" s="184"/>
      <c r="D68" s="184"/>
      <c r="E68" s="184"/>
      <c r="F68" s="184"/>
      <c r="G68" s="184"/>
      <c r="H68" s="188"/>
      <c r="I68" s="65">
        <f t="shared" si="7"/>
        <v>0</v>
      </c>
      <c r="J68" s="65">
        <f t="shared" si="8"/>
        <v>0</v>
      </c>
      <c r="K68" s="66">
        <f t="shared" si="9"/>
        <v>0</v>
      </c>
    </row>
    <row r="69" spans="1:11" ht="15" customHeight="1" thickBot="1">
      <c r="A69" s="122" t="str">
        <f>'Members Data'!A61</f>
        <v>Svicane</v>
      </c>
      <c r="B69" s="189"/>
      <c r="C69" s="190"/>
      <c r="D69" s="190"/>
      <c r="E69" s="190"/>
      <c r="F69" s="190"/>
      <c r="G69" s="190"/>
      <c r="H69" s="191"/>
      <c r="I69" s="123">
        <f t="shared" ref="I69:I108" si="10">COUNTIF(B69:H69,"confirmed")</f>
        <v>0</v>
      </c>
      <c r="J69" s="123">
        <f t="shared" ref="J69:J108" si="11">COUNTIF(B69:H69,"standby")</f>
        <v>0</v>
      </c>
      <c r="K69" s="124">
        <f t="shared" ref="K69:K108" si="12">COUNTIF(B69:H69,"out")</f>
        <v>0</v>
      </c>
    </row>
    <row r="70" spans="1:11" ht="15" customHeight="1" thickTop="1">
      <c r="A70" s="67" t="str">
        <f>'Members Data'!A62</f>
        <v>Téasey</v>
      </c>
      <c r="B70" s="183"/>
      <c r="C70" s="215"/>
      <c r="D70" s="184"/>
      <c r="E70" s="184"/>
      <c r="F70" s="184"/>
      <c r="G70" s="184"/>
      <c r="H70" s="185"/>
      <c r="I70" s="120">
        <f t="shared" si="10"/>
        <v>0</v>
      </c>
      <c r="J70" s="120">
        <f t="shared" si="11"/>
        <v>0</v>
      </c>
      <c r="K70" s="121">
        <f t="shared" si="12"/>
        <v>0</v>
      </c>
    </row>
    <row r="71" spans="1:11" ht="15" customHeight="1">
      <c r="A71" s="68" t="str">
        <f>'Members Data'!A63</f>
        <v>Tomrexx</v>
      </c>
      <c r="B71" s="214"/>
      <c r="C71" s="217"/>
      <c r="D71" s="183"/>
      <c r="E71" s="184"/>
      <c r="F71" s="184"/>
      <c r="G71" s="184"/>
      <c r="H71" s="185"/>
      <c r="I71" s="65">
        <f t="shared" si="10"/>
        <v>0</v>
      </c>
      <c r="J71" s="65">
        <f t="shared" si="11"/>
        <v>0</v>
      </c>
      <c r="K71" s="66">
        <f t="shared" si="12"/>
        <v>0</v>
      </c>
    </row>
    <row r="72" spans="1:11" ht="15" customHeight="1">
      <c r="A72" s="68" t="str">
        <f>'Members Data'!A64</f>
        <v>Tonitrum</v>
      </c>
      <c r="B72" s="183"/>
      <c r="C72" s="216"/>
      <c r="D72" s="184"/>
      <c r="E72" s="184"/>
      <c r="F72" s="184"/>
      <c r="G72" s="184"/>
      <c r="H72" s="185"/>
      <c r="I72" s="65">
        <f t="shared" si="10"/>
        <v>0</v>
      </c>
      <c r="J72" s="65">
        <f t="shared" si="11"/>
        <v>0</v>
      </c>
      <c r="K72" s="66">
        <f t="shared" si="12"/>
        <v>0</v>
      </c>
    </row>
    <row r="73" spans="1:11" ht="15" customHeight="1">
      <c r="A73" s="68" t="str">
        <f>'Members Data'!A65</f>
        <v>Tsali</v>
      </c>
      <c r="B73" s="183"/>
      <c r="C73" s="184"/>
      <c r="D73" s="184"/>
      <c r="E73" s="184"/>
      <c r="F73" s="184"/>
      <c r="G73" s="184"/>
      <c r="H73" s="185"/>
      <c r="I73" s="65">
        <f t="shared" si="10"/>
        <v>0</v>
      </c>
      <c r="J73" s="65">
        <f t="shared" si="11"/>
        <v>0</v>
      </c>
      <c r="K73" s="66">
        <f t="shared" si="12"/>
        <v>0</v>
      </c>
    </row>
    <row r="74" spans="1:11" ht="15" customHeight="1">
      <c r="A74" s="68" t="str">
        <f>'Members Data'!A66</f>
        <v>Twicemore</v>
      </c>
      <c r="B74" s="183"/>
      <c r="C74" s="215"/>
      <c r="D74" s="184"/>
      <c r="E74" s="184"/>
      <c r="F74" s="184"/>
      <c r="G74" s="184"/>
      <c r="H74" s="185"/>
      <c r="I74" s="65">
        <f t="shared" si="10"/>
        <v>0</v>
      </c>
      <c r="J74" s="65">
        <f t="shared" si="11"/>
        <v>0</v>
      </c>
      <c r="K74" s="66">
        <f t="shared" si="12"/>
        <v>0</v>
      </c>
    </row>
    <row r="75" spans="1:11" ht="15" customHeight="1">
      <c r="A75" s="68" t="str">
        <f>'Members Data'!A67</f>
        <v>Vereen</v>
      </c>
      <c r="B75" s="214"/>
      <c r="C75" s="217"/>
      <c r="D75" s="183"/>
      <c r="E75" s="184"/>
      <c r="F75" s="184"/>
      <c r="G75" s="184"/>
      <c r="H75" s="185"/>
      <c r="I75" s="65">
        <f t="shared" si="10"/>
        <v>0</v>
      </c>
      <c r="J75" s="65">
        <f t="shared" si="11"/>
        <v>0</v>
      </c>
      <c r="K75" s="66">
        <f t="shared" si="12"/>
        <v>0</v>
      </c>
    </row>
    <row r="76" spans="1:11" ht="15" customHeight="1">
      <c r="A76" s="68" t="str">
        <f>'Members Data'!A68</f>
        <v>Xanadaria</v>
      </c>
      <c r="B76" s="214"/>
      <c r="C76" s="217"/>
      <c r="D76" s="183"/>
      <c r="E76" s="184"/>
      <c r="F76" s="184"/>
      <c r="G76" s="184"/>
      <c r="H76" s="185"/>
      <c r="I76" s="65">
        <f t="shared" si="10"/>
        <v>0</v>
      </c>
      <c r="J76" s="65">
        <f t="shared" si="11"/>
        <v>0</v>
      </c>
      <c r="K76" s="66">
        <f t="shared" si="12"/>
        <v>0</v>
      </c>
    </row>
    <row r="77" spans="1:11" ht="15" customHeight="1">
      <c r="A77" s="68" t="str">
        <f>'Members Data'!A69</f>
        <v>Xian</v>
      </c>
      <c r="B77" s="214"/>
      <c r="C77" s="217"/>
      <c r="D77" s="183"/>
      <c r="E77" s="184"/>
      <c r="F77" s="184"/>
      <c r="G77" s="184"/>
      <c r="H77" s="185"/>
      <c r="I77" s="65">
        <f t="shared" si="10"/>
        <v>0</v>
      </c>
      <c r="J77" s="65">
        <f t="shared" si="11"/>
        <v>0</v>
      </c>
      <c r="K77" s="66">
        <f t="shared" si="12"/>
        <v>0</v>
      </c>
    </row>
    <row r="78" spans="1:11" ht="15" customHeight="1">
      <c r="A78" s="68" t="str">
        <f>'Members Data'!A70</f>
        <v>Xytree</v>
      </c>
      <c r="B78" s="214"/>
      <c r="C78" s="217"/>
      <c r="D78" s="183"/>
      <c r="E78" s="184"/>
      <c r="F78" s="184"/>
      <c r="G78" s="184"/>
      <c r="H78" s="185"/>
      <c r="I78" s="65">
        <f t="shared" si="10"/>
        <v>0</v>
      </c>
      <c r="J78" s="65">
        <f t="shared" si="11"/>
        <v>0</v>
      </c>
      <c r="K78" s="66">
        <f t="shared" si="12"/>
        <v>0</v>
      </c>
    </row>
    <row r="79" spans="1:11" ht="15" customHeight="1">
      <c r="A79" s="68" t="str">
        <f>'Members Data'!A71</f>
        <v>Yardk</v>
      </c>
      <c r="B79" s="214"/>
      <c r="C79" s="217"/>
      <c r="D79" s="183"/>
      <c r="E79" s="184"/>
      <c r="F79" s="184"/>
      <c r="G79" s="184"/>
      <c r="H79" s="185"/>
      <c r="I79" s="65">
        <f t="shared" si="10"/>
        <v>0</v>
      </c>
      <c r="J79" s="65">
        <f t="shared" si="11"/>
        <v>0</v>
      </c>
      <c r="K79" s="66">
        <f t="shared" si="12"/>
        <v>0</v>
      </c>
    </row>
    <row r="80" spans="1:11" ht="15" customHeight="1">
      <c r="A80" s="68" t="str">
        <f>'Members Data'!A72</f>
        <v>Yse</v>
      </c>
      <c r="B80" s="183"/>
      <c r="C80" s="216"/>
      <c r="D80" s="184"/>
      <c r="E80" s="184"/>
      <c r="F80" s="184"/>
      <c r="G80" s="184"/>
      <c r="H80" s="185"/>
      <c r="I80" s="65">
        <f t="shared" si="10"/>
        <v>0</v>
      </c>
      <c r="J80" s="65">
        <f t="shared" si="11"/>
        <v>0</v>
      </c>
      <c r="K80" s="66">
        <f t="shared" si="12"/>
        <v>0</v>
      </c>
    </row>
    <row r="81" spans="1:11" ht="15" customHeight="1">
      <c r="A81" s="68" t="str">
        <f>'Members Data'!A73</f>
        <v>Zantias</v>
      </c>
      <c r="B81" s="183"/>
      <c r="C81" s="184"/>
      <c r="D81" s="184"/>
      <c r="E81" s="184"/>
      <c r="F81" s="184"/>
      <c r="G81" s="184"/>
      <c r="H81" s="185"/>
      <c r="I81" s="65">
        <f t="shared" si="10"/>
        <v>0</v>
      </c>
      <c r="J81" s="65">
        <f t="shared" si="11"/>
        <v>0</v>
      </c>
      <c r="K81" s="66">
        <f t="shared" si="12"/>
        <v>0</v>
      </c>
    </row>
    <row r="82" spans="1:11" ht="15" customHeight="1">
      <c r="A82" s="68">
        <f>'Members Data'!A74</f>
        <v>0</v>
      </c>
      <c r="B82" s="183"/>
      <c r="C82" s="184"/>
      <c r="D82" s="184"/>
      <c r="E82" s="184"/>
      <c r="F82" s="184"/>
      <c r="G82" s="184"/>
      <c r="H82" s="185"/>
      <c r="I82" s="65">
        <f t="shared" si="10"/>
        <v>0</v>
      </c>
      <c r="J82" s="65">
        <f t="shared" si="11"/>
        <v>0</v>
      </c>
      <c r="K82" s="66">
        <f t="shared" si="12"/>
        <v>0</v>
      </c>
    </row>
    <row r="83" spans="1:11" ht="15" customHeight="1">
      <c r="A83" s="68">
        <f>'Members Data'!A75</f>
        <v>0</v>
      </c>
      <c r="B83" s="183"/>
      <c r="C83" s="184"/>
      <c r="D83" s="184"/>
      <c r="E83" s="184"/>
      <c r="F83" s="184"/>
      <c r="G83" s="184"/>
      <c r="H83" s="185"/>
      <c r="I83" s="65">
        <f t="shared" si="10"/>
        <v>0</v>
      </c>
      <c r="J83" s="65">
        <f t="shared" si="11"/>
        <v>0</v>
      </c>
      <c r="K83" s="66">
        <f t="shared" si="12"/>
        <v>0</v>
      </c>
    </row>
    <row r="84" spans="1:11" ht="15" customHeight="1">
      <c r="A84" s="68">
        <f>'Members Data'!A76</f>
        <v>0</v>
      </c>
      <c r="B84" s="183"/>
      <c r="C84" s="184"/>
      <c r="D84" s="184"/>
      <c r="E84" s="184"/>
      <c r="F84" s="184"/>
      <c r="G84" s="184"/>
      <c r="H84" s="185"/>
      <c r="I84" s="65">
        <f t="shared" si="10"/>
        <v>0</v>
      </c>
      <c r="J84" s="65">
        <f t="shared" si="11"/>
        <v>0</v>
      </c>
      <c r="K84" s="66">
        <f t="shared" si="12"/>
        <v>0</v>
      </c>
    </row>
    <row r="85" spans="1:11" ht="15" customHeight="1">
      <c r="A85" s="68">
        <f>'Members Data'!A77</f>
        <v>0</v>
      </c>
      <c r="B85" s="183"/>
      <c r="C85" s="184"/>
      <c r="D85" s="184"/>
      <c r="E85" s="184"/>
      <c r="F85" s="184"/>
      <c r="G85" s="184"/>
      <c r="H85" s="185"/>
      <c r="I85" s="65">
        <f t="shared" si="10"/>
        <v>0</v>
      </c>
      <c r="J85" s="65">
        <f t="shared" si="11"/>
        <v>0</v>
      </c>
      <c r="K85" s="66">
        <f t="shared" si="12"/>
        <v>0</v>
      </c>
    </row>
    <row r="86" spans="1:11" ht="15" customHeight="1">
      <c r="A86" s="68">
        <f>'Members Data'!A78</f>
        <v>0</v>
      </c>
      <c r="B86" s="183"/>
      <c r="C86" s="184"/>
      <c r="D86" s="184"/>
      <c r="E86" s="184"/>
      <c r="F86" s="184"/>
      <c r="G86" s="184"/>
      <c r="H86" s="185"/>
      <c r="I86" s="65">
        <f t="shared" si="10"/>
        <v>0</v>
      </c>
      <c r="J86" s="65">
        <f t="shared" si="11"/>
        <v>0</v>
      </c>
      <c r="K86" s="66">
        <f t="shared" si="12"/>
        <v>0</v>
      </c>
    </row>
    <row r="87" spans="1:11" ht="15" customHeight="1">
      <c r="A87" s="68">
        <f>'Members Data'!A79</f>
        <v>0</v>
      </c>
      <c r="B87" s="183"/>
      <c r="C87" s="184"/>
      <c r="D87" s="184"/>
      <c r="E87" s="184"/>
      <c r="F87" s="184"/>
      <c r="G87" s="184"/>
      <c r="H87" s="185"/>
      <c r="I87" s="65">
        <f t="shared" si="10"/>
        <v>0</v>
      </c>
      <c r="J87" s="65">
        <f t="shared" si="11"/>
        <v>0</v>
      </c>
      <c r="K87" s="66">
        <f t="shared" si="12"/>
        <v>0</v>
      </c>
    </row>
    <row r="88" spans="1:11" ht="15" customHeight="1">
      <c r="A88" s="68">
        <f>'Members Data'!A80</f>
        <v>0</v>
      </c>
      <c r="B88" s="183"/>
      <c r="C88" s="184"/>
      <c r="D88" s="184"/>
      <c r="E88" s="184"/>
      <c r="F88" s="184"/>
      <c r="G88" s="184"/>
      <c r="H88" s="185"/>
      <c r="I88" s="65">
        <f t="shared" si="10"/>
        <v>0</v>
      </c>
      <c r="J88" s="65">
        <f t="shared" si="11"/>
        <v>0</v>
      </c>
      <c r="K88" s="66">
        <f t="shared" si="12"/>
        <v>0</v>
      </c>
    </row>
    <row r="89" spans="1:11" ht="15" customHeight="1">
      <c r="A89" s="68">
        <f>'Members Data'!A81</f>
        <v>0</v>
      </c>
      <c r="B89" s="183"/>
      <c r="C89" s="184"/>
      <c r="D89" s="184"/>
      <c r="E89" s="184"/>
      <c r="F89" s="184"/>
      <c r="G89" s="184"/>
      <c r="H89" s="185"/>
      <c r="I89" s="65">
        <f t="shared" si="10"/>
        <v>0</v>
      </c>
      <c r="J89" s="65">
        <f t="shared" si="11"/>
        <v>0</v>
      </c>
      <c r="K89" s="66">
        <f t="shared" si="12"/>
        <v>0</v>
      </c>
    </row>
    <row r="90" spans="1:11" ht="15" customHeight="1">
      <c r="A90" s="68">
        <f>'Members Data'!A82</f>
        <v>0</v>
      </c>
      <c r="B90" s="183"/>
      <c r="C90" s="184"/>
      <c r="D90" s="184"/>
      <c r="E90" s="184"/>
      <c r="F90" s="184"/>
      <c r="G90" s="184"/>
      <c r="H90" s="185"/>
      <c r="I90" s="65">
        <f t="shared" si="10"/>
        <v>0</v>
      </c>
      <c r="J90" s="65">
        <f t="shared" si="11"/>
        <v>0</v>
      </c>
      <c r="K90" s="66">
        <f t="shared" si="12"/>
        <v>0</v>
      </c>
    </row>
    <row r="91" spans="1:11" ht="15" customHeight="1">
      <c r="A91" s="68">
        <f>'Members Data'!A83</f>
        <v>0</v>
      </c>
      <c r="B91" s="183"/>
      <c r="C91" s="184"/>
      <c r="D91" s="184"/>
      <c r="E91" s="184"/>
      <c r="F91" s="184"/>
      <c r="G91" s="184"/>
      <c r="H91" s="185"/>
      <c r="I91" s="65">
        <f t="shared" si="10"/>
        <v>0</v>
      </c>
      <c r="J91" s="65">
        <f t="shared" si="11"/>
        <v>0</v>
      </c>
      <c r="K91" s="66">
        <f t="shared" si="12"/>
        <v>0</v>
      </c>
    </row>
    <row r="92" spans="1:11" ht="15" customHeight="1">
      <c r="A92" s="68">
        <f>'Members Data'!A84</f>
        <v>0</v>
      </c>
      <c r="B92" s="183"/>
      <c r="C92" s="184"/>
      <c r="D92" s="184"/>
      <c r="E92" s="184"/>
      <c r="F92" s="184"/>
      <c r="G92" s="184"/>
      <c r="H92" s="185"/>
      <c r="I92" s="65">
        <f t="shared" si="10"/>
        <v>0</v>
      </c>
      <c r="J92" s="65">
        <f t="shared" si="11"/>
        <v>0</v>
      </c>
      <c r="K92" s="66">
        <f t="shared" si="12"/>
        <v>0</v>
      </c>
    </row>
    <row r="93" spans="1:11" ht="15" customHeight="1">
      <c r="A93" s="68">
        <f>'Members Data'!A85</f>
        <v>0</v>
      </c>
      <c r="B93" s="183"/>
      <c r="C93" s="184"/>
      <c r="D93" s="184"/>
      <c r="E93" s="184"/>
      <c r="F93" s="184"/>
      <c r="G93" s="184"/>
      <c r="H93" s="185"/>
      <c r="I93" s="65">
        <f t="shared" si="10"/>
        <v>0</v>
      </c>
      <c r="J93" s="65">
        <f t="shared" si="11"/>
        <v>0</v>
      </c>
      <c r="K93" s="66">
        <f t="shared" si="12"/>
        <v>0</v>
      </c>
    </row>
    <row r="94" spans="1:11" ht="15" customHeight="1">
      <c r="A94" s="68">
        <f>'Members Data'!A86</f>
        <v>0</v>
      </c>
      <c r="B94" s="183"/>
      <c r="C94" s="184"/>
      <c r="D94" s="184"/>
      <c r="E94" s="184"/>
      <c r="F94" s="184"/>
      <c r="G94" s="184"/>
      <c r="H94" s="185"/>
      <c r="I94" s="65">
        <f t="shared" si="10"/>
        <v>0</v>
      </c>
      <c r="J94" s="65">
        <f t="shared" si="11"/>
        <v>0</v>
      </c>
      <c r="K94" s="66">
        <f t="shared" si="12"/>
        <v>0</v>
      </c>
    </row>
    <row r="95" spans="1:11" ht="15" customHeight="1">
      <c r="A95" s="68">
        <f>'Members Data'!A87</f>
        <v>0</v>
      </c>
      <c r="B95" s="183"/>
      <c r="C95" s="184"/>
      <c r="D95" s="184"/>
      <c r="E95" s="184"/>
      <c r="F95" s="184"/>
      <c r="G95" s="184"/>
      <c r="H95" s="185"/>
      <c r="I95" s="65">
        <f t="shared" si="10"/>
        <v>0</v>
      </c>
      <c r="J95" s="65">
        <f t="shared" si="11"/>
        <v>0</v>
      </c>
      <c r="K95" s="66">
        <f t="shared" si="12"/>
        <v>0</v>
      </c>
    </row>
    <row r="96" spans="1:11" ht="15" customHeight="1">
      <c r="A96" s="68">
        <f>'Members Data'!A88</f>
        <v>0</v>
      </c>
      <c r="B96" s="183"/>
      <c r="C96" s="184"/>
      <c r="D96" s="184"/>
      <c r="E96" s="184"/>
      <c r="F96" s="184"/>
      <c r="G96" s="184"/>
      <c r="H96" s="185"/>
      <c r="I96" s="65">
        <f t="shared" si="10"/>
        <v>0</v>
      </c>
      <c r="J96" s="65">
        <f t="shared" si="11"/>
        <v>0</v>
      </c>
      <c r="K96" s="66">
        <f t="shared" si="12"/>
        <v>0</v>
      </c>
    </row>
    <row r="97" spans="1:11" ht="15" customHeight="1">
      <c r="A97" s="68">
        <f>'Members Data'!A89</f>
        <v>0</v>
      </c>
      <c r="B97" s="183"/>
      <c r="C97" s="184"/>
      <c r="D97" s="184"/>
      <c r="E97" s="184"/>
      <c r="F97" s="184"/>
      <c r="G97" s="184"/>
      <c r="H97" s="185"/>
      <c r="I97" s="65">
        <f t="shared" si="10"/>
        <v>0</v>
      </c>
      <c r="J97" s="65">
        <f t="shared" si="11"/>
        <v>0</v>
      </c>
      <c r="K97" s="66">
        <f t="shared" si="12"/>
        <v>0</v>
      </c>
    </row>
    <row r="98" spans="1:11" ht="15" customHeight="1">
      <c r="A98" s="68">
        <f>'Members Data'!A90</f>
        <v>0</v>
      </c>
      <c r="B98" s="183"/>
      <c r="C98" s="184"/>
      <c r="D98" s="184"/>
      <c r="E98" s="184"/>
      <c r="F98" s="184"/>
      <c r="G98" s="184"/>
      <c r="H98" s="185"/>
      <c r="I98" s="65">
        <f t="shared" si="10"/>
        <v>0</v>
      </c>
      <c r="J98" s="65">
        <f t="shared" si="11"/>
        <v>0</v>
      </c>
      <c r="K98" s="66">
        <f t="shared" si="12"/>
        <v>0</v>
      </c>
    </row>
    <row r="99" spans="1:11" ht="15" customHeight="1">
      <c r="A99" s="68">
        <f>'Members Data'!A91</f>
        <v>0</v>
      </c>
      <c r="B99" s="183"/>
      <c r="C99" s="184"/>
      <c r="D99" s="184"/>
      <c r="E99" s="184"/>
      <c r="F99" s="184"/>
      <c r="G99" s="184"/>
      <c r="H99" s="185"/>
      <c r="I99" s="65">
        <f t="shared" si="10"/>
        <v>0</v>
      </c>
      <c r="J99" s="65">
        <f t="shared" si="11"/>
        <v>0</v>
      </c>
      <c r="K99" s="66">
        <f t="shared" si="12"/>
        <v>0</v>
      </c>
    </row>
    <row r="100" spans="1:11" ht="15" customHeight="1">
      <c r="A100" s="68">
        <f>'Members Data'!A92</f>
        <v>0</v>
      </c>
      <c r="B100" s="183"/>
      <c r="C100" s="184"/>
      <c r="D100" s="184"/>
      <c r="E100" s="184"/>
      <c r="F100" s="184"/>
      <c r="G100" s="184"/>
      <c r="H100" s="185"/>
      <c r="I100" s="65">
        <f t="shared" si="10"/>
        <v>0</v>
      </c>
      <c r="J100" s="65">
        <f t="shared" si="11"/>
        <v>0</v>
      </c>
      <c r="K100" s="66">
        <f t="shared" si="12"/>
        <v>0</v>
      </c>
    </row>
    <row r="101" spans="1:11" ht="15" customHeight="1">
      <c r="A101" s="68">
        <f>'Members Data'!A93</f>
        <v>0</v>
      </c>
      <c r="B101" s="183"/>
      <c r="C101" s="184"/>
      <c r="D101" s="184"/>
      <c r="E101" s="184"/>
      <c r="F101" s="184"/>
      <c r="G101" s="184"/>
      <c r="H101" s="185"/>
      <c r="I101" s="65">
        <f t="shared" si="10"/>
        <v>0</v>
      </c>
      <c r="J101" s="65">
        <f t="shared" si="11"/>
        <v>0</v>
      </c>
      <c r="K101" s="66">
        <f t="shared" si="12"/>
        <v>0</v>
      </c>
    </row>
    <row r="102" spans="1:11" ht="15" customHeight="1">
      <c r="A102" s="68">
        <f>'Members Data'!A94</f>
        <v>0</v>
      </c>
      <c r="B102" s="183"/>
      <c r="C102" s="184"/>
      <c r="D102" s="184"/>
      <c r="E102" s="184"/>
      <c r="F102" s="184"/>
      <c r="G102" s="184"/>
      <c r="H102" s="185"/>
      <c r="I102" s="65">
        <f t="shared" si="10"/>
        <v>0</v>
      </c>
      <c r="J102" s="65">
        <f t="shared" si="11"/>
        <v>0</v>
      </c>
      <c r="K102" s="66">
        <f t="shared" si="12"/>
        <v>0</v>
      </c>
    </row>
    <row r="103" spans="1:11" ht="15" customHeight="1">
      <c r="A103" s="68">
        <f>'Members Data'!A95</f>
        <v>0</v>
      </c>
      <c r="B103" s="183"/>
      <c r="C103" s="184"/>
      <c r="D103" s="184"/>
      <c r="E103" s="184"/>
      <c r="F103" s="184"/>
      <c r="G103" s="184"/>
      <c r="H103" s="185"/>
      <c r="I103" s="65">
        <f t="shared" si="10"/>
        <v>0</v>
      </c>
      <c r="J103" s="65">
        <f t="shared" si="11"/>
        <v>0</v>
      </c>
      <c r="K103" s="66">
        <f t="shared" si="12"/>
        <v>0</v>
      </c>
    </row>
    <row r="104" spans="1:11" ht="15" customHeight="1">
      <c r="A104" s="68">
        <f>'Members Data'!A96</f>
        <v>0</v>
      </c>
      <c r="B104" s="183"/>
      <c r="C104" s="184"/>
      <c r="D104" s="184"/>
      <c r="E104" s="184"/>
      <c r="F104" s="184"/>
      <c r="G104" s="184"/>
      <c r="H104" s="185"/>
      <c r="I104" s="65">
        <f t="shared" si="10"/>
        <v>0</v>
      </c>
      <c r="J104" s="65">
        <f t="shared" si="11"/>
        <v>0</v>
      </c>
      <c r="K104" s="66">
        <f t="shared" si="12"/>
        <v>0</v>
      </c>
    </row>
    <row r="105" spans="1:11" ht="15" customHeight="1">
      <c r="A105" s="68">
        <f>'Members Data'!A97</f>
        <v>0</v>
      </c>
      <c r="B105" s="183"/>
      <c r="C105" s="184"/>
      <c r="D105" s="184"/>
      <c r="E105" s="184"/>
      <c r="F105" s="184"/>
      <c r="G105" s="184"/>
      <c r="H105" s="185"/>
      <c r="I105" s="65">
        <f t="shared" si="10"/>
        <v>0</v>
      </c>
      <c r="J105" s="65">
        <f t="shared" si="11"/>
        <v>0</v>
      </c>
      <c r="K105" s="66">
        <f t="shared" si="12"/>
        <v>0</v>
      </c>
    </row>
    <row r="106" spans="1:11" ht="15" customHeight="1">
      <c r="A106" s="68">
        <f>'Members Data'!A98</f>
        <v>0</v>
      </c>
      <c r="B106" s="183"/>
      <c r="C106" s="184"/>
      <c r="D106" s="184"/>
      <c r="E106" s="184"/>
      <c r="F106" s="184"/>
      <c r="G106" s="184"/>
      <c r="H106" s="185"/>
      <c r="I106" s="65">
        <f t="shared" si="10"/>
        <v>0</v>
      </c>
      <c r="J106" s="65">
        <f t="shared" si="11"/>
        <v>0</v>
      </c>
      <c r="K106" s="66">
        <f t="shared" si="12"/>
        <v>0</v>
      </c>
    </row>
    <row r="107" spans="1:11" ht="15" customHeight="1">
      <c r="A107" s="68">
        <f>'Members Data'!A99</f>
        <v>0</v>
      </c>
      <c r="B107" s="183"/>
      <c r="C107" s="184"/>
      <c r="D107" s="184"/>
      <c r="E107" s="184"/>
      <c r="F107" s="184"/>
      <c r="G107" s="184"/>
      <c r="H107" s="185"/>
      <c r="I107" s="65">
        <f t="shared" si="10"/>
        <v>0</v>
      </c>
      <c r="J107" s="65">
        <f t="shared" si="11"/>
        <v>0</v>
      </c>
      <c r="K107" s="66">
        <f t="shared" si="12"/>
        <v>0</v>
      </c>
    </row>
    <row r="108" spans="1:11" ht="15" customHeight="1" thickBot="1">
      <c r="A108" s="134">
        <f>'Members Data'!A100</f>
        <v>0</v>
      </c>
      <c r="B108" s="192"/>
      <c r="C108" s="193"/>
      <c r="D108" s="193"/>
      <c r="E108" s="193"/>
      <c r="F108" s="193"/>
      <c r="G108" s="193"/>
      <c r="H108" s="194"/>
      <c r="I108" s="70">
        <f t="shared" si="10"/>
        <v>0</v>
      </c>
      <c r="J108" s="70">
        <f t="shared" si="11"/>
        <v>0</v>
      </c>
      <c r="K108" s="71">
        <f t="shared" si="12"/>
        <v>0</v>
      </c>
    </row>
  </sheetData>
  <mergeCells count="3">
    <mergeCell ref="I1:I9"/>
    <mergeCell ref="J1:J9"/>
    <mergeCell ref="K1:K9"/>
  </mergeCells>
  <conditionalFormatting sqref="A10:A108">
    <cfRule type="expression" dxfId="5" priority="1" stopIfTrue="1">
      <formula>IF(K10&gt;0,TRUE)</formula>
    </cfRule>
    <cfRule type="expression" dxfId="4" priority="2" stopIfTrue="1">
      <formula>IF(SUM(I10:J10)&gt;1,TRUE)</formula>
    </cfRule>
    <cfRule type="expression" dxfId="3" priority="3" stopIfTrue="1">
      <formula>IF(SUM(I10:J10)&lt;2,TRUE)</formula>
    </cfRule>
  </conditionalFormatting>
  <dataValidations count="2">
    <dataValidation type="list" operator="equal" showErrorMessage="1" sqref="N5:N9 B10:H108">
      <formula1>"Invited,Confirmed,Standby,Out"</formula1>
      <formula2>0</formula2>
    </dataValidation>
    <dataValidation type="list" operator="equal" sqref="B4:H4">
      <formula1>"??,10,25"</formula1>
      <formula2>0</formula2>
    </dataValidation>
  </dataValidations>
  <pageMargins left="0.78749999999999998" right="0.78749999999999998" top="1.0527777777777778" bottom="1.0527777777777778" header="0.78749999999999998" footer="0.78749999999999998"/>
  <pageSetup paperSize="9" firstPageNumber="0" orientation="portrait" horizontalDpi="300" verticalDpi="300"/>
  <headerFooter alignWithMargins="0">
    <oddHeader>&amp;C&amp;"Times New Roman,Regular"&amp;12&amp;A</oddHeader>
    <oddFooter>&amp;C&amp;"Times New Roman,Regular"&amp;12Page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>
  <dimension ref="A1:N108"/>
  <sheetViews>
    <sheetView workbookViewId="0">
      <pane xSplit="1" ySplit="9" topLeftCell="B10" activePane="bottomRight" state="frozen"/>
      <selection activeCell="F51" sqref="F47:F51"/>
      <selection pane="topRight" activeCell="F51" sqref="F47:F51"/>
      <selection pane="bottomLeft" activeCell="F51" sqref="F47:F51"/>
      <selection pane="bottomRight" activeCell="I1" sqref="I1:L1048576"/>
    </sheetView>
  </sheetViews>
  <sheetFormatPr defaultColWidth="8.7109375" defaultRowHeight="15" customHeight="1"/>
  <cols>
    <col min="1" max="1" width="14" style="1" customWidth="1"/>
    <col min="2" max="8" width="11.140625" style="1" customWidth="1"/>
    <col min="9" max="11" width="10.28515625" style="1" customWidth="1"/>
    <col min="12" max="16384" width="8.7109375" style="1"/>
  </cols>
  <sheetData>
    <row r="1" spans="1:14" ht="33" customHeight="1" thickBot="1">
      <c r="A1" s="49" t="s">
        <v>19</v>
      </c>
      <c r="B1" s="50" t="s">
        <v>43</v>
      </c>
      <c r="C1" s="50" t="s">
        <v>163</v>
      </c>
      <c r="D1" s="50" t="s">
        <v>45</v>
      </c>
      <c r="E1" s="50" t="s">
        <v>46</v>
      </c>
      <c r="F1" s="50" t="s">
        <v>47</v>
      </c>
      <c r="G1" s="50" t="s">
        <v>48</v>
      </c>
      <c r="H1" s="50" t="s">
        <v>49</v>
      </c>
      <c r="I1" s="534" t="s">
        <v>27</v>
      </c>
      <c r="J1" s="534" t="s">
        <v>28</v>
      </c>
      <c r="K1" s="537" t="s">
        <v>29</v>
      </c>
    </row>
    <row r="2" spans="1:14" ht="15.75" customHeight="1" thickBot="1">
      <c r="A2" s="49" t="s">
        <v>30</v>
      </c>
      <c r="B2" s="204">
        <f>'wk4'!H2+1</f>
        <v>42004</v>
      </c>
      <c r="C2" s="195">
        <f>B2+1</f>
        <v>42005</v>
      </c>
      <c r="D2" s="195">
        <f t="shared" ref="D2:H2" si="0">C2+1</f>
        <v>42006</v>
      </c>
      <c r="E2" s="195">
        <f t="shared" si="0"/>
        <v>42007</v>
      </c>
      <c r="F2" s="195">
        <f t="shared" si="0"/>
        <v>42008</v>
      </c>
      <c r="G2" s="195">
        <f t="shared" si="0"/>
        <v>42009</v>
      </c>
      <c r="H2" s="196">
        <f t="shared" si="0"/>
        <v>42010</v>
      </c>
      <c r="I2" s="535"/>
      <c r="J2" s="535"/>
      <c r="K2" s="538"/>
    </row>
    <row r="3" spans="1:14" ht="15.75" customHeight="1" thickBot="1">
      <c r="A3" s="49" t="s">
        <v>31</v>
      </c>
      <c r="B3" s="55"/>
      <c r="C3" s="56"/>
      <c r="D3" s="56"/>
      <c r="E3" s="56"/>
      <c r="F3" s="56"/>
      <c r="G3" s="56"/>
      <c r="H3" s="57"/>
      <c r="I3" s="535"/>
      <c r="J3" s="535"/>
      <c r="K3" s="538"/>
    </row>
    <row r="4" spans="1:14" ht="15.75" customHeight="1" thickBot="1">
      <c r="A4" s="49" t="s">
        <v>32</v>
      </c>
      <c r="B4" s="197"/>
      <c r="C4" s="56"/>
      <c r="D4" s="56"/>
      <c r="E4" s="56"/>
      <c r="F4" s="56"/>
      <c r="G4" s="56"/>
      <c r="H4" s="57"/>
      <c r="I4" s="535"/>
      <c r="J4" s="535"/>
      <c r="K4" s="538"/>
    </row>
    <row r="5" spans="1:14" ht="30.75" customHeight="1" thickBot="1">
      <c r="A5" s="49" t="s">
        <v>33</v>
      </c>
      <c r="B5" s="59"/>
      <c r="C5" s="60"/>
      <c r="D5" s="60"/>
      <c r="E5" s="60"/>
      <c r="F5" s="60"/>
      <c r="G5" s="60"/>
      <c r="H5" s="61"/>
      <c r="I5" s="535"/>
      <c r="J5" s="535"/>
      <c r="K5" s="538"/>
    </row>
    <row r="6" spans="1:14" ht="30.75" customHeight="1" thickBot="1">
      <c r="A6" s="49" t="s">
        <v>144</v>
      </c>
      <c r="B6" s="351"/>
      <c r="C6" s="351"/>
      <c r="D6" s="351"/>
      <c r="E6" s="351"/>
      <c r="F6" s="351"/>
      <c r="G6" s="351"/>
      <c r="H6" s="352"/>
      <c r="I6" s="535"/>
      <c r="J6" s="535"/>
      <c r="K6" s="538"/>
    </row>
    <row r="7" spans="1:14">
      <c r="A7" s="49" t="s">
        <v>35</v>
      </c>
      <c r="B7" s="198">
        <f t="shared" ref="B7:H7" si="1">COUNTIF(B10:B69,"Confirmed")</f>
        <v>0</v>
      </c>
      <c r="C7" s="198">
        <f t="shared" si="1"/>
        <v>0</v>
      </c>
      <c r="D7" s="198">
        <f t="shared" si="1"/>
        <v>0</v>
      </c>
      <c r="E7" s="198">
        <f t="shared" si="1"/>
        <v>0</v>
      </c>
      <c r="F7" s="198">
        <f t="shared" si="1"/>
        <v>0</v>
      </c>
      <c r="G7" s="198">
        <f t="shared" si="1"/>
        <v>0</v>
      </c>
      <c r="H7" s="199">
        <f t="shared" si="1"/>
        <v>0</v>
      </c>
      <c r="I7" s="535"/>
      <c r="J7" s="535"/>
      <c r="K7" s="538"/>
    </row>
    <row r="8" spans="1:14">
      <c r="A8" s="53" t="s">
        <v>34</v>
      </c>
      <c r="B8" s="200">
        <f t="shared" ref="B8:H8" si="2">COUNTIF(B10:B69,"Standby")</f>
        <v>0</v>
      </c>
      <c r="C8" s="200">
        <f t="shared" si="2"/>
        <v>0</v>
      </c>
      <c r="D8" s="200">
        <f t="shared" si="2"/>
        <v>0</v>
      </c>
      <c r="E8" s="200">
        <f t="shared" si="2"/>
        <v>0</v>
      </c>
      <c r="F8" s="200">
        <f t="shared" si="2"/>
        <v>0</v>
      </c>
      <c r="G8" s="200">
        <f t="shared" si="2"/>
        <v>0</v>
      </c>
      <c r="H8" s="201">
        <f t="shared" si="2"/>
        <v>0</v>
      </c>
      <c r="I8" s="535"/>
      <c r="J8" s="535"/>
      <c r="K8" s="538"/>
    </row>
    <row r="9" spans="1:14" ht="15.75" thickBot="1">
      <c r="A9" s="58" t="s">
        <v>26</v>
      </c>
      <c r="B9" s="202">
        <f t="shared" ref="B9:H9" si="3">COUNTIF(B10:B69,"Out")</f>
        <v>0</v>
      </c>
      <c r="C9" s="202">
        <f t="shared" si="3"/>
        <v>0</v>
      </c>
      <c r="D9" s="202">
        <f t="shared" si="3"/>
        <v>0</v>
      </c>
      <c r="E9" s="202">
        <f t="shared" si="3"/>
        <v>0</v>
      </c>
      <c r="F9" s="202">
        <f t="shared" si="3"/>
        <v>0</v>
      </c>
      <c r="G9" s="202">
        <f t="shared" si="3"/>
        <v>0</v>
      </c>
      <c r="H9" s="203">
        <f t="shared" si="3"/>
        <v>0</v>
      </c>
      <c r="I9" s="536"/>
      <c r="J9" s="536"/>
      <c r="K9" s="539"/>
    </row>
    <row r="10" spans="1:14" ht="15" customHeight="1">
      <c r="A10" s="5" t="str">
        <f>'Members Data'!A2</f>
        <v>Ablon</v>
      </c>
      <c r="B10" s="180"/>
      <c r="C10" s="181"/>
      <c r="D10" s="181"/>
      <c r="E10" s="181"/>
      <c r="F10" s="181"/>
      <c r="G10" s="181"/>
      <c r="H10" s="182"/>
      <c r="I10" s="62">
        <f t="shared" ref="I10:I74" si="4">COUNTIF(B10:H10,"confirmed")</f>
        <v>0</v>
      </c>
      <c r="J10" s="62">
        <f t="shared" ref="J10:J74" si="5">COUNTIF(B10:H10,"standby")</f>
        <v>0</v>
      </c>
      <c r="K10" s="63">
        <f t="shared" ref="K10:K74" si="6">COUNTIF(B10:H10,"out")</f>
        <v>0</v>
      </c>
      <c r="M10"/>
    </row>
    <row r="11" spans="1:14" ht="15" customHeight="1">
      <c r="A11" s="9">
        <f>'Members Data'!A3</f>
        <v>0</v>
      </c>
      <c r="B11" s="183"/>
      <c r="C11" s="184"/>
      <c r="D11" s="184"/>
      <c r="E11" s="184"/>
      <c r="F11" s="184"/>
      <c r="G11" s="184"/>
      <c r="H11" s="185"/>
      <c r="I11" s="12">
        <f t="shared" si="4"/>
        <v>0</v>
      </c>
      <c r="J11" s="12">
        <f t="shared" si="5"/>
        <v>0</v>
      </c>
      <c r="K11" s="13">
        <f t="shared" si="6"/>
        <v>0</v>
      </c>
      <c r="M11"/>
      <c r="N11"/>
    </row>
    <row r="12" spans="1:14" ht="15" customHeight="1">
      <c r="A12" s="9" t="str">
        <f>'Members Data'!A4</f>
        <v>Akilta</v>
      </c>
      <c r="B12" s="310"/>
      <c r="C12" s="184"/>
      <c r="D12" s="184"/>
      <c r="E12" s="184"/>
      <c r="F12" s="184"/>
      <c r="G12" s="184"/>
      <c r="H12" s="185"/>
      <c r="I12" s="12">
        <f t="shared" si="4"/>
        <v>0</v>
      </c>
      <c r="J12" s="12">
        <f t="shared" si="5"/>
        <v>0</v>
      </c>
      <c r="K12" s="13">
        <f t="shared" si="6"/>
        <v>0</v>
      </c>
      <c r="M12"/>
      <c r="N12"/>
    </row>
    <row r="13" spans="1:14" ht="15" customHeight="1">
      <c r="A13" s="9" t="str">
        <f>'Members Data'!A5</f>
        <v>Altrezza</v>
      </c>
      <c r="B13" s="310"/>
      <c r="C13" s="184"/>
      <c r="D13" s="184"/>
      <c r="E13" s="184"/>
      <c r="F13" s="184"/>
      <c r="G13" s="184"/>
      <c r="H13" s="185"/>
      <c r="I13" s="12">
        <f t="shared" si="4"/>
        <v>0</v>
      </c>
      <c r="J13" s="12">
        <f t="shared" si="5"/>
        <v>0</v>
      </c>
      <c r="K13" s="13">
        <f t="shared" si="6"/>
        <v>0</v>
      </c>
      <c r="M13"/>
      <c r="N13"/>
    </row>
    <row r="14" spans="1:14" ht="15" customHeight="1">
      <c r="A14" s="9" t="str">
        <f>'Members Data'!A6</f>
        <v>Amaras</v>
      </c>
      <c r="B14" s="310"/>
      <c r="C14" s="184"/>
      <c r="D14" s="184"/>
      <c r="E14" s="184"/>
      <c r="F14" s="184"/>
      <c r="G14" s="184"/>
      <c r="H14" s="185"/>
      <c r="I14" s="12">
        <f t="shared" si="4"/>
        <v>0</v>
      </c>
      <c r="J14" s="12">
        <f t="shared" si="5"/>
        <v>0</v>
      </c>
      <c r="K14" s="13">
        <f t="shared" si="6"/>
        <v>0</v>
      </c>
      <c r="M14"/>
      <c r="N14"/>
    </row>
    <row r="15" spans="1:14" ht="15" customHeight="1">
      <c r="A15" s="9" t="str">
        <f>'Members Data'!A7</f>
        <v>Angelhoof</v>
      </c>
      <c r="B15" s="183"/>
      <c r="C15" s="184"/>
      <c r="D15" s="184"/>
      <c r="E15" s="184"/>
      <c r="F15" s="184"/>
      <c r="G15" s="184"/>
      <c r="H15" s="185"/>
      <c r="I15" s="12">
        <f t="shared" si="4"/>
        <v>0</v>
      </c>
      <c r="J15" s="12">
        <f t="shared" si="5"/>
        <v>0</v>
      </c>
      <c r="K15" s="13">
        <f t="shared" si="6"/>
        <v>0</v>
      </c>
      <c r="M15"/>
      <c r="N15"/>
    </row>
    <row r="16" spans="1:14" ht="15" customHeight="1">
      <c r="A16" s="9" t="str">
        <f>'Members Data'!A8</f>
        <v>Ánja</v>
      </c>
      <c r="B16" s="310"/>
      <c r="C16" s="184"/>
      <c r="D16" s="184"/>
      <c r="E16" s="184"/>
      <c r="F16" s="184"/>
      <c r="G16" s="184"/>
      <c r="H16" s="185"/>
      <c r="I16" s="12">
        <f t="shared" si="4"/>
        <v>0</v>
      </c>
      <c r="J16" s="12">
        <f t="shared" si="5"/>
        <v>0</v>
      </c>
      <c r="K16" s="13">
        <f t="shared" si="6"/>
        <v>0</v>
      </c>
      <c r="M16"/>
      <c r="N16"/>
    </row>
    <row r="17" spans="1:14" ht="15" customHeight="1">
      <c r="A17" s="9" t="str">
        <f>'Members Data'!A9</f>
        <v>Asch</v>
      </c>
      <c r="B17" s="310"/>
      <c r="C17" s="184"/>
      <c r="D17" s="184"/>
      <c r="E17" s="184"/>
      <c r="F17" s="184"/>
      <c r="G17" s="184"/>
      <c r="H17" s="185"/>
      <c r="I17" s="12">
        <f t="shared" si="4"/>
        <v>0</v>
      </c>
      <c r="J17" s="12">
        <f t="shared" si="5"/>
        <v>0</v>
      </c>
      <c r="K17" s="13">
        <f t="shared" si="6"/>
        <v>0</v>
      </c>
      <c r="M17"/>
      <c r="N17"/>
    </row>
    <row r="18" spans="1:14" ht="15" customHeight="1">
      <c r="A18" s="9" t="str">
        <f>'Members Data'!A10</f>
        <v>Avane</v>
      </c>
      <c r="B18" s="183"/>
      <c r="C18" s="184"/>
      <c r="D18" s="184"/>
      <c r="E18" s="184"/>
      <c r="F18" s="184"/>
      <c r="G18" s="184"/>
      <c r="H18" s="185"/>
      <c r="I18" s="12">
        <f t="shared" si="4"/>
        <v>0</v>
      </c>
      <c r="J18" s="12">
        <f t="shared" si="5"/>
        <v>0</v>
      </c>
      <c r="K18" s="13">
        <f t="shared" si="6"/>
        <v>0</v>
      </c>
      <c r="M18"/>
      <c r="N18"/>
    </row>
    <row r="19" spans="1:14" ht="15" customHeight="1">
      <c r="A19" s="9" t="str">
        <f>'Members Data'!A11</f>
        <v>Beargrels</v>
      </c>
      <c r="B19" s="183"/>
      <c r="C19" s="184"/>
      <c r="D19" s="184"/>
      <c r="E19" s="184"/>
      <c r="F19" s="184"/>
      <c r="G19" s="184"/>
      <c r="H19" s="185"/>
      <c r="I19" s="12">
        <f t="shared" si="4"/>
        <v>0</v>
      </c>
      <c r="J19" s="12">
        <f t="shared" si="5"/>
        <v>0</v>
      </c>
      <c r="K19" s="13">
        <f t="shared" si="6"/>
        <v>0</v>
      </c>
      <c r="M19"/>
      <c r="N19"/>
    </row>
    <row r="20" spans="1:14" ht="15" customHeight="1">
      <c r="A20" s="9" t="str">
        <f>'Members Data'!A12</f>
        <v>Blackcheeta</v>
      </c>
      <c r="B20" s="310"/>
      <c r="C20" s="184"/>
      <c r="D20" s="184"/>
      <c r="E20" s="184"/>
      <c r="F20" s="184"/>
      <c r="G20" s="184"/>
      <c r="H20" s="185"/>
      <c r="I20" s="12">
        <f t="shared" si="4"/>
        <v>0</v>
      </c>
      <c r="J20" s="12">
        <f t="shared" si="5"/>
        <v>0</v>
      </c>
      <c r="K20" s="13">
        <f t="shared" si="6"/>
        <v>0</v>
      </c>
      <c r="M20"/>
      <c r="N20"/>
    </row>
    <row r="21" spans="1:14" ht="15" customHeight="1">
      <c r="A21" s="9">
        <f>'Members Data'!A13</f>
        <v>0</v>
      </c>
      <c r="B21" s="310"/>
      <c r="C21" s="184"/>
      <c r="D21" s="184"/>
      <c r="E21" s="184"/>
      <c r="F21" s="184"/>
      <c r="G21" s="184"/>
      <c r="H21" s="185"/>
      <c r="I21" s="12">
        <f t="shared" si="4"/>
        <v>0</v>
      </c>
      <c r="J21" s="12">
        <f t="shared" si="5"/>
        <v>0</v>
      </c>
      <c r="K21" s="13">
        <f t="shared" si="6"/>
        <v>0</v>
      </c>
      <c r="M21"/>
      <c r="N21"/>
    </row>
    <row r="22" spans="1:14" ht="15" customHeight="1">
      <c r="A22" s="9" t="str">
        <f>'Members Data'!A14</f>
        <v>Brownale</v>
      </c>
      <c r="B22" s="310"/>
      <c r="C22" s="184"/>
      <c r="D22" s="184"/>
      <c r="E22" s="184"/>
      <c r="F22" s="184"/>
      <c r="G22" s="184"/>
      <c r="H22" s="185"/>
      <c r="I22" s="12">
        <f t="shared" si="4"/>
        <v>0</v>
      </c>
      <c r="J22" s="12">
        <f t="shared" si="5"/>
        <v>0</v>
      </c>
      <c r="K22" s="13">
        <f t="shared" si="6"/>
        <v>0</v>
      </c>
      <c r="M22"/>
      <c r="N22"/>
    </row>
    <row r="23" spans="1:14" ht="15" customHeight="1">
      <c r="A23" s="9">
        <f>'Members Data'!A15</f>
        <v>0</v>
      </c>
      <c r="B23" s="183"/>
      <c r="C23" s="184"/>
      <c r="D23" s="184"/>
      <c r="E23" s="184"/>
      <c r="F23" s="184"/>
      <c r="G23" s="184"/>
      <c r="H23" s="185"/>
      <c r="I23" s="12">
        <f t="shared" si="4"/>
        <v>0</v>
      </c>
      <c r="J23" s="12">
        <f t="shared" si="5"/>
        <v>0</v>
      </c>
      <c r="K23" s="13">
        <f t="shared" si="6"/>
        <v>0</v>
      </c>
      <c r="M23"/>
      <c r="N23"/>
    </row>
    <row r="24" spans="1:14" ht="15" customHeight="1">
      <c r="A24" s="9" t="str">
        <f>'Members Data'!A16</f>
        <v>Masher</v>
      </c>
      <c r="B24" s="310"/>
      <c r="C24" s="184"/>
      <c r="D24" s="184"/>
      <c r="E24" s="184"/>
      <c r="F24" s="184"/>
      <c r="G24" s="184"/>
      <c r="H24" s="185"/>
      <c r="I24" s="12">
        <f t="shared" si="4"/>
        <v>0</v>
      </c>
      <c r="J24" s="12">
        <f t="shared" si="5"/>
        <v>0</v>
      </c>
      <c r="K24" s="13">
        <f t="shared" si="6"/>
        <v>0</v>
      </c>
      <c r="M24"/>
      <c r="N24"/>
    </row>
    <row r="25" spans="1:14" ht="15" customHeight="1">
      <c r="A25" s="9" t="str">
        <f>'Members Data'!A17</f>
        <v>Dottiee</v>
      </c>
      <c r="B25" s="310"/>
      <c r="C25" s="184"/>
      <c r="D25" s="184"/>
      <c r="E25" s="184"/>
      <c r="F25" s="184"/>
      <c r="G25" s="184"/>
      <c r="H25" s="185"/>
      <c r="I25" s="12">
        <f t="shared" si="4"/>
        <v>0</v>
      </c>
      <c r="J25" s="12">
        <f t="shared" si="5"/>
        <v>0</v>
      </c>
      <c r="K25" s="13">
        <f t="shared" si="6"/>
        <v>0</v>
      </c>
      <c r="M25"/>
      <c r="N25"/>
    </row>
    <row r="26" spans="1:14" ht="15" customHeight="1">
      <c r="A26" s="9" t="str">
        <f>'Members Data'!A18</f>
        <v>Dracoar</v>
      </c>
      <c r="B26" s="310"/>
      <c r="C26" s="184"/>
      <c r="D26" s="184"/>
      <c r="E26" s="184"/>
      <c r="F26" s="184"/>
      <c r="G26" s="184"/>
      <c r="H26" s="185"/>
      <c r="I26" s="12">
        <f t="shared" si="4"/>
        <v>0</v>
      </c>
      <c r="J26" s="12">
        <f t="shared" si="5"/>
        <v>0</v>
      </c>
      <c r="K26" s="13">
        <f t="shared" si="6"/>
        <v>0</v>
      </c>
      <c r="M26"/>
    </row>
    <row r="27" spans="1:14" ht="15" customHeight="1">
      <c r="A27" s="9" t="str">
        <f>'Members Data'!A19</f>
        <v>Drakodin</v>
      </c>
      <c r="B27" s="310"/>
      <c r="C27" s="184"/>
      <c r="D27" s="184"/>
      <c r="E27" s="184"/>
      <c r="F27" s="184"/>
      <c r="G27" s="184"/>
      <c r="H27" s="185"/>
      <c r="I27" s="12">
        <f t="shared" si="4"/>
        <v>0</v>
      </c>
      <c r="J27" s="12">
        <f t="shared" si="5"/>
        <v>0</v>
      </c>
      <c r="K27" s="13">
        <f t="shared" si="6"/>
        <v>0</v>
      </c>
      <c r="M27"/>
    </row>
    <row r="28" spans="1:14" ht="15" customHeight="1">
      <c r="A28" s="9" t="str">
        <f>'Members Data'!A20</f>
        <v>Drugged</v>
      </c>
      <c r="B28" s="310"/>
      <c r="C28" s="184"/>
      <c r="D28" s="184"/>
      <c r="E28" s="184"/>
      <c r="F28" s="184"/>
      <c r="G28" s="184"/>
      <c r="H28" s="185"/>
      <c r="I28" s="12">
        <f t="shared" si="4"/>
        <v>0</v>
      </c>
      <c r="J28" s="12">
        <f t="shared" si="5"/>
        <v>0</v>
      </c>
      <c r="K28" s="13">
        <f t="shared" si="6"/>
        <v>0</v>
      </c>
      <c r="M28"/>
    </row>
    <row r="29" spans="1:14" ht="15" customHeight="1">
      <c r="A29" s="9" t="str">
        <f>'Members Data'!A21</f>
        <v>Eárendíl</v>
      </c>
      <c r="B29" s="310"/>
      <c r="C29" s="184"/>
      <c r="D29" s="184"/>
      <c r="E29" s="184"/>
      <c r="F29" s="184"/>
      <c r="G29" s="184"/>
      <c r="H29" s="185"/>
      <c r="I29" s="12">
        <f t="shared" si="4"/>
        <v>0</v>
      </c>
      <c r="J29" s="12">
        <f t="shared" si="5"/>
        <v>0</v>
      </c>
      <c r="K29" s="13">
        <f t="shared" si="6"/>
        <v>0</v>
      </c>
    </row>
    <row r="30" spans="1:14" ht="15" customHeight="1">
      <c r="A30" s="9" t="str">
        <f>'Members Data'!A22</f>
        <v>Emril</v>
      </c>
      <c r="B30" s="310"/>
      <c r="C30" s="184"/>
      <c r="D30" s="184"/>
      <c r="E30" s="184"/>
      <c r="F30" s="184"/>
      <c r="G30" s="184"/>
      <c r="H30" s="185"/>
      <c r="I30" s="12">
        <f t="shared" si="4"/>
        <v>0</v>
      </c>
      <c r="J30" s="12">
        <f t="shared" si="5"/>
        <v>0</v>
      </c>
      <c r="K30" s="13">
        <f t="shared" si="6"/>
        <v>0</v>
      </c>
    </row>
    <row r="31" spans="1:14" ht="15" customHeight="1">
      <c r="A31" s="9" t="str">
        <f>'Members Data'!A23</f>
        <v>Halfthings</v>
      </c>
      <c r="B31" s="310"/>
      <c r="C31" s="184"/>
      <c r="D31" s="184"/>
      <c r="E31" s="184"/>
      <c r="F31" s="184"/>
      <c r="G31" s="184"/>
      <c r="H31" s="185"/>
      <c r="I31" s="12">
        <f t="shared" si="4"/>
        <v>0</v>
      </c>
      <c r="J31" s="12">
        <f t="shared" si="5"/>
        <v>0</v>
      </c>
      <c r="K31" s="13">
        <f t="shared" si="6"/>
        <v>0</v>
      </c>
    </row>
    <row r="32" spans="1:14" ht="15" customHeight="1">
      <c r="A32" s="9" t="str">
        <f>'Members Data'!A24</f>
        <v>Harkar</v>
      </c>
      <c r="B32" s="310"/>
      <c r="C32" s="184"/>
      <c r="D32" s="184"/>
      <c r="E32" s="184"/>
      <c r="F32" s="184"/>
      <c r="G32" s="184"/>
      <c r="H32" s="185"/>
      <c r="I32" s="12">
        <f t="shared" si="4"/>
        <v>0</v>
      </c>
      <c r="J32" s="12">
        <f t="shared" si="5"/>
        <v>0</v>
      </c>
      <c r="K32" s="13">
        <f t="shared" si="6"/>
        <v>0</v>
      </c>
    </row>
    <row r="33" spans="1:11" ht="15" customHeight="1">
      <c r="A33" s="9" t="str">
        <f>'Members Data'!A25</f>
        <v>Hlianna</v>
      </c>
      <c r="B33" s="310"/>
      <c r="C33" s="184"/>
      <c r="D33" s="184"/>
      <c r="E33" s="184"/>
      <c r="F33" s="184"/>
      <c r="G33" s="184"/>
      <c r="H33" s="185"/>
      <c r="I33" s="12">
        <f t="shared" si="4"/>
        <v>0</v>
      </c>
      <c r="J33" s="12">
        <f t="shared" si="5"/>
        <v>0</v>
      </c>
      <c r="K33" s="13">
        <f t="shared" si="6"/>
        <v>0</v>
      </c>
    </row>
    <row r="34" spans="1:11" ht="15" customHeight="1">
      <c r="A34" s="9" t="str">
        <f>'Members Data'!A26</f>
        <v>Hormones</v>
      </c>
      <c r="B34" s="183"/>
      <c r="C34" s="184"/>
      <c r="D34" s="184"/>
      <c r="E34" s="184"/>
      <c r="F34" s="184"/>
      <c r="G34" s="184"/>
      <c r="H34" s="185"/>
      <c r="I34" s="12">
        <f t="shared" si="4"/>
        <v>0</v>
      </c>
      <c r="J34" s="12">
        <f t="shared" si="5"/>
        <v>0</v>
      </c>
      <c r="K34" s="13">
        <f t="shared" si="6"/>
        <v>0</v>
      </c>
    </row>
    <row r="35" spans="1:11" ht="15" customHeight="1">
      <c r="A35" s="9" t="str">
        <f>'Members Data'!A27</f>
        <v>Hyperïon</v>
      </c>
      <c r="B35" s="310"/>
      <c r="C35" s="184"/>
      <c r="D35" s="184"/>
      <c r="E35" s="184"/>
      <c r="F35" s="184"/>
      <c r="G35" s="184"/>
      <c r="H35" s="185"/>
      <c r="I35" s="12">
        <f t="shared" si="4"/>
        <v>0</v>
      </c>
      <c r="J35" s="12">
        <f t="shared" si="5"/>
        <v>0</v>
      </c>
      <c r="K35" s="13">
        <f t="shared" si="6"/>
        <v>0</v>
      </c>
    </row>
    <row r="36" spans="1:11" ht="15" customHeight="1">
      <c r="A36" s="9" t="str">
        <f>'Members Data'!A28</f>
        <v>Hyunâ</v>
      </c>
      <c r="B36" s="183"/>
      <c r="C36" s="184"/>
      <c r="D36" s="184"/>
      <c r="E36" s="184"/>
      <c r="F36" s="184"/>
      <c r="G36" s="184"/>
      <c r="H36" s="185"/>
      <c r="I36" s="12">
        <f t="shared" si="4"/>
        <v>0</v>
      </c>
      <c r="J36" s="12">
        <f t="shared" si="5"/>
        <v>0</v>
      </c>
      <c r="K36" s="13">
        <f t="shared" si="6"/>
        <v>0</v>
      </c>
    </row>
    <row r="37" spans="1:11" ht="15" customHeight="1">
      <c r="A37" s="9" t="str">
        <f>'Members Data'!A29</f>
        <v>Izzabelle</v>
      </c>
      <c r="B37" s="183"/>
      <c r="C37" s="184"/>
      <c r="D37" s="184"/>
      <c r="E37" s="184"/>
      <c r="F37" s="184"/>
      <c r="G37" s="184"/>
      <c r="H37" s="185"/>
      <c r="I37" s="12">
        <f t="shared" si="4"/>
        <v>0</v>
      </c>
      <c r="J37" s="12">
        <f t="shared" si="5"/>
        <v>0</v>
      </c>
      <c r="K37" s="13">
        <f t="shared" si="6"/>
        <v>0</v>
      </c>
    </row>
    <row r="38" spans="1:11" ht="15" customHeight="1">
      <c r="A38" s="9" t="str">
        <f>'Members Data'!A30</f>
        <v>Jimentoez</v>
      </c>
      <c r="B38" s="183"/>
      <c r="C38" s="184"/>
      <c r="D38" s="184"/>
      <c r="E38" s="184"/>
      <c r="F38" s="184"/>
      <c r="G38" s="184"/>
      <c r="H38" s="185"/>
      <c r="I38" s="12">
        <f t="shared" si="4"/>
        <v>0</v>
      </c>
      <c r="J38" s="12">
        <f t="shared" si="5"/>
        <v>0</v>
      </c>
      <c r="K38" s="13">
        <f t="shared" si="6"/>
        <v>0</v>
      </c>
    </row>
    <row r="39" spans="1:11" ht="15" customHeight="1">
      <c r="A39" s="9" t="str">
        <f>'Members Data'!A31</f>
        <v>Judge</v>
      </c>
      <c r="B39" s="310"/>
      <c r="C39" s="184"/>
      <c r="D39" s="184"/>
      <c r="E39" s="184"/>
      <c r="F39" s="184"/>
      <c r="G39" s="184"/>
      <c r="H39" s="185"/>
      <c r="I39" s="12">
        <f t="shared" si="4"/>
        <v>0</v>
      </c>
      <c r="J39" s="12">
        <f t="shared" si="5"/>
        <v>0</v>
      </c>
      <c r="K39" s="13">
        <f t="shared" si="6"/>
        <v>0</v>
      </c>
    </row>
    <row r="40" spans="1:11" ht="15" customHeight="1">
      <c r="A40" s="9" t="str">
        <f>'Members Data'!A32</f>
        <v>Kádiz</v>
      </c>
      <c r="B40" s="183"/>
      <c r="C40" s="184"/>
      <c r="D40" s="184"/>
      <c r="E40" s="184"/>
      <c r="F40" s="184"/>
      <c r="G40" s="184"/>
      <c r="H40" s="185"/>
      <c r="I40" s="12">
        <f t="shared" si="4"/>
        <v>0</v>
      </c>
      <c r="J40" s="12">
        <f t="shared" si="5"/>
        <v>0</v>
      </c>
      <c r="K40" s="13">
        <f t="shared" si="6"/>
        <v>0</v>
      </c>
    </row>
    <row r="41" spans="1:11" ht="15" customHeight="1">
      <c r="A41" s="9" t="str">
        <f>'Members Data'!A33</f>
        <v>Kanoni</v>
      </c>
      <c r="B41" s="183"/>
      <c r="C41" s="184"/>
      <c r="D41" s="184"/>
      <c r="E41" s="184"/>
      <c r="F41" s="184"/>
      <c r="G41" s="184"/>
      <c r="H41" s="185"/>
      <c r="I41" s="12">
        <f t="shared" si="4"/>
        <v>0</v>
      </c>
      <c r="J41" s="12">
        <f t="shared" si="5"/>
        <v>0</v>
      </c>
      <c r="K41" s="13">
        <f t="shared" si="6"/>
        <v>0</v>
      </c>
    </row>
    <row r="42" spans="1:11" ht="15" customHeight="1">
      <c r="A42" s="9" t="str">
        <f>'Members Data'!A34</f>
        <v>Kristofix</v>
      </c>
      <c r="B42" s="183"/>
      <c r="C42" s="184"/>
      <c r="D42" s="184"/>
      <c r="E42" s="184"/>
      <c r="F42" s="184"/>
      <c r="G42" s="184"/>
      <c r="H42" s="185"/>
      <c r="I42" s="12">
        <f t="shared" si="4"/>
        <v>0</v>
      </c>
      <c r="J42" s="12">
        <f t="shared" si="5"/>
        <v>0</v>
      </c>
      <c r="K42" s="13">
        <f t="shared" si="6"/>
        <v>0</v>
      </c>
    </row>
    <row r="43" spans="1:11" ht="15" customHeight="1">
      <c r="A43" s="9">
        <f>'Members Data'!A35</f>
        <v>0</v>
      </c>
      <c r="B43" s="183"/>
      <c r="C43" s="184"/>
      <c r="D43" s="184"/>
      <c r="E43" s="184"/>
      <c r="F43" s="184"/>
      <c r="G43" s="184"/>
      <c r="H43" s="185"/>
      <c r="I43" s="12">
        <f t="shared" si="4"/>
        <v>0</v>
      </c>
      <c r="J43" s="12">
        <f t="shared" si="5"/>
        <v>0</v>
      </c>
      <c r="K43" s="13">
        <f t="shared" si="6"/>
        <v>0</v>
      </c>
    </row>
    <row r="44" spans="1:11" ht="15" customHeight="1">
      <c r="A44" s="9">
        <f>'Members Data'!A36</f>
        <v>0</v>
      </c>
      <c r="B44" s="183"/>
      <c r="C44" s="184"/>
      <c r="D44" s="184"/>
      <c r="E44" s="184"/>
      <c r="F44" s="184"/>
      <c r="G44" s="184"/>
      <c r="H44" s="185"/>
      <c r="I44" s="12">
        <f t="shared" si="4"/>
        <v>0</v>
      </c>
      <c r="J44" s="12">
        <f t="shared" si="5"/>
        <v>0</v>
      </c>
      <c r="K44" s="13">
        <f t="shared" si="6"/>
        <v>0</v>
      </c>
    </row>
    <row r="45" spans="1:11" ht="15" customHeight="1">
      <c r="A45" s="9">
        <f>'Members Data'!A37</f>
        <v>0</v>
      </c>
      <c r="B45" s="183"/>
      <c r="C45" s="184"/>
      <c r="D45" s="184"/>
      <c r="E45" s="184"/>
      <c r="F45" s="184"/>
      <c r="G45" s="184"/>
      <c r="H45" s="185"/>
      <c r="I45" s="12">
        <f t="shared" si="4"/>
        <v>0</v>
      </c>
      <c r="J45" s="12">
        <f t="shared" si="5"/>
        <v>0</v>
      </c>
      <c r="K45" s="13">
        <f t="shared" si="6"/>
        <v>0</v>
      </c>
    </row>
    <row r="46" spans="1:11" ht="15" customHeight="1">
      <c r="A46" s="9">
        <f>'Members Data'!A38</f>
        <v>0</v>
      </c>
      <c r="B46" s="183"/>
      <c r="C46" s="184"/>
      <c r="D46" s="184"/>
      <c r="E46" s="184"/>
      <c r="F46" s="184"/>
      <c r="G46" s="184"/>
      <c r="H46" s="185"/>
      <c r="I46" s="12">
        <f t="shared" si="4"/>
        <v>0</v>
      </c>
      <c r="J46" s="12">
        <f t="shared" si="5"/>
        <v>0</v>
      </c>
      <c r="K46" s="13">
        <f t="shared" si="6"/>
        <v>0</v>
      </c>
    </row>
    <row r="47" spans="1:11" ht="15" customHeight="1">
      <c r="A47" s="9" t="str">
        <f>'Members Data'!A39</f>
        <v>Mardazur</v>
      </c>
      <c r="B47" s="183"/>
      <c r="C47" s="184"/>
      <c r="D47" s="184"/>
      <c r="E47" s="184"/>
      <c r="F47" s="184"/>
      <c r="G47" s="184"/>
      <c r="H47" s="185"/>
      <c r="I47" s="12">
        <f t="shared" si="4"/>
        <v>0</v>
      </c>
      <c r="J47" s="12">
        <f t="shared" si="5"/>
        <v>0</v>
      </c>
      <c r="K47" s="13">
        <f t="shared" si="6"/>
        <v>0</v>
      </c>
    </row>
    <row r="48" spans="1:11" ht="15" customHeight="1">
      <c r="A48" s="9" t="str">
        <f>'Members Data'!A40</f>
        <v>Mezzolina</v>
      </c>
      <c r="B48" s="183"/>
      <c r="C48" s="184"/>
      <c r="D48" s="184"/>
      <c r="E48" s="184"/>
      <c r="F48" s="184"/>
      <c r="G48" s="184"/>
      <c r="H48" s="185"/>
      <c r="I48" s="12">
        <f t="shared" si="4"/>
        <v>0</v>
      </c>
      <c r="J48" s="12">
        <f t="shared" si="5"/>
        <v>0</v>
      </c>
      <c r="K48" s="13">
        <f t="shared" si="6"/>
        <v>0</v>
      </c>
    </row>
    <row r="49" spans="1:11" ht="15" customHeight="1">
      <c r="A49" s="9">
        <f>'Members Data'!A41</f>
        <v>0</v>
      </c>
      <c r="B49" s="183"/>
      <c r="C49" s="184"/>
      <c r="D49" s="184"/>
      <c r="E49" s="184"/>
      <c r="F49" s="184"/>
      <c r="G49" s="184"/>
      <c r="H49" s="185"/>
      <c r="I49" s="12">
        <f t="shared" si="4"/>
        <v>0</v>
      </c>
      <c r="J49" s="12">
        <f t="shared" si="5"/>
        <v>0</v>
      </c>
      <c r="K49" s="13">
        <f t="shared" si="6"/>
        <v>0</v>
      </c>
    </row>
    <row r="50" spans="1:11" ht="15" customHeight="1">
      <c r="A50" s="9" t="str">
        <f>'Members Data'!A42</f>
        <v>Morenna</v>
      </c>
      <c r="B50" s="183"/>
      <c r="C50" s="184"/>
      <c r="D50" s="184"/>
      <c r="E50" s="184"/>
      <c r="F50" s="184"/>
      <c r="G50" s="184"/>
      <c r="H50" s="185"/>
      <c r="I50" s="12">
        <f t="shared" si="4"/>
        <v>0</v>
      </c>
      <c r="J50" s="12">
        <f t="shared" si="5"/>
        <v>0</v>
      </c>
      <c r="K50" s="13">
        <f t="shared" si="6"/>
        <v>0</v>
      </c>
    </row>
    <row r="51" spans="1:11" ht="15" customHeight="1">
      <c r="A51" s="9" t="str">
        <f>'Members Data'!A43</f>
        <v>Naliyas</v>
      </c>
      <c r="B51" s="183"/>
      <c r="C51" s="184"/>
      <c r="D51" s="184"/>
      <c r="E51" s="184"/>
      <c r="F51" s="184"/>
      <c r="G51" s="184"/>
      <c r="H51" s="185"/>
      <c r="I51" s="12">
        <f t="shared" si="4"/>
        <v>0</v>
      </c>
      <c r="J51" s="12">
        <f t="shared" si="5"/>
        <v>0</v>
      </c>
      <c r="K51" s="13">
        <f t="shared" si="6"/>
        <v>0</v>
      </c>
    </row>
    <row r="52" spans="1:11" ht="15" customHeight="1">
      <c r="A52" s="9">
        <f>'Members Data'!A44</f>
        <v>0</v>
      </c>
      <c r="B52" s="183"/>
      <c r="C52" s="184"/>
      <c r="D52" s="184"/>
      <c r="E52" s="184"/>
      <c r="F52" s="184"/>
      <c r="G52" s="184"/>
      <c r="H52" s="185"/>
      <c r="I52" s="12">
        <f t="shared" si="4"/>
        <v>0</v>
      </c>
      <c r="J52" s="12">
        <f t="shared" si="5"/>
        <v>0</v>
      </c>
      <c r="K52" s="13">
        <f t="shared" si="6"/>
        <v>0</v>
      </c>
    </row>
    <row r="53" spans="1:11" ht="15" customHeight="1">
      <c r="A53" s="9" t="str">
        <f>'Members Data'!A45</f>
        <v>Nazgol</v>
      </c>
      <c r="B53" s="183"/>
      <c r="C53" s="184"/>
      <c r="D53" s="184"/>
      <c r="E53" s="184"/>
      <c r="F53" s="184"/>
      <c r="G53" s="184"/>
      <c r="H53" s="185"/>
      <c r="I53" s="12">
        <f t="shared" si="4"/>
        <v>0</v>
      </c>
      <c r="J53" s="12">
        <f t="shared" si="5"/>
        <v>0</v>
      </c>
      <c r="K53" s="13">
        <f t="shared" si="6"/>
        <v>0</v>
      </c>
    </row>
    <row r="54" spans="1:11" ht="15" customHeight="1">
      <c r="A54" s="9" t="str">
        <f>'Members Data'!A46</f>
        <v>Niiwa</v>
      </c>
      <c r="B54" s="183"/>
      <c r="C54" s="184"/>
      <c r="D54" s="184"/>
      <c r="E54" s="184"/>
      <c r="F54" s="184"/>
      <c r="G54" s="184"/>
      <c r="H54" s="185"/>
      <c r="I54" s="12">
        <f t="shared" si="4"/>
        <v>0</v>
      </c>
      <c r="J54" s="12">
        <f t="shared" si="5"/>
        <v>0</v>
      </c>
      <c r="K54" s="13">
        <f t="shared" si="6"/>
        <v>0</v>
      </c>
    </row>
    <row r="55" spans="1:11" ht="15" customHeight="1">
      <c r="A55" s="9" t="str">
        <f>'Members Data'!A47</f>
        <v>Octavìus</v>
      </c>
      <c r="B55" s="183"/>
      <c r="C55" s="184"/>
      <c r="D55" s="184"/>
      <c r="E55" s="184"/>
      <c r="F55" s="184"/>
      <c r="G55" s="184"/>
      <c r="H55" s="185"/>
      <c r="I55" s="12">
        <f t="shared" si="4"/>
        <v>0</v>
      </c>
      <c r="J55" s="12">
        <f t="shared" si="5"/>
        <v>0</v>
      </c>
      <c r="K55" s="13">
        <f t="shared" si="6"/>
        <v>0</v>
      </c>
    </row>
    <row r="56" spans="1:11" ht="15" customHeight="1">
      <c r="A56" s="9" t="str">
        <f>'Members Data'!A48</f>
        <v>Overtake</v>
      </c>
      <c r="B56" s="183"/>
      <c r="C56" s="184"/>
      <c r="D56" s="184"/>
      <c r="E56" s="184"/>
      <c r="F56" s="184"/>
      <c r="G56" s="184"/>
      <c r="H56" s="185"/>
      <c r="I56" s="12">
        <f t="shared" si="4"/>
        <v>0</v>
      </c>
      <c r="J56" s="12">
        <f t="shared" si="5"/>
        <v>0</v>
      </c>
      <c r="K56" s="13">
        <f t="shared" si="6"/>
        <v>0</v>
      </c>
    </row>
    <row r="57" spans="1:11" ht="15" customHeight="1">
      <c r="A57" s="9" t="str">
        <f>'Members Data'!A49</f>
        <v>Paolin</v>
      </c>
      <c r="B57" s="183"/>
      <c r="C57" s="184"/>
      <c r="D57" s="184"/>
      <c r="E57" s="184"/>
      <c r="F57" s="184"/>
      <c r="G57" s="184"/>
      <c r="H57" s="185"/>
      <c r="I57" s="12">
        <f t="shared" si="4"/>
        <v>0</v>
      </c>
      <c r="J57" s="12">
        <f t="shared" si="5"/>
        <v>0</v>
      </c>
      <c r="K57" s="13">
        <f t="shared" si="6"/>
        <v>0</v>
      </c>
    </row>
    <row r="58" spans="1:11" ht="15" customHeight="1">
      <c r="A58" s="9" t="str">
        <f>'Members Data'!A50</f>
        <v>Páula</v>
      </c>
      <c r="B58" s="183"/>
      <c r="C58" s="184"/>
      <c r="D58" s="184"/>
      <c r="E58" s="184"/>
      <c r="F58" s="184"/>
      <c r="G58" s="184"/>
      <c r="H58" s="185"/>
      <c r="I58" s="12">
        <f t="shared" si="4"/>
        <v>0</v>
      </c>
      <c r="J58" s="12">
        <f t="shared" si="5"/>
        <v>0</v>
      </c>
      <c r="K58" s="13">
        <f t="shared" si="6"/>
        <v>0</v>
      </c>
    </row>
    <row r="59" spans="1:11" ht="15" customHeight="1">
      <c r="A59" s="9" t="str">
        <f>'Members Data'!A51</f>
        <v>Predictable</v>
      </c>
      <c r="B59" s="183"/>
      <c r="C59" s="184"/>
      <c r="D59" s="184"/>
      <c r="E59" s="184"/>
      <c r="F59" s="184"/>
      <c r="G59" s="184"/>
      <c r="H59" s="185"/>
      <c r="I59" s="12">
        <f t="shared" si="4"/>
        <v>0</v>
      </c>
      <c r="J59" s="12">
        <f t="shared" si="5"/>
        <v>0</v>
      </c>
      <c r="K59" s="13">
        <f t="shared" si="6"/>
        <v>0</v>
      </c>
    </row>
    <row r="60" spans="1:11" ht="15" customHeight="1">
      <c r="A60" s="9" t="str">
        <f>'Members Data'!A52</f>
        <v>Rhinoru</v>
      </c>
      <c r="B60" s="183"/>
      <c r="C60" s="184"/>
      <c r="D60" s="184"/>
      <c r="E60" s="184"/>
      <c r="F60" s="184"/>
      <c r="G60" s="184"/>
      <c r="H60" s="185"/>
      <c r="I60" s="12">
        <f t="shared" si="4"/>
        <v>0</v>
      </c>
      <c r="J60" s="12">
        <f t="shared" si="5"/>
        <v>0</v>
      </c>
      <c r="K60" s="13">
        <f t="shared" si="6"/>
        <v>0</v>
      </c>
    </row>
    <row r="61" spans="1:11" ht="15" customHeight="1">
      <c r="A61" s="9">
        <f>'Members Data'!A53</f>
        <v>0</v>
      </c>
      <c r="B61" s="183"/>
      <c r="C61" s="184"/>
      <c r="D61" s="184"/>
      <c r="E61" s="184"/>
      <c r="F61" s="184"/>
      <c r="G61" s="184"/>
      <c r="H61" s="185"/>
      <c r="I61" s="12">
        <f t="shared" si="4"/>
        <v>0</v>
      </c>
      <c r="J61" s="12">
        <f t="shared" si="5"/>
        <v>0</v>
      </c>
      <c r="K61" s="13">
        <f t="shared" si="6"/>
        <v>0</v>
      </c>
    </row>
    <row r="62" spans="1:11" ht="15" customHeight="1">
      <c r="A62" s="9" t="str">
        <f>'Members Data'!A54</f>
        <v>Saltycream</v>
      </c>
      <c r="B62" s="183"/>
      <c r="C62" s="184"/>
      <c r="D62" s="184"/>
      <c r="E62" s="184"/>
      <c r="F62" s="184"/>
      <c r="G62" s="184"/>
      <c r="H62" s="185"/>
      <c r="I62" s="12">
        <f t="shared" si="4"/>
        <v>0</v>
      </c>
      <c r="J62" s="12">
        <f t="shared" si="5"/>
        <v>0</v>
      </c>
      <c r="K62" s="13">
        <f t="shared" si="6"/>
        <v>0</v>
      </c>
    </row>
    <row r="63" spans="1:11" ht="15" customHeight="1">
      <c r="A63" s="9" t="str">
        <f>'Members Data'!A55</f>
        <v>Sarjezzar</v>
      </c>
      <c r="B63" s="183"/>
      <c r="C63" s="184"/>
      <c r="D63" s="184"/>
      <c r="E63" s="184"/>
      <c r="F63" s="184"/>
      <c r="G63" s="184"/>
      <c r="H63" s="185"/>
      <c r="I63" s="12">
        <f t="shared" si="4"/>
        <v>0</v>
      </c>
      <c r="J63" s="12">
        <f t="shared" si="5"/>
        <v>0</v>
      </c>
      <c r="K63" s="13">
        <f t="shared" si="6"/>
        <v>0</v>
      </c>
    </row>
    <row r="64" spans="1:11" ht="15" customHeight="1">
      <c r="A64" s="9">
        <f>'Members Data'!A56</f>
        <v>0</v>
      </c>
      <c r="B64" s="183"/>
      <c r="C64" s="184"/>
      <c r="D64" s="184"/>
      <c r="E64" s="184"/>
      <c r="F64" s="184"/>
      <c r="G64" s="184"/>
      <c r="H64" s="185"/>
      <c r="I64" s="12">
        <f t="shared" si="4"/>
        <v>0</v>
      </c>
      <c r="J64" s="12">
        <f t="shared" si="5"/>
        <v>0</v>
      </c>
      <c r="K64" s="13">
        <f t="shared" si="6"/>
        <v>0</v>
      </c>
    </row>
    <row r="65" spans="1:11" ht="15" customHeight="1">
      <c r="A65" s="9" t="str">
        <f>'Members Data'!A57</f>
        <v>Shinkai</v>
      </c>
      <c r="B65" s="187"/>
      <c r="C65" s="184"/>
      <c r="D65" s="184"/>
      <c r="E65" s="184"/>
      <c r="F65" s="184"/>
      <c r="G65" s="184"/>
      <c r="H65" s="185"/>
      <c r="I65" s="12">
        <f t="shared" si="4"/>
        <v>0</v>
      </c>
      <c r="J65" s="12">
        <f t="shared" si="5"/>
        <v>0</v>
      </c>
      <c r="K65" s="13">
        <f t="shared" si="6"/>
        <v>0</v>
      </c>
    </row>
    <row r="66" spans="1:11" ht="15" customHeight="1">
      <c r="A66" s="68" t="str">
        <f>'Members Data'!A58</f>
        <v>Sidac</v>
      </c>
      <c r="B66" s="187"/>
      <c r="C66" s="184"/>
      <c r="D66" s="184"/>
      <c r="E66" s="184"/>
      <c r="F66" s="184"/>
      <c r="G66" s="184"/>
      <c r="H66" s="185"/>
      <c r="I66" s="12">
        <f>COUNTIF(B66:H66,"confirmed")</f>
        <v>0</v>
      </c>
      <c r="J66" s="12">
        <f>COUNTIF(B66:H66,"standby")</f>
        <v>0</v>
      </c>
      <c r="K66" s="13">
        <f>COUNTIF(B66:H66,"out")</f>
        <v>0</v>
      </c>
    </row>
    <row r="67" spans="1:11" ht="15" customHeight="1">
      <c r="A67" s="68" t="str">
        <f>'Members Data'!A59</f>
        <v>Snowies</v>
      </c>
      <c r="B67" s="187"/>
      <c r="C67" s="184"/>
      <c r="D67" s="184"/>
      <c r="E67" s="184"/>
      <c r="F67" s="184"/>
      <c r="G67" s="184"/>
      <c r="H67" s="188"/>
      <c r="I67" s="65">
        <f t="shared" si="4"/>
        <v>0</v>
      </c>
      <c r="J67" s="65">
        <f t="shared" si="5"/>
        <v>0</v>
      </c>
      <c r="K67" s="66">
        <f t="shared" si="6"/>
        <v>0</v>
      </c>
    </row>
    <row r="68" spans="1:11" ht="15" customHeight="1">
      <c r="A68" s="68" t="str">
        <f>'Members Data'!A60</f>
        <v>Spruch</v>
      </c>
      <c r="B68" s="183"/>
      <c r="C68" s="184"/>
      <c r="D68" s="184"/>
      <c r="E68" s="184"/>
      <c r="F68" s="184"/>
      <c r="G68" s="184"/>
      <c r="H68" s="188"/>
      <c r="I68" s="65">
        <f t="shared" si="4"/>
        <v>0</v>
      </c>
      <c r="J68" s="65">
        <f t="shared" si="5"/>
        <v>0</v>
      </c>
      <c r="K68" s="66">
        <f t="shared" si="6"/>
        <v>0</v>
      </c>
    </row>
    <row r="69" spans="1:11" ht="15" customHeight="1" thickBot="1">
      <c r="A69" s="122" t="str">
        <f>'Members Data'!A61</f>
        <v>Svicane</v>
      </c>
      <c r="B69" s="189"/>
      <c r="C69" s="190"/>
      <c r="D69" s="190"/>
      <c r="E69" s="190"/>
      <c r="F69" s="190"/>
      <c r="G69" s="190"/>
      <c r="H69" s="191"/>
      <c r="I69" s="123">
        <f t="shared" si="4"/>
        <v>0</v>
      </c>
      <c r="J69" s="123">
        <f t="shared" si="5"/>
        <v>0</v>
      </c>
      <c r="K69" s="124">
        <f t="shared" si="6"/>
        <v>0</v>
      </c>
    </row>
    <row r="70" spans="1:11" ht="15" customHeight="1" thickTop="1">
      <c r="A70" s="67" t="str">
        <f>'Members Data'!A62</f>
        <v>Téasey</v>
      </c>
      <c r="B70" s="183"/>
      <c r="C70" s="184"/>
      <c r="D70" s="184"/>
      <c r="E70" s="184"/>
      <c r="F70" s="184"/>
      <c r="G70" s="184"/>
      <c r="H70" s="185"/>
      <c r="I70" s="120">
        <f t="shared" si="4"/>
        <v>0</v>
      </c>
      <c r="J70" s="120">
        <f t="shared" si="5"/>
        <v>0</v>
      </c>
      <c r="K70" s="121">
        <f t="shared" si="6"/>
        <v>0</v>
      </c>
    </row>
    <row r="71" spans="1:11" ht="15" customHeight="1">
      <c r="A71" s="68" t="str">
        <f>'Members Data'!A63</f>
        <v>Tomrexx</v>
      </c>
      <c r="B71" s="310"/>
      <c r="C71" s="184"/>
      <c r="D71" s="184"/>
      <c r="E71" s="184"/>
      <c r="F71" s="184"/>
      <c r="G71" s="184"/>
      <c r="H71" s="185"/>
      <c r="I71" s="65">
        <f t="shared" si="4"/>
        <v>0</v>
      </c>
      <c r="J71" s="65">
        <f t="shared" si="5"/>
        <v>0</v>
      </c>
      <c r="K71" s="66">
        <f t="shared" si="6"/>
        <v>0</v>
      </c>
    </row>
    <row r="72" spans="1:11" ht="15" customHeight="1">
      <c r="A72" s="68" t="str">
        <f>'Members Data'!A64</f>
        <v>Tonitrum</v>
      </c>
      <c r="B72" s="183"/>
      <c r="C72" s="184"/>
      <c r="D72" s="184"/>
      <c r="E72" s="184"/>
      <c r="F72" s="184"/>
      <c r="G72" s="184"/>
      <c r="H72" s="185"/>
      <c r="I72" s="65">
        <f t="shared" si="4"/>
        <v>0</v>
      </c>
      <c r="J72" s="65">
        <f t="shared" si="5"/>
        <v>0</v>
      </c>
      <c r="K72" s="66">
        <f t="shared" si="6"/>
        <v>0</v>
      </c>
    </row>
    <row r="73" spans="1:11" ht="15" customHeight="1">
      <c r="A73" s="68" t="str">
        <f>'Members Data'!A65</f>
        <v>Tsali</v>
      </c>
      <c r="B73" s="183"/>
      <c r="C73" s="184"/>
      <c r="D73" s="184"/>
      <c r="E73" s="184"/>
      <c r="F73" s="184"/>
      <c r="G73" s="184"/>
      <c r="H73" s="185"/>
      <c r="I73" s="65">
        <f t="shared" si="4"/>
        <v>0</v>
      </c>
      <c r="J73" s="65">
        <f t="shared" si="5"/>
        <v>0</v>
      </c>
      <c r="K73" s="66">
        <f t="shared" si="6"/>
        <v>0</v>
      </c>
    </row>
    <row r="74" spans="1:11" ht="15" customHeight="1">
      <c r="A74" s="68" t="str">
        <f>'Members Data'!A66</f>
        <v>Twicemore</v>
      </c>
      <c r="B74" s="183"/>
      <c r="C74" s="184"/>
      <c r="D74" s="184"/>
      <c r="E74" s="184"/>
      <c r="F74" s="184"/>
      <c r="G74" s="184"/>
      <c r="H74" s="185"/>
      <c r="I74" s="65">
        <f t="shared" si="4"/>
        <v>0</v>
      </c>
      <c r="J74" s="65">
        <f t="shared" si="5"/>
        <v>0</v>
      </c>
      <c r="K74" s="66">
        <f t="shared" si="6"/>
        <v>0</v>
      </c>
    </row>
    <row r="75" spans="1:11" ht="15" customHeight="1">
      <c r="A75" s="68" t="str">
        <f>'Members Data'!A67</f>
        <v>Vereen</v>
      </c>
      <c r="B75" s="183"/>
      <c r="C75" s="184"/>
      <c r="D75" s="184"/>
      <c r="E75" s="184"/>
      <c r="F75" s="184"/>
      <c r="G75" s="184"/>
      <c r="H75" s="185"/>
      <c r="I75" s="65">
        <f t="shared" ref="I75:I108" si="7">COUNTIF(B75:H75,"confirmed")</f>
        <v>0</v>
      </c>
      <c r="J75" s="65">
        <f t="shared" ref="J75:J108" si="8">COUNTIF(B75:H75,"standby")</f>
        <v>0</v>
      </c>
      <c r="K75" s="66">
        <f t="shared" ref="K75:K108" si="9">COUNTIF(B75:H75,"out")</f>
        <v>0</v>
      </c>
    </row>
    <row r="76" spans="1:11" ht="15" customHeight="1">
      <c r="A76" s="68" t="str">
        <f>'Members Data'!A68</f>
        <v>Xanadaria</v>
      </c>
      <c r="B76" s="183"/>
      <c r="C76" s="184"/>
      <c r="D76" s="184"/>
      <c r="E76" s="184"/>
      <c r="F76" s="184"/>
      <c r="G76" s="184"/>
      <c r="H76" s="185"/>
      <c r="I76" s="65">
        <f t="shared" si="7"/>
        <v>0</v>
      </c>
      <c r="J76" s="65">
        <f t="shared" si="8"/>
        <v>0</v>
      </c>
      <c r="K76" s="66">
        <f t="shared" si="9"/>
        <v>0</v>
      </c>
    </row>
    <row r="77" spans="1:11" ht="15" customHeight="1">
      <c r="A77" s="68" t="str">
        <f>'Members Data'!A69</f>
        <v>Xian</v>
      </c>
      <c r="B77" s="183"/>
      <c r="C77" s="184"/>
      <c r="D77" s="184"/>
      <c r="E77" s="184"/>
      <c r="F77" s="184"/>
      <c r="G77" s="184"/>
      <c r="H77" s="185"/>
      <c r="I77" s="65">
        <f t="shared" si="7"/>
        <v>0</v>
      </c>
      <c r="J77" s="65">
        <f t="shared" si="8"/>
        <v>0</v>
      </c>
      <c r="K77" s="66">
        <f t="shared" si="9"/>
        <v>0</v>
      </c>
    </row>
    <row r="78" spans="1:11" ht="15" customHeight="1">
      <c r="A78" s="68" t="str">
        <f>'Members Data'!A70</f>
        <v>Xytree</v>
      </c>
      <c r="B78" s="183"/>
      <c r="C78" s="184"/>
      <c r="D78" s="184"/>
      <c r="E78" s="184"/>
      <c r="F78" s="184"/>
      <c r="G78" s="184"/>
      <c r="H78" s="185"/>
      <c r="I78" s="65">
        <f t="shared" si="7"/>
        <v>0</v>
      </c>
      <c r="J78" s="65">
        <f t="shared" si="8"/>
        <v>0</v>
      </c>
      <c r="K78" s="66">
        <f t="shared" si="9"/>
        <v>0</v>
      </c>
    </row>
    <row r="79" spans="1:11" ht="15" customHeight="1">
      <c r="A79" s="68" t="str">
        <f>'Members Data'!A71</f>
        <v>Yardk</v>
      </c>
      <c r="B79" s="183"/>
      <c r="C79" s="184"/>
      <c r="D79" s="184"/>
      <c r="E79" s="184"/>
      <c r="F79" s="184"/>
      <c r="G79" s="184"/>
      <c r="H79" s="185"/>
      <c r="I79" s="65">
        <f t="shared" si="7"/>
        <v>0</v>
      </c>
      <c r="J79" s="65">
        <f t="shared" si="8"/>
        <v>0</v>
      </c>
      <c r="K79" s="66">
        <f t="shared" si="9"/>
        <v>0</v>
      </c>
    </row>
    <row r="80" spans="1:11" ht="15" customHeight="1">
      <c r="A80" s="68" t="str">
        <f>'Members Data'!A72</f>
        <v>Yse</v>
      </c>
      <c r="B80" s="183"/>
      <c r="C80" s="184"/>
      <c r="D80" s="184"/>
      <c r="E80" s="184"/>
      <c r="F80" s="184"/>
      <c r="G80" s="184"/>
      <c r="H80" s="185"/>
      <c r="I80" s="65">
        <f t="shared" si="7"/>
        <v>0</v>
      </c>
      <c r="J80" s="65">
        <f t="shared" si="8"/>
        <v>0</v>
      </c>
      <c r="K80" s="66">
        <f t="shared" si="9"/>
        <v>0</v>
      </c>
    </row>
    <row r="81" spans="1:11" ht="15" customHeight="1">
      <c r="A81" s="68" t="str">
        <f>'Members Data'!A73</f>
        <v>Zantias</v>
      </c>
      <c r="B81" s="183"/>
      <c r="C81" s="184"/>
      <c r="D81" s="184"/>
      <c r="E81" s="184"/>
      <c r="F81" s="184"/>
      <c r="G81" s="184"/>
      <c r="H81" s="185"/>
      <c r="I81" s="65">
        <f t="shared" si="7"/>
        <v>0</v>
      </c>
      <c r="J81" s="65">
        <f t="shared" si="8"/>
        <v>0</v>
      </c>
      <c r="K81" s="66">
        <f t="shared" si="9"/>
        <v>0</v>
      </c>
    </row>
    <row r="82" spans="1:11" ht="15" customHeight="1">
      <c r="A82" s="68">
        <f>'Members Data'!A74</f>
        <v>0</v>
      </c>
      <c r="B82" s="310"/>
      <c r="C82" s="184"/>
      <c r="D82" s="184"/>
      <c r="E82" s="184"/>
      <c r="F82" s="184"/>
      <c r="G82" s="184"/>
      <c r="H82" s="185"/>
      <c r="I82" s="65">
        <f t="shared" si="7"/>
        <v>0</v>
      </c>
      <c r="J82" s="65">
        <f t="shared" si="8"/>
        <v>0</v>
      </c>
      <c r="K82" s="66">
        <f t="shared" si="9"/>
        <v>0</v>
      </c>
    </row>
    <row r="83" spans="1:11" ht="15" customHeight="1">
      <c r="A83" s="68">
        <f>'Members Data'!A75</f>
        <v>0</v>
      </c>
      <c r="B83" s="183"/>
      <c r="C83" s="184"/>
      <c r="D83" s="184"/>
      <c r="E83" s="184"/>
      <c r="F83" s="184"/>
      <c r="G83" s="184"/>
      <c r="H83" s="185"/>
      <c r="I83" s="65">
        <f t="shared" si="7"/>
        <v>0</v>
      </c>
      <c r="J83" s="65">
        <f t="shared" si="8"/>
        <v>0</v>
      </c>
      <c r="K83" s="66">
        <f t="shared" si="9"/>
        <v>0</v>
      </c>
    </row>
    <row r="84" spans="1:11" ht="15" customHeight="1">
      <c r="A84" s="68">
        <f>'Members Data'!A76</f>
        <v>0</v>
      </c>
      <c r="B84" s="183"/>
      <c r="C84" s="184"/>
      <c r="D84" s="184"/>
      <c r="E84" s="184"/>
      <c r="F84" s="184"/>
      <c r="G84" s="184"/>
      <c r="H84" s="185"/>
      <c r="I84" s="65">
        <f t="shared" si="7"/>
        <v>0</v>
      </c>
      <c r="J84" s="65">
        <f t="shared" si="8"/>
        <v>0</v>
      </c>
      <c r="K84" s="66">
        <f t="shared" si="9"/>
        <v>0</v>
      </c>
    </row>
    <row r="85" spans="1:11" ht="15" customHeight="1">
      <c r="A85" s="68">
        <f>'Members Data'!A77</f>
        <v>0</v>
      </c>
      <c r="B85" s="183"/>
      <c r="C85" s="184"/>
      <c r="D85" s="184"/>
      <c r="E85" s="184"/>
      <c r="F85" s="184"/>
      <c r="G85" s="184"/>
      <c r="H85" s="185"/>
      <c r="I85" s="65">
        <f t="shared" si="7"/>
        <v>0</v>
      </c>
      <c r="J85" s="65">
        <f t="shared" si="8"/>
        <v>0</v>
      </c>
      <c r="K85" s="66">
        <f t="shared" si="9"/>
        <v>0</v>
      </c>
    </row>
    <row r="86" spans="1:11" ht="15" customHeight="1">
      <c r="A86" s="68">
        <f>'Members Data'!A78</f>
        <v>0</v>
      </c>
      <c r="B86" s="183"/>
      <c r="C86" s="184"/>
      <c r="D86" s="184"/>
      <c r="E86" s="184"/>
      <c r="F86" s="184"/>
      <c r="G86" s="184"/>
      <c r="H86" s="185"/>
      <c r="I86" s="65">
        <f t="shared" si="7"/>
        <v>0</v>
      </c>
      <c r="J86" s="65">
        <f t="shared" si="8"/>
        <v>0</v>
      </c>
      <c r="K86" s="66">
        <f t="shared" si="9"/>
        <v>0</v>
      </c>
    </row>
    <row r="87" spans="1:11" ht="15" customHeight="1">
      <c r="A87" s="68">
        <f>'Members Data'!A79</f>
        <v>0</v>
      </c>
      <c r="B87" s="183"/>
      <c r="C87" s="184"/>
      <c r="D87" s="184"/>
      <c r="E87" s="184"/>
      <c r="F87" s="184"/>
      <c r="G87" s="184"/>
      <c r="H87" s="185"/>
      <c r="I87" s="65">
        <f t="shared" si="7"/>
        <v>0</v>
      </c>
      <c r="J87" s="65">
        <f t="shared" si="8"/>
        <v>0</v>
      </c>
      <c r="K87" s="66">
        <f t="shared" si="9"/>
        <v>0</v>
      </c>
    </row>
    <row r="88" spans="1:11" ht="15" customHeight="1">
      <c r="A88" s="68">
        <f>'Members Data'!A80</f>
        <v>0</v>
      </c>
      <c r="B88" s="183"/>
      <c r="C88" s="184"/>
      <c r="D88" s="184"/>
      <c r="E88" s="184"/>
      <c r="F88" s="184"/>
      <c r="G88" s="184"/>
      <c r="H88" s="185"/>
      <c r="I88" s="65">
        <f t="shared" si="7"/>
        <v>0</v>
      </c>
      <c r="J88" s="65">
        <f t="shared" si="8"/>
        <v>0</v>
      </c>
      <c r="K88" s="66">
        <f t="shared" si="9"/>
        <v>0</v>
      </c>
    </row>
    <row r="89" spans="1:11" ht="15" customHeight="1">
      <c r="A89" s="68">
        <f>'Members Data'!A81</f>
        <v>0</v>
      </c>
      <c r="B89" s="183"/>
      <c r="C89" s="184"/>
      <c r="D89" s="184"/>
      <c r="E89" s="184"/>
      <c r="F89" s="184"/>
      <c r="G89" s="184"/>
      <c r="H89" s="185"/>
      <c r="I89" s="65">
        <f t="shared" si="7"/>
        <v>0</v>
      </c>
      <c r="J89" s="65">
        <f t="shared" si="8"/>
        <v>0</v>
      </c>
      <c r="K89" s="66">
        <f t="shared" si="9"/>
        <v>0</v>
      </c>
    </row>
    <row r="90" spans="1:11" ht="15" customHeight="1">
      <c r="A90" s="68">
        <f>'Members Data'!A82</f>
        <v>0</v>
      </c>
      <c r="B90" s="183"/>
      <c r="C90" s="184"/>
      <c r="D90" s="184"/>
      <c r="E90" s="184"/>
      <c r="F90" s="184"/>
      <c r="G90" s="184"/>
      <c r="H90" s="185"/>
      <c r="I90" s="65">
        <f t="shared" si="7"/>
        <v>0</v>
      </c>
      <c r="J90" s="65">
        <f t="shared" si="8"/>
        <v>0</v>
      </c>
      <c r="K90" s="66">
        <f t="shared" si="9"/>
        <v>0</v>
      </c>
    </row>
    <row r="91" spans="1:11" ht="15" customHeight="1">
      <c r="A91" s="68">
        <f>'Members Data'!A83</f>
        <v>0</v>
      </c>
      <c r="B91" s="183"/>
      <c r="C91" s="184"/>
      <c r="D91" s="184"/>
      <c r="E91" s="184"/>
      <c r="F91" s="184"/>
      <c r="G91" s="184"/>
      <c r="H91" s="185"/>
      <c r="I91" s="65">
        <f t="shared" si="7"/>
        <v>0</v>
      </c>
      <c r="J91" s="65">
        <f t="shared" si="8"/>
        <v>0</v>
      </c>
      <c r="K91" s="66">
        <f t="shared" si="9"/>
        <v>0</v>
      </c>
    </row>
    <row r="92" spans="1:11" ht="15" customHeight="1">
      <c r="A92" s="68">
        <f>'Members Data'!A84</f>
        <v>0</v>
      </c>
      <c r="B92" s="183"/>
      <c r="C92" s="184"/>
      <c r="D92" s="184"/>
      <c r="E92" s="184"/>
      <c r="F92" s="184"/>
      <c r="G92" s="184"/>
      <c r="H92" s="185"/>
      <c r="I92" s="65">
        <f t="shared" si="7"/>
        <v>0</v>
      </c>
      <c r="J92" s="65">
        <f t="shared" si="8"/>
        <v>0</v>
      </c>
      <c r="K92" s="66">
        <f t="shared" si="9"/>
        <v>0</v>
      </c>
    </row>
    <row r="93" spans="1:11" ht="15" customHeight="1">
      <c r="A93" s="68">
        <f>'Members Data'!A85</f>
        <v>0</v>
      </c>
      <c r="B93" s="183"/>
      <c r="C93" s="184"/>
      <c r="D93" s="184"/>
      <c r="E93" s="184"/>
      <c r="F93" s="184"/>
      <c r="G93" s="184"/>
      <c r="H93" s="185"/>
      <c r="I93" s="65">
        <f t="shared" si="7"/>
        <v>0</v>
      </c>
      <c r="J93" s="65">
        <f t="shared" si="8"/>
        <v>0</v>
      </c>
      <c r="K93" s="66">
        <f t="shared" si="9"/>
        <v>0</v>
      </c>
    </row>
    <row r="94" spans="1:11" ht="15" customHeight="1">
      <c r="A94" s="68">
        <f>'Members Data'!A86</f>
        <v>0</v>
      </c>
      <c r="B94" s="183"/>
      <c r="C94" s="184"/>
      <c r="D94" s="184"/>
      <c r="E94" s="184"/>
      <c r="F94" s="184"/>
      <c r="G94" s="184"/>
      <c r="H94" s="185"/>
      <c r="I94" s="65">
        <f t="shared" si="7"/>
        <v>0</v>
      </c>
      <c r="J94" s="65">
        <f t="shared" si="8"/>
        <v>0</v>
      </c>
      <c r="K94" s="66">
        <f t="shared" si="9"/>
        <v>0</v>
      </c>
    </row>
    <row r="95" spans="1:11" ht="15" customHeight="1">
      <c r="A95" s="68">
        <f>'Members Data'!A87</f>
        <v>0</v>
      </c>
      <c r="B95" s="183"/>
      <c r="C95" s="184"/>
      <c r="D95" s="184"/>
      <c r="E95" s="184"/>
      <c r="F95" s="184"/>
      <c r="G95" s="184"/>
      <c r="H95" s="185"/>
      <c r="I95" s="65">
        <f t="shared" si="7"/>
        <v>0</v>
      </c>
      <c r="J95" s="65">
        <f t="shared" si="8"/>
        <v>0</v>
      </c>
      <c r="K95" s="66">
        <f t="shared" si="9"/>
        <v>0</v>
      </c>
    </row>
    <row r="96" spans="1:11" ht="15" customHeight="1">
      <c r="A96" s="68">
        <f>'Members Data'!A88</f>
        <v>0</v>
      </c>
      <c r="B96" s="183"/>
      <c r="C96" s="184"/>
      <c r="D96" s="184"/>
      <c r="E96" s="184"/>
      <c r="F96" s="184"/>
      <c r="G96" s="184"/>
      <c r="H96" s="185"/>
      <c r="I96" s="65">
        <f t="shared" si="7"/>
        <v>0</v>
      </c>
      <c r="J96" s="65">
        <f t="shared" si="8"/>
        <v>0</v>
      </c>
      <c r="K96" s="66">
        <f t="shared" si="9"/>
        <v>0</v>
      </c>
    </row>
    <row r="97" spans="1:11" ht="15" customHeight="1">
      <c r="A97" s="68">
        <f>'Members Data'!A89</f>
        <v>0</v>
      </c>
      <c r="B97" s="183"/>
      <c r="C97" s="184"/>
      <c r="D97" s="184"/>
      <c r="E97" s="184"/>
      <c r="F97" s="184"/>
      <c r="G97" s="184"/>
      <c r="H97" s="185"/>
      <c r="I97" s="65">
        <f t="shared" si="7"/>
        <v>0</v>
      </c>
      <c r="J97" s="65">
        <f t="shared" si="8"/>
        <v>0</v>
      </c>
      <c r="K97" s="66">
        <f t="shared" si="9"/>
        <v>0</v>
      </c>
    </row>
    <row r="98" spans="1:11" ht="15" customHeight="1">
      <c r="A98" s="68">
        <f>'Members Data'!A90</f>
        <v>0</v>
      </c>
      <c r="B98" s="183"/>
      <c r="C98" s="184"/>
      <c r="D98" s="184"/>
      <c r="E98" s="184"/>
      <c r="F98" s="184"/>
      <c r="G98" s="184"/>
      <c r="H98" s="185"/>
      <c r="I98" s="65">
        <f t="shared" si="7"/>
        <v>0</v>
      </c>
      <c r="J98" s="65">
        <f t="shared" si="8"/>
        <v>0</v>
      </c>
      <c r="K98" s="66">
        <f t="shared" si="9"/>
        <v>0</v>
      </c>
    </row>
    <row r="99" spans="1:11" ht="15" customHeight="1">
      <c r="A99" s="68">
        <f>'Members Data'!A91</f>
        <v>0</v>
      </c>
      <c r="B99" s="183"/>
      <c r="C99" s="184"/>
      <c r="D99" s="184"/>
      <c r="E99" s="184"/>
      <c r="F99" s="184"/>
      <c r="G99" s="184"/>
      <c r="H99" s="185"/>
      <c r="I99" s="65">
        <f t="shared" si="7"/>
        <v>0</v>
      </c>
      <c r="J99" s="65">
        <f t="shared" si="8"/>
        <v>0</v>
      </c>
      <c r="K99" s="66">
        <f t="shared" si="9"/>
        <v>0</v>
      </c>
    </row>
    <row r="100" spans="1:11" ht="15" customHeight="1">
      <c r="A100" s="68">
        <f>'Members Data'!A92</f>
        <v>0</v>
      </c>
      <c r="B100" s="310"/>
      <c r="C100" s="184"/>
      <c r="D100" s="184"/>
      <c r="E100" s="184"/>
      <c r="F100" s="184"/>
      <c r="G100" s="184"/>
      <c r="H100" s="185"/>
      <c r="I100" s="65">
        <f t="shared" si="7"/>
        <v>0</v>
      </c>
      <c r="J100" s="65">
        <f t="shared" si="8"/>
        <v>0</v>
      </c>
      <c r="K100" s="66">
        <f t="shared" si="9"/>
        <v>0</v>
      </c>
    </row>
    <row r="101" spans="1:11" ht="15" customHeight="1">
      <c r="A101" s="68">
        <f>'Members Data'!A93</f>
        <v>0</v>
      </c>
      <c r="B101" s="183"/>
      <c r="C101" s="184"/>
      <c r="D101" s="184"/>
      <c r="E101" s="184"/>
      <c r="F101" s="184"/>
      <c r="G101" s="184"/>
      <c r="H101" s="185"/>
      <c r="I101" s="65">
        <f t="shared" si="7"/>
        <v>0</v>
      </c>
      <c r="J101" s="65">
        <f t="shared" si="8"/>
        <v>0</v>
      </c>
      <c r="K101" s="66">
        <f t="shared" si="9"/>
        <v>0</v>
      </c>
    </row>
    <row r="102" spans="1:11" ht="15" customHeight="1">
      <c r="A102" s="68">
        <f>'Members Data'!A94</f>
        <v>0</v>
      </c>
      <c r="B102" s="183"/>
      <c r="C102" s="184"/>
      <c r="D102" s="184"/>
      <c r="E102" s="184"/>
      <c r="F102" s="184"/>
      <c r="G102" s="184"/>
      <c r="H102" s="185"/>
      <c r="I102" s="65">
        <f t="shared" si="7"/>
        <v>0</v>
      </c>
      <c r="J102" s="65">
        <f t="shared" si="8"/>
        <v>0</v>
      </c>
      <c r="K102" s="66">
        <f t="shared" si="9"/>
        <v>0</v>
      </c>
    </row>
    <row r="103" spans="1:11" ht="15" customHeight="1">
      <c r="A103" s="68">
        <f>'Members Data'!A95</f>
        <v>0</v>
      </c>
      <c r="B103" s="183"/>
      <c r="C103" s="184"/>
      <c r="D103" s="184"/>
      <c r="E103" s="184"/>
      <c r="F103" s="184"/>
      <c r="G103" s="184"/>
      <c r="H103" s="185"/>
      <c r="I103" s="65">
        <f t="shared" si="7"/>
        <v>0</v>
      </c>
      <c r="J103" s="65">
        <f t="shared" si="8"/>
        <v>0</v>
      </c>
      <c r="K103" s="66">
        <f t="shared" si="9"/>
        <v>0</v>
      </c>
    </row>
    <row r="104" spans="1:11" ht="15" customHeight="1">
      <c r="A104" s="68">
        <f>'Members Data'!A96</f>
        <v>0</v>
      </c>
      <c r="B104" s="183"/>
      <c r="C104" s="184"/>
      <c r="D104" s="184"/>
      <c r="E104" s="184"/>
      <c r="F104" s="184"/>
      <c r="G104" s="184"/>
      <c r="H104" s="185"/>
      <c r="I104" s="65">
        <f t="shared" si="7"/>
        <v>0</v>
      </c>
      <c r="J104" s="65">
        <f t="shared" si="8"/>
        <v>0</v>
      </c>
      <c r="K104" s="66">
        <f t="shared" si="9"/>
        <v>0</v>
      </c>
    </row>
    <row r="105" spans="1:11" ht="15" customHeight="1">
      <c r="A105" s="68">
        <f>'Members Data'!A97</f>
        <v>0</v>
      </c>
      <c r="B105" s="183"/>
      <c r="C105" s="184"/>
      <c r="D105" s="184"/>
      <c r="E105" s="184"/>
      <c r="F105" s="184"/>
      <c r="G105" s="184"/>
      <c r="H105" s="185"/>
      <c r="I105" s="65">
        <f t="shared" si="7"/>
        <v>0</v>
      </c>
      <c r="J105" s="65">
        <f t="shared" si="8"/>
        <v>0</v>
      </c>
      <c r="K105" s="66">
        <f t="shared" si="9"/>
        <v>0</v>
      </c>
    </row>
    <row r="106" spans="1:11" ht="15" customHeight="1">
      <c r="A106" s="68">
        <f>'Members Data'!A98</f>
        <v>0</v>
      </c>
      <c r="B106" s="183"/>
      <c r="C106" s="184"/>
      <c r="D106" s="184"/>
      <c r="E106" s="184"/>
      <c r="F106" s="184"/>
      <c r="G106" s="184"/>
      <c r="H106" s="185"/>
      <c r="I106" s="65">
        <f t="shared" si="7"/>
        <v>0</v>
      </c>
      <c r="J106" s="65">
        <f t="shared" si="8"/>
        <v>0</v>
      </c>
      <c r="K106" s="66">
        <f t="shared" si="9"/>
        <v>0</v>
      </c>
    </row>
    <row r="107" spans="1:11" ht="15" customHeight="1">
      <c r="A107" s="68">
        <f>'Members Data'!A99</f>
        <v>0</v>
      </c>
      <c r="B107" s="183"/>
      <c r="C107" s="184"/>
      <c r="D107" s="184"/>
      <c r="E107" s="184"/>
      <c r="F107" s="184"/>
      <c r="G107" s="184"/>
      <c r="H107" s="185"/>
      <c r="I107" s="65">
        <f t="shared" si="7"/>
        <v>0</v>
      </c>
      <c r="J107" s="65">
        <f t="shared" si="8"/>
        <v>0</v>
      </c>
      <c r="K107" s="66">
        <f t="shared" si="9"/>
        <v>0</v>
      </c>
    </row>
    <row r="108" spans="1:11" ht="15" customHeight="1" thickBot="1">
      <c r="A108" s="134">
        <f>'Members Data'!A100</f>
        <v>0</v>
      </c>
      <c r="B108" s="192"/>
      <c r="C108" s="193"/>
      <c r="D108" s="193"/>
      <c r="E108" s="193"/>
      <c r="F108" s="193"/>
      <c r="G108" s="193"/>
      <c r="H108" s="194"/>
      <c r="I108" s="70">
        <f t="shared" si="7"/>
        <v>0</v>
      </c>
      <c r="J108" s="70">
        <f t="shared" si="8"/>
        <v>0</v>
      </c>
      <c r="K108" s="71">
        <f t="shared" si="9"/>
        <v>0</v>
      </c>
    </row>
  </sheetData>
  <mergeCells count="3">
    <mergeCell ref="I1:I9"/>
    <mergeCell ref="J1:J9"/>
    <mergeCell ref="K1:K9"/>
  </mergeCells>
  <conditionalFormatting sqref="A10:A108">
    <cfRule type="expression" dxfId="2" priority="1" stopIfTrue="1">
      <formula>IF(K10&gt;0,TRUE)</formula>
    </cfRule>
    <cfRule type="expression" dxfId="1" priority="2" stopIfTrue="1">
      <formula>IF(SUM(I10:J10)&gt;1,TRUE)</formula>
    </cfRule>
    <cfRule type="expression" dxfId="0" priority="3" stopIfTrue="1">
      <formula>IF(SUM(I10:J10)&lt;2,TRUE)</formula>
    </cfRule>
  </conditionalFormatting>
  <dataValidations count="2">
    <dataValidation type="list" operator="equal" showErrorMessage="1" sqref="B10:H108">
      <formula1>"Invited,Confirmed,Standby,Out"</formula1>
      <formula2>0</formula2>
    </dataValidation>
    <dataValidation type="list" operator="equal" sqref="B4:H4">
      <formula1>"??,10,25"</formula1>
      <formula2>0</formula2>
    </dataValidation>
  </dataValidations>
  <pageMargins left="0.78749999999999998" right="0.78749999999999998" top="1.0527777777777778" bottom="1.0527777777777778" header="0.78749999999999998" footer="0.78749999999999998"/>
  <pageSetup paperSize="9" firstPageNumber="0" orientation="portrait" horizontalDpi="300" verticalDpi="300" r:id="rId1"/>
  <headerFooter alignWithMargins="0">
    <oddHeader>&amp;C&amp;"Times New Roman,Regular"&amp;12&amp;A</oddHeader>
    <oddFooter>&amp;C&amp;"Times New Roman,Regular"&amp;12Page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>
  <dimension ref="A25:Q136"/>
  <sheetViews>
    <sheetView zoomScale="101" zoomScaleNormal="101" workbookViewId="0">
      <selection activeCell="B26" sqref="B26:C26"/>
    </sheetView>
  </sheetViews>
  <sheetFormatPr defaultRowHeight="12.75"/>
  <cols>
    <col min="1" max="1" width="12.5703125" customWidth="1"/>
    <col min="2" max="2" width="11.7109375" style="69" customWidth="1"/>
    <col min="3" max="3" width="9.140625" style="69"/>
    <col min="4" max="4" width="9" style="69" customWidth="1"/>
    <col min="5" max="5" width="7.5703125" style="73" customWidth="1"/>
    <col min="6" max="6" width="9.140625" style="69"/>
    <col min="7" max="7" width="9.28515625" style="69" customWidth="1"/>
    <col min="8" max="9" width="9.140625" style="69"/>
    <col min="10" max="10" width="9.28515625" style="69" customWidth="1"/>
    <col min="11" max="11" width="7.85546875" style="69" customWidth="1"/>
    <col min="12" max="16384" width="9.140625" style="69"/>
  </cols>
  <sheetData>
    <row r="25" spans="1:14">
      <c r="A25" s="74"/>
      <c r="B25" s="75" t="s">
        <v>36</v>
      </c>
      <c r="C25" s="541" t="s">
        <v>145</v>
      </c>
      <c r="D25" s="542"/>
      <c r="E25" s="76"/>
      <c r="F25" s="75"/>
      <c r="G25" s="75"/>
      <c r="H25" s="75"/>
      <c r="I25" s="75"/>
      <c r="J25" s="75"/>
      <c r="K25" s="75"/>
      <c r="L25" s="75"/>
      <c r="M25" s="75"/>
      <c r="N25" s="77"/>
    </row>
    <row r="26" spans="1:14">
      <c r="A26" s="78"/>
      <c r="B26" s="543" t="s">
        <v>37</v>
      </c>
      <c r="C26" s="543"/>
      <c r="D26" s="543" t="s">
        <v>38</v>
      </c>
      <c r="E26" s="543"/>
      <c r="F26" s="543" t="s">
        <v>39</v>
      </c>
      <c r="G26" s="543"/>
      <c r="H26" s="543" t="s">
        <v>40</v>
      </c>
      <c r="I26" s="543"/>
      <c r="J26" s="543" t="s">
        <v>41</v>
      </c>
      <c r="K26" s="543"/>
      <c r="L26" s="80"/>
      <c r="M26" s="540" t="s">
        <v>4</v>
      </c>
      <c r="N26" s="540"/>
    </row>
    <row r="27" spans="1:14">
      <c r="A27" s="78" t="s">
        <v>19</v>
      </c>
      <c r="B27" s="79" t="s">
        <v>35</v>
      </c>
      <c r="C27" s="79" t="s">
        <v>34</v>
      </c>
      <c r="D27" s="79" t="s">
        <v>35</v>
      </c>
      <c r="E27" s="79" t="s">
        <v>34</v>
      </c>
      <c r="F27" s="79" t="s">
        <v>35</v>
      </c>
      <c r="G27" s="79" t="s">
        <v>34</v>
      </c>
      <c r="H27" s="79" t="s">
        <v>35</v>
      </c>
      <c r="I27" s="79" t="s">
        <v>34</v>
      </c>
      <c r="J27" s="79" t="s">
        <v>35</v>
      </c>
      <c r="K27" s="79" t="s">
        <v>34</v>
      </c>
      <c r="L27" s="80"/>
      <c r="M27" s="79" t="s">
        <v>35</v>
      </c>
      <c r="N27" s="81" t="s">
        <v>34</v>
      </c>
    </row>
    <row r="28" spans="1:14">
      <c r="A28" s="78" t="str">
        <f>'Members Data'!A2</f>
        <v>Ablon</v>
      </c>
      <c r="B28" s="82">
        <f>IF(AND(IF('wk1'!B$5=Pat!$C$25,1,0),IF('wk1'!B10=Pat!B$27,1,0)),1,0)+IF(AND(IF('wk1'!D$5=Pat!$C$25,1,0),IF('wk1'!C10=Pat!B$27,1,0)),1,0)+IF(AND(IF('wk1'!D$5=Pat!$C$25,1,0),IF('wk1'!D10=Pat!B$27,1,0)),1,0)+IF(AND(IF('wk1'!E$5=Pat!$C$25,1,0),IF('wk1'!E10=Pat!B$27,1,0)),1,0)+IF(AND(IF('wk1'!F$5=Pat!$C$25,1,0),IF('wk1'!F10=Pat!B$27,1,0)),1,0)+IF(AND(IF('wk1'!G$5=Pat!$C$25,1,0),IF('wk1'!G10=Pat!B$27,1,0)),1,0)</f>
        <v>0</v>
      </c>
      <c r="C28" s="83">
        <f>IF(AND(IF('wk1'!D$5=Pat!$C$25,1,0),IF('wk1'!C10=Pat!C$27,1,0)),1,0)+IF(AND(IF('wk1'!D$5=Pat!$C$25,1,0),IF('wk1'!D10=Pat!C$27,1,0)),1,0)+IF(AND(IF('wk1'!E$5=Pat!$C$25,1,0),IF('wk1'!E10=Pat!C$27,1,0)),1,0)+IF(AND(IF('wk1'!F$5=Pat!$C$25,1,0),IF('wk1'!F10=Pat!C$27,1,0)),1,0)+IF(AND(IF('wk1'!G$5=Pat!$C$25,1,0),IF('wk1'!G10=Pat!C$27,1,0)),1,0)+IF(AND(IF('wk1'!H$5=Pat!$C$25,1,0),IF('wk1'!H10=Pat!C$27,1,0)),1,0)+IF(AND(IF('wk1'!B$5=Pat!$C$25,1,0),IF('wk1'!B10=Pat!C$27,1,0)),1,0)</f>
        <v>0</v>
      </c>
      <c r="D28" s="82">
        <f>IF(AND(IF('wk2'!B$5=Pat!$C$25,1,0),IF('wk2'!B10=Pat!B$27,1,0)),1,0)+IF(AND(IF('wk2'!C$5=Pat!$C$25,1,0),IF('wk2'!C10=Pat!B$27,1,0)),1,0)+IF(AND(IF('wk2'!D$5=Pat!$C$25,1,0),IF('wk2'!D10=Pat!B$27,1,0)),1,0)+IF(AND(IF('wk2'!E$5=Pat!$C$25,1,0),IF('wk2'!E10=Pat!B$27,1,0)),1,0)+IF(AND(IF('wk2'!F$5=Pat!$C$25,1,0),IF('wk2'!F10=Pat!B$27,1,0)),1,0)+IF(AND(IF('wk2'!G$5=Pat!$C$25,1,0),IF('wk2'!G10=Pat!B$27,1,0)),1,0)</f>
        <v>0</v>
      </c>
      <c r="E28" s="83">
        <f>IF(AND(IF('wk2'!C$5=Pat!$C$25,1,0),IF('wk2'!C10=Pat!C$27,1,0)),1,0)+IF(AND(IF('wk2'!D$5=Pat!$C$25,1,0),IF('wk2'!D10=Pat!C$27,1,0)),1,0)+IF(AND(IF('wk2'!E$5=Pat!$C$25,1,0),IF('wk2'!E10=Pat!C$27,1,0)),1,0)+IF(AND(IF('wk2'!F$5=Pat!$C$25,1,0),IF('wk2'!F10=Pat!C$27,1,0)),1,0)+IF(AND(IF('wk2'!G$5=Pat!$C$25,1,0),IF('wk2'!G10=Pat!C$27,1,0)),1,0)+IF(AND(IF('wk2'!H$5=Pat!$C$25,1,0),IF('wk2'!H10=Pat!C$27,1,0)),1,0)+IF(AND(IF('wk2'!B$5=Pat!$C$25,1,0),IF('wk2'!B10=Pat!C$27,1,0)),1,0)</f>
        <v>0</v>
      </c>
      <c r="F28" s="82">
        <f>IF(AND(IF('wk3'!B$5=Pat!$C$25,1,0),IF('wk3'!B10=Pat!B$27,1,0)),1,0)+IF(AND(IF('wk3'!C$5=Pat!$C$25,1,0),IF('wk3'!C10=Pat!B$27,1,0)),1,0)+IF(AND(IF('wk3'!D$5=Pat!$C$25,1,0),IF('wk3'!D10=Pat!B$27,1,0)),1,0)+IF(AND(IF('wk3'!E$5=Pat!$C$25,1,0),IF('wk3'!E10=Pat!B$27,1,0)),1,0)+IF(AND(IF('wk3'!F$5=Pat!$C$25,1,0),IF('wk3'!F10=Pat!B$27,1,0)),1,0)+IF(AND(IF('wk3'!G$5=Pat!$C$25,1,0),IF('wk3'!G10=Pat!B$27,1,0)),1,0)</f>
        <v>0</v>
      </c>
      <c r="G28" s="83">
        <f>IF(AND(IF('wk3'!C$5=Pat!$C$25,1,0),IF('wk3'!C10=Pat!C$27,1,0)),1,0)+IF(AND(IF('wk3'!D$5=Pat!$C$25,1,0),IF('wk3'!D10=Pat!C$27,1,0)),1,0)+IF(AND(IF('wk3'!E$5=Pat!$C$25,1,0),IF('wk3'!E10=Pat!C$27,1,0)),1,0)+IF(AND(IF('wk3'!F$5=Pat!$C$25,1,0),IF('wk3'!F10=Pat!C$27,1,0)),1,0)+IF(AND(IF('wk3'!G$5=Pat!$C$25,1,0),IF('wk3'!G10=Pat!C$27,1,0)),1,0)+IF(AND(IF('wk3'!H$5=Pat!$C$25,1,0),IF('wk3'!H10=Pat!C$27,1,0)),1,0)+IF(AND(IF('wk3'!B$5=Pat!$C$25,1,0),IF('wk3'!B10=Pat!C$27,1,0)),1,0)</f>
        <v>0</v>
      </c>
      <c r="H28" s="82">
        <f>IF(AND(IF('wk4'!B$5=Pat!$C$25,1,0),IF('wk4'!B10=Pat!B$27,1,0)),1,0)+IF(AND(IF('wk4'!C$5=Pat!$C$25,1,0),IF('wk4'!C10=Pat!B$27,1,0)),1,0)+IF(AND(IF('wk4'!D$5=Pat!$C$25,1,0),IF('wk4'!D10=Pat!B$27,1,0)),1,0)+IF(AND(IF('wk4'!E$5=Pat!$C$25,1,0),IF('wk4'!E10=Pat!B$27,1,0)),1,0)+IF(AND(IF('wk4'!F$5=Pat!$C$25,1,0),IF('wk4'!F10=Pat!B$27,1,0)),1,0)+IF(AND(IF('wk4'!G$5=Pat!$C$25,1,0),IF('wk4'!G10=Pat!B$27,1,0)),1,0)</f>
        <v>0</v>
      </c>
      <c r="I28" s="83">
        <f>IF(AND(IF('wk4'!C$5=Pat!$C$25,1,0),IF('wk4'!C10=Pat!C$27,1,0)),1,0)+IF(AND(IF('wk4'!D$5=Pat!$C$25,1,0),IF('wk4'!D10=Pat!C$27,1,0)),1,0)+IF(AND(IF('wk4'!E$5=Pat!$C$25,1,0),IF('wk4'!E10=Pat!C$27,1,0)),1,0)+IF(AND(IF('wk4'!F$5=Pat!$C$25,1,0),IF('wk4'!F10=Pat!C$27,1,0)),1,0)+IF(AND(IF('wk4'!G$5=Pat!$C$25,1,0),IF('wk4'!G10=Pat!C$27,1,0)),1,0)+IF(AND(IF('wk4'!H$5=Pat!$C$25,1,0),IF('wk4'!H10=Pat!C$27,1,0)),1,0)+IF(AND(IF('wk4'!B$5=Pat!$C$25,1,0),IF('wk4'!B10=Pat!C$27,1,0)),1,0)</f>
        <v>0</v>
      </c>
      <c r="J28" s="84">
        <f>IF(AND(IF('wk5'!B$5=Pat!$C$25,1,0),IF('wk5'!B10=Pat!B$27,1,0)),1,0)+IF(AND(IF('wk5'!C$5=Pat!$C$25,1,0),IF('wk5'!C10=Pat!B$27,1,0)),1,0)+IF(AND(IF('wk5'!D$5=Pat!$C$25,1,0),IF('wk5'!D10=Pat!B$27,1,0)),1,0)+IF(AND(IF('wk5'!E$5=Pat!$C$25,1,0),IF('wk5'!E10=Pat!B$27,1,0)),1,0)+IF(AND(IF('wk5'!F$5=Pat!$C$25,1,0),IF('wk5'!F10=Pat!B$27,1,0)),1,0)+IF(AND(IF('wk5'!G$5=Pat!$C$25,1,0),IF('wk5'!G10=Pat!B$27,1,0)),1,0)</f>
        <v>0</v>
      </c>
      <c r="K28" s="85">
        <f>IF(AND(IF('wk5'!C$5=Pat!$C$25,1,0),IF('wk5'!C10=Pat!C$27,1,0)),1,0)+IF(AND(IF('wk5'!D$5=Pat!$C$25,1,0),IF('wk5'!D10=Pat!C$27,1,0)),1,0)+IF(AND(IF('wk5'!E$5=Pat!$C$25,1,0),IF('wk5'!E10=Pat!C$27,1,0)),1,0)+IF(AND(IF('wk5'!F$5=Pat!$C$25,1,0),IF('wk5'!F10=Pat!C$27,1,0)),1,0)+IF(AND(IF('wk5'!G$5=Pat!$C$25,1,0),IF('wk5'!G10=Pat!C$27,1,0)),1,0)+IF(AND(IF('wk5'!H$5=Pat!$C$25,1,0),IF('wk5'!H10=Pat!C$27,1,0)),1,0)+IF(AND(IF('wk5'!B$5=Pat!$C$25,1,0),IF('wk5'!B10=Pat!C$27,1,0)),1,0)</f>
        <v>0</v>
      </c>
      <c r="L28" s="79"/>
      <c r="M28" s="79">
        <f t="shared" ref="M28:M59" si="0">B28+D28+F28+H28+J28</f>
        <v>0</v>
      </c>
      <c r="N28" s="81">
        <f t="shared" ref="N28:N59" si="1">C28+E28+G28+I28+K28</f>
        <v>0</v>
      </c>
    </row>
    <row r="29" spans="1:14" ht="13.5" thickBot="1">
      <c r="A29" s="78">
        <f>'Members Data'!A3</f>
        <v>0</v>
      </c>
      <c r="B29" s="82">
        <f>IF(AND(IF('wk1'!B$5=Pat!$C$25,1,0),IF('wk1'!B11=Pat!B$27,1,0)),1,0)+IF(AND(IF('wk1'!D$5=Pat!$C$25,1,0),IF('wk1'!C11=Pat!B$27,1,0)),1,0)+IF(AND(IF('wk1'!D$5=Pat!$C$25,1,0),IF('wk1'!D11=Pat!B$27,1,0)),1,0)+IF(AND(IF('wk1'!E$5=Pat!$C$25,1,0),IF('wk1'!E11=Pat!B$27,1,0)),1,0)+IF(AND(IF('wk1'!F$5=Pat!$C$25,1,0),IF('wk1'!F11=Pat!B$27,1,0)),1,0)+IF(AND(IF('wk1'!G$5=Pat!$C$25,1,0),IF('wk1'!G11=Pat!B$27,1,0)),1,0)</f>
        <v>0</v>
      </c>
      <c r="C29" s="83">
        <f>IF(AND(IF('wk1'!D$5=Pat!$C$25,1,0),IF('wk1'!C11=Pat!C$27,1,0)),1,0)+IF(AND(IF('wk1'!D$5=Pat!$C$25,1,0),IF('wk1'!D11=Pat!C$27,1,0)),1,0)+IF(AND(IF('wk1'!E$5=Pat!$C$25,1,0),IF('wk1'!E11=Pat!C$27,1,0)),1,0)+IF(AND(IF('wk1'!F$5=Pat!$C$25,1,0),IF('wk1'!F11=Pat!C$27,1,0)),1,0)+IF(AND(IF('wk1'!G$5=Pat!$C$25,1,0),IF('wk1'!G11=Pat!C$27,1,0)),1,0)+IF(AND(IF('wk1'!H$5=Pat!$C$25,1,0),IF('wk1'!H11=Pat!C$27,1,0)),1,0)+IF(AND(IF('wk1'!B$5=Pat!$C$25,1,0),IF('wk1'!B11=Pat!C$27,1,0)),1,0)</f>
        <v>0</v>
      </c>
      <c r="D29" s="82">
        <f>IF(AND(IF('wk2'!B$5=Pat!$C$25,1,0),IF('wk2'!B11=Pat!B$27,1,0)),1,0)+IF(AND(IF('wk2'!C$5=Pat!$C$25,1,0),IF('wk2'!C11=Pat!B$27,1,0)),1,0)+IF(AND(IF('wk2'!D$5=Pat!$C$25,1,0),IF('wk2'!D11=Pat!B$27,1,0)),1,0)+IF(AND(IF('wk2'!E$5=Pat!$C$25,1,0),IF('wk2'!E11=Pat!B$27,1,0)),1,0)+IF(AND(IF('wk2'!F$5=Pat!$C$25,1,0),IF('wk2'!F11=Pat!B$27,1,0)),1,0)+IF(AND(IF('wk2'!G$5=Pat!$C$25,1,0),IF('wk2'!G11=Pat!B$27,1,0)),1,0)</f>
        <v>0</v>
      </c>
      <c r="E29" s="83">
        <f>IF(AND(IF('wk2'!C$5=Pat!$C$25,1,0),IF('wk2'!C11=Pat!C$27,1,0)),1,0)+IF(AND(IF('wk2'!D$5=Pat!$C$25,1,0),IF('wk2'!D11=Pat!C$27,1,0)),1,0)+IF(AND(IF('wk2'!E$5=Pat!$C$25,1,0),IF('wk2'!E11=Pat!C$27,1,0)),1,0)+IF(AND(IF('wk2'!F$5=Pat!$C$25,1,0),IF('wk2'!F11=Pat!C$27,1,0)),1,0)+IF(AND(IF('wk2'!G$5=Pat!$C$25,1,0),IF('wk2'!G11=Pat!C$27,1,0)),1,0)+IF(AND(IF('wk2'!H$5=Pat!$C$25,1,0),IF('wk2'!H11=Pat!C$27,1,0)),1,0)+IF(AND(IF('wk2'!B$5=Pat!$C$25,1,0),IF('wk2'!B11=Pat!C$27,1,0)),1,0)</f>
        <v>0</v>
      </c>
      <c r="F29" s="82">
        <f>IF(AND(IF('wk3'!B$5=Pat!$C$25,1,0),IF('wk3'!B11=Pat!B$27,1,0)),1,0)+IF(AND(IF('wk3'!C$5=Pat!$C$25,1,0),IF('wk3'!C11=Pat!B$27,1,0)),1,0)+IF(AND(IF('wk3'!D$5=Pat!$C$25,1,0),IF('wk3'!D11=Pat!B$27,1,0)),1,0)+IF(AND(IF('wk3'!E$5=Pat!$C$25,1,0),IF('wk3'!E11=Pat!B$27,1,0)),1,0)+IF(AND(IF('wk3'!F$5=Pat!$C$25,1,0),IF('wk3'!F11=Pat!B$27,1,0)),1,0)+IF(AND(IF('wk3'!G$5=Pat!$C$25,1,0),IF('wk3'!G11=Pat!B$27,1,0)),1,0)</f>
        <v>0</v>
      </c>
      <c r="G29" s="83">
        <f>IF(AND(IF('wk3'!C$5=Pat!$C$25,1,0),IF('wk3'!C11=Pat!C$27,1,0)),1,0)+IF(AND(IF('wk3'!D$5=Pat!$C$25,1,0),IF('wk3'!D11=Pat!C$27,1,0)),1,0)+IF(AND(IF('wk3'!E$5=Pat!$C$25,1,0),IF('wk3'!E11=Pat!C$27,1,0)),1,0)+IF(AND(IF('wk3'!F$5=Pat!$C$25,1,0),IF('wk3'!F11=Pat!C$27,1,0)),1,0)+IF(AND(IF('wk3'!G$5=Pat!$C$25,1,0),IF('wk3'!G11=Pat!C$27,1,0)),1,0)+IF(AND(IF('wk3'!H$5=Pat!$C$25,1,0),IF('wk3'!H11=Pat!C$27,1,0)),1,0)+IF(AND(IF('wk3'!B$5=Pat!$C$25,1,0),IF('wk3'!B11=Pat!C$27,1,0)),1,0)</f>
        <v>0</v>
      </c>
      <c r="H29" s="82">
        <f>IF(AND(IF('wk4'!B$5=Pat!$C$25,1,0),IF('wk4'!B11=Pat!B$27,1,0)),1,0)+IF(AND(IF('wk4'!C$5=Pat!$C$25,1,0),IF('wk4'!C11=Pat!B$27,1,0)),1,0)+IF(AND(IF('wk4'!D$5=Pat!$C$25,1,0),IF('wk4'!D11=Pat!B$27,1,0)),1,0)+IF(AND(IF('wk4'!E$5=Pat!$C$25,1,0),IF('wk4'!E11=Pat!B$27,1,0)),1,0)+IF(AND(IF('wk4'!F$5=Pat!$C$25,1,0),IF('wk4'!F11=Pat!B$27,1,0)),1,0)+IF(AND(IF('wk4'!G$5=Pat!$C$25,1,0),IF('wk4'!G11=Pat!B$27,1,0)),1,0)</f>
        <v>0</v>
      </c>
      <c r="I29" s="83">
        <f>IF(AND(IF('wk4'!C$5=Pat!$C$25,1,0),IF('wk4'!C11=Pat!C$27,1,0)),1,0)+IF(AND(IF('wk4'!D$5=Pat!$C$25,1,0),IF('wk4'!D11=Pat!C$27,1,0)),1,0)+IF(AND(IF('wk4'!E$5=Pat!$C$25,1,0),IF('wk4'!E11=Pat!C$27,1,0)),1,0)+IF(AND(IF('wk4'!F$5=Pat!$C$25,1,0),IF('wk4'!F11=Pat!C$27,1,0)),1,0)+IF(AND(IF('wk4'!G$5=Pat!$C$25,1,0),IF('wk4'!G11=Pat!C$27,1,0)),1,0)+IF(AND(IF('wk4'!H$5=Pat!$C$25,1,0),IF('wk4'!H11=Pat!C$27,1,0)),1,0)+IF(AND(IF('wk4'!B$5=Pat!$C$25,1,0),IF('wk4'!B11=Pat!C$27,1,0)),1,0)</f>
        <v>0</v>
      </c>
      <c r="J29" s="84">
        <f>IF(AND(IF('wk5'!B$5=Pat!$C$25,1,0),IF('wk5'!B11=Pat!B$27,1,0)),1,0)+IF(AND(IF('wk5'!C$5=Pat!$C$25,1,0),IF('wk5'!C11=Pat!B$27,1,0)),1,0)+IF(AND(IF('wk5'!D$5=Pat!$C$25,1,0),IF('wk5'!D11=Pat!B$27,1,0)),1,0)+IF(AND(IF('wk5'!E$5=Pat!$C$25,1,0),IF('wk5'!E11=Pat!B$27,1,0)),1,0)+IF(AND(IF('wk5'!F$5=Pat!$C$25,1,0),IF('wk5'!F11=Pat!B$27,1,0)),1,0)+IF(AND(IF('wk5'!G$5=Pat!$C$25,1,0),IF('wk5'!G11=Pat!B$27,1,0)),1,0)</f>
        <v>0</v>
      </c>
      <c r="K29" s="85">
        <f>IF(AND(IF('wk5'!C$5=Pat!$C$25,1,0),IF('wk5'!C11=Pat!C$27,1,0)),1,0)+IF(AND(IF('wk5'!D$5=Pat!$C$25,1,0),IF('wk5'!D11=Pat!C$27,1,0)),1,0)+IF(AND(IF('wk5'!E$5=Pat!$C$25,1,0),IF('wk5'!E11=Pat!C$27,1,0)),1,0)+IF(AND(IF('wk5'!F$5=Pat!$C$25,1,0),IF('wk5'!F11=Pat!C$27,1,0)),1,0)+IF(AND(IF('wk5'!G$5=Pat!$C$25,1,0),IF('wk5'!G11=Pat!C$27,1,0)),1,0)+IF(AND(IF('wk5'!H$5=Pat!$C$25,1,0),IF('wk5'!H11=Pat!C$27,1,0)),1,0)+IF(AND(IF('wk5'!B$5=Pat!$C$25,1,0),IF('wk5'!B11=Pat!C$27,1,0)),1,0)</f>
        <v>0</v>
      </c>
      <c r="L29" s="79"/>
      <c r="M29" s="79">
        <f t="shared" si="0"/>
        <v>0</v>
      </c>
      <c r="N29" s="81">
        <f t="shared" si="1"/>
        <v>0</v>
      </c>
    </row>
    <row r="30" spans="1:14" ht="13.5" thickBot="1">
      <c r="A30" s="78" t="str">
        <f>'Members Data'!A4</f>
        <v>Akilta</v>
      </c>
      <c r="B30" s="82">
        <f>IF(AND(IF('wk1'!B$5=Pat!$C$25,1,0),IF('wk1'!B12=Pat!B$27,1,0)),1,0)+IF(AND(IF('wk1'!D$5=Pat!$C$25,1,0),IF('wk1'!C12=Pat!B$27,1,0)),1,0)+IF(AND(IF('wk1'!D$5=Pat!$C$25,1,0),IF('wk1'!D12=Pat!B$27,1,0)),1,0)+IF(AND(IF('wk1'!E$5=Pat!$C$25,1,0),IF('wk1'!E12=Pat!B$27,1,0)),1,0)+IF(AND(IF('wk1'!F$5=Pat!$C$25,1,0),IF('wk1'!F12=Pat!B$27,1,0)),1,0)+IF(AND(IF('wk1'!G$5=Pat!$C$25,1,0),IF('wk1'!G12=Pat!B$27,1,0)),1,0)</f>
        <v>0</v>
      </c>
      <c r="C30" s="83">
        <f>IF(AND(IF('wk1'!D$5=Pat!$C$25,1,0),IF('wk1'!C12=Pat!C$27,1,0)),1,0)+IF(AND(IF('wk1'!D$5=Pat!$C$25,1,0),IF('wk1'!D12=Pat!C$27,1,0)),1,0)+IF(AND(IF('wk1'!E$5=Pat!$C$25,1,0),IF('wk1'!E12=Pat!C$27,1,0)),1,0)+IF(AND(IF('wk1'!F$5=Pat!$C$25,1,0),IF('wk1'!F12=Pat!C$27,1,0)),1,0)+IF(AND(IF('wk1'!G$5=Pat!$C$25,1,0),IF('wk1'!G12=Pat!C$27,1,0)),1,0)+IF(AND(IF('wk1'!H$5=Pat!$C$25,1,0),IF('wk1'!H12=Pat!C$27,1,0)),1,0)+IF(AND(IF('wk1'!B$5=Pat!$C$25,1,0),IF('wk1'!B12=Pat!C$27,1,0)),1,0)</f>
        <v>0</v>
      </c>
      <c r="D30" s="82">
        <f>IF(AND(IF('wk2'!B$5=Pat!$C$25,1,0),IF('wk2'!B12=Pat!B$27,1,0)),1,0)+IF(AND(IF('wk2'!C$5=Pat!$C$25,1,0),IF('wk2'!C12=Pat!B$27,1,0)),1,0)+IF(AND(IF('wk2'!D$5=Pat!$C$25,1,0),IF('wk2'!D12=Pat!B$27,1,0)),1,0)+IF(AND(IF('wk2'!E$5=Pat!$C$25,1,0),IF('wk2'!E12=Pat!B$27,1,0)),1,0)+IF(AND(IF('wk2'!F$5=Pat!$C$25,1,0),IF('wk2'!F12=Pat!B$27,1,0)),1,0)+IF(AND(IF('wk2'!G$5=Pat!$C$25,1,0),IF('wk2'!G12=Pat!B$27,1,0)),1,0)</f>
        <v>0</v>
      </c>
      <c r="E30" s="83">
        <f>IF(AND(IF('wk2'!C$5=Pat!$C$25,1,0),IF('wk2'!C12=Pat!C$27,1,0)),1,0)+IF(AND(IF('wk2'!D$5=Pat!$C$25,1,0),IF('wk2'!D12=Pat!C$27,1,0)),1,0)+IF(AND(IF('wk2'!E$5=Pat!$C$25,1,0),IF('wk2'!E12=Pat!C$27,1,0)),1,0)+IF(AND(IF('wk2'!F$5=Pat!$C$25,1,0),IF('wk2'!F12=Pat!C$27,1,0)),1,0)+IF(AND(IF('wk2'!G$5=Pat!$C$25,1,0),IF('wk2'!G12=Pat!C$27,1,0)),1,0)+IF(AND(IF('wk2'!H$5=Pat!$C$25,1,0),IF('wk2'!H12=Pat!C$27,1,0)),1,0)+IF(AND(IF('wk2'!B$5=Pat!$C$25,1,0),IF('wk2'!B12=Pat!C$27,1,0)),1,0)</f>
        <v>0</v>
      </c>
      <c r="F30" s="82">
        <f>IF(AND(IF('wk3'!B$5=Pat!$C$25,1,0),IF('wk3'!B12=Pat!B$27,1,0)),1,0)+IF(AND(IF('wk3'!C$5=Pat!$C$25,1,0),IF('wk3'!C12=Pat!B$27,1,0)),1,0)+IF(AND(IF('wk3'!D$5=Pat!$C$25,1,0),IF('wk3'!D12=Pat!B$27,1,0)),1,0)+IF(AND(IF('wk3'!E$5=Pat!$C$25,1,0),IF('wk3'!E12=Pat!B$27,1,0)),1,0)+IF(AND(IF('wk3'!F$5=Pat!$C$25,1,0),IF('wk3'!F12=Pat!B$27,1,0)),1,0)+IF(AND(IF('wk3'!G$5=Pat!$C$25,1,0),IF('wk3'!G12=Pat!B$27,1,0)),1,0)</f>
        <v>0</v>
      </c>
      <c r="G30" s="83">
        <f>IF(AND(IF('wk3'!C$5=Pat!$C$25,1,0),IF('wk3'!C12=Pat!C$27,1,0)),1,0)+IF(AND(IF('wk3'!D$5=Pat!$C$25,1,0),IF('wk3'!D12=Pat!C$27,1,0)),1,0)+IF(AND(IF('wk3'!E$5=Pat!$C$25,1,0),IF('wk3'!E12=Pat!C$27,1,0)),1,0)+IF(AND(IF('wk3'!F$5=Pat!$C$25,1,0),IF('wk3'!F12=Pat!C$27,1,0)),1,0)+IF(AND(IF('wk3'!G$5=Pat!$C$25,1,0),IF('wk3'!G12=Pat!C$27,1,0)),1,0)+IF(AND(IF('wk3'!H$5=Pat!$C$25,1,0),IF('wk3'!H12=Pat!C$27,1,0)),1,0)+IF(AND(IF('wk3'!B$5=Pat!$C$25,1,0),IF('wk3'!B12=Pat!C$27,1,0)),1,0)</f>
        <v>0</v>
      </c>
      <c r="H30" s="82">
        <f>IF(AND(IF('wk4'!B$5=Pat!$C$25,1,0),IF('wk4'!B12=Pat!B$27,1,0)),1,0)+IF(AND(IF('wk4'!C$5=Pat!$C$25,1,0),IF('wk4'!C12=Pat!B$27,1,0)),1,0)+IF(AND(IF('wk4'!D$5=Pat!$C$25,1,0),IF('wk4'!D12=Pat!B$27,1,0)),1,0)+IF(AND(IF('wk4'!E$5=Pat!$C$25,1,0),IF('wk4'!E12=Pat!B$27,1,0)),1,0)+IF(AND(IF('wk4'!F$5=Pat!$C$25,1,0),IF('wk4'!F12=Pat!B$27,1,0)),1,0)+IF(AND(IF('wk4'!G$5=Pat!$C$25,1,0),IF('wk4'!G12=Pat!B$27,1,0)),1,0)</f>
        <v>0</v>
      </c>
      <c r="I30" s="83">
        <f>IF(AND(IF('wk4'!C$5=Pat!$C$25,1,0),IF('wk4'!C12=Pat!C$27,1,0)),1,0)+IF(AND(IF('wk4'!D$5=Pat!$C$25,1,0),IF('wk4'!D12=Pat!C$27,1,0)),1,0)+IF(AND(IF('wk4'!E$5=Pat!$C$25,1,0),IF('wk4'!E12=Pat!C$27,1,0)),1,0)+IF(AND(IF('wk4'!F$5=Pat!$C$25,1,0),IF('wk4'!F12=Pat!C$27,1,0)),1,0)+IF(AND(IF('wk4'!G$5=Pat!$C$25,1,0),IF('wk4'!G12=Pat!C$27,1,0)),1,0)+IF(AND(IF('wk4'!H$5=Pat!$C$25,1,0),IF('wk4'!H12=Pat!C$27,1,0)),1,0)+IF(AND(IF('wk4'!B$5=Pat!$C$25,1,0),IF('wk4'!B12=Pat!C$27,1,0)),1,0)</f>
        <v>0</v>
      </c>
      <c r="J30" s="84">
        <f>IF(AND(IF('wk5'!B$5=Pat!$C$25,1,0),IF('wk5'!B12=Pat!B$27,1,0)),1,0)+IF(AND(IF('wk5'!C$5=Pat!$C$25,1,0),IF('wk5'!C12=Pat!B$27,1,0)),1,0)+IF(AND(IF('wk5'!D$5=Pat!$C$25,1,0),IF('wk5'!D12=Pat!B$27,1,0)),1,0)+IF(AND(IF('wk5'!E$5=Pat!$C$25,1,0),IF('wk5'!E12=Pat!B$27,1,0)),1,0)+IF(AND(IF('wk5'!F$5=Pat!$C$25,1,0),IF('wk5'!F12=Pat!B$27,1,0)),1,0)+IF(AND(IF('wk5'!G$5=Pat!$C$25,1,0),IF('wk5'!G12=Pat!B$27,1,0)),1,0)</f>
        <v>0</v>
      </c>
      <c r="K30" s="85">
        <f>IF(AND(IF('wk5'!C$5=Pat!$C$25,1,0),IF('wk5'!C12=Pat!C$27,1,0)),1,0)+IF(AND(IF('wk5'!D$5=Pat!$C$25,1,0),IF('wk5'!D12=Pat!C$27,1,0)),1,0)+IF(AND(IF('wk5'!E$5=Pat!$C$25,1,0),IF('wk5'!E12=Pat!C$27,1,0)),1,0)+IF(AND(IF('wk5'!F$5=Pat!$C$25,1,0),IF('wk5'!F12=Pat!C$27,1,0)),1,0)+IF(AND(IF('wk5'!G$5=Pat!$C$25,1,0),IF('wk5'!G12=Pat!C$27,1,0)),1,0)+IF(AND(IF('wk5'!H$5=Pat!$C$25,1,0),IF('wk5'!H12=Pat!C$27,1,0)),1,0)+IF(AND(IF('wk5'!B$5=Pat!$C$25,1,0),IF('wk5'!B12=Pat!C$27,1,0)),1,0)</f>
        <v>0</v>
      </c>
      <c r="L30" s="79"/>
      <c r="M30" s="79">
        <f t="shared" si="0"/>
        <v>0</v>
      </c>
      <c r="N30" s="81">
        <f t="shared" si="1"/>
        <v>0</v>
      </c>
    </row>
    <row r="31" spans="1:14" ht="13.5" thickBot="1">
      <c r="A31" s="78" t="str">
        <f>'Members Data'!A5</f>
        <v>Altrezza</v>
      </c>
      <c r="B31" s="82">
        <f>IF(AND(IF('wk1'!B$5=Pat!$C$25,1,0),IF('wk1'!B13=Pat!B$27,1,0)),1,0)+IF(AND(IF('wk1'!D$5=Pat!$C$25,1,0),IF('wk1'!C13=Pat!B$27,1,0)),1,0)+IF(AND(IF('wk1'!D$5=Pat!$C$25,1,0),IF('wk1'!D13=Pat!B$27,1,0)),1,0)+IF(AND(IF('wk1'!E$5=Pat!$C$25,1,0),IF('wk1'!E13=Pat!B$27,1,0)),1,0)+IF(AND(IF('wk1'!F$5=Pat!$C$25,1,0),IF('wk1'!F13=Pat!B$27,1,0)),1,0)+IF(AND(IF('wk1'!G$5=Pat!$C$25,1,0),IF('wk1'!G13=Pat!B$27,1,0)),1,0)</f>
        <v>0</v>
      </c>
      <c r="C31" s="83">
        <f>IF(AND(IF('wk1'!D$5=Pat!$C$25,1,0),IF('wk1'!C13=Pat!C$27,1,0)),1,0)+IF(AND(IF('wk1'!D$5=Pat!$C$25,1,0),IF('wk1'!D13=Pat!C$27,1,0)),1,0)+IF(AND(IF('wk1'!E$5=Pat!$C$25,1,0),IF('wk1'!E13=Pat!C$27,1,0)),1,0)+IF(AND(IF('wk1'!F$5=Pat!$C$25,1,0),IF('wk1'!F13=Pat!C$27,1,0)),1,0)+IF(AND(IF('wk1'!G$5=Pat!$C$25,1,0),IF('wk1'!G13=Pat!C$27,1,0)),1,0)+IF(AND(IF('wk1'!H$5=Pat!$C$25,1,0),IF('wk1'!H13=Pat!C$27,1,0)),1,0)+IF(AND(IF('wk1'!B$5=Pat!$C$25,1,0),IF('wk1'!B13=Pat!C$27,1,0)),1,0)</f>
        <v>0</v>
      </c>
      <c r="D31" s="82">
        <f>IF(AND(IF('wk2'!B$5=Pat!$C$25,1,0),IF('wk2'!B13=Pat!B$27,1,0)),1,0)+IF(AND(IF('wk2'!C$5=Pat!$C$25,1,0),IF('wk2'!C13=Pat!B$27,1,0)),1,0)+IF(AND(IF('wk2'!D$5=Pat!$C$25,1,0),IF('wk2'!D13=Pat!B$27,1,0)),1,0)+IF(AND(IF('wk2'!E$5=Pat!$C$25,1,0),IF('wk2'!E13=Pat!B$27,1,0)),1,0)+IF(AND(IF('wk2'!F$5=Pat!$C$25,1,0),IF('wk2'!F13=Pat!B$27,1,0)),1,0)+IF(AND(IF('wk2'!G$5=Pat!$C$25,1,0),IF('wk2'!G13=Pat!B$27,1,0)),1,0)</f>
        <v>0</v>
      </c>
      <c r="E31" s="83">
        <f>IF(AND(IF('wk2'!C$5=Pat!$C$25,1,0),IF('wk2'!C13=Pat!C$27,1,0)),1,0)+IF(AND(IF('wk2'!D$5=Pat!$C$25,1,0),IF('wk2'!D13=Pat!C$27,1,0)),1,0)+IF(AND(IF('wk2'!E$5=Pat!$C$25,1,0),IF('wk2'!E13=Pat!C$27,1,0)),1,0)+IF(AND(IF('wk2'!F$5=Pat!$C$25,1,0),IF('wk2'!F13=Pat!C$27,1,0)),1,0)+IF(AND(IF('wk2'!G$5=Pat!$C$25,1,0),IF('wk2'!G13=Pat!C$27,1,0)),1,0)+IF(AND(IF('wk2'!H$5=Pat!$C$25,1,0),IF('wk2'!H13=Pat!C$27,1,0)),1,0)+IF(AND(IF('wk2'!B$5=Pat!$C$25,1,0),IF('wk2'!B13=Pat!C$27,1,0)),1,0)</f>
        <v>0</v>
      </c>
      <c r="F31" s="82">
        <f>IF(AND(IF('wk3'!B$5=Pat!$C$25,1,0),IF('wk3'!B13=Pat!B$27,1,0)),1,0)+IF(AND(IF('wk3'!C$5=Pat!$C$25,1,0),IF('wk3'!C13=Pat!B$27,1,0)),1,0)+IF(AND(IF('wk3'!D$5=Pat!$C$25,1,0),IF('wk3'!D13=Pat!B$27,1,0)),1,0)+IF(AND(IF('wk3'!E$5=Pat!$C$25,1,0),IF('wk3'!E13=Pat!B$27,1,0)),1,0)+IF(AND(IF('wk3'!F$5=Pat!$C$25,1,0),IF('wk3'!F13=Pat!B$27,1,0)),1,0)+IF(AND(IF('wk3'!G$5=Pat!$C$25,1,0),IF('wk3'!G13=Pat!B$27,1,0)),1,0)</f>
        <v>0</v>
      </c>
      <c r="G31" s="83">
        <f>IF(AND(IF('wk3'!C$5=Pat!$C$25,1,0),IF('wk3'!C13=Pat!C$27,1,0)),1,0)+IF(AND(IF('wk3'!D$5=Pat!$C$25,1,0),IF('wk3'!D13=Pat!C$27,1,0)),1,0)+IF(AND(IF('wk3'!E$5=Pat!$C$25,1,0),IF('wk3'!E13=Pat!C$27,1,0)),1,0)+IF(AND(IF('wk3'!F$5=Pat!$C$25,1,0),IF('wk3'!F13=Pat!C$27,1,0)),1,0)+IF(AND(IF('wk3'!G$5=Pat!$C$25,1,0),IF('wk3'!G13=Pat!C$27,1,0)),1,0)+IF(AND(IF('wk3'!H$5=Pat!$C$25,1,0),IF('wk3'!H13=Pat!C$27,1,0)),1,0)+IF(AND(IF('wk3'!B$5=Pat!$C$25,1,0),IF('wk3'!B13=Pat!C$27,1,0)),1,0)</f>
        <v>0</v>
      </c>
      <c r="H31" s="82">
        <f>IF(AND(IF('wk4'!B$5=Pat!$C$25,1,0),IF('wk4'!B13=Pat!B$27,1,0)),1,0)+IF(AND(IF('wk4'!C$5=Pat!$C$25,1,0),IF('wk4'!C13=Pat!B$27,1,0)),1,0)+IF(AND(IF('wk4'!D$5=Pat!$C$25,1,0),IF('wk4'!D13=Pat!B$27,1,0)),1,0)+IF(AND(IF('wk4'!E$5=Pat!$C$25,1,0),IF('wk4'!E13=Pat!B$27,1,0)),1,0)+IF(AND(IF('wk4'!F$5=Pat!$C$25,1,0),IF('wk4'!F13=Pat!B$27,1,0)),1,0)+IF(AND(IF('wk4'!G$5=Pat!$C$25,1,0),IF('wk4'!G13=Pat!B$27,1,0)),1,0)</f>
        <v>0</v>
      </c>
      <c r="I31" s="83">
        <f>IF(AND(IF('wk4'!C$5=Pat!$C$25,1,0),IF('wk4'!C13=Pat!C$27,1,0)),1,0)+IF(AND(IF('wk4'!D$5=Pat!$C$25,1,0),IF('wk4'!D13=Pat!C$27,1,0)),1,0)+IF(AND(IF('wk4'!E$5=Pat!$C$25,1,0),IF('wk4'!E13=Pat!C$27,1,0)),1,0)+IF(AND(IF('wk4'!F$5=Pat!$C$25,1,0),IF('wk4'!F13=Pat!C$27,1,0)),1,0)+IF(AND(IF('wk4'!G$5=Pat!$C$25,1,0),IF('wk4'!G13=Pat!C$27,1,0)),1,0)+IF(AND(IF('wk4'!H$5=Pat!$C$25,1,0),IF('wk4'!H13=Pat!C$27,1,0)),1,0)+IF(AND(IF('wk4'!B$5=Pat!$C$25,1,0),IF('wk4'!B13=Pat!C$27,1,0)),1,0)</f>
        <v>0</v>
      </c>
      <c r="J31" s="84">
        <f>IF(AND(IF('wk5'!B$5=Pat!$C$25,1,0),IF('wk5'!B13=Pat!B$27,1,0)),1,0)+IF(AND(IF('wk5'!C$5=Pat!$C$25,1,0),IF('wk5'!C13=Pat!B$27,1,0)),1,0)+IF(AND(IF('wk5'!D$5=Pat!$C$25,1,0),IF('wk5'!D13=Pat!B$27,1,0)),1,0)+IF(AND(IF('wk5'!E$5=Pat!$C$25,1,0),IF('wk5'!E13=Pat!B$27,1,0)),1,0)+IF(AND(IF('wk5'!F$5=Pat!$C$25,1,0),IF('wk5'!F13=Pat!B$27,1,0)),1,0)+IF(AND(IF('wk5'!G$5=Pat!$C$25,1,0),IF('wk5'!G13=Pat!B$27,1,0)),1,0)</f>
        <v>0</v>
      </c>
      <c r="K31" s="85">
        <f>IF(AND(IF('wk5'!C$5=Pat!$C$25,1,0),IF('wk5'!C13=Pat!C$27,1,0)),1,0)+IF(AND(IF('wk5'!D$5=Pat!$C$25,1,0),IF('wk5'!D13=Pat!C$27,1,0)),1,0)+IF(AND(IF('wk5'!E$5=Pat!$C$25,1,0),IF('wk5'!E13=Pat!C$27,1,0)),1,0)+IF(AND(IF('wk5'!F$5=Pat!$C$25,1,0),IF('wk5'!F13=Pat!C$27,1,0)),1,0)+IF(AND(IF('wk5'!G$5=Pat!$C$25,1,0),IF('wk5'!G13=Pat!C$27,1,0)),1,0)+IF(AND(IF('wk5'!H$5=Pat!$C$25,1,0),IF('wk5'!H13=Pat!C$27,1,0)),1,0)+IF(AND(IF('wk5'!B$5=Pat!$C$25,1,0),IF('wk5'!B13=Pat!C$27,1,0)),1,0)</f>
        <v>0</v>
      </c>
      <c r="L31" s="79"/>
      <c r="M31" s="79">
        <f t="shared" si="0"/>
        <v>0</v>
      </c>
      <c r="N31" s="81">
        <f t="shared" si="1"/>
        <v>0</v>
      </c>
    </row>
    <row r="32" spans="1:14" ht="13.5" thickBot="1">
      <c r="A32" s="78" t="str">
        <f>'Members Data'!A6</f>
        <v>Amaras</v>
      </c>
      <c r="B32" s="82">
        <f>IF(AND(IF('wk1'!B$5=Pat!$C$25,1,0),IF('wk1'!B14=Pat!B$27,1,0)),1,0)+IF(AND(IF('wk1'!D$5=Pat!$C$25,1,0),IF('wk1'!C14=Pat!B$27,1,0)),1,0)+IF(AND(IF('wk1'!D$5=Pat!$C$25,1,0),IF('wk1'!D14=Pat!B$27,1,0)),1,0)+IF(AND(IF('wk1'!E$5=Pat!$C$25,1,0),IF('wk1'!E14=Pat!B$27,1,0)),1,0)+IF(AND(IF('wk1'!F$5=Pat!$C$25,1,0),IF('wk1'!F14=Pat!B$27,1,0)),1,0)+IF(AND(IF('wk1'!G$5=Pat!$C$25,1,0),IF('wk1'!G14=Pat!B$27,1,0)),1,0)</f>
        <v>0</v>
      </c>
      <c r="C32" s="83">
        <f>IF(AND(IF('wk1'!D$5=Pat!$C$25,1,0),IF('wk1'!C14=Pat!C$27,1,0)),1,0)+IF(AND(IF('wk1'!D$5=Pat!$C$25,1,0),IF('wk1'!D14=Pat!C$27,1,0)),1,0)+IF(AND(IF('wk1'!E$5=Pat!$C$25,1,0),IF('wk1'!E14=Pat!C$27,1,0)),1,0)+IF(AND(IF('wk1'!F$5=Pat!$C$25,1,0),IF('wk1'!F14=Pat!C$27,1,0)),1,0)+IF(AND(IF('wk1'!G$5=Pat!$C$25,1,0),IF('wk1'!G14=Pat!C$27,1,0)),1,0)+IF(AND(IF('wk1'!H$5=Pat!$C$25,1,0),IF('wk1'!H14=Pat!C$27,1,0)),1,0)+IF(AND(IF('wk1'!B$5=Pat!$C$25,1,0),IF('wk1'!B14=Pat!C$27,1,0)),1,0)</f>
        <v>0</v>
      </c>
      <c r="D32" s="82">
        <f>IF(AND(IF('wk2'!B$5=Pat!$C$25,1,0),IF('wk2'!B14=Pat!B$27,1,0)),1,0)+IF(AND(IF('wk2'!C$5=Pat!$C$25,1,0),IF('wk2'!C14=Pat!B$27,1,0)),1,0)+IF(AND(IF('wk2'!D$5=Pat!$C$25,1,0),IF('wk2'!D14=Pat!B$27,1,0)),1,0)+IF(AND(IF('wk2'!E$5=Pat!$C$25,1,0),IF('wk2'!E14=Pat!B$27,1,0)),1,0)+IF(AND(IF('wk2'!F$5=Pat!$C$25,1,0),IF('wk2'!F14=Pat!B$27,1,0)),1,0)+IF(AND(IF('wk2'!G$5=Pat!$C$25,1,0),IF('wk2'!G14=Pat!B$27,1,0)),1,0)</f>
        <v>0</v>
      </c>
      <c r="E32" s="83">
        <f>IF(AND(IF('wk2'!C$5=Pat!$C$25,1,0),IF('wk2'!C14=Pat!C$27,1,0)),1,0)+IF(AND(IF('wk2'!D$5=Pat!$C$25,1,0),IF('wk2'!D14=Pat!C$27,1,0)),1,0)+IF(AND(IF('wk2'!E$5=Pat!$C$25,1,0),IF('wk2'!E14=Pat!C$27,1,0)),1,0)+IF(AND(IF('wk2'!F$5=Pat!$C$25,1,0),IF('wk2'!F14=Pat!C$27,1,0)),1,0)+IF(AND(IF('wk2'!G$5=Pat!$C$25,1,0),IF('wk2'!G14=Pat!C$27,1,0)),1,0)+IF(AND(IF('wk2'!H$5=Pat!$C$25,1,0),IF('wk2'!H14=Pat!C$27,1,0)),1,0)+IF(AND(IF('wk2'!B$5=Pat!$C$25,1,0),IF('wk2'!B14=Pat!C$27,1,0)),1,0)</f>
        <v>0</v>
      </c>
      <c r="F32" s="82">
        <f>IF(AND(IF('wk3'!B$5=Pat!$C$25,1,0),IF('wk3'!B14=Pat!B$27,1,0)),1,0)+IF(AND(IF('wk3'!C$5=Pat!$C$25,1,0),IF('wk3'!C14=Pat!B$27,1,0)),1,0)+IF(AND(IF('wk3'!D$5=Pat!$C$25,1,0),IF('wk3'!D14=Pat!B$27,1,0)),1,0)+IF(AND(IF('wk3'!E$5=Pat!$C$25,1,0),IF('wk3'!E14=Pat!B$27,1,0)),1,0)+IF(AND(IF('wk3'!F$5=Pat!$C$25,1,0),IF('wk3'!F14=Pat!B$27,1,0)),1,0)+IF(AND(IF('wk3'!G$5=Pat!$C$25,1,0),IF('wk3'!G14=Pat!B$27,1,0)),1,0)</f>
        <v>0</v>
      </c>
      <c r="G32" s="83">
        <f>IF(AND(IF('wk3'!C$5=Pat!$C$25,1,0),IF('wk3'!C14=Pat!C$27,1,0)),1,0)+IF(AND(IF('wk3'!D$5=Pat!$C$25,1,0),IF('wk3'!D14=Pat!C$27,1,0)),1,0)+IF(AND(IF('wk3'!E$5=Pat!$C$25,1,0),IF('wk3'!E14=Pat!C$27,1,0)),1,0)+IF(AND(IF('wk3'!F$5=Pat!$C$25,1,0),IF('wk3'!F14=Pat!C$27,1,0)),1,0)+IF(AND(IF('wk3'!G$5=Pat!$C$25,1,0),IF('wk3'!G14=Pat!C$27,1,0)),1,0)+IF(AND(IF('wk3'!H$5=Pat!$C$25,1,0),IF('wk3'!H14=Pat!C$27,1,0)),1,0)+IF(AND(IF('wk3'!B$5=Pat!$C$25,1,0),IF('wk3'!B14=Pat!C$27,1,0)),1,0)</f>
        <v>0</v>
      </c>
      <c r="H32" s="82">
        <f>IF(AND(IF('wk4'!B$5=Pat!$C$25,1,0),IF('wk4'!B14=Pat!B$27,1,0)),1,0)+IF(AND(IF('wk4'!C$5=Pat!$C$25,1,0),IF('wk4'!C14=Pat!B$27,1,0)),1,0)+IF(AND(IF('wk4'!D$5=Pat!$C$25,1,0),IF('wk4'!D14=Pat!B$27,1,0)),1,0)+IF(AND(IF('wk4'!E$5=Pat!$C$25,1,0),IF('wk4'!E14=Pat!B$27,1,0)),1,0)+IF(AND(IF('wk4'!F$5=Pat!$C$25,1,0),IF('wk4'!F14=Pat!B$27,1,0)),1,0)+IF(AND(IF('wk4'!G$5=Pat!$C$25,1,0),IF('wk4'!G14=Pat!B$27,1,0)),1,0)</f>
        <v>0</v>
      </c>
      <c r="I32" s="83">
        <f>IF(AND(IF('wk4'!C$5=Pat!$C$25,1,0),IF('wk4'!C14=Pat!C$27,1,0)),1,0)+IF(AND(IF('wk4'!D$5=Pat!$C$25,1,0),IF('wk4'!D14=Pat!C$27,1,0)),1,0)+IF(AND(IF('wk4'!E$5=Pat!$C$25,1,0),IF('wk4'!E14=Pat!C$27,1,0)),1,0)+IF(AND(IF('wk4'!F$5=Pat!$C$25,1,0),IF('wk4'!F14=Pat!C$27,1,0)),1,0)+IF(AND(IF('wk4'!G$5=Pat!$C$25,1,0),IF('wk4'!G14=Pat!C$27,1,0)),1,0)+IF(AND(IF('wk4'!H$5=Pat!$C$25,1,0),IF('wk4'!H14=Pat!C$27,1,0)),1,0)+IF(AND(IF('wk4'!B$5=Pat!$C$25,1,0),IF('wk4'!B14=Pat!C$27,1,0)),1,0)</f>
        <v>0</v>
      </c>
      <c r="J32" s="84">
        <f>IF(AND(IF('wk5'!B$5=Pat!$C$25,1,0),IF('wk5'!B14=Pat!B$27,1,0)),1,0)+IF(AND(IF('wk5'!C$5=Pat!$C$25,1,0),IF('wk5'!C14=Pat!B$27,1,0)),1,0)+IF(AND(IF('wk5'!D$5=Pat!$C$25,1,0),IF('wk5'!D14=Pat!B$27,1,0)),1,0)+IF(AND(IF('wk5'!E$5=Pat!$C$25,1,0),IF('wk5'!E14=Pat!B$27,1,0)),1,0)+IF(AND(IF('wk5'!F$5=Pat!$C$25,1,0),IF('wk5'!F14=Pat!B$27,1,0)),1,0)+IF(AND(IF('wk5'!G$5=Pat!$C$25,1,0),IF('wk5'!G14=Pat!B$27,1,0)),1,0)</f>
        <v>0</v>
      </c>
      <c r="K32" s="85">
        <f>IF(AND(IF('wk5'!C$5=Pat!$C$25,1,0),IF('wk5'!C14=Pat!C$27,1,0)),1,0)+IF(AND(IF('wk5'!D$5=Pat!$C$25,1,0),IF('wk5'!D14=Pat!C$27,1,0)),1,0)+IF(AND(IF('wk5'!E$5=Pat!$C$25,1,0),IF('wk5'!E14=Pat!C$27,1,0)),1,0)+IF(AND(IF('wk5'!F$5=Pat!$C$25,1,0),IF('wk5'!F14=Pat!C$27,1,0)),1,0)+IF(AND(IF('wk5'!G$5=Pat!$C$25,1,0),IF('wk5'!G14=Pat!C$27,1,0)),1,0)+IF(AND(IF('wk5'!H$5=Pat!$C$25,1,0),IF('wk5'!H14=Pat!C$27,1,0)),1,0)+IF(AND(IF('wk5'!B$5=Pat!$C$25,1,0),IF('wk5'!B14=Pat!C$27,1,0)),1,0)</f>
        <v>0</v>
      </c>
      <c r="L32" s="79"/>
      <c r="M32" s="79">
        <f t="shared" si="0"/>
        <v>0</v>
      </c>
      <c r="N32" s="81">
        <f t="shared" si="1"/>
        <v>0</v>
      </c>
    </row>
    <row r="33" spans="1:17" ht="13.5" thickBot="1">
      <c r="A33" s="78" t="str">
        <f>'Members Data'!A7</f>
        <v>Angelhoof</v>
      </c>
      <c r="B33" s="82">
        <f>IF(AND(IF('wk1'!B$5=Pat!$C$25,1,0),IF('wk1'!B15=Pat!B$27,1,0)),1,0)+IF(AND(IF('wk1'!D$5=Pat!$C$25,1,0),IF('wk1'!C15=Pat!B$27,1,0)),1,0)+IF(AND(IF('wk1'!D$5=Pat!$C$25,1,0),IF('wk1'!D15=Pat!B$27,1,0)),1,0)+IF(AND(IF('wk1'!E$5=Pat!$C$25,1,0),IF('wk1'!E15=Pat!B$27,1,0)),1,0)+IF(AND(IF('wk1'!F$5=Pat!$C$25,1,0),IF('wk1'!F15=Pat!B$27,1,0)),1,0)+IF(AND(IF('wk1'!G$5=Pat!$C$25,1,0),IF('wk1'!G15=Pat!B$27,1,0)),1,0)</f>
        <v>0</v>
      </c>
      <c r="C33" s="83">
        <f>IF(AND(IF('wk1'!D$5=Pat!$C$25,1,0),IF('wk1'!C15=Pat!C$27,1,0)),1,0)+IF(AND(IF('wk1'!D$5=Pat!$C$25,1,0),IF('wk1'!D15=Pat!C$27,1,0)),1,0)+IF(AND(IF('wk1'!E$5=Pat!$C$25,1,0),IF('wk1'!E15=Pat!C$27,1,0)),1,0)+IF(AND(IF('wk1'!F$5=Pat!$C$25,1,0),IF('wk1'!F15=Pat!C$27,1,0)),1,0)+IF(AND(IF('wk1'!G$5=Pat!$C$25,1,0),IF('wk1'!G15=Pat!C$27,1,0)),1,0)+IF(AND(IF('wk1'!H$5=Pat!$C$25,1,0),IF('wk1'!H15=Pat!C$27,1,0)),1,0)+IF(AND(IF('wk1'!B$5=Pat!$C$25,1,0),IF('wk1'!B15=Pat!C$27,1,0)),1,0)</f>
        <v>0</v>
      </c>
      <c r="D33" s="82">
        <f>IF(AND(IF('wk2'!B$5=Pat!$C$25,1,0),IF('wk2'!B15=Pat!B$27,1,0)),1,0)+IF(AND(IF('wk2'!C$5=Pat!$C$25,1,0),IF('wk2'!C15=Pat!B$27,1,0)),1,0)+IF(AND(IF('wk2'!D$5=Pat!$C$25,1,0),IF('wk2'!D15=Pat!B$27,1,0)),1,0)+IF(AND(IF('wk2'!E$5=Pat!$C$25,1,0),IF('wk2'!E15=Pat!B$27,1,0)),1,0)+IF(AND(IF('wk2'!F$5=Pat!$C$25,1,0),IF('wk2'!F15=Pat!B$27,1,0)),1,0)+IF(AND(IF('wk2'!G$5=Pat!$C$25,1,0),IF('wk2'!G15=Pat!B$27,1,0)),1,0)</f>
        <v>0</v>
      </c>
      <c r="E33" s="83">
        <f>IF(AND(IF('wk2'!C$5=Pat!$C$25,1,0),IF('wk2'!C15=Pat!C$27,1,0)),1,0)+IF(AND(IF('wk2'!D$5=Pat!$C$25,1,0),IF('wk2'!D15=Pat!C$27,1,0)),1,0)+IF(AND(IF('wk2'!E$5=Pat!$C$25,1,0),IF('wk2'!E15=Pat!C$27,1,0)),1,0)+IF(AND(IF('wk2'!F$5=Pat!$C$25,1,0),IF('wk2'!F15=Pat!C$27,1,0)),1,0)+IF(AND(IF('wk2'!G$5=Pat!$C$25,1,0),IF('wk2'!G15=Pat!C$27,1,0)),1,0)+IF(AND(IF('wk2'!H$5=Pat!$C$25,1,0),IF('wk2'!H15=Pat!C$27,1,0)),1,0)+IF(AND(IF('wk2'!B$5=Pat!$C$25,1,0),IF('wk2'!B15=Pat!C$27,1,0)),1,0)</f>
        <v>0</v>
      </c>
      <c r="F33" s="82">
        <f>IF(AND(IF('wk3'!B$5=Pat!$C$25,1,0),IF('wk3'!B15=Pat!B$27,1,0)),1,0)+IF(AND(IF('wk3'!C$5=Pat!$C$25,1,0),IF('wk3'!C15=Pat!B$27,1,0)),1,0)+IF(AND(IF('wk3'!D$5=Pat!$C$25,1,0),IF('wk3'!D15=Pat!B$27,1,0)),1,0)+IF(AND(IF('wk3'!E$5=Pat!$C$25,1,0),IF('wk3'!E15=Pat!B$27,1,0)),1,0)+IF(AND(IF('wk3'!F$5=Pat!$C$25,1,0),IF('wk3'!F15=Pat!B$27,1,0)),1,0)+IF(AND(IF('wk3'!G$5=Pat!$C$25,1,0),IF('wk3'!G15=Pat!B$27,1,0)),1,0)</f>
        <v>0</v>
      </c>
      <c r="G33" s="83">
        <f>IF(AND(IF('wk3'!C$5=Pat!$C$25,1,0),IF('wk3'!C15=Pat!C$27,1,0)),1,0)+IF(AND(IF('wk3'!D$5=Pat!$C$25,1,0),IF('wk3'!D15=Pat!C$27,1,0)),1,0)+IF(AND(IF('wk3'!E$5=Pat!$C$25,1,0),IF('wk3'!E15=Pat!C$27,1,0)),1,0)+IF(AND(IF('wk3'!F$5=Pat!$C$25,1,0),IF('wk3'!F15=Pat!C$27,1,0)),1,0)+IF(AND(IF('wk3'!G$5=Pat!$C$25,1,0),IF('wk3'!G15=Pat!C$27,1,0)),1,0)+IF(AND(IF('wk3'!H$5=Pat!$C$25,1,0),IF('wk3'!H15=Pat!C$27,1,0)),1,0)+IF(AND(IF('wk3'!B$5=Pat!$C$25,1,0),IF('wk3'!B15=Pat!C$27,1,0)),1,0)</f>
        <v>0</v>
      </c>
      <c r="H33" s="82">
        <f>IF(AND(IF('wk4'!B$5=Pat!$C$25,1,0),IF('wk4'!B15=Pat!B$27,1,0)),1,0)+IF(AND(IF('wk4'!C$5=Pat!$C$25,1,0),IF('wk4'!C15=Pat!B$27,1,0)),1,0)+IF(AND(IF('wk4'!D$5=Pat!$C$25,1,0),IF('wk4'!D15=Pat!B$27,1,0)),1,0)+IF(AND(IF('wk4'!E$5=Pat!$C$25,1,0),IF('wk4'!E15=Pat!B$27,1,0)),1,0)+IF(AND(IF('wk4'!F$5=Pat!$C$25,1,0),IF('wk4'!F15=Pat!B$27,1,0)),1,0)+IF(AND(IF('wk4'!G$5=Pat!$C$25,1,0),IF('wk4'!G15=Pat!B$27,1,0)),1,0)</f>
        <v>0</v>
      </c>
      <c r="I33" s="83">
        <f>IF(AND(IF('wk4'!C$5=Pat!$C$25,1,0),IF('wk4'!C15=Pat!C$27,1,0)),1,0)+IF(AND(IF('wk4'!D$5=Pat!$C$25,1,0),IF('wk4'!D15=Pat!C$27,1,0)),1,0)+IF(AND(IF('wk4'!E$5=Pat!$C$25,1,0),IF('wk4'!E15=Pat!C$27,1,0)),1,0)+IF(AND(IF('wk4'!F$5=Pat!$C$25,1,0),IF('wk4'!F15=Pat!C$27,1,0)),1,0)+IF(AND(IF('wk4'!G$5=Pat!$C$25,1,0),IF('wk4'!G15=Pat!C$27,1,0)),1,0)+IF(AND(IF('wk4'!H$5=Pat!$C$25,1,0),IF('wk4'!H15=Pat!C$27,1,0)),1,0)+IF(AND(IF('wk4'!B$5=Pat!$C$25,1,0),IF('wk4'!B15=Pat!C$27,1,0)),1,0)</f>
        <v>0</v>
      </c>
      <c r="J33" s="84">
        <f>IF(AND(IF('wk5'!B$5=Pat!$C$25,1,0),IF('wk5'!B15=Pat!B$27,1,0)),1,0)+IF(AND(IF('wk5'!C$5=Pat!$C$25,1,0),IF('wk5'!C15=Pat!B$27,1,0)),1,0)+IF(AND(IF('wk5'!D$5=Pat!$C$25,1,0),IF('wk5'!D15=Pat!B$27,1,0)),1,0)+IF(AND(IF('wk5'!E$5=Pat!$C$25,1,0),IF('wk5'!E15=Pat!B$27,1,0)),1,0)+IF(AND(IF('wk5'!F$5=Pat!$C$25,1,0),IF('wk5'!F15=Pat!B$27,1,0)),1,0)+IF(AND(IF('wk5'!G$5=Pat!$C$25,1,0),IF('wk5'!G15=Pat!B$27,1,0)),1,0)</f>
        <v>0</v>
      </c>
      <c r="K33" s="85">
        <f>IF(AND(IF('wk5'!C$5=Pat!$C$25,1,0),IF('wk5'!C15=Pat!C$27,1,0)),1,0)+IF(AND(IF('wk5'!D$5=Pat!$C$25,1,0),IF('wk5'!D15=Pat!C$27,1,0)),1,0)+IF(AND(IF('wk5'!E$5=Pat!$C$25,1,0),IF('wk5'!E15=Pat!C$27,1,0)),1,0)+IF(AND(IF('wk5'!F$5=Pat!$C$25,1,0),IF('wk5'!F15=Pat!C$27,1,0)),1,0)+IF(AND(IF('wk5'!G$5=Pat!$C$25,1,0),IF('wk5'!G15=Pat!C$27,1,0)),1,0)+IF(AND(IF('wk5'!H$5=Pat!$C$25,1,0),IF('wk5'!H15=Pat!C$27,1,0)),1,0)+IF(AND(IF('wk5'!B$5=Pat!$C$25,1,0),IF('wk5'!B15=Pat!C$27,1,0)),1,0)</f>
        <v>0</v>
      </c>
      <c r="L33" s="79"/>
      <c r="M33" s="79">
        <f t="shared" si="0"/>
        <v>0</v>
      </c>
      <c r="N33" s="81">
        <f t="shared" si="1"/>
        <v>0</v>
      </c>
    </row>
    <row r="34" spans="1:17" ht="13.5" thickBot="1">
      <c r="A34" s="78" t="str">
        <f>'Members Data'!A8</f>
        <v>Ánja</v>
      </c>
      <c r="B34" s="82">
        <f>IF(AND(IF('wk1'!B$5=Pat!$C$25,1,0),IF('wk1'!B16=Pat!B$27,1,0)),1,0)+IF(AND(IF('wk1'!D$5=Pat!$C$25,1,0),IF('wk1'!C16=Pat!B$27,1,0)),1,0)+IF(AND(IF('wk1'!D$5=Pat!$C$25,1,0),IF('wk1'!D16=Pat!B$27,1,0)),1,0)+IF(AND(IF('wk1'!E$5=Pat!$C$25,1,0),IF('wk1'!E16=Pat!B$27,1,0)),1,0)+IF(AND(IF('wk1'!F$5=Pat!$C$25,1,0),IF('wk1'!F16=Pat!B$27,1,0)),1,0)+IF(AND(IF('wk1'!G$5=Pat!$C$25,1,0),IF('wk1'!G16=Pat!B$27,1,0)),1,0)</f>
        <v>0</v>
      </c>
      <c r="C34" s="83">
        <f>IF(AND(IF('wk1'!D$5=Pat!$C$25,1,0),IF('wk1'!C16=Pat!C$27,1,0)),1,0)+IF(AND(IF('wk1'!D$5=Pat!$C$25,1,0),IF('wk1'!D16=Pat!C$27,1,0)),1,0)+IF(AND(IF('wk1'!E$5=Pat!$C$25,1,0),IF('wk1'!E16=Pat!C$27,1,0)),1,0)+IF(AND(IF('wk1'!F$5=Pat!$C$25,1,0),IF('wk1'!F16=Pat!C$27,1,0)),1,0)+IF(AND(IF('wk1'!G$5=Pat!$C$25,1,0),IF('wk1'!G16=Pat!C$27,1,0)),1,0)+IF(AND(IF('wk1'!H$5=Pat!$C$25,1,0),IF('wk1'!H16=Pat!C$27,1,0)),1,0)+IF(AND(IF('wk1'!B$5=Pat!$C$25,1,0),IF('wk1'!B16=Pat!C$27,1,0)),1,0)</f>
        <v>0</v>
      </c>
      <c r="D34" s="82">
        <f>IF(AND(IF('wk2'!B$5=Pat!$C$25,1,0),IF('wk2'!B16=Pat!B$27,1,0)),1,0)+IF(AND(IF('wk2'!C$5=Pat!$C$25,1,0),IF('wk2'!C16=Pat!B$27,1,0)),1,0)+IF(AND(IF('wk2'!D$5=Pat!$C$25,1,0),IF('wk2'!D16=Pat!B$27,1,0)),1,0)+IF(AND(IF('wk2'!E$5=Pat!$C$25,1,0),IF('wk2'!E16=Pat!B$27,1,0)),1,0)+IF(AND(IF('wk2'!F$5=Pat!$C$25,1,0),IF('wk2'!F16=Pat!B$27,1,0)),1,0)+IF(AND(IF('wk2'!G$5=Pat!$C$25,1,0),IF('wk2'!G16=Pat!B$27,1,0)),1,0)</f>
        <v>0</v>
      </c>
      <c r="E34" s="83">
        <f>IF(AND(IF('wk2'!C$5=Pat!$C$25,1,0),IF('wk2'!C16=Pat!C$27,1,0)),1,0)+IF(AND(IF('wk2'!D$5=Pat!$C$25,1,0),IF('wk2'!D16=Pat!C$27,1,0)),1,0)+IF(AND(IF('wk2'!E$5=Pat!$C$25,1,0),IF('wk2'!E16=Pat!C$27,1,0)),1,0)+IF(AND(IF('wk2'!F$5=Pat!$C$25,1,0),IF('wk2'!F16=Pat!C$27,1,0)),1,0)+IF(AND(IF('wk2'!G$5=Pat!$C$25,1,0),IF('wk2'!G16=Pat!C$27,1,0)),1,0)+IF(AND(IF('wk2'!H$5=Pat!$C$25,1,0),IF('wk2'!H16=Pat!C$27,1,0)),1,0)+IF(AND(IF('wk2'!B$5=Pat!$C$25,1,0),IF('wk2'!B16=Pat!C$27,1,0)),1,0)</f>
        <v>0</v>
      </c>
      <c r="F34" s="82">
        <f>IF(AND(IF('wk3'!B$5=Pat!$C$25,1,0),IF('wk3'!B16=Pat!B$27,1,0)),1,0)+IF(AND(IF('wk3'!C$5=Pat!$C$25,1,0),IF('wk3'!C16=Pat!B$27,1,0)),1,0)+IF(AND(IF('wk3'!D$5=Pat!$C$25,1,0),IF('wk3'!D16=Pat!B$27,1,0)),1,0)+IF(AND(IF('wk3'!E$5=Pat!$C$25,1,0),IF('wk3'!E16=Pat!B$27,1,0)),1,0)+IF(AND(IF('wk3'!F$5=Pat!$C$25,1,0),IF('wk3'!F16=Pat!B$27,1,0)),1,0)+IF(AND(IF('wk3'!G$5=Pat!$C$25,1,0),IF('wk3'!G16=Pat!B$27,1,0)),1,0)</f>
        <v>0</v>
      </c>
      <c r="G34" s="83">
        <f>IF(AND(IF('wk3'!C$5=Pat!$C$25,1,0),IF('wk3'!C16=Pat!C$27,1,0)),1,0)+IF(AND(IF('wk3'!D$5=Pat!$C$25,1,0),IF('wk3'!D16=Pat!C$27,1,0)),1,0)+IF(AND(IF('wk3'!E$5=Pat!$C$25,1,0),IF('wk3'!E16=Pat!C$27,1,0)),1,0)+IF(AND(IF('wk3'!F$5=Pat!$C$25,1,0),IF('wk3'!F16=Pat!C$27,1,0)),1,0)+IF(AND(IF('wk3'!G$5=Pat!$C$25,1,0),IF('wk3'!G16=Pat!C$27,1,0)),1,0)+IF(AND(IF('wk3'!H$5=Pat!$C$25,1,0),IF('wk3'!H16=Pat!C$27,1,0)),1,0)+IF(AND(IF('wk3'!B$5=Pat!$C$25,1,0),IF('wk3'!B16=Pat!C$27,1,0)),1,0)</f>
        <v>0</v>
      </c>
      <c r="H34" s="82">
        <f>IF(AND(IF('wk4'!B$5=Pat!$C$25,1,0),IF('wk4'!B16=Pat!B$27,1,0)),1,0)+IF(AND(IF('wk4'!C$5=Pat!$C$25,1,0),IF('wk4'!C16=Pat!B$27,1,0)),1,0)+IF(AND(IF('wk4'!D$5=Pat!$C$25,1,0),IF('wk4'!D16=Pat!B$27,1,0)),1,0)+IF(AND(IF('wk4'!E$5=Pat!$C$25,1,0),IF('wk4'!E16=Pat!B$27,1,0)),1,0)+IF(AND(IF('wk4'!F$5=Pat!$C$25,1,0),IF('wk4'!F16=Pat!B$27,1,0)),1,0)+IF(AND(IF('wk4'!G$5=Pat!$C$25,1,0),IF('wk4'!G16=Pat!B$27,1,0)),1,0)</f>
        <v>0</v>
      </c>
      <c r="I34" s="83">
        <f>IF(AND(IF('wk4'!C$5=Pat!$C$25,1,0),IF('wk4'!C16=Pat!C$27,1,0)),1,0)+IF(AND(IF('wk4'!D$5=Pat!$C$25,1,0),IF('wk4'!D16=Pat!C$27,1,0)),1,0)+IF(AND(IF('wk4'!E$5=Pat!$C$25,1,0),IF('wk4'!E16=Pat!C$27,1,0)),1,0)+IF(AND(IF('wk4'!F$5=Pat!$C$25,1,0),IF('wk4'!F16=Pat!C$27,1,0)),1,0)+IF(AND(IF('wk4'!G$5=Pat!$C$25,1,0),IF('wk4'!G16=Pat!C$27,1,0)),1,0)+IF(AND(IF('wk4'!H$5=Pat!$C$25,1,0),IF('wk4'!H16=Pat!C$27,1,0)),1,0)+IF(AND(IF('wk4'!B$5=Pat!$C$25,1,0),IF('wk4'!B16=Pat!C$27,1,0)),1,0)</f>
        <v>0</v>
      </c>
      <c r="J34" s="84">
        <f>IF(AND(IF('wk5'!B$5=Pat!$C$25,1,0),IF('wk5'!B16=Pat!B$27,1,0)),1,0)+IF(AND(IF('wk5'!C$5=Pat!$C$25,1,0),IF('wk5'!C16=Pat!B$27,1,0)),1,0)+IF(AND(IF('wk5'!D$5=Pat!$C$25,1,0),IF('wk5'!D16=Pat!B$27,1,0)),1,0)+IF(AND(IF('wk5'!E$5=Pat!$C$25,1,0),IF('wk5'!E16=Pat!B$27,1,0)),1,0)+IF(AND(IF('wk5'!F$5=Pat!$C$25,1,0),IF('wk5'!F16=Pat!B$27,1,0)),1,0)+IF(AND(IF('wk5'!G$5=Pat!$C$25,1,0),IF('wk5'!G16=Pat!B$27,1,0)),1,0)</f>
        <v>0</v>
      </c>
      <c r="K34" s="85">
        <f>IF(AND(IF('wk5'!C$5=Pat!$C$25,1,0),IF('wk5'!C16=Pat!C$27,1,0)),1,0)+IF(AND(IF('wk5'!D$5=Pat!$C$25,1,0),IF('wk5'!D16=Pat!C$27,1,0)),1,0)+IF(AND(IF('wk5'!E$5=Pat!$C$25,1,0),IF('wk5'!E16=Pat!C$27,1,0)),1,0)+IF(AND(IF('wk5'!F$5=Pat!$C$25,1,0),IF('wk5'!F16=Pat!C$27,1,0)),1,0)+IF(AND(IF('wk5'!G$5=Pat!$C$25,1,0),IF('wk5'!G16=Pat!C$27,1,0)),1,0)+IF(AND(IF('wk5'!H$5=Pat!$C$25,1,0),IF('wk5'!H16=Pat!C$27,1,0)),1,0)+IF(AND(IF('wk5'!B$5=Pat!$C$25,1,0),IF('wk5'!B16=Pat!C$27,1,0)),1,0)</f>
        <v>0</v>
      </c>
      <c r="L34" s="79"/>
      <c r="M34" s="79">
        <f t="shared" si="0"/>
        <v>0</v>
      </c>
      <c r="N34" s="81">
        <f t="shared" si="1"/>
        <v>0</v>
      </c>
    </row>
    <row r="35" spans="1:17" ht="13.5" thickBot="1">
      <c r="A35" s="78" t="str">
        <f>'Members Data'!A9</f>
        <v>Asch</v>
      </c>
      <c r="B35" s="82">
        <f>IF(AND(IF('wk1'!B$5=Pat!$C$25,1,0),IF('wk1'!B17=Pat!B$27,1,0)),1,0)+IF(AND(IF('wk1'!D$5=Pat!$C$25,1,0),IF('wk1'!C17=Pat!B$27,1,0)),1,0)+IF(AND(IF('wk1'!D$5=Pat!$C$25,1,0),IF('wk1'!D17=Pat!B$27,1,0)),1,0)+IF(AND(IF('wk1'!E$5=Pat!$C$25,1,0),IF('wk1'!E17=Pat!B$27,1,0)),1,0)+IF(AND(IF('wk1'!F$5=Pat!$C$25,1,0),IF('wk1'!F17=Pat!B$27,1,0)),1,0)+IF(AND(IF('wk1'!G$5=Pat!$C$25,1,0),IF('wk1'!G17=Pat!B$27,1,0)),1,0)</f>
        <v>0</v>
      </c>
      <c r="C35" s="83">
        <f>IF(AND(IF('wk1'!D$5=Pat!$C$25,1,0),IF('wk1'!C17=Pat!C$27,1,0)),1,0)+IF(AND(IF('wk1'!D$5=Pat!$C$25,1,0),IF('wk1'!D17=Pat!C$27,1,0)),1,0)+IF(AND(IF('wk1'!E$5=Pat!$C$25,1,0),IF('wk1'!E17=Pat!C$27,1,0)),1,0)+IF(AND(IF('wk1'!F$5=Pat!$C$25,1,0),IF('wk1'!F17=Pat!C$27,1,0)),1,0)+IF(AND(IF('wk1'!G$5=Pat!$C$25,1,0),IF('wk1'!G17=Pat!C$27,1,0)),1,0)+IF(AND(IF('wk1'!H$5=Pat!$C$25,1,0),IF('wk1'!H17=Pat!C$27,1,0)),1,0)+IF(AND(IF('wk1'!B$5=Pat!$C$25,1,0),IF('wk1'!B17=Pat!C$27,1,0)),1,0)</f>
        <v>0</v>
      </c>
      <c r="D35" s="82">
        <f>IF(AND(IF('wk2'!B$5=Pat!$C$25,1,0),IF('wk2'!B17=Pat!B$27,1,0)),1,0)+IF(AND(IF('wk2'!C$5=Pat!$C$25,1,0),IF('wk2'!C17=Pat!B$27,1,0)),1,0)+IF(AND(IF('wk2'!D$5=Pat!$C$25,1,0),IF('wk2'!D17=Pat!B$27,1,0)),1,0)+IF(AND(IF('wk2'!E$5=Pat!$C$25,1,0),IF('wk2'!E17=Pat!B$27,1,0)),1,0)+IF(AND(IF('wk2'!F$5=Pat!$C$25,1,0),IF('wk2'!F17=Pat!B$27,1,0)),1,0)+IF(AND(IF('wk2'!G$5=Pat!$C$25,1,0),IF('wk2'!G17=Pat!B$27,1,0)),1,0)</f>
        <v>0</v>
      </c>
      <c r="E35" s="83">
        <f>IF(AND(IF('wk2'!C$5=Pat!$C$25,1,0),IF('wk2'!C17=Pat!C$27,1,0)),1,0)+IF(AND(IF('wk2'!D$5=Pat!$C$25,1,0),IF('wk2'!D17=Pat!C$27,1,0)),1,0)+IF(AND(IF('wk2'!E$5=Pat!$C$25,1,0),IF('wk2'!E17=Pat!C$27,1,0)),1,0)+IF(AND(IF('wk2'!F$5=Pat!$C$25,1,0),IF('wk2'!F17=Pat!C$27,1,0)),1,0)+IF(AND(IF('wk2'!G$5=Pat!$C$25,1,0),IF('wk2'!G17=Pat!C$27,1,0)),1,0)+IF(AND(IF('wk2'!H$5=Pat!$C$25,1,0),IF('wk2'!H17=Pat!C$27,1,0)),1,0)+IF(AND(IF('wk2'!B$5=Pat!$C$25,1,0),IF('wk2'!B17=Pat!C$27,1,0)),1,0)</f>
        <v>0</v>
      </c>
      <c r="F35" s="82">
        <f>IF(AND(IF('wk3'!B$5=Pat!$C$25,1,0),IF('wk3'!B17=Pat!B$27,1,0)),1,0)+IF(AND(IF('wk3'!C$5=Pat!$C$25,1,0),IF('wk3'!C17=Pat!B$27,1,0)),1,0)+IF(AND(IF('wk3'!D$5=Pat!$C$25,1,0),IF('wk3'!D17=Pat!B$27,1,0)),1,0)+IF(AND(IF('wk3'!E$5=Pat!$C$25,1,0),IF('wk3'!E17=Pat!B$27,1,0)),1,0)+IF(AND(IF('wk3'!F$5=Pat!$C$25,1,0),IF('wk3'!F17=Pat!B$27,1,0)),1,0)+IF(AND(IF('wk3'!G$5=Pat!$C$25,1,0),IF('wk3'!G17=Pat!B$27,1,0)),1,0)</f>
        <v>0</v>
      </c>
      <c r="G35" s="83">
        <f>IF(AND(IF('wk3'!C$5=Pat!$C$25,1,0),IF('wk3'!C17=Pat!C$27,1,0)),1,0)+IF(AND(IF('wk3'!D$5=Pat!$C$25,1,0),IF('wk3'!D17=Pat!C$27,1,0)),1,0)+IF(AND(IF('wk3'!E$5=Pat!$C$25,1,0),IF('wk3'!E17=Pat!C$27,1,0)),1,0)+IF(AND(IF('wk3'!F$5=Pat!$C$25,1,0),IF('wk3'!F17=Pat!C$27,1,0)),1,0)+IF(AND(IF('wk3'!G$5=Pat!$C$25,1,0),IF('wk3'!G17=Pat!C$27,1,0)),1,0)+IF(AND(IF('wk3'!H$5=Pat!$C$25,1,0),IF('wk3'!H17=Pat!C$27,1,0)),1,0)+IF(AND(IF('wk3'!B$5=Pat!$C$25,1,0),IF('wk3'!B17=Pat!C$27,1,0)),1,0)</f>
        <v>0</v>
      </c>
      <c r="H35" s="82">
        <f>IF(AND(IF('wk4'!B$5=Pat!$C$25,1,0),IF('wk4'!B17=Pat!B$27,1,0)),1,0)+IF(AND(IF('wk4'!C$5=Pat!$C$25,1,0),IF('wk4'!C17=Pat!B$27,1,0)),1,0)+IF(AND(IF('wk4'!D$5=Pat!$C$25,1,0),IF('wk4'!D17=Pat!B$27,1,0)),1,0)+IF(AND(IF('wk4'!E$5=Pat!$C$25,1,0),IF('wk4'!E17=Pat!B$27,1,0)),1,0)+IF(AND(IF('wk4'!F$5=Pat!$C$25,1,0),IF('wk4'!F17=Pat!B$27,1,0)),1,0)+IF(AND(IF('wk4'!G$5=Pat!$C$25,1,0),IF('wk4'!G17=Pat!B$27,1,0)),1,0)</f>
        <v>0</v>
      </c>
      <c r="I35" s="83">
        <f>IF(AND(IF('wk4'!C$5=Pat!$C$25,1,0),IF('wk4'!C17=Pat!C$27,1,0)),1,0)+IF(AND(IF('wk4'!D$5=Pat!$C$25,1,0),IF('wk4'!D17=Pat!C$27,1,0)),1,0)+IF(AND(IF('wk4'!E$5=Pat!$C$25,1,0),IF('wk4'!E17=Pat!C$27,1,0)),1,0)+IF(AND(IF('wk4'!F$5=Pat!$C$25,1,0),IF('wk4'!F17=Pat!C$27,1,0)),1,0)+IF(AND(IF('wk4'!G$5=Pat!$C$25,1,0),IF('wk4'!G17=Pat!C$27,1,0)),1,0)+IF(AND(IF('wk4'!H$5=Pat!$C$25,1,0),IF('wk4'!H17=Pat!C$27,1,0)),1,0)+IF(AND(IF('wk4'!B$5=Pat!$C$25,1,0),IF('wk4'!B17=Pat!C$27,1,0)),1,0)</f>
        <v>0</v>
      </c>
      <c r="J35" s="84">
        <f>IF(AND(IF('wk5'!B$5=Pat!$C$25,1,0),IF('wk5'!B17=Pat!B$27,1,0)),1,0)+IF(AND(IF('wk5'!C$5=Pat!$C$25,1,0),IF('wk5'!C17=Pat!B$27,1,0)),1,0)+IF(AND(IF('wk5'!D$5=Pat!$C$25,1,0),IF('wk5'!D17=Pat!B$27,1,0)),1,0)+IF(AND(IF('wk5'!E$5=Pat!$C$25,1,0),IF('wk5'!E17=Pat!B$27,1,0)),1,0)+IF(AND(IF('wk5'!F$5=Pat!$C$25,1,0),IF('wk5'!F17=Pat!B$27,1,0)),1,0)+IF(AND(IF('wk5'!G$5=Pat!$C$25,1,0),IF('wk5'!G17=Pat!B$27,1,0)),1,0)</f>
        <v>0</v>
      </c>
      <c r="K35" s="85">
        <f>IF(AND(IF('wk5'!C$5=Pat!$C$25,1,0),IF('wk5'!C17=Pat!C$27,1,0)),1,0)+IF(AND(IF('wk5'!D$5=Pat!$C$25,1,0),IF('wk5'!D17=Pat!C$27,1,0)),1,0)+IF(AND(IF('wk5'!E$5=Pat!$C$25,1,0),IF('wk5'!E17=Pat!C$27,1,0)),1,0)+IF(AND(IF('wk5'!F$5=Pat!$C$25,1,0),IF('wk5'!F17=Pat!C$27,1,0)),1,0)+IF(AND(IF('wk5'!G$5=Pat!$C$25,1,0),IF('wk5'!G17=Pat!C$27,1,0)),1,0)+IF(AND(IF('wk5'!H$5=Pat!$C$25,1,0),IF('wk5'!H17=Pat!C$27,1,0)),1,0)+IF(AND(IF('wk5'!B$5=Pat!$C$25,1,0),IF('wk5'!B17=Pat!C$27,1,0)),1,0)</f>
        <v>0</v>
      </c>
      <c r="L35" s="79"/>
      <c r="M35" s="79">
        <f t="shared" si="0"/>
        <v>0</v>
      </c>
      <c r="N35" s="81">
        <f t="shared" si="1"/>
        <v>0</v>
      </c>
    </row>
    <row r="36" spans="1:17" ht="13.5" thickBot="1">
      <c r="A36" s="78" t="str">
        <f>'Members Data'!A10</f>
        <v>Avane</v>
      </c>
      <c r="B36" s="82">
        <f>IF(AND(IF('wk1'!B$5=Pat!$C$25,1,0),IF('wk1'!B18=Pat!B$27,1,0)),1,0)+IF(AND(IF('wk1'!D$5=Pat!$C$25,1,0),IF('wk1'!C18=Pat!B$27,1,0)),1,0)+IF(AND(IF('wk1'!D$5=Pat!$C$25,1,0),IF('wk1'!D18=Pat!B$27,1,0)),1,0)+IF(AND(IF('wk1'!E$5=Pat!$C$25,1,0),IF('wk1'!E18=Pat!B$27,1,0)),1,0)+IF(AND(IF('wk1'!F$5=Pat!$C$25,1,0),IF('wk1'!F18=Pat!B$27,1,0)),1,0)+IF(AND(IF('wk1'!G$5=Pat!$C$25,1,0),IF('wk1'!G18=Pat!B$27,1,0)),1,0)</f>
        <v>0</v>
      </c>
      <c r="C36" s="83">
        <f>IF(AND(IF('wk1'!D$5=Pat!$C$25,1,0),IF('wk1'!C18=Pat!C$27,1,0)),1,0)+IF(AND(IF('wk1'!D$5=Pat!$C$25,1,0),IF('wk1'!D18=Pat!C$27,1,0)),1,0)+IF(AND(IF('wk1'!E$5=Pat!$C$25,1,0),IF('wk1'!E18=Pat!C$27,1,0)),1,0)+IF(AND(IF('wk1'!F$5=Pat!$C$25,1,0),IF('wk1'!F18=Pat!C$27,1,0)),1,0)+IF(AND(IF('wk1'!G$5=Pat!$C$25,1,0),IF('wk1'!G18=Pat!C$27,1,0)),1,0)+IF(AND(IF('wk1'!H$5=Pat!$C$25,1,0),IF('wk1'!H18=Pat!C$27,1,0)),1,0)+IF(AND(IF('wk1'!B$5=Pat!$C$25,1,0),IF('wk1'!B18=Pat!C$27,1,0)),1,0)</f>
        <v>0</v>
      </c>
      <c r="D36" s="82">
        <f>IF(AND(IF('wk2'!B$5=Pat!$C$25,1,0),IF('wk2'!B18=Pat!B$27,1,0)),1,0)+IF(AND(IF('wk2'!C$5=Pat!$C$25,1,0),IF('wk2'!C18=Pat!B$27,1,0)),1,0)+IF(AND(IF('wk2'!D$5=Pat!$C$25,1,0),IF('wk2'!D18=Pat!B$27,1,0)),1,0)+IF(AND(IF('wk2'!E$5=Pat!$C$25,1,0),IF('wk2'!E18=Pat!B$27,1,0)),1,0)+IF(AND(IF('wk2'!F$5=Pat!$C$25,1,0),IF('wk2'!F18=Pat!B$27,1,0)),1,0)+IF(AND(IF('wk2'!G$5=Pat!$C$25,1,0),IF('wk2'!G18=Pat!B$27,1,0)),1,0)</f>
        <v>0</v>
      </c>
      <c r="E36" s="83">
        <f>IF(AND(IF('wk2'!C$5=Pat!$C$25,1,0),IF('wk2'!C18=Pat!C$27,1,0)),1,0)+IF(AND(IF('wk2'!D$5=Pat!$C$25,1,0),IF('wk2'!D18=Pat!C$27,1,0)),1,0)+IF(AND(IF('wk2'!E$5=Pat!$C$25,1,0),IF('wk2'!E18=Pat!C$27,1,0)),1,0)+IF(AND(IF('wk2'!F$5=Pat!$C$25,1,0),IF('wk2'!F18=Pat!C$27,1,0)),1,0)+IF(AND(IF('wk2'!G$5=Pat!$C$25,1,0),IF('wk2'!G18=Pat!C$27,1,0)),1,0)+IF(AND(IF('wk2'!H$5=Pat!$C$25,1,0),IF('wk2'!H18=Pat!C$27,1,0)),1,0)+IF(AND(IF('wk2'!B$5=Pat!$C$25,1,0),IF('wk2'!B18=Pat!C$27,1,0)),1,0)</f>
        <v>0</v>
      </c>
      <c r="F36" s="82">
        <f>IF(AND(IF('wk3'!B$5=Pat!$C$25,1,0),IF('wk3'!B18=Pat!B$27,1,0)),1,0)+IF(AND(IF('wk3'!C$5=Pat!$C$25,1,0),IF('wk3'!C18=Pat!B$27,1,0)),1,0)+IF(AND(IF('wk3'!D$5=Pat!$C$25,1,0),IF('wk3'!D18=Pat!B$27,1,0)),1,0)+IF(AND(IF('wk3'!E$5=Pat!$C$25,1,0),IF('wk3'!E18=Pat!B$27,1,0)),1,0)+IF(AND(IF('wk3'!F$5=Pat!$C$25,1,0),IF('wk3'!F18=Pat!B$27,1,0)),1,0)+IF(AND(IF('wk3'!G$5=Pat!$C$25,1,0),IF('wk3'!G18=Pat!B$27,1,0)),1,0)</f>
        <v>0</v>
      </c>
      <c r="G36" s="83">
        <f>IF(AND(IF('wk3'!C$5=Pat!$C$25,1,0),IF('wk3'!C18=Pat!C$27,1,0)),1,0)+IF(AND(IF('wk3'!D$5=Pat!$C$25,1,0),IF('wk3'!D18=Pat!C$27,1,0)),1,0)+IF(AND(IF('wk3'!E$5=Pat!$C$25,1,0),IF('wk3'!E18=Pat!C$27,1,0)),1,0)+IF(AND(IF('wk3'!F$5=Pat!$C$25,1,0),IF('wk3'!F18=Pat!C$27,1,0)),1,0)+IF(AND(IF('wk3'!G$5=Pat!$C$25,1,0),IF('wk3'!G18=Pat!C$27,1,0)),1,0)+IF(AND(IF('wk3'!H$5=Pat!$C$25,1,0),IF('wk3'!H18=Pat!C$27,1,0)),1,0)+IF(AND(IF('wk3'!B$5=Pat!$C$25,1,0),IF('wk3'!B18=Pat!C$27,1,0)),1,0)</f>
        <v>0</v>
      </c>
      <c r="H36" s="82">
        <f>IF(AND(IF('wk4'!B$5=Pat!$C$25,1,0),IF('wk4'!B18=Pat!B$27,1,0)),1,0)+IF(AND(IF('wk4'!C$5=Pat!$C$25,1,0),IF('wk4'!C18=Pat!B$27,1,0)),1,0)+IF(AND(IF('wk4'!D$5=Pat!$C$25,1,0),IF('wk4'!D18=Pat!B$27,1,0)),1,0)+IF(AND(IF('wk4'!E$5=Pat!$C$25,1,0),IF('wk4'!E18=Pat!B$27,1,0)),1,0)+IF(AND(IF('wk4'!F$5=Pat!$C$25,1,0),IF('wk4'!F18=Pat!B$27,1,0)),1,0)+IF(AND(IF('wk4'!G$5=Pat!$C$25,1,0),IF('wk4'!G18=Pat!B$27,1,0)),1,0)</f>
        <v>0</v>
      </c>
      <c r="I36" s="83">
        <f>IF(AND(IF('wk4'!C$5=Pat!$C$25,1,0),IF('wk4'!C18=Pat!C$27,1,0)),1,0)+IF(AND(IF('wk4'!D$5=Pat!$C$25,1,0),IF('wk4'!D18=Pat!C$27,1,0)),1,0)+IF(AND(IF('wk4'!E$5=Pat!$C$25,1,0),IF('wk4'!E18=Pat!C$27,1,0)),1,0)+IF(AND(IF('wk4'!F$5=Pat!$C$25,1,0),IF('wk4'!F18=Pat!C$27,1,0)),1,0)+IF(AND(IF('wk4'!G$5=Pat!$C$25,1,0),IF('wk4'!G18=Pat!C$27,1,0)),1,0)+IF(AND(IF('wk4'!H$5=Pat!$C$25,1,0),IF('wk4'!H18=Pat!C$27,1,0)),1,0)+IF(AND(IF('wk4'!B$5=Pat!$C$25,1,0),IF('wk4'!B18=Pat!C$27,1,0)),1,0)</f>
        <v>0</v>
      </c>
      <c r="J36" s="84">
        <f>IF(AND(IF('wk5'!B$5=Pat!$C$25,1,0),IF('wk5'!B18=Pat!B$27,1,0)),1,0)+IF(AND(IF('wk5'!C$5=Pat!$C$25,1,0),IF('wk5'!C18=Pat!B$27,1,0)),1,0)+IF(AND(IF('wk5'!D$5=Pat!$C$25,1,0),IF('wk5'!D18=Pat!B$27,1,0)),1,0)+IF(AND(IF('wk5'!E$5=Pat!$C$25,1,0),IF('wk5'!E18=Pat!B$27,1,0)),1,0)+IF(AND(IF('wk5'!F$5=Pat!$C$25,1,0),IF('wk5'!F18=Pat!B$27,1,0)),1,0)+IF(AND(IF('wk5'!G$5=Pat!$C$25,1,0),IF('wk5'!G18=Pat!B$27,1,0)),1,0)</f>
        <v>0</v>
      </c>
      <c r="K36" s="85">
        <f>IF(AND(IF('wk5'!C$5=Pat!$C$25,1,0),IF('wk5'!C18=Pat!C$27,1,0)),1,0)+IF(AND(IF('wk5'!D$5=Pat!$C$25,1,0),IF('wk5'!D18=Pat!C$27,1,0)),1,0)+IF(AND(IF('wk5'!E$5=Pat!$C$25,1,0),IF('wk5'!E18=Pat!C$27,1,0)),1,0)+IF(AND(IF('wk5'!F$5=Pat!$C$25,1,0),IF('wk5'!F18=Pat!C$27,1,0)),1,0)+IF(AND(IF('wk5'!G$5=Pat!$C$25,1,0),IF('wk5'!G18=Pat!C$27,1,0)),1,0)+IF(AND(IF('wk5'!H$5=Pat!$C$25,1,0),IF('wk5'!H18=Pat!C$27,1,0)),1,0)+IF(AND(IF('wk5'!B$5=Pat!$C$25,1,0),IF('wk5'!B18=Pat!C$27,1,0)),1,0)</f>
        <v>0</v>
      </c>
      <c r="L36" s="79"/>
      <c r="M36" s="79">
        <f t="shared" si="0"/>
        <v>0</v>
      </c>
      <c r="N36" s="81">
        <f t="shared" si="1"/>
        <v>0</v>
      </c>
    </row>
    <row r="37" spans="1:17" ht="13.5" thickBot="1">
      <c r="A37" s="78" t="str">
        <f>'Members Data'!A11</f>
        <v>Beargrels</v>
      </c>
      <c r="B37" s="82">
        <f>IF(AND(IF('wk1'!B$5=Pat!$C$25,1,0),IF('wk1'!B19=Pat!B$27,1,0)),1,0)+IF(AND(IF('wk1'!D$5=Pat!$C$25,1,0),IF('wk1'!C19=Pat!B$27,1,0)),1,0)+IF(AND(IF('wk1'!D$5=Pat!$C$25,1,0),IF('wk1'!D19=Pat!B$27,1,0)),1,0)+IF(AND(IF('wk1'!E$5=Pat!$C$25,1,0),IF('wk1'!E19=Pat!B$27,1,0)),1,0)+IF(AND(IF('wk1'!F$5=Pat!$C$25,1,0),IF('wk1'!F19=Pat!B$27,1,0)),1,0)+IF(AND(IF('wk1'!G$5=Pat!$C$25,1,0),IF('wk1'!G19=Pat!B$27,1,0)),1,0)</f>
        <v>0</v>
      </c>
      <c r="C37" s="83">
        <f>IF(AND(IF('wk1'!D$5=Pat!$C$25,1,0),IF('wk1'!C19=Pat!C$27,1,0)),1,0)+IF(AND(IF('wk1'!D$5=Pat!$C$25,1,0),IF('wk1'!D19=Pat!C$27,1,0)),1,0)+IF(AND(IF('wk1'!E$5=Pat!$C$25,1,0),IF('wk1'!E19=Pat!C$27,1,0)),1,0)+IF(AND(IF('wk1'!F$5=Pat!$C$25,1,0),IF('wk1'!F19=Pat!C$27,1,0)),1,0)+IF(AND(IF('wk1'!G$5=Pat!$C$25,1,0),IF('wk1'!G19=Pat!C$27,1,0)),1,0)+IF(AND(IF('wk1'!H$5=Pat!$C$25,1,0),IF('wk1'!H19=Pat!C$27,1,0)),1,0)+IF(AND(IF('wk1'!B$5=Pat!$C$25,1,0),IF('wk1'!B19=Pat!C$27,1,0)),1,0)</f>
        <v>0</v>
      </c>
      <c r="D37" s="82">
        <f>IF(AND(IF('wk2'!B$5=Pat!$C$25,1,0),IF('wk2'!B19=Pat!B$27,1,0)),1,0)+IF(AND(IF('wk2'!C$5=Pat!$C$25,1,0),IF('wk2'!C19=Pat!B$27,1,0)),1,0)+IF(AND(IF('wk2'!D$5=Pat!$C$25,1,0),IF('wk2'!D19=Pat!B$27,1,0)),1,0)+IF(AND(IF('wk2'!E$5=Pat!$C$25,1,0),IF('wk2'!E19=Pat!B$27,1,0)),1,0)+IF(AND(IF('wk2'!F$5=Pat!$C$25,1,0),IF('wk2'!F19=Pat!B$27,1,0)),1,0)+IF(AND(IF('wk2'!G$5=Pat!$C$25,1,0),IF('wk2'!G19=Pat!B$27,1,0)),1,0)</f>
        <v>0</v>
      </c>
      <c r="E37" s="83">
        <f>IF(AND(IF('wk2'!C$5=Pat!$C$25,1,0),IF('wk2'!C19=Pat!C$27,1,0)),1,0)+IF(AND(IF('wk2'!D$5=Pat!$C$25,1,0),IF('wk2'!D19=Pat!C$27,1,0)),1,0)+IF(AND(IF('wk2'!E$5=Pat!$C$25,1,0),IF('wk2'!E19=Pat!C$27,1,0)),1,0)+IF(AND(IF('wk2'!F$5=Pat!$C$25,1,0),IF('wk2'!F19=Pat!C$27,1,0)),1,0)+IF(AND(IF('wk2'!G$5=Pat!$C$25,1,0),IF('wk2'!G19=Pat!C$27,1,0)),1,0)+IF(AND(IF('wk2'!H$5=Pat!$C$25,1,0),IF('wk2'!H19=Pat!C$27,1,0)),1,0)+IF(AND(IF('wk2'!B$5=Pat!$C$25,1,0),IF('wk2'!B19=Pat!C$27,1,0)),1,0)</f>
        <v>0</v>
      </c>
      <c r="F37" s="82">
        <f>IF(AND(IF('wk3'!B$5=Pat!$C$25,1,0),IF('wk3'!B19=Pat!B$27,1,0)),1,0)+IF(AND(IF('wk3'!C$5=Pat!$C$25,1,0),IF('wk3'!C19=Pat!B$27,1,0)),1,0)+IF(AND(IF('wk3'!D$5=Pat!$C$25,1,0),IF('wk3'!D19=Pat!B$27,1,0)),1,0)+IF(AND(IF('wk3'!E$5=Pat!$C$25,1,0),IF('wk3'!E19=Pat!B$27,1,0)),1,0)+IF(AND(IF('wk3'!F$5=Pat!$C$25,1,0),IF('wk3'!F19=Pat!B$27,1,0)),1,0)+IF(AND(IF('wk3'!G$5=Pat!$C$25,1,0),IF('wk3'!G19=Pat!B$27,1,0)),1,0)</f>
        <v>0</v>
      </c>
      <c r="G37" s="83">
        <f>IF(AND(IF('wk3'!C$5=Pat!$C$25,1,0),IF('wk3'!C19=Pat!C$27,1,0)),1,0)+IF(AND(IF('wk3'!D$5=Pat!$C$25,1,0),IF('wk3'!D19=Pat!C$27,1,0)),1,0)+IF(AND(IF('wk3'!E$5=Pat!$C$25,1,0),IF('wk3'!E19=Pat!C$27,1,0)),1,0)+IF(AND(IF('wk3'!F$5=Pat!$C$25,1,0),IF('wk3'!F19=Pat!C$27,1,0)),1,0)+IF(AND(IF('wk3'!G$5=Pat!$C$25,1,0),IF('wk3'!G19=Pat!C$27,1,0)),1,0)+IF(AND(IF('wk3'!H$5=Pat!$C$25,1,0),IF('wk3'!H19=Pat!C$27,1,0)),1,0)+IF(AND(IF('wk3'!B$5=Pat!$C$25,1,0),IF('wk3'!B19=Pat!C$27,1,0)),1,0)</f>
        <v>0</v>
      </c>
      <c r="H37" s="82">
        <f>IF(AND(IF('wk4'!B$5=Pat!$C$25,1,0),IF('wk4'!B19=Pat!B$27,1,0)),1,0)+IF(AND(IF('wk4'!C$5=Pat!$C$25,1,0),IF('wk4'!C19=Pat!B$27,1,0)),1,0)+IF(AND(IF('wk4'!D$5=Pat!$C$25,1,0),IF('wk4'!D19=Pat!B$27,1,0)),1,0)+IF(AND(IF('wk4'!E$5=Pat!$C$25,1,0),IF('wk4'!E19=Pat!B$27,1,0)),1,0)+IF(AND(IF('wk4'!F$5=Pat!$C$25,1,0),IF('wk4'!F19=Pat!B$27,1,0)),1,0)+IF(AND(IF('wk4'!G$5=Pat!$C$25,1,0),IF('wk4'!G19=Pat!B$27,1,0)),1,0)</f>
        <v>0</v>
      </c>
      <c r="I37" s="83">
        <f>IF(AND(IF('wk4'!C$5=Pat!$C$25,1,0),IF('wk4'!C19=Pat!C$27,1,0)),1,0)+IF(AND(IF('wk4'!D$5=Pat!$C$25,1,0),IF('wk4'!D19=Pat!C$27,1,0)),1,0)+IF(AND(IF('wk4'!E$5=Pat!$C$25,1,0),IF('wk4'!E19=Pat!C$27,1,0)),1,0)+IF(AND(IF('wk4'!F$5=Pat!$C$25,1,0),IF('wk4'!F19=Pat!C$27,1,0)),1,0)+IF(AND(IF('wk4'!G$5=Pat!$C$25,1,0),IF('wk4'!G19=Pat!C$27,1,0)),1,0)+IF(AND(IF('wk4'!H$5=Pat!$C$25,1,0),IF('wk4'!H19=Pat!C$27,1,0)),1,0)+IF(AND(IF('wk4'!B$5=Pat!$C$25,1,0),IF('wk4'!B19=Pat!C$27,1,0)),1,0)</f>
        <v>0</v>
      </c>
      <c r="J37" s="84">
        <f>IF(AND(IF('wk5'!B$5=Pat!$C$25,1,0),IF('wk5'!B19=Pat!B$27,1,0)),1,0)+IF(AND(IF('wk5'!C$5=Pat!$C$25,1,0),IF('wk5'!C19=Pat!B$27,1,0)),1,0)+IF(AND(IF('wk5'!D$5=Pat!$C$25,1,0),IF('wk5'!D19=Pat!B$27,1,0)),1,0)+IF(AND(IF('wk5'!E$5=Pat!$C$25,1,0),IF('wk5'!E19=Pat!B$27,1,0)),1,0)+IF(AND(IF('wk5'!F$5=Pat!$C$25,1,0),IF('wk5'!F19=Pat!B$27,1,0)),1,0)+IF(AND(IF('wk5'!G$5=Pat!$C$25,1,0),IF('wk5'!G19=Pat!B$27,1,0)),1,0)</f>
        <v>0</v>
      </c>
      <c r="K37" s="85">
        <f>IF(AND(IF('wk5'!C$5=Pat!$C$25,1,0),IF('wk5'!C19=Pat!C$27,1,0)),1,0)+IF(AND(IF('wk5'!D$5=Pat!$C$25,1,0),IF('wk5'!D19=Pat!C$27,1,0)),1,0)+IF(AND(IF('wk5'!E$5=Pat!$C$25,1,0),IF('wk5'!E19=Pat!C$27,1,0)),1,0)+IF(AND(IF('wk5'!F$5=Pat!$C$25,1,0),IF('wk5'!F19=Pat!C$27,1,0)),1,0)+IF(AND(IF('wk5'!G$5=Pat!$C$25,1,0),IF('wk5'!G19=Pat!C$27,1,0)),1,0)+IF(AND(IF('wk5'!H$5=Pat!$C$25,1,0),IF('wk5'!H19=Pat!C$27,1,0)),1,0)+IF(AND(IF('wk5'!B$5=Pat!$C$25,1,0),IF('wk5'!B19=Pat!C$27,1,0)),1,0)</f>
        <v>0</v>
      </c>
      <c r="L37" s="79"/>
      <c r="M37" s="79">
        <f t="shared" si="0"/>
        <v>0</v>
      </c>
      <c r="N37" s="81">
        <f t="shared" si="1"/>
        <v>0</v>
      </c>
    </row>
    <row r="38" spans="1:17" ht="13.5" thickBot="1">
      <c r="A38" s="78" t="str">
        <f>'Members Data'!A12</f>
        <v>Blackcheeta</v>
      </c>
      <c r="B38" s="82">
        <f>IF(AND(IF('wk1'!B$5=Pat!$C$25,1,0),IF('wk1'!B20=Pat!B$27,1,0)),1,0)+IF(AND(IF('wk1'!D$5=Pat!$C$25,1,0),IF('wk1'!C20=Pat!B$27,1,0)),1,0)+IF(AND(IF('wk1'!D$5=Pat!$C$25,1,0),IF('wk1'!D20=Pat!B$27,1,0)),1,0)+IF(AND(IF('wk1'!E$5=Pat!$C$25,1,0),IF('wk1'!E20=Pat!B$27,1,0)),1,0)+IF(AND(IF('wk1'!F$5=Pat!$C$25,1,0),IF('wk1'!F20=Pat!B$27,1,0)),1,0)+IF(AND(IF('wk1'!G$5=Pat!$C$25,1,0),IF('wk1'!G20=Pat!B$27,1,0)),1,0)</f>
        <v>0</v>
      </c>
      <c r="C38" s="83">
        <f>IF(AND(IF('wk1'!D$5=Pat!$C$25,1,0),IF('wk1'!C20=Pat!C$27,1,0)),1,0)+IF(AND(IF('wk1'!D$5=Pat!$C$25,1,0),IF('wk1'!D20=Pat!C$27,1,0)),1,0)+IF(AND(IF('wk1'!E$5=Pat!$C$25,1,0),IF('wk1'!E20=Pat!C$27,1,0)),1,0)+IF(AND(IF('wk1'!F$5=Pat!$C$25,1,0),IF('wk1'!F20=Pat!C$27,1,0)),1,0)+IF(AND(IF('wk1'!G$5=Pat!$C$25,1,0),IF('wk1'!G20=Pat!C$27,1,0)),1,0)+IF(AND(IF('wk1'!H$5=Pat!$C$25,1,0),IF('wk1'!H20=Pat!C$27,1,0)),1,0)+IF(AND(IF('wk1'!B$5=Pat!$C$25,1,0),IF('wk1'!B20=Pat!C$27,1,0)),1,0)</f>
        <v>0</v>
      </c>
      <c r="D38" s="82">
        <f>IF(AND(IF('wk2'!B$5=Pat!$C$25,1,0),IF('wk2'!B20=Pat!B$27,1,0)),1,0)+IF(AND(IF('wk2'!C$5=Pat!$C$25,1,0),IF('wk2'!C20=Pat!B$27,1,0)),1,0)+IF(AND(IF('wk2'!D$5=Pat!$C$25,1,0),IF('wk2'!D20=Pat!B$27,1,0)),1,0)+IF(AND(IF('wk2'!E$5=Pat!$C$25,1,0),IF('wk2'!E20=Pat!B$27,1,0)),1,0)+IF(AND(IF('wk2'!F$5=Pat!$C$25,1,0),IF('wk2'!F20=Pat!B$27,1,0)),1,0)+IF(AND(IF('wk2'!G$5=Pat!$C$25,1,0),IF('wk2'!G20=Pat!B$27,1,0)),1,0)</f>
        <v>0</v>
      </c>
      <c r="E38" s="83">
        <f>IF(AND(IF('wk2'!C$5=Pat!$C$25,1,0),IF('wk2'!C20=Pat!C$27,1,0)),1,0)+IF(AND(IF('wk2'!D$5=Pat!$C$25,1,0),IF('wk2'!D20=Pat!C$27,1,0)),1,0)+IF(AND(IF('wk2'!E$5=Pat!$C$25,1,0),IF('wk2'!E20=Pat!C$27,1,0)),1,0)+IF(AND(IF('wk2'!F$5=Pat!$C$25,1,0),IF('wk2'!F20=Pat!C$27,1,0)),1,0)+IF(AND(IF('wk2'!G$5=Pat!$C$25,1,0),IF('wk2'!G20=Pat!C$27,1,0)),1,0)+IF(AND(IF('wk2'!H$5=Pat!$C$25,1,0),IF('wk2'!H20=Pat!C$27,1,0)),1,0)+IF(AND(IF('wk2'!B$5=Pat!$C$25,1,0),IF('wk2'!B20=Pat!C$27,1,0)),1,0)</f>
        <v>0</v>
      </c>
      <c r="F38" s="82">
        <f>IF(AND(IF('wk3'!B$5=Pat!$C$25,1,0),IF('wk3'!B20=Pat!B$27,1,0)),1,0)+IF(AND(IF('wk3'!C$5=Pat!$C$25,1,0),IF('wk3'!C20=Pat!B$27,1,0)),1,0)+IF(AND(IF('wk3'!D$5=Pat!$C$25,1,0),IF('wk3'!D20=Pat!B$27,1,0)),1,0)+IF(AND(IF('wk3'!E$5=Pat!$C$25,1,0),IF('wk3'!E20=Pat!B$27,1,0)),1,0)+IF(AND(IF('wk3'!F$5=Pat!$C$25,1,0),IF('wk3'!F20=Pat!B$27,1,0)),1,0)+IF(AND(IF('wk3'!G$5=Pat!$C$25,1,0),IF('wk3'!G20=Pat!B$27,1,0)),1,0)</f>
        <v>0</v>
      </c>
      <c r="G38" s="83">
        <f>IF(AND(IF('wk3'!C$5=Pat!$C$25,1,0),IF('wk3'!C20=Pat!C$27,1,0)),1,0)+IF(AND(IF('wk3'!D$5=Pat!$C$25,1,0),IF('wk3'!D20=Pat!C$27,1,0)),1,0)+IF(AND(IF('wk3'!E$5=Pat!$C$25,1,0),IF('wk3'!E20=Pat!C$27,1,0)),1,0)+IF(AND(IF('wk3'!F$5=Pat!$C$25,1,0),IF('wk3'!F20=Pat!C$27,1,0)),1,0)+IF(AND(IF('wk3'!G$5=Pat!$C$25,1,0),IF('wk3'!G20=Pat!C$27,1,0)),1,0)+IF(AND(IF('wk3'!H$5=Pat!$C$25,1,0),IF('wk3'!H20=Pat!C$27,1,0)),1,0)+IF(AND(IF('wk3'!B$5=Pat!$C$25,1,0),IF('wk3'!B20=Pat!C$27,1,0)),1,0)</f>
        <v>0</v>
      </c>
      <c r="H38" s="82">
        <f>IF(AND(IF('wk4'!B$5=Pat!$C$25,1,0),IF('wk4'!B20=Pat!B$27,1,0)),1,0)+IF(AND(IF('wk4'!C$5=Pat!$C$25,1,0),IF('wk4'!C20=Pat!B$27,1,0)),1,0)+IF(AND(IF('wk4'!D$5=Pat!$C$25,1,0),IF('wk4'!D20=Pat!B$27,1,0)),1,0)+IF(AND(IF('wk4'!E$5=Pat!$C$25,1,0),IF('wk4'!E20=Pat!B$27,1,0)),1,0)+IF(AND(IF('wk4'!F$5=Pat!$C$25,1,0),IF('wk4'!F20=Pat!B$27,1,0)),1,0)+IF(AND(IF('wk4'!G$5=Pat!$C$25,1,0),IF('wk4'!G20=Pat!B$27,1,0)),1,0)</f>
        <v>0</v>
      </c>
      <c r="I38" s="83">
        <f>IF(AND(IF('wk4'!C$5=Pat!$C$25,1,0),IF('wk4'!C20=Pat!C$27,1,0)),1,0)+IF(AND(IF('wk4'!D$5=Pat!$C$25,1,0),IF('wk4'!D20=Pat!C$27,1,0)),1,0)+IF(AND(IF('wk4'!E$5=Pat!$C$25,1,0),IF('wk4'!E20=Pat!C$27,1,0)),1,0)+IF(AND(IF('wk4'!F$5=Pat!$C$25,1,0),IF('wk4'!F20=Pat!C$27,1,0)),1,0)+IF(AND(IF('wk4'!G$5=Pat!$C$25,1,0),IF('wk4'!G20=Pat!C$27,1,0)),1,0)+IF(AND(IF('wk4'!H$5=Pat!$C$25,1,0),IF('wk4'!H20=Pat!C$27,1,0)),1,0)+IF(AND(IF('wk4'!B$5=Pat!$C$25,1,0),IF('wk4'!B20=Pat!C$27,1,0)),1,0)</f>
        <v>0</v>
      </c>
      <c r="J38" s="84">
        <f>IF(AND(IF('wk5'!B$5=Pat!$C$25,1,0),IF('wk5'!B20=Pat!B$27,1,0)),1,0)+IF(AND(IF('wk5'!C$5=Pat!$C$25,1,0),IF('wk5'!C20=Pat!B$27,1,0)),1,0)+IF(AND(IF('wk5'!D$5=Pat!$C$25,1,0),IF('wk5'!D20=Pat!B$27,1,0)),1,0)+IF(AND(IF('wk5'!E$5=Pat!$C$25,1,0),IF('wk5'!E20=Pat!B$27,1,0)),1,0)+IF(AND(IF('wk5'!F$5=Pat!$C$25,1,0),IF('wk5'!F20=Pat!B$27,1,0)),1,0)+IF(AND(IF('wk5'!G$5=Pat!$C$25,1,0),IF('wk5'!G20=Pat!B$27,1,0)),1,0)</f>
        <v>0</v>
      </c>
      <c r="K38" s="85">
        <f>IF(AND(IF('wk5'!C$5=Pat!$C$25,1,0),IF('wk5'!C20=Pat!C$27,1,0)),1,0)+IF(AND(IF('wk5'!D$5=Pat!$C$25,1,0),IF('wk5'!D20=Pat!C$27,1,0)),1,0)+IF(AND(IF('wk5'!E$5=Pat!$C$25,1,0),IF('wk5'!E20=Pat!C$27,1,0)),1,0)+IF(AND(IF('wk5'!F$5=Pat!$C$25,1,0),IF('wk5'!F20=Pat!C$27,1,0)),1,0)+IF(AND(IF('wk5'!G$5=Pat!$C$25,1,0),IF('wk5'!G20=Pat!C$27,1,0)),1,0)+IF(AND(IF('wk5'!H$5=Pat!$C$25,1,0),IF('wk5'!H20=Pat!C$27,1,0)),1,0)+IF(AND(IF('wk5'!B$5=Pat!$C$25,1,0),IF('wk5'!B20=Pat!C$27,1,0)),1,0)</f>
        <v>0</v>
      </c>
      <c r="L38" s="79"/>
      <c r="M38" s="79">
        <f t="shared" si="0"/>
        <v>0</v>
      </c>
      <c r="N38" s="81">
        <f t="shared" si="1"/>
        <v>0</v>
      </c>
    </row>
    <row r="39" spans="1:17" ht="13.5" thickBot="1">
      <c r="A39" s="78">
        <f>'Members Data'!A13</f>
        <v>0</v>
      </c>
      <c r="B39" s="82">
        <f>IF(AND(IF('wk1'!B$5=Pat!$C$25,1,0),IF('wk1'!B21=Pat!B$27,1,0)),1,0)+IF(AND(IF('wk1'!D$5=Pat!$C$25,1,0),IF('wk1'!C21=Pat!B$27,1,0)),1,0)+IF(AND(IF('wk1'!D$5=Pat!$C$25,1,0),IF('wk1'!D21=Pat!B$27,1,0)),1,0)+IF(AND(IF('wk1'!E$5=Pat!$C$25,1,0),IF('wk1'!E21=Pat!B$27,1,0)),1,0)+IF(AND(IF('wk1'!F$5=Pat!$C$25,1,0),IF('wk1'!F21=Pat!B$27,1,0)),1,0)+IF(AND(IF('wk1'!G$5=Pat!$C$25,1,0),IF('wk1'!G21=Pat!B$27,1,0)),1,0)</f>
        <v>0</v>
      </c>
      <c r="C39" s="83">
        <f>IF(AND(IF('wk1'!D$5=Pat!$C$25,1,0),IF('wk1'!C21=Pat!C$27,1,0)),1,0)+IF(AND(IF('wk1'!D$5=Pat!$C$25,1,0),IF('wk1'!D21=Pat!C$27,1,0)),1,0)+IF(AND(IF('wk1'!E$5=Pat!$C$25,1,0),IF('wk1'!E21=Pat!C$27,1,0)),1,0)+IF(AND(IF('wk1'!F$5=Pat!$C$25,1,0),IF('wk1'!F21=Pat!C$27,1,0)),1,0)+IF(AND(IF('wk1'!G$5=Pat!$C$25,1,0),IF('wk1'!G21=Pat!C$27,1,0)),1,0)+IF(AND(IF('wk1'!H$5=Pat!$C$25,1,0),IF('wk1'!H21=Pat!C$27,1,0)),1,0)+IF(AND(IF('wk1'!B$5=Pat!$C$25,1,0),IF('wk1'!B21=Pat!C$27,1,0)),1,0)</f>
        <v>0</v>
      </c>
      <c r="D39" s="82">
        <f>IF(AND(IF('wk2'!B$5=Pat!$C$25,1,0),IF('wk2'!B21=Pat!B$27,1,0)),1,0)+IF(AND(IF('wk2'!C$5=Pat!$C$25,1,0),IF('wk2'!C21=Pat!B$27,1,0)),1,0)+IF(AND(IF('wk2'!D$5=Pat!$C$25,1,0),IF('wk2'!D21=Pat!B$27,1,0)),1,0)+IF(AND(IF('wk2'!E$5=Pat!$C$25,1,0),IF('wk2'!E21=Pat!B$27,1,0)),1,0)+IF(AND(IF('wk2'!F$5=Pat!$C$25,1,0),IF('wk2'!F21=Pat!B$27,1,0)),1,0)+IF(AND(IF('wk2'!G$5=Pat!$C$25,1,0),IF('wk2'!G21=Pat!B$27,1,0)),1,0)</f>
        <v>0</v>
      </c>
      <c r="E39" s="83">
        <f>IF(AND(IF('wk2'!C$5=Pat!$C$25,1,0),IF('wk2'!C21=Pat!C$27,1,0)),1,0)+IF(AND(IF('wk2'!D$5=Pat!$C$25,1,0),IF('wk2'!D21=Pat!C$27,1,0)),1,0)+IF(AND(IF('wk2'!E$5=Pat!$C$25,1,0),IF('wk2'!E21=Pat!C$27,1,0)),1,0)+IF(AND(IF('wk2'!F$5=Pat!$C$25,1,0),IF('wk2'!F21=Pat!C$27,1,0)),1,0)+IF(AND(IF('wk2'!G$5=Pat!$C$25,1,0),IF('wk2'!G21=Pat!C$27,1,0)),1,0)+IF(AND(IF('wk2'!H$5=Pat!$C$25,1,0),IF('wk2'!H21=Pat!C$27,1,0)),1,0)+IF(AND(IF('wk2'!B$5=Pat!$C$25,1,0),IF('wk2'!B21=Pat!C$27,1,0)),1,0)</f>
        <v>0</v>
      </c>
      <c r="F39" s="82">
        <f>IF(AND(IF('wk3'!B$5=Pat!$C$25,1,0),IF('wk3'!B21=Pat!B$27,1,0)),1,0)+IF(AND(IF('wk3'!C$5=Pat!$C$25,1,0),IF('wk3'!C21=Pat!B$27,1,0)),1,0)+IF(AND(IF('wk3'!D$5=Pat!$C$25,1,0),IF('wk3'!D21=Pat!B$27,1,0)),1,0)+IF(AND(IF('wk3'!E$5=Pat!$C$25,1,0),IF('wk3'!E21=Pat!B$27,1,0)),1,0)+IF(AND(IF('wk3'!F$5=Pat!$C$25,1,0),IF('wk3'!F21=Pat!B$27,1,0)),1,0)+IF(AND(IF('wk3'!G$5=Pat!$C$25,1,0),IF('wk3'!G21=Pat!B$27,1,0)),1,0)</f>
        <v>0</v>
      </c>
      <c r="G39" s="83">
        <f>IF(AND(IF('wk3'!C$5=Pat!$C$25,1,0),IF('wk3'!C21=Pat!C$27,1,0)),1,0)+IF(AND(IF('wk3'!D$5=Pat!$C$25,1,0),IF('wk3'!D21=Pat!C$27,1,0)),1,0)+IF(AND(IF('wk3'!E$5=Pat!$C$25,1,0),IF('wk3'!E21=Pat!C$27,1,0)),1,0)+IF(AND(IF('wk3'!F$5=Pat!$C$25,1,0),IF('wk3'!F21=Pat!C$27,1,0)),1,0)+IF(AND(IF('wk3'!G$5=Pat!$C$25,1,0),IF('wk3'!G21=Pat!C$27,1,0)),1,0)+IF(AND(IF('wk3'!H$5=Pat!$C$25,1,0),IF('wk3'!H21=Pat!C$27,1,0)),1,0)+IF(AND(IF('wk3'!B$5=Pat!$C$25,1,0),IF('wk3'!B21=Pat!C$27,1,0)),1,0)</f>
        <v>0</v>
      </c>
      <c r="H39" s="82">
        <f>IF(AND(IF('wk4'!B$5=Pat!$C$25,1,0),IF('wk4'!B21=Pat!B$27,1,0)),1,0)+IF(AND(IF('wk4'!C$5=Pat!$C$25,1,0),IF('wk4'!C21=Pat!B$27,1,0)),1,0)+IF(AND(IF('wk4'!D$5=Pat!$C$25,1,0),IF('wk4'!D21=Pat!B$27,1,0)),1,0)+IF(AND(IF('wk4'!E$5=Pat!$C$25,1,0),IF('wk4'!E21=Pat!B$27,1,0)),1,0)+IF(AND(IF('wk4'!F$5=Pat!$C$25,1,0),IF('wk4'!F21=Pat!B$27,1,0)),1,0)+IF(AND(IF('wk4'!G$5=Pat!$C$25,1,0),IF('wk4'!G21=Pat!B$27,1,0)),1,0)</f>
        <v>0</v>
      </c>
      <c r="I39" s="83">
        <f>IF(AND(IF('wk4'!C$5=Pat!$C$25,1,0),IF('wk4'!C21=Pat!C$27,1,0)),1,0)+IF(AND(IF('wk4'!D$5=Pat!$C$25,1,0),IF('wk4'!D21=Pat!C$27,1,0)),1,0)+IF(AND(IF('wk4'!E$5=Pat!$C$25,1,0),IF('wk4'!E21=Pat!C$27,1,0)),1,0)+IF(AND(IF('wk4'!F$5=Pat!$C$25,1,0),IF('wk4'!F21=Pat!C$27,1,0)),1,0)+IF(AND(IF('wk4'!G$5=Pat!$C$25,1,0),IF('wk4'!G21=Pat!C$27,1,0)),1,0)+IF(AND(IF('wk4'!H$5=Pat!$C$25,1,0),IF('wk4'!H21=Pat!C$27,1,0)),1,0)+IF(AND(IF('wk4'!B$5=Pat!$C$25,1,0),IF('wk4'!B21=Pat!C$27,1,0)),1,0)</f>
        <v>0</v>
      </c>
      <c r="J39" s="84">
        <f>IF(AND(IF('wk5'!B$5=Pat!$C$25,1,0),IF('wk5'!B21=Pat!B$27,1,0)),1,0)+IF(AND(IF('wk5'!C$5=Pat!$C$25,1,0),IF('wk5'!C21=Pat!B$27,1,0)),1,0)+IF(AND(IF('wk5'!D$5=Pat!$C$25,1,0),IF('wk5'!D21=Pat!B$27,1,0)),1,0)+IF(AND(IF('wk5'!E$5=Pat!$C$25,1,0),IF('wk5'!E21=Pat!B$27,1,0)),1,0)+IF(AND(IF('wk5'!F$5=Pat!$C$25,1,0),IF('wk5'!F21=Pat!B$27,1,0)),1,0)+IF(AND(IF('wk5'!G$5=Pat!$C$25,1,0),IF('wk5'!G21=Pat!B$27,1,0)),1,0)</f>
        <v>0</v>
      </c>
      <c r="K39" s="85">
        <f>IF(AND(IF('wk5'!C$5=Pat!$C$25,1,0),IF('wk5'!C21=Pat!C$27,1,0)),1,0)+IF(AND(IF('wk5'!D$5=Pat!$C$25,1,0),IF('wk5'!D21=Pat!C$27,1,0)),1,0)+IF(AND(IF('wk5'!E$5=Pat!$C$25,1,0),IF('wk5'!E21=Pat!C$27,1,0)),1,0)+IF(AND(IF('wk5'!F$5=Pat!$C$25,1,0),IF('wk5'!F21=Pat!C$27,1,0)),1,0)+IF(AND(IF('wk5'!G$5=Pat!$C$25,1,0),IF('wk5'!G21=Pat!C$27,1,0)),1,0)+IF(AND(IF('wk5'!H$5=Pat!$C$25,1,0),IF('wk5'!H21=Pat!C$27,1,0)),1,0)+IF(AND(IF('wk5'!B$5=Pat!$C$25,1,0),IF('wk5'!B21=Pat!C$27,1,0)),1,0)</f>
        <v>0</v>
      </c>
      <c r="L39" s="79"/>
      <c r="M39" s="79">
        <f t="shared" si="0"/>
        <v>0</v>
      </c>
      <c r="N39" s="81">
        <f t="shared" si="1"/>
        <v>0</v>
      </c>
    </row>
    <row r="40" spans="1:17" ht="13.5" thickBot="1">
      <c r="A40" s="78" t="str">
        <f>'Members Data'!A14</f>
        <v>Brownale</v>
      </c>
      <c r="B40" s="82">
        <f>IF(AND(IF('wk1'!B$5=Pat!$C$25,1,0),IF('wk1'!B22=Pat!B$27,1,0)),1,0)+IF(AND(IF('wk1'!D$5=Pat!$C$25,1,0),IF('wk1'!C22=Pat!B$27,1,0)),1,0)+IF(AND(IF('wk1'!D$5=Pat!$C$25,1,0),IF('wk1'!D22=Pat!B$27,1,0)),1,0)+IF(AND(IF('wk1'!E$5=Pat!$C$25,1,0),IF('wk1'!E22=Pat!B$27,1,0)),1,0)+IF(AND(IF('wk1'!F$5=Pat!$C$25,1,0),IF('wk1'!F22=Pat!B$27,1,0)),1,0)+IF(AND(IF('wk1'!G$5=Pat!$C$25,1,0),IF('wk1'!G22=Pat!B$27,1,0)),1,0)</f>
        <v>0</v>
      </c>
      <c r="C40" s="83">
        <f>IF(AND(IF('wk1'!D$5=Pat!$C$25,1,0),IF('wk1'!C22=Pat!C$27,1,0)),1,0)+IF(AND(IF('wk1'!D$5=Pat!$C$25,1,0),IF('wk1'!D22=Pat!C$27,1,0)),1,0)+IF(AND(IF('wk1'!E$5=Pat!$C$25,1,0),IF('wk1'!E22=Pat!C$27,1,0)),1,0)+IF(AND(IF('wk1'!F$5=Pat!$C$25,1,0),IF('wk1'!F22=Pat!C$27,1,0)),1,0)+IF(AND(IF('wk1'!G$5=Pat!$C$25,1,0),IF('wk1'!G22=Pat!C$27,1,0)),1,0)+IF(AND(IF('wk1'!H$5=Pat!$C$25,1,0),IF('wk1'!H22=Pat!C$27,1,0)),1,0)+IF(AND(IF('wk1'!B$5=Pat!$C$25,1,0),IF('wk1'!B22=Pat!C$27,1,0)),1,0)</f>
        <v>0</v>
      </c>
      <c r="D40" s="82">
        <f>IF(AND(IF('wk2'!B$5=Pat!$C$25,1,0),IF('wk2'!B22=Pat!B$27,1,0)),1,0)+IF(AND(IF('wk2'!C$5=Pat!$C$25,1,0),IF('wk2'!C22=Pat!B$27,1,0)),1,0)+IF(AND(IF('wk2'!D$5=Pat!$C$25,1,0),IF('wk2'!D22=Pat!B$27,1,0)),1,0)+IF(AND(IF('wk2'!E$5=Pat!$C$25,1,0),IF('wk2'!E22=Pat!B$27,1,0)),1,0)+IF(AND(IF('wk2'!F$5=Pat!$C$25,1,0),IF('wk2'!F22=Pat!B$27,1,0)),1,0)+IF(AND(IF('wk2'!G$5=Pat!$C$25,1,0),IF('wk2'!G22=Pat!B$27,1,0)),1,0)</f>
        <v>0</v>
      </c>
      <c r="E40" s="83">
        <f>IF(AND(IF('wk2'!C$5=Pat!$C$25,1,0),IF('wk2'!C22=Pat!C$27,1,0)),1,0)+IF(AND(IF('wk2'!D$5=Pat!$C$25,1,0),IF('wk2'!D22=Pat!C$27,1,0)),1,0)+IF(AND(IF('wk2'!E$5=Pat!$C$25,1,0),IF('wk2'!E22=Pat!C$27,1,0)),1,0)+IF(AND(IF('wk2'!F$5=Pat!$C$25,1,0),IF('wk2'!F22=Pat!C$27,1,0)),1,0)+IF(AND(IF('wk2'!G$5=Pat!$C$25,1,0),IF('wk2'!G22=Pat!C$27,1,0)),1,0)+IF(AND(IF('wk2'!H$5=Pat!$C$25,1,0),IF('wk2'!H22=Pat!C$27,1,0)),1,0)+IF(AND(IF('wk2'!B$5=Pat!$C$25,1,0),IF('wk2'!B22=Pat!C$27,1,0)),1,0)</f>
        <v>0</v>
      </c>
      <c r="F40" s="82">
        <f>IF(AND(IF('wk3'!B$5=Pat!$C$25,1,0),IF('wk3'!B22=Pat!B$27,1,0)),1,0)+IF(AND(IF('wk3'!C$5=Pat!$C$25,1,0),IF('wk3'!C22=Pat!B$27,1,0)),1,0)+IF(AND(IF('wk3'!D$5=Pat!$C$25,1,0),IF('wk3'!D22=Pat!B$27,1,0)),1,0)+IF(AND(IF('wk3'!E$5=Pat!$C$25,1,0),IF('wk3'!E22=Pat!B$27,1,0)),1,0)+IF(AND(IF('wk3'!F$5=Pat!$C$25,1,0),IF('wk3'!F22=Pat!B$27,1,0)),1,0)+IF(AND(IF('wk3'!G$5=Pat!$C$25,1,0),IF('wk3'!G22=Pat!B$27,1,0)),1,0)</f>
        <v>0</v>
      </c>
      <c r="G40" s="83">
        <f>IF(AND(IF('wk3'!C$5=Pat!$C$25,1,0),IF('wk3'!C22=Pat!C$27,1,0)),1,0)+IF(AND(IF('wk3'!D$5=Pat!$C$25,1,0),IF('wk3'!D22=Pat!C$27,1,0)),1,0)+IF(AND(IF('wk3'!E$5=Pat!$C$25,1,0),IF('wk3'!E22=Pat!C$27,1,0)),1,0)+IF(AND(IF('wk3'!F$5=Pat!$C$25,1,0),IF('wk3'!F22=Pat!C$27,1,0)),1,0)+IF(AND(IF('wk3'!G$5=Pat!$C$25,1,0),IF('wk3'!G22=Pat!C$27,1,0)),1,0)+IF(AND(IF('wk3'!H$5=Pat!$C$25,1,0),IF('wk3'!H22=Pat!C$27,1,0)),1,0)+IF(AND(IF('wk3'!B$5=Pat!$C$25,1,0),IF('wk3'!B22=Pat!C$27,1,0)),1,0)</f>
        <v>0</v>
      </c>
      <c r="H40" s="82">
        <f>IF(AND(IF('wk4'!B$5=Pat!$C$25,1,0),IF('wk4'!B22=Pat!B$27,1,0)),1,0)+IF(AND(IF('wk4'!C$5=Pat!$C$25,1,0),IF('wk4'!C22=Pat!B$27,1,0)),1,0)+IF(AND(IF('wk4'!D$5=Pat!$C$25,1,0),IF('wk4'!D22=Pat!B$27,1,0)),1,0)+IF(AND(IF('wk4'!E$5=Pat!$C$25,1,0),IF('wk4'!E22=Pat!B$27,1,0)),1,0)+IF(AND(IF('wk4'!F$5=Pat!$C$25,1,0),IF('wk4'!F22=Pat!B$27,1,0)),1,0)+IF(AND(IF('wk4'!G$5=Pat!$C$25,1,0),IF('wk4'!G22=Pat!B$27,1,0)),1,0)</f>
        <v>0</v>
      </c>
      <c r="I40" s="83">
        <f>IF(AND(IF('wk4'!C$5=Pat!$C$25,1,0),IF('wk4'!C22=Pat!C$27,1,0)),1,0)+IF(AND(IF('wk4'!D$5=Pat!$C$25,1,0),IF('wk4'!D22=Pat!C$27,1,0)),1,0)+IF(AND(IF('wk4'!E$5=Pat!$C$25,1,0),IF('wk4'!E22=Pat!C$27,1,0)),1,0)+IF(AND(IF('wk4'!F$5=Pat!$C$25,1,0),IF('wk4'!F22=Pat!C$27,1,0)),1,0)+IF(AND(IF('wk4'!G$5=Pat!$C$25,1,0),IF('wk4'!G22=Pat!C$27,1,0)),1,0)+IF(AND(IF('wk4'!H$5=Pat!$C$25,1,0),IF('wk4'!H22=Pat!C$27,1,0)),1,0)+IF(AND(IF('wk4'!B$5=Pat!$C$25,1,0),IF('wk4'!B22=Pat!C$27,1,0)),1,0)</f>
        <v>0</v>
      </c>
      <c r="J40" s="84">
        <f>IF(AND(IF('wk5'!B$5=Pat!$C$25,1,0),IF('wk5'!B22=Pat!B$27,1,0)),1,0)+IF(AND(IF('wk5'!C$5=Pat!$C$25,1,0),IF('wk5'!C22=Pat!B$27,1,0)),1,0)+IF(AND(IF('wk5'!D$5=Pat!$C$25,1,0),IF('wk5'!D22=Pat!B$27,1,0)),1,0)+IF(AND(IF('wk5'!E$5=Pat!$C$25,1,0),IF('wk5'!E22=Pat!B$27,1,0)),1,0)+IF(AND(IF('wk5'!F$5=Pat!$C$25,1,0),IF('wk5'!F22=Pat!B$27,1,0)),1,0)+IF(AND(IF('wk5'!G$5=Pat!$C$25,1,0),IF('wk5'!G22=Pat!B$27,1,0)),1,0)</f>
        <v>0</v>
      </c>
      <c r="K40" s="85">
        <f>IF(AND(IF('wk5'!C$5=Pat!$C$25,1,0),IF('wk5'!C22=Pat!C$27,1,0)),1,0)+IF(AND(IF('wk5'!D$5=Pat!$C$25,1,0),IF('wk5'!D22=Pat!C$27,1,0)),1,0)+IF(AND(IF('wk5'!E$5=Pat!$C$25,1,0),IF('wk5'!E22=Pat!C$27,1,0)),1,0)+IF(AND(IF('wk5'!F$5=Pat!$C$25,1,0),IF('wk5'!F22=Pat!C$27,1,0)),1,0)+IF(AND(IF('wk5'!G$5=Pat!$C$25,1,0),IF('wk5'!G22=Pat!C$27,1,0)),1,0)+IF(AND(IF('wk5'!H$5=Pat!$C$25,1,0),IF('wk5'!H22=Pat!C$27,1,0)),1,0)+IF(AND(IF('wk5'!B$5=Pat!$C$25,1,0),IF('wk5'!B22=Pat!C$27,1,0)),1,0)</f>
        <v>0</v>
      </c>
      <c r="L40" s="79"/>
      <c r="M40" s="79">
        <f t="shared" si="0"/>
        <v>0</v>
      </c>
      <c r="N40" s="81">
        <f t="shared" si="1"/>
        <v>0</v>
      </c>
    </row>
    <row r="41" spans="1:17" ht="13.5" thickBot="1">
      <c r="A41" s="78">
        <f>'Members Data'!A15</f>
        <v>0</v>
      </c>
      <c r="B41" s="82">
        <f>IF(AND(IF('wk1'!B$5=Pat!$C$25,1,0),IF('wk1'!B23=Pat!B$27,1,0)),1,0)+IF(AND(IF('wk1'!D$5=Pat!$C$25,1,0),IF('wk1'!C23=Pat!B$27,1,0)),1,0)+IF(AND(IF('wk1'!D$5=Pat!$C$25,1,0),IF('wk1'!D23=Pat!B$27,1,0)),1,0)+IF(AND(IF('wk1'!E$5=Pat!$C$25,1,0),IF('wk1'!E23=Pat!B$27,1,0)),1,0)+IF(AND(IF('wk1'!F$5=Pat!$C$25,1,0),IF('wk1'!F23=Pat!B$27,1,0)),1,0)+IF(AND(IF('wk1'!G$5=Pat!$C$25,1,0),IF('wk1'!G23=Pat!B$27,1,0)),1,0)</f>
        <v>0</v>
      </c>
      <c r="C41" s="83">
        <f>IF(AND(IF('wk1'!D$5=Pat!$C$25,1,0),IF('wk1'!C23=Pat!C$27,1,0)),1,0)+IF(AND(IF('wk1'!D$5=Pat!$C$25,1,0),IF('wk1'!D23=Pat!C$27,1,0)),1,0)+IF(AND(IF('wk1'!E$5=Pat!$C$25,1,0),IF('wk1'!E23=Pat!C$27,1,0)),1,0)+IF(AND(IF('wk1'!F$5=Pat!$C$25,1,0),IF('wk1'!F23=Pat!C$27,1,0)),1,0)+IF(AND(IF('wk1'!G$5=Pat!$C$25,1,0),IF('wk1'!G23=Pat!C$27,1,0)),1,0)+IF(AND(IF('wk1'!H$5=Pat!$C$25,1,0),IF('wk1'!H23=Pat!C$27,1,0)),1,0)+IF(AND(IF('wk1'!B$5=Pat!$C$25,1,0),IF('wk1'!B23=Pat!C$27,1,0)),1,0)</f>
        <v>0</v>
      </c>
      <c r="D41" s="82">
        <f>IF(AND(IF('wk2'!B$5=Pat!$C$25,1,0),IF('wk2'!B23=Pat!B$27,1,0)),1,0)+IF(AND(IF('wk2'!C$5=Pat!$C$25,1,0),IF('wk2'!C23=Pat!B$27,1,0)),1,0)+IF(AND(IF('wk2'!D$5=Pat!$C$25,1,0),IF('wk2'!D23=Pat!B$27,1,0)),1,0)+IF(AND(IF('wk2'!E$5=Pat!$C$25,1,0),IF('wk2'!E23=Pat!B$27,1,0)),1,0)+IF(AND(IF('wk2'!F$5=Pat!$C$25,1,0),IF('wk2'!F23=Pat!B$27,1,0)),1,0)+IF(AND(IF('wk2'!G$5=Pat!$C$25,1,0),IF('wk2'!G23=Pat!B$27,1,0)),1,0)</f>
        <v>0</v>
      </c>
      <c r="E41" s="83">
        <f>IF(AND(IF('wk2'!C$5=Pat!$C$25,1,0),IF('wk2'!C23=Pat!C$27,1,0)),1,0)+IF(AND(IF('wk2'!D$5=Pat!$C$25,1,0),IF('wk2'!D23=Pat!C$27,1,0)),1,0)+IF(AND(IF('wk2'!E$5=Pat!$C$25,1,0),IF('wk2'!E23=Pat!C$27,1,0)),1,0)+IF(AND(IF('wk2'!F$5=Pat!$C$25,1,0),IF('wk2'!F23=Pat!C$27,1,0)),1,0)+IF(AND(IF('wk2'!G$5=Pat!$C$25,1,0),IF('wk2'!G23=Pat!C$27,1,0)),1,0)+IF(AND(IF('wk2'!H$5=Pat!$C$25,1,0),IF('wk2'!H23=Pat!C$27,1,0)),1,0)+IF(AND(IF('wk2'!B$5=Pat!$C$25,1,0),IF('wk2'!B23=Pat!C$27,1,0)),1,0)</f>
        <v>0</v>
      </c>
      <c r="F41" s="82">
        <f>IF(AND(IF('wk3'!B$5=Pat!$C$25,1,0),IF('wk3'!B23=Pat!B$27,1,0)),1,0)+IF(AND(IF('wk3'!C$5=Pat!$C$25,1,0),IF('wk3'!C23=Pat!B$27,1,0)),1,0)+IF(AND(IF('wk3'!D$5=Pat!$C$25,1,0),IF('wk3'!D23=Pat!B$27,1,0)),1,0)+IF(AND(IF('wk3'!E$5=Pat!$C$25,1,0),IF('wk3'!E23=Pat!B$27,1,0)),1,0)+IF(AND(IF('wk3'!F$5=Pat!$C$25,1,0),IF('wk3'!F23=Pat!B$27,1,0)),1,0)+IF(AND(IF('wk3'!G$5=Pat!$C$25,1,0),IF('wk3'!G23=Pat!B$27,1,0)),1,0)</f>
        <v>0</v>
      </c>
      <c r="G41" s="83">
        <f>IF(AND(IF('wk3'!C$5=Pat!$C$25,1,0),IF('wk3'!C23=Pat!C$27,1,0)),1,0)+IF(AND(IF('wk3'!D$5=Pat!$C$25,1,0),IF('wk3'!D23=Pat!C$27,1,0)),1,0)+IF(AND(IF('wk3'!E$5=Pat!$C$25,1,0),IF('wk3'!E23=Pat!C$27,1,0)),1,0)+IF(AND(IF('wk3'!F$5=Pat!$C$25,1,0),IF('wk3'!F23=Pat!C$27,1,0)),1,0)+IF(AND(IF('wk3'!G$5=Pat!$C$25,1,0),IF('wk3'!G23=Pat!C$27,1,0)),1,0)+IF(AND(IF('wk3'!H$5=Pat!$C$25,1,0),IF('wk3'!H23=Pat!C$27,1,0)),1,0)+IF(AND(IF('wk3'!B$5=Pat!$C$25,1,0),IF('wk3'!B23=Pat!C$27,1,0)),1,0)</f>
        <v>0</v>
      </c>
      <c r="H41" s="82">
        <f>IF(AND(IF('wk4'!B$5=Pat!$C$25,1,0),IF('wk4'!B23=Pat!B$27,1,0)),1,0)+IF(AND(IF('wk4'!C$5=Pat!$C$25,1,0),IF('wk4'!C23=Pat!B$27,1,0)),1,0)+IF(AND(IF('wk4'!D$5=Pat!$C$25,1,0),IF('wk4'!D23=Pat!B$27,1,0)),1,0)+IF(AND(IF('wk4'!E$5=Pat!$C$25,1,0),IF('wk4'!E23=Pat!B$27,1,0)),1,0)+IF(AND(IF('wk4'!F$5=Pat!$C$25,1,0),IF('wk4'!F23=Pat!B$27,1,0)),1,0)+IF(AND(IF('wk4'!G$5=Pat!$C$25,1,0),IF('wk4'!G23=Pat!B$27,1,0)),1,0)</f>
        <v>0</v>
      </c>
      <c r="I41" s="83">
        <f>IF(AND(IF('wk4'!C$5=Pat!$C$25,1,0),IF('wk4'!C23=Pat!C$27,1,0)),1,0)+IF(AND(IF('wk4'!D$5=Pat!$C$25,1,0),IF('wk4'!D23=Pat!C$27,1,0)),1,0)+IF(AND(IF('wk4'!E$5=Pat!$C$25,1,0),IF('wk4'!E23=Pat!C$27,1,0)),1,0)+IF(AND(IF('wk4'!F$5=Pat!$C$25,1,0),IF('wk4'!F23=Pat!C$27,1,0)),1,0)+IF(AND(IF('wk4'!G$5=Pat!$C$25,1,0),IF('wk4'!G23=Pat!C$27,1,0)),1,0)+IF(AND(IF('wk4'!H$5=Pat!$C$25,1,0),IF('wk4'!H23=Pat!C$27,1,0)),1,0)+IF(AND(IF('wk4'!B$5=Pat!$C$25,1,0),IF('wk4'!B23=Pat!C$27,1,0)),1,0)</f>
        <v>0</v>
      </c>
      <c r="J41" s="84">
        <f>IF(AND(IF('wk5'!B$5=Pat!$C$25,1,0),IF('wk5'!B23=Pat!B$27,1,0)),1,0)+IF(AND(IF('wk5'!C$5=Pat!$C$25,1,0),IF('wk5'!C23=Pat!B$27,1,0)),1,0)+IF(AND(IF('wk5'!D$5=Pat!$C$25,1,0),IF('wk5'!D23=Pat!B$27,1,0)),1,0)+IF(AND(IF('wk5'!E$5=Pat!$C$25,1,0),IF('wk5'!E23=Pat!B$27,1,0)),1,0)+IF(AND(IF('wk5'!F$5=Pat!$C$25,1,0),IF('wk5'!F23=Pat!B$27,1,0)),1,0)+IF(AND(IF('wk5'!G$5=Pat!$C$25,1,0),IF('wk5'!G23=Pat!B$27,1,0)),1,0)</f>
        <v>0</v>
      </c>
      <c r="K41" s="85">
        <f>IF(AND(IF('wk5'!C$5=Pat!$C$25,1,0),IF('wk5'!C23=Pat!C$27,1,0)),1,0)+IF(AND(IF('wk5'!D$5=Pat!$C$25,1,0),IF('wk5'!D23=Pat!C$27,1,0)),1,0)+IF(AND(IF('wk5'!E$5=Pat!$C$25,1,0),IF('wk5'!E23=Pat!C$27,1,0)),1,0)+IF(AND(IF('wk5'!F$5=Pat!$C$25,1,0),IF('wk5'!F23=Pat!C$27,1,0)),1,0)+IF(AND(IF('wk5'!G$5=Pat!$C$25,1,0),IF('wk5'!G23=Pat!C$27,1,0)),1,0)+IF(AND(IF('wk5'!H$5=Pat!$C$25,1,0),IF('wk5'!H23=Pat!C$27,1,0)),1,0)+IF(AND(IF('wk5'!B$5=Pat!$C$25,1,0),IF('wk5'!B23=Pat!C$27,1,0)),1,0)</f>
        <v>0</v>
      </c>
      <c r="L41" s="79"/>
      <c r="M41" s="79">
        <f t="shared" si="0"/>
        <v>0</v>
      </c>
      <c r="N41" s="81">
        <f t="shared" si="1"/>
        <v>0</v>
      </c>
    </row>
    <row r="42" spans="1:17" ht="13.5" thickBot="1">
      <c r="A42" s="78" t="str">
        <f>'Members Data'!A16</f>
        <v>Masher</v>
      </c>
      <c r="B42" s="82">
        <f>IF(AND(IF('wk1'!B$5=Pat!$C$25,1,0),IF('wk1'!B24=Pat!B$27,1,0)),1,0)+IF(AND(IF('wk1'!D$5=Pat!$C$25,1,0),IF('wk1'!C24=Pat!B$27,1,0)),1,0)+IF(AND(IF('wk1'!D$5=Pat!$C$25,1,0),IF('wk1'!D24=Pat!B$27,1,0)),1,0)+IF(AND(IF('wk1'!E$5=Pat!$C$25,1,0),IF('wk1'!E24=Pat!B$27,1,0)),1,0)+IF(AND(IF('wk1'!F$5=Pat!$C$25,1,0),IF('wk1'!F24=Pat!B$27,1,0)),1,0)+IF(AND(IF('wk1'!G$5=Pat!$C$25,1,0),IF('wk1'!G24=Pat!B$27,1,0)),1,0)</f>
        <v>0</v>
      </c>
      <c r="C42" s="83">
        <f>IF(AND(IF('wk1'!D$5=Pat!$C$25,1,0),IF('wk1'!C24=Pat!C$27,1,0)),1,0)+IF(AND(IF('wk1'!D$5=Pat!$C$25,1,0),IF('wk1'!D24=Pat!C$27,1,0)),1,0)+IF(AND(IF('wk1'!E$5=Pat!$C$25,1,0),IF('wk1'!E24=Pat!C$27,1,0)),1,0)+IF(AND(IF('wk1'!F$5=Pat!$C$25,1,0),IF('wk1'!F24=Pat!C$27,1,0)),1,0)+IF(AND(IF('wk1'!G$5=Pat!$C$25,1,0),IF('wk1'!G24=Pat!C$27,1,0)),1,0)+IF(AND(IF('wk1'!H$5=Pat!$C$25,1,0),IF('wk1'!H24=Pat!C$27,1,0)),1,0)+IF(AND(IF('wk1'!B$5=Pat!$C$25,1,0),IF('wk1'!B24=Pat!C$27,1,0)),1,0)</f>
        <v>0</v>
      </c>
      <c r="D42" s="82">
        <f>IF(AND(IF('wk2'!B$5=Pat!$C$25,1,0),IF('wk2'!B24=Pat!B$27,1,0)),1,0)+IF(AND(IF('wk2'!C$5=Pat!$C$25,1,0),IF('wk2'!C24=Pat!B$27,1,0)),1,0)+IF(AND(IF('wk2'!D$5=Pat!$C$25,1,0),IF('wk2'!D24=Pat!B$27,1,0)),1,0)+IF(AND(IF('wk2'!E$5=Pat!$C$25,1,0),IF('wk2'!E24=Pat!B$27,1,0)),1,0)+IF(AND(IF('wk2'!F$5=Pat!$C$25,1,0),IF('wk2'!F24=Pat!B$27,1,0)),1,0)+IF(AND(IF('wk2'!G$5=Pat!$C$25,1,0),IF('wk2'!G24=Pat!B$27,1,0)),1,0)</f>
        <v>0</v>
      </c>
      <c r="E42" s="83">
        <f>IF(AND(IF('wk2'!C$5=Pat!$C$25,1,0),IF('wk2'!C24=Pat!C$27,1,0)),1,0)+IF(AND(IF('wk2'!D$5=Pat!$C$25,1,0),IF('wk2'!D24=Pat!C$27,1,0)),1,0)+IF(AND(IF('wk2'!E$5=Pat!$C$25,1,0),IF('wk2'!E24=Pat!C$27,1,0)),1,0)+IF(AND(IF('wk2'!F$5=Pat!$C$25,1,0),IF('wk2'!F24=Pat!C$27,1,0)),1,0)+IF(AND(IF('wk2'!G$5=Pat!$C$25,1,0),IF('wk2'!G24=Pat!C$27,1,0)),1,0)+IF(AND(IF('wk2'!H$5=Pat!$C$25,1,0),IF('wk2'!H24=Pat!C$27,1,0)),1,0)+IF(AND(IF('wk2'!B$5=Pat!$C$25,1,0),IF('wk2'!B24=Pat!C$27,1,0)),1,0)</f>
        <v>0</v>
      </c>
      <c r="F42" s="82">
        <f>IF(AND(IF('wk3'!B$5=Pat!$C$25,1,0),IF('wk3'!B24=Pat!B$27,1,0)),1,0)+IF(AND(IF('wk3'!C$5=Pat!$C$25,1,0),IF('wk3'!C24=Pat!B$27,1,0)),1,0)+IF(AND(IF('wk3'!D$5=Pat!$C$25,1,0),IF('wk3'!D24=Pat!B$27,1,0)),1,0)+IF(AND(IF('wk3'!E$5=Pat!$C$25,1,0),IF('wk3'!E24=Pat!B$27,1,0)),1,0)+IF(AND(IF('wk3'!F$5=Pat!$C$25,1,0),IF('wk3'!F24=Pat!B$27,1,0)),1,0)+IF(AND(IF('wk3'!G$5=Pat!$C$25,1,0),IF('wk3'!G24=Pat!B$27,1,0)),1,0)</f>
        <v>0</v>
      </c>
      <c r="G42" s="83">
        <f>IF(AND(IF('wk3'!C$5=Pat!$C$25,1,0),IF('wk3'!C24=Pat!C$27,1,0)),1,0)+IF(AND(IF('wk3'!D$5=Pat!$C$25,1,0),IF('wk3'!D24=Pat!C$27,1,0)),1,0)+IF(AND(IF('wk3'!E$5=Pat!$C$25,1,0),IF('wk3'!E24=Pat!C$27,1,0)),1,0)+IF(AND(IF('wk3'!F$5=Pat!$C$25,1,0),IF('wk3'!F24=Pat!C$27,1,0)),1,0)+IF(AND(IF('wk3'!G$5=Pat!$C$25,1,0),IF('wk3'!G24=Pat!C$27,1,0)),1,0)+IF(AND(IF('wk3'!H$5=Pat!$C$25,1,0),IF('wk3'!H24=Pat!C$27,1,0)),1,0)+IF(AND(IF('wk3'!B$5=Pat!$C$25,1,0),IF('wk3'!B24=Pat!C$27,1,0)),1,0)</f>
        <v>0</v>
      </c>
      <c r="H42" s="82">
        <f>IF(AND(IF('wk4'!B$5=Pat!$C$25,1,0),IF('wk4'!B24=Pat!B$27,1,0)),1,0)+IF(AND(IF('wk4'!C$5=Pat!$C$25,1,0),IF('wk4'!C24=Pat!B$27,1,0)),1,0)+IF(AND(IF('wk4'!D$5=Pat!$C$25,1,0),IF('wk4'!D24=Pat!B$27,1,0)),1,0)+IF(AND(IF('wk4'!E$5=Pat!$C$25,1,0),IF('wk4'!E24=Pat!B$27,1,0)),1,0)+IF(AND(IF('wk4'!F$5=Pat!$C$25,1,0),IF('wk4'!F24=Pat!B$27,1,0)),1,0)+IF(AND(IF('wk4'!G$5=Pat!$C$25,1,0),IF('wk4'!G24=Pat!B$27,1,0)),1,0)</f>
        <v>0</v>
      </c>
      <c r="I42" s="83">
        <f>IF(AND(IF('wk4'!C$5=Pat!$C$25,1,0),IF('wk4'!C24=Pat!C$27,1,0)),1,0)+IF(AND(IF('wk4'!D$5=Pat!$C$25,1,0),IF('wk4'!D24=Pat!C$27,1,0)),1,0)+IF(AND(IF('wk4'!E$5=Pat!$C$25,1,0),IF('wk4'!E24=Pat!C$27,1,0)),1,0)+IF(AND(IF('wk4'!F$5=Pat!$C$25,1,0),IF('wk4'!F24=Pat!C$27,1,0)),1,0)+IF(AND(IF('wk4'!G$5=Pat!$C$25,1,0),IF('wk4'!G24=Pat!C$27,1,0)),1,0)+IF(AND(IF('wk4'!H$5=Pat!$C$25,1,0),IF('wk4'!H24=Pat!C$27,1,0)),1,0)+IF(AND(IF('wk4'!B$5=Pat!$C$25,1,0),IF('wk4'!B24=Pat!C$27,1,0)),1,0)</f>
        <v>0</v>
      </c>
      <c r="J42" s="84">
        <f>IF(AND(IF('wk5'!B$5=Pat!$C$25,1,0),IF('wk5'!B24=Pat!B$27,1,0)),1,0)+IF(AND(IF('wk5'!C$5=Pat!$C$25,1,0),IF('wk5'!C24=Pat!B$27,1,0)),1,0)+IF(AND(IF('wk5'!D$5=Pat!$C$25,1,0),IF('wk5'!D24=Pat!B$27,1,0)),1,0)+IF(AND(IF('wk5'!E$5=Pat!$C$25,1,0),IF('wk5'!E24=Pat!B$27,1,0)),1,0)+IF(AND(IF('wk5'!F$5=Pat!$C$25,1,0),IF('wk5'!F24=Pat!B$27,1,0)),1,0)+IF(AND(IF('wk5'!G$5=Pat!$C$25,1,0),IF('wk5'!G24=Pat!B$27,1,0)),1,0)</f>
        <v>0</v>
      </c>
      <c r="K42" s="85">
        <f>IF(AND(IF('wk5'!C$5=Pat!$C$25,1,0),IF('wk5'!C24=Pat!C$27,1,0)),1,0)+IF(AND(IF('wk5'!D$5=Pat!$C$25,1,0),IF('wk5'!D24=Pat!C$27,1,0)),1,0)+IF(AND(IF('wk5'!E$5=Pat!$C$25,1,0),IF('wk5'!E24=Pat!C$27,1,0)),1,0)+IF(AND(IF('wk5'!F$5=Pat!$C$25,1,0),IF('wk5'!F24=Pat!C$27,1,0)),1,0)+IF(AND(IF('wk5'!G$5=Pat!$C$25,1,0),IF('wk5'!G24=Pat!C$27,1,0)),1,0)+IF(AND(IF('wk5'!H$5=Pat!$C$25,1,0),IF('wk5'!H24=Pat!C$27,1,0)),1,0)+IF(AND(IF('wk5'!B$5=Pat!$C$25,1,0),IF('wk5'!B24=Pat!C$27,1,0)),1,0)</f>
        <v>0</v>
      </c>
      <c r="L42" s="79"/>
      <c r="M42" s="79">
        <f t="shared" si="0"/>
        <v>0</v>
      </c>
      <c r="N42" s="81">
        <f t="shared" si="1"/>
        <v>0</v>
      </c>
    </row>
    <row r="43" spans="1:17" ht="13.5" thickBot="1">
      <c r="A43" s="78" t="str">
        <f>'Members Data'!A17</f>
        <v>Dottiee</v>
      </c>
      <c r="B43" s="82">
        <f>IF(AND(IF('wk1'!B$5=Pat!$C$25,1,0),IF('wk1'!B25=Pat!B$27,1,0)),1,0)+IF(AND(IF('wk1'!D$5=Pat!$C$25,1,0),IF('wk1'!C25=Pat!B$27,1,0)),1,0)+IF(AND(IF('wk1'!D$5=Pat!$C$25,1,0),IF('wk1'!D25=Pat!B$27,1,0)),1,0)+IF(AND(IF('wk1'!E$5=Pat!$C$25,1,0),IF('wk1'!E25=Pat!B$27,1,0)),1,0)+IF(AND(IF('wk1'!F$5=Pat!$C$25,1,0),IF('wk1'!F25=Pat!B$27,1,0)),1,0)+IF(AND(IF('wk1'!G$5=Pat!$C$25,1,0),IF('wk1'!G25=Pat!B$27,1,0)),1,0)</f>
        <v>0</v>
      </c>
      <c r="C43" s="83">
        <f>IF(AND(IF('wk1'!D$5=Pat!$C$25,1,0),IF('wk1'!C25=Pat!C$27,1,0)),1,0)+IF(AND(IF('wk1'!D$5=Pat!$C$25,1,0),IF('wk1'!D25=Pat!C$27,1,0)),1,0)+IF(AND(IF('wk1'!E$5=Pat!$C$25,1,0),IF('wk1'!E25=Pat!C$27,1,0)),1,0)+IF(AND(IF('wk1'!F$5=Pat!$C$25,1,0),IF('wk1'!F25=Pat!C$27,1,0)),1,0)+IF(AND(IF('wk1'!G$5=Pat!$C$25,1,0),IF('wk1'!G25=Pat!C$27,1,0)),1,0)+IF(AND(IF('wk1'!H$5=Pat!$C$25,1,0),IF('wk1'!H25=Pat!C$27,1,0)),1,0)+IF(AND(IF('wk1'!B$5=Pat!$C$25,1,0),IF('wk1'!B25=Pat!C$27,1,0)),1,0)</f>
        <v>0</v>
      </c>
      <c r="D43" s="82">
        <f>IF(AND(IF('wk2'!B$5=Pat!$C$25,1,0),IF('wk2'!B25=Pat!B$27,1,0)),1,0)+IF(AND(IF('wk2'!C$5=Pat!$C$25,1,0),IF('wk2'!C25=Pat!B$27,1,0)),1,0)+IF(AND(IF('wk2'!D$5=Pat!$C$25,1,0),IF('wk2'!D25=Pat!B$27,1,0)),1,0)+IF(AND(IF('wk2'!E$5=Pat!$C$25,1,0),IF('wk2'!E25=Pat!B$27,1,0)),1,0)+IF(AND(IF('wk2'!F$5=Pat!$C$25,1,0),IF('wk2'!F25=Pat!B$27,1,0)),1,0)+IF(AND(IF('wk2'!G$5=Pat!$C$25,1,0),IF('wk2'!G25=Pat!B$27,1,0)),1,0)</f>
        <v>0</v>
      </c>
      <c r="E43" s="83">
        <f>IF(AND(IF('wk2'!C$5=Pat!$C$25,1,0),IF('wk2'!C25=Pat!C$27,1,0)),1,0)+IF(AND(IF('wk2'!D$5=Pat!$C$25,1,0),IF('wk2'!D25=Pat!C$27,1,0)),1,0)+IF(AND(IF('wk2'!E$5=Pat!$C$25,1,0),IF('wk2'!E25=Pat!C$27,1,0)),1,0)+IF(AND(IF('wk2'!F$5=Pat!$C$25,1,0),IF('wk2'!F25=Pat!C$27,1,0)),1,0)+IF(AND(IF('wk2'!G$5=Pat!$C$25,1,0),IF('wk2'!G25=Pat!C$27,1,0)),1,0)+IF(AND(IF('wk2'!H$5=Pat!$C$25,1,0),IF('wk2'!H25=Pat!C$27,1,0)),1,0)+IF(AND(IF('wk2'!B$5=Pat!$C$25,1,0),IF('wk2'!B25=Pat!C$27,1,0)),1,0)</f>
        <v>0</v>
      </c>
      <c r="F43" s="82">
        <f>IF(AND(IF('wk3'!B$5=Pat!$C$25,1,0),IF('wk3'!B25=Pat!B$27,1,0)),1,0)+IF(AND(IF('wk3'!C$5=Pat!$C$25,1,0),IF('wk3'!C25=Pat!B$27,1,0)),1,0)+IF(AND(IF('wk3'!D$5=Pat!$C$25,1,0),IF('wk3'!D25=Pat!B$27,1,0)),1,0)+IF(AND(IF('wk3'!E$5=Pat!$C$25,1,0),IF('wk3'!E25=Pat!B$27,1,0)),1,0)+IF(AND(IF('wk3'!F$5=Pat!$C$25,1,0),IF('wk3'!F25=Pat!B$27,1,0)),1,0)+IF(AND(IF('wk3'!G$5=Pat!$C$25,1,0),IF('wk3'!G25=Pat!B$27,1,0)),1,0)</f>
        <v>0</v>
      </c>
      <c r="G43" s="83">
        <f>IF(AND(IF('wk3'!C$5=Pat!$C$25,1,0),IF('wk3'!C25=Pat!C$27,1,0)),1,0)+IF(AND(IF('wk3'!D$5=Pat!$C$25,1,0),IF('wk3'!D25=Pat!C$27,1,0)),1,0)+IF(AND(IF('wk3'!E$5=Pat!$C$25,1,0),IF('wk3'!E25=Pat!C$27,1,0)),1,0)+IF(AND(IF('wk3'!F$5=Pat!$C$25,1,0),IF('wk3'!F25=Pat!C$27,1,0)),1,0)+IF(AND(IF('wk3'!G$5=Pat!$C$25,1,0),IF('wk3'!G25=Pat!C$27,1,0)),1,0)+IF(AND(IF('wk3'!H$5=Pat!$C$25,1,0),IF('wk3'!H25=Pat!C$27,1,0)),1,0)+IF(AND(IF('wk3'!B$5=Pat!$C$25,1,0),IF('wk3'!B25=Pat!C$27,1,0)),1,0)</f>
        <v>0</v>
      </c>
      <c r="H43" s="82">
        <f>IF(AND(IF('wk4'!B$5=Pat!$C$25,1,0),IF('wk4'!B25=Pat!B$27,1,0)),1,0)+IF(AND(IF('wk4'!C$5=Pat!$C$25,1,0),IF('wk4'!C25=Pat!B$27,1,0)),1,0)+IF(AND(IF('wk4'!D$5=Pat!$C$25,1,0),IF('wk4'!D25=Pat!B$27,1,0)),1,0)+IF(AND(IF('wk4'!E$5=Pat!$C$25,1,0),IF('wk4'!E25=Pat!B$27,1,0)),1,0)+IF(AND(IF('wk4'!F$5=Pat!$C$25,1,0),IF('wk4'!F25=Pat!B$27,1,0)),1,0)+IF(AND(IF('wk4'!G$5=Pat!$C$25,1,0),IF('wk4'!G25=Pat!B$27,1,0)),1,0)</f>
        <v>0</v>
      </c>
      <c r="I43" s="83">
        <f>IF(AND(IF('wk4'!C$5=Pat!$C$25,1,0),IF('wk4'!C25=Pat!C$27,1,0)),1,0)+IF(AND(IF('wk4'!D$5=Pat!$C$25,1,0),IF('wk4'!D25=Pat!C$27,1,0)),1,0)+IF(AND(IF('wk4'!E$5=Pat!$C$25,1,0),IF('wk4'!E25=Pat!C$27,1,0)),1,0)+IF(AND(IF('wk4'!F$5=Pat!$C$25,1,0),IF('wk4'!F25=Pat!C$27,1,0)),1,0)+IF(AND(IF('wk4'!G$5=Pat!$C$25,1,0),IF('wk4'!G25=Pat!C$27,1,0)),1,0)+IF(AND(IF('wk4'!H$5=Pat!$C$25,1,0),IF('wk4'!H25=Pat!C$27,1,0)),1,0)+IF(AND(IF('wk4'!B$5=Pat!$C$25,1,0),IF('wk4'!B25=Pat!C$27,1,0)),1,0)</f>
        <v>0</v>
      </c>
      <c r="J43" s="84">
        <f>IF(AND(IF('wk5'!B$5=Pat!$C$25,1,0),IF('wk5'!B25=Pat!B$27,1,0)),1,0)+IF(AND(IF('wk5'!C$5=Pat!$C$25,1,0),IF('wk5'!C25=Pat!B$27,1,0)),1,0)+IF(AND(IF('wk5'!D$5=Pat!$C$25,1,0),IF('wk5'!D25=Pat!B$27,1,0)),1,0)+IF(AND(IF('wk5'!E$5=Pat!$C$25,1,0),IF('wk5'!E25=Pat!B$27,1,0)),1,0)+IF(AND(IF('wk5'!F$5=Pat!$C$25,1,0),IF('wk5'!F25=Pat!B$27,1,0)),1,0)+IF(AND(IF('wk5'!G$5=Pat!$C$25,1,0),IF('wk5'!G25=Pat!B$27,1,0)),1,0)</f>
        <v>0</v>
      </c>
      <c r="K43" s="85">
        <f>IF(AND(IF('wk5'!C$5=Pat!$C$25,1,0),IF('wk5'!C25=Pat!C$27,1,0)),1,0)+IF(AND(IF('wk5'!D$5=Pat!$C$25,1,0),IF('wk5'!D25=Pat!C$27,1,0)),1,0)+IF(AND(IF('wk5'!E$5=Pat!$C$25,1,0),IF('wk5'!E25=Pat!C$27,1,0)),1,0)+IF(AND(IF('wk5'!F$5=Pat!$C$25,1,0),IF('wk5'!F25=Pat!C$27,1,0)),1,0)+IF(AND(IF('wk5'!G$5=Pat!$C$25,1,0),IF('wk5'!G25=Pat!C$27,1,0)),1,0)+IF(AND(IF('wk5'!H$5=Pat!$C$25,1,0),IF('wk5'!H25=Pat!C$27,1,0)),1,0)+IF(AND(IF('wk5'!B$5=Pat!$C$25,1,0),IF('wk5'!B25=Pat!C$27,1,0)),1,0)</f>
        <v>0</v>
      </c>
      <c r="L43" s="79"/>
      <c r="M43" s="79">
        <f t="shared" si="0"/>
        <v>0</v>
      </c>
      <c r="N43" s="81">
        <f t="shared" si="1"/>
        <v>0</v>
      </c>
    </row>
    <row r="44" spans="1:17" ht="13.5" thickBot="1">
      <c r="A44" s="78" t="str">
        <f>'Members Data'!A18</f>
        <v>Dracoar</v>
      </c>
      <c r="B44" s="82">
        <f>IF(AND(IF('wk1'!B$5=Pat!$C$25,1,0),IF('wk1'!B26=Pat!B$27,1,0)),1,0)+IF(AND(IF('wk1'!D$5=Pat!$C$25,1,0),IF('wk1'!C26=Pat!B$27,1,0)),1,0)+IF(AND(IF('wk1'!D$5=Pat!$C$25,1,0),IF('wk1'!D26=Pat!B$27,1,0)),1,0)+IF(AND(IF('wk1'!E$5=Pat!$C$25,1,0),IF('wk1'!E26=Pat!B$27,1,0)),1,0)+IF(AND(IF('wk1'!F$5=Pat!$C$25,1,0),IF('wk1'!F26=Pat!B$27,1,0)),1,0)+IF(AND(IF('wk1'!G$5=Pat!$C$25,1,0),IF('wk1'!G26=Pat!B$27,1,0)),1,0)</f>
        <v>0</v>
      </c>
      <c r="C44" s="83">
        <f>IF(AND(IF('wk1'!D$5=Pat!$C$25,1,0),IF('wk1'!C26=Pat!C$27,1,0)),1,0)+IF(AND(IF('wk1'!D$5=Pat!$C$25,1,0),IF('wk1'!D26=Pat!C$27,1,0)),1,0)+IF(AND(IF('wk1'!E$5=Pat!$C$25,1,0),IF('wk1'!E26=Pat!C$27,1,0)),1,0)+IF(AND(IF('wk1'!F$5=Pat!$C$25,1,0),IF('wk1'!F26=Pat!C$27,1,0)),1,0)+IF(AND(IF('wk1'!G$5=Pat!$C$25,1,0),IF('wk1'!G26=Pat!C$27,1,0)),1,0)+IF(AND(IF('wk1'!H$5=Pat!$C$25,1,0),IF('wk1'!H26=Pat!C$27,1,0)),1,0)+IF(AND(IF('wk1'!B$5=Pat!$C$25,1,0),IF('wk1'!B26=Pat!C$27,1,0)),1,0)</f>
        <v>0</v>
      </c>
      <c r="D44" s="82">
        <f>IF(AND(IF('wk2'!B$5=Pat!$C$25,1,0),IF('wk2'!B26=Pat!B$27,1,0)),1,0)+IF(AND(IF('wk2'!C$5=Pat!$C$25,1,0),IF('wk2'!C26=Pat!B$27,1,0)),1,0)+IF(AND(IF('wk2'!D$5=Pat!$C$25,1,0),IF('wk2'!D26=Pat!B$27,1,0)),1,0)+IF(AND(IF('wk2'!E$5=Pat!$C$25,1,0),IF('wk2'!E26=Pat!B$27,1,0)),1,0)+IF(AND(IF('wk2'!F$5=Pat!$C$25,1,0),IF('wk2'!F26=Pat!B$27,1,0)),1,0)+IF(AND(IF('wk2'!G$5=Pat!$C$25,1,0),IF('wk2'!G26=Pat!B$27,1,0)),1,0)</f>
        <v>0</v>
      </c>
      <c r="E44" s="83">
        <f>IF(AND(IF('wk2'!C$5=Pat!$C$25,1,0),IF('wk2'!C26=Pat!C$27,1,0)),1,0)+IF(AND(IF('wk2'!D$5=Pat!$C$25,1,0),IF('wk2'!D26=Pat!C$27,1,0)),1,0)+IF(AND(IF('wk2'!E$5=Pat!$C$25,1,0),IF('wk2'!E26=Pat!C$27,1,0)),1,0)+IF(AND(IF('wk2'!F$5=Pat!$C$25,1,0),IF('wk2'!F26=Pat!C$27,1,0)),1,0)+IF(AND(IF('wk2'!G$5=Pat!$C$25,1,0),IF('wk2'!G26=Pat!C$27,1,0)),1,0)+IF(AND(IF('wk2'!H$5=Pat!$C$25,1,0),IF('wk2'!H26=Pat!C$27,1,0)),1,0)+IF(AND(IF('wk2'!B$5=Pat!$C$25,1,0),IF('wk2'!B26=Pat!C$27,1,0)),1,0)</f>
        <v>0</v>
      </c>
      <c r="F44" s="82">
        <f>IF(AND(IF('wk3'!B$5=Pat!$C$25,1,0),IF('wk3'!B26=Pat!B$27,1,0)),1,0)+IF(AND(IF('wk3'!C$5=Pat!$C$25,1,0),IF('wk3'!C26=Pat!B$27,1,0)),1,0)+IF(AND(IF('wk3'!D$5=Pat!$C$25,1,0),IF('wk3'!D26=Pat!B$27,1,0)),1,0)+IF(AND(IF('wk3'!E$5=Pat!$C$25,1,0),IF('wk3'!E26=Pat!B$27,1,0)),1,0)+IF(AND(IF('wk3'!F$5=Pat!$C$25,1,0),IF('wk3'!F26=Pat!B$27,1,0)),1,0)+IF(AND(IF('wk3'!G$5=Pat!$C$25,1,0),IF('wk3'!G26=Pat!B$27,1,0)),1,0)</f>
        <v>0</v>
      </c>
      <c r="G44" s="83">
        <f>IF(AND(IF('wk3'!C$5=Pat!$C$25,1,0),IF('wk3'!C26=Pat!C$27,1,0)),1,0)+IF(AND(IF('wk3'!D$5=Pat!$C$25,1,0),IF('wk3'!D26=Pat!C$27,1,0)),1,0)+IF(AND(IF('wk3'!E$5=Pat!$C$25,1,0),IF('wk3'!E26=Pat!C$27,1,0)),1,0)+IF(AND(IF('wk3'!F$5=Pat!$C$25,1,0),IF('wk3'!F26=Pat!C$27,1,0)),1,0)+IF(AND(IF('wk3'!G$5=Pat!$C$25,1,0),IF('wk3'!G26=Pat!C$27,1,0)),1,0)+IF(AND(IF('wk3'!H$5=Pat!$C$25,1,0),IF('wk3'!H26=Pat!C$27,1,0)),1,0)+IF(AND(IF('wk3'!B$5=Pat!$C$25,1,0),IF('wk3'!B26=Pat!C$27,1,0)),1,0)</f>
        <v>0</v>
      </c>
      <c r="H44" s="82">
        <f>IF(AND(IF('wk4'!B$5=Pat!$C$25,1,0),IF('wk4'!B26=Pat!B$27,1,0)),1,0)+IF(AND(IF('wk4'!C$5=Pat!$C$25,1,0),IF('wk4'!C26=Pat!B$27,1,0)),1,0)+IF(AND(IF('wk4'!D$5=Pat!$C$25,1,0),IF('wk4'!D26=Pat!B$27,1,0)),1,0)+IF(AND(IF('wk4'!E$5=Pat!$C$25,1,0),IF('wk4'!E26=Pat!B$27,1,0)),1,0)+IF(AND(IF('wk4'!F$5=Pat!$C$25,1,0),IF('wk4'!F26=Pat!B$27,1,0)),1,0)+IF(AND(IF('wk4'!G$5=Pat!$C$25,1,0),IF('wk4'!G26=Pat!B$27,1,0)),1,0)</f>
        <v>0</v>
      </c>
      <c r="I44" s="83">
        <f>IF(AND(IF('wk4'!C$5=Pat!$C$25,1,0),IF('wk4'!C26=Pat!C$27,1,0)),1,0)+IF(AND(IF('wk4'!D$5=Pat!$C$25,1,0),IF('wk4'!D26=Pat!C$27,1,0)),1,0)+IF(AND(IF('wk4'!E$5=Pat!$C$25,1,0),IF('wk4'!E26=Pat!C$27,1,0)),1,0)+IF(AND(IF('wk4'!F$5=Pat!$C$25,1,0),IF('wk4'!F26=Pat!C$27,1,0)),1,0)+IF(AND(IF('wk4'!G$5=Pat!$C$25,1,0),IF('wk4'!G26=Pat!C$27,1,0)),1,0)+IF(AND(IF('wk4'!H$5=Pat!$C$25,1,0),IF('wk4'!H26=Pat!C$27,1,0)),1,0)+IF(AND(IF('wk4'!B$5=Pat!$C$25,1,0),IF('wk4'!B26=Pat!C$27,1,0)),1,0)</f>
        <v>0</v>
      </c>
      <c r="J44" s="84">
        <f>IF(AND(IF('wk5'!B$5=Pat!$C$25,1,0),IF('wk5'!B26=Pat!B$27,1,0)),1,0)+IF(AND(IF('wk5'!C$5=Pat!$C$25,1,0),IF('wk5'!C26=Pat!B$27,1,0)),1,0)+IF(AND(IF('wk5'!D$5=Pat!$C$25,1,0),IF('wk5'!D26=Pat!B$27,1,0)),1,0)+IF(AND(IF('wk5'!E$5=Pat!$C$25,1,0),IF('wk5'!E26=Pat!B$27,1,0)),1,0)+IF(AND(IF('wk5'!F$5=Pat!$C$25,1,0),IF('wk5'!F26=Pat!B$27,1,0)),1,0)+IF(AND(IF('wk5'!G$5=Pat!$C$25,1,0),IF('wk5'!G26=Pat!B$27,1,0)),1,0)</f>
        <v>0</v>
      </c>
      <c r="K44" s="85">
        <f>IF(AND(IF('wk5'!C$5=Pat!$C$25,1,0),IF('wk5'!C26=Pat!C$27,1,0)),1,0)+IF(AND(IF('wk5'!D$5=Pat!$C$25,1,0),IF('wk5'!D26=Pat!C$27,1,0)),1,0)+IF(AND(IF('wk5'!E$5=Pat!$C$25,1,0),IF('wk5'!E26=Pat!C$27,1,0)),1,0)+IF(AND(IF('wk5'!F$5=Pat!$C$25,1,0),IF('wk5'!F26=Pat!C$27,1,0)),1,0)+IF(AND(IF('wk5'!G$5=Pat!$C$25,1,0),IF('wk5'!G26=Pat!C$27,1,0)),1,0)+IF(AND(IF('wk5'!H$5=Pat!$C$25,1,0),IF('wk5'!H26=Pat!C$27,1,0)),1,0)+IF(AND(IF('wk5'!B$5=Pat!$C$25,1,0),IF('wk5'!B26=Pat!C$27,1,0)),1,0)</f>
        <v>0</v>
      </c>
      <c r="L44" s="79"/>
      <c r="M44" s="79">
        <f t="shared" si="0"/>
        <v>0</v>
      </c>
      <c r="N44" s="81">
        <f t="shared" si="1"/>
        <v>0</v>
      </c>
    </row>
    <row r="45" spans="1:17" ht="13.5" thickBot="1">
      <c r="A45" s="78" t="str">
        <f>'Members Data'!A19</f>
        <v>Drakodin</v>
      </c>
      <c r="B45" s="82">
        <f>IF(AND(IF('wk1'!B$5=Pat!$C$25,1,0),IF('wk1'!B27=Pat!B$27,1,0)),1,0)+IF(AND(IF('wk1'!D$5=Pat!$C$25,1,0),IF('wk1'!C27=Pat!B$27,1,0)),1,0)+IF(AND(IF('wk1'!D$5=Pat!$C$25,1,0),IF('wk1'!D27=Pat!B$27,1,0)),1,0)+IF(AND(IF('wk1'!E$5=Pat!$C$25,1,0),IF('wk1'!E27=Pat!B$27,1,0)),1,0)+IF(AND(IF('wk1'!F$5=Pat!$C$25,1,0),IF('wk1'!F27=Pat!B$27,1,0)),1,0)+IF(AND(IF('wk1'!G$5=Pat!$C$25,1,0),IF('wk1'!G27=Pat!B$27,1,0)),1,0)</f>
        <v>0</v>
      </c>
      <c r="C45" s="83">
        <f>IF(AND(IF('wk1'!D$5=Pat!$C$25,1,0),IF('wk1'!C27=Pat!C$27,1,0)),1,0)+IF(AND(IF('wk1'!D$5=Pat!$C$25,1,0),IF('wk1'!D27=Pat!C$27,1,0)),1,0)+IF(AND(IF('wk1'!E$5=Pat!$C$25,1,0),IF('wk1'!E27=Pat!C$27,1,0)),1,0)+IF(AND(IF('wk1'!F$5=Pat!$C$25,1,0),IF('wk1'!F27=Pat!C$27,1,0)),1,0)+IF(AND(IF('wk1'!G$5=Pat!$C$25,1,0),IF('wk1'!G27=Pat!C$27,1,0)),1,0)+IF(AND(IF('wk1'!H$5=Pat!$C$25,1,0),IF('wk1'!H27=Pat!C$27,1,0)),1,0)+IF(AND(IF('wk1'!B$5=Pat!$C$25,1,0),IF('wk1'!B27=Pat!C$27,1,0)),1,0)</f>
        <v>0</v>
      </c>
      <c r="D45" s="82">
        <f>IF(AND(IF('wk2'!B$5=Pat!$C$25,1,0),IF('wk2'!B27=Pat!B$27,1,0)),1,0)+IF(AND(IF('wk2'!C$5=Pat!$C$25,1,0),IF('wk2'!C27=Pat!B$27,1,0)),1,0)+IF(AND(IF('wk2'!D$5=Pat!$C$25,1,0),IF('wk2'!D27=Pat!B$27,1,0)),1,0)+IF(AND(IF('wk2'!E$5=Pat!$C$25,1,0),IF('wk2'!E27=Pat!B$27,1,0)),1,0)+IF(AND(IF('wk2'!F$5=Pat!$C$25,1,0),IF('wk2'!F27=Pat!B$27,1,0)),1,0)+IF(AND(IF('wk2'!G$5=Pat!$C$25,1,0),IF('wk2'!G27=Pat!B$27,1,0)),1,0)</f>
        <v>0</v>
      </c>
      <c r="E45" s="83">
        <f>IF(AND(IF('wk2'!C$5=Pat!$C$25,1,0),IF('wk2'!C27=Pat!C$27,1,0)),1,0)+IF(AND(IF('wk2'!D$5=Pat!$C$25,1,0),IF('wk2'!D27=Pat!C$27,1,0)),1,0)+IF(AND(IF('wk2'!E$5=Pat!$C$25,1,0),IF('wk2'!E27=Pat!C$27,1,0)),1,0)+IF(AND(IF('wk2'!F$5=Pat!$C$25,1,0),IF('wk2'!F27=Pat!C$27,1,0)),1,0)+IF(AND(IF('wk2'!G$5=Pat!$C$25,1,0),IF('wk2'!G27=Pat!C$27,1,0)),1,0)+IF(AND(IF('wk2'!H$5=Pat!$C$25,1,0),IF('wk2'!H27=Pat!C$27,1,0)),1,0)+IF(AND(IF('wk2'!B$5=Pat!$C$25,1,0),IF('wk2'!B27=Pat!C$27,1,0)),1,0)</f>
        <v>0</v>
      </c>
      <c r="F45" s="82">
        <f>IF(AND(IF('wk3'!B$5=Pat!$C$25,1,0),IF('wk3'!B27=Pat!B$27,1,0)),1,0)+IF(AND(IF('wk3'!C$5=Pat!$C$25,1,0),IF('wk3'!C27=Pat!B$27,1,0)),1,0)+IF(AND(IF('wk3'!D$5=Pat!$C$25,1,0),IF('wk3'!D27=Pat!B$27,1,0)),1,0)+IF(AND(IF('wk3'!E$5=Pat!$C$25,1,0),IF('wk3'!E27=Pat!B$27,1,0)),1,0)+IF(AND(IF('wk3'!F$5=Pat!$C$25,1,0),IF('wk3'!F27=Pat!B$27,1,0)),1,0)+IF(AND(IF('wk3'!G$5=Pat!$C$25,1,0),IF('wk3'!G27=Pat!B$27,1,0)),1,0)</f>
        <v>0</v>
      </c>
      <c r="G45" s="83">
        <f>IF(AND(IF('wk3'!C$5=Pat!$C$25,1,0),IF('wk3'!C27=Pat!C$27,1,0)),1,0)+IF(AND(IF('wk3'!D$5=Pat!$C$25,1,0),IF('wk3'!D27=Pat!C$27,1,0)),1,0)+IF(AND(IF('wk3'!E$5=Pat!$C$25,1,0),IF('wk3'!E27=Pat!C$27,1,0)),1,0)+IF(AND(IF('wk3'!F$5=Pat!$C$25,1,0),IF('wk3'!F27=Pat!C$27,1,0)),1,0)+IF(AND(IF('wk3'!G$5=Pat!$C$25,1,0),IF('wk3'!G27=Pat!C$27,1,0)),1,0)+IF(AND(IF('wk3'!H$5=Pat!$C$25,1,0),IF('wk3'!H27=Pat!C$27,1,0)),1,0)+IF(AND(IF('wk3'!B$5=Pat!$C$25,1,0),IF('wk3'!B27=Pat!C$27,1,0)),1,0)</f>
        <v>0</v>
      </c>
      <c r="H45" s="82">
        <f>IF(AND(IF('wk4'!B$5=Pat!$C$25,1,0),IF('wk4'!B27=Pat!B$27,1,0)),1,0)+IF(AND(IF('wk4'!C$5=Pat!$C$25,1,0),IF('wk4'!C27=Pat!B$27,1,0)),1,0)+IF(AND(IF('wk4'!D$5=Pat!$C$25,1,0),IF('wk4'!D27=Pat!B$27,1,0)),1,0)+IF(AND(IF('wk4'!E$5=Pat!$C$25,1,0),IF('wk4'!E27=Pat!B$27,1,0)),1,0)+IF(AND(IF('wk4'!F$5=Pat!$C$25,1,0),IF('wk4'!F27=Pat!B$27,1,0)),1,0)+IF(AND(IF('wk4'!G$5=Pat!$C$25,1,0),IF('wk4'!G27=Pat!B$27,1,0)),1,0)</f>
        <v>0</v>
      </c>
      <c r="I45" s="83">
        <f>IF(AND(IF('wk4'!C$5=Pat!$C$25,1,0),IF('wk4'!C27=Pat!C$27,1,0)),1,0)+IF(AND(IF('wk4'!D$5=Pat!$C$25,1,0),IF('wk4'!D27=Pat!C$27,1,0)),1,0)+IF(AND(IF('wk4'!E$5=Pat!$C$25,1,0),IF('wk4'!E27=Pat!C$27,1,0)),1,0)+IF(AND(IF('wk4'!F$5=Pat!$C$25,1,0),IF('wk4'!F27=Pat!C$27,1,0)),1,0)+IF(AND(IF('wk4'!G$5=Pat!$C$25,1,0),IF('wk4'!G27=Pat!C$27,1,0)),1,0)+IF(AND(IF('wk4'!H$5=Pat!$C$25,1,0),IF('wk4'!H27=Pat!C$27,1,0)),1,0)+IF(AND(IF('wk4'!B$5=Pat!$C$25,1,0),IF('wk4'!B27=Pat!C$27,1,0)),1,0)</f>
        <v>0</v>
      </c>
      <c r="J45" s="84">
        <f>IF(AND(IF('wk5'!B$5=Pat!$C$25,1,0),IF('wk5'!B27=Pat!B$27,1,0)),1,0)+IF(AND(IF('wk5'!C$5=Pat!$C$25,1,0),IF('wk5'!C27=Pat!B$27,1,0)),1,0)+IF(AND(IF('wk5'!D$5=Pat!$C$25,1,0),IF('wk5'!D27=Pat!B$27,1,0)),1,0)+IF(AND(IF('wk5'!E$5=Pat!$C$25,1,0),IF('wk5'!E27=Pat!B$27,1,0)),1,0)+IF(AND(IF('wk5'!F$5=Pat!$C$25,1,0),IF('wk5'!F27=Pat!B$27,1,0)),1,0)+IF(AND(IF('wk5'!G$5=Pat!$C$25,1,0),IF('wk5'!G27=Pat!B$27,1,0)),1,0)</f>
        <v>0</v>
      </c>
      <c r="K45" s="85">
        <f>IF(AND(IF('wk5'!C$5=Pat!$C$25,1,0),IF('wk5'!C27=Pat!C$27,1,0)),1,0)+IF(AND(IF('wk5'!D$5=Pat!$C$25,1,0),IF('wk5'!D27=Pat!C$27,1,0)),1,0)+IF(AND(IF('wk5'!E$5=Pat!$C$25,1,0),IF('wk5'!E27=Pat!C$27,1,0)),1,0)+IF(AND(IF('wk5'!F$5=Pat!$C$25,1,0),IF('wk5'!F27=Pat!C$27,1,0)),1,0)+IF(AND(IF('wk5'!G$5=Pat!$C$25,1,0),IF('wk5'!G27=Pat!C$27,1,0)),1,0)+IF(AND(IF('wk5'!H$5=Pat!$C$25,1,0),IF('wk5'!H27=Pat!C$27,1,0)),1,0)+IF(AND(IF('wk5'!B$5=Pat!$C$25,1,0),IF('wk5'!B27=Pat!C$27,1,0)),1,0)</f>
        <v>0</v>
      </c>
      <c r="L45" s="79"/>
      <c r="M45" s="79">
        <f t="shared" si="0"/>
        <v>0</v>
      </c>
      <c r="N45" s="81">
        <f t="shared" si="1"/>
        <v>0</v>
      </c>
    </row>
    <row r="46" spans="1:17" ht="13.5" thickBot="1">
      <c r="A46" s="78" t="str">
        <f>'Members Data'!A20</f>
        <v>Drugged</v>
      </c>
      <c r="B46" s="82">
        <f>IF(AND(IF('wk1'!B$5=Pat!$C$25,1,0),IF('wk1'!B28=Pat!B$27,1,0)),1,0)+IF(AND(IF('wk1'!D$5=Pat!$C$25,1,0),IF('wk1'!C28=Pat!B$27,1,0)),1,0)+IF(AND(IF('wk1'!D$5=Pat!$C$25,1,0),IF('wk1'!D28=Pat!B$27,1,0)),1,0)+IF(AND(IF('wk1'!E$5=Pat!$C$25,1,0),IF('wk1'!E28=Pat!B$27,1,0)),1,0)+IF(AND(IF('wk1'!F$5=Pat!$C$25,1,0),IF('wk1'!F28=Pat!B$27,1,0)),1,0)+IF(AND(IF('wk1'!G$5=Pat!$C$25,1,0),IF('wk1'!G28=Pat!B$27,1,0)),1,0)</f>
        <v>0</v>
      </c>
      <c r="C46" s="83">
        <f>IF(AND(IF('wk1'!D$5=Pat!$C$25,1,0),IF('wk1'!C28=Pat!C$27,1,0)),1,0)+IF(AND(IF('wk1'!D$5=Pat!$C$25,1,0),IF('wk1'!D28=Pat!C$27,1,0)),1,0)+IF(AND(IF('wk1'!E$5=Pat!$C$25,1,0),IF('wk1'!E28=Pat!C$27,1,0)),1,0)+IF(AND(IF('wk1'!F$5=Pat!$C$25,1,0),IF('wk1'!F28=Pat!C$27,1,0)),1,0)+IF(AND(IF('wk1'!G$5=Pat!$C$25,1,0),IF('wk1'!G28=Pat!C$27,1,0)),1,0)+IF(AND(IF('wk1'!H$5=Pat!$C$25,1,0),IF('wk1'!H28=Pat!C$27,1,0)),1,0)+IF(AND(IF('wk1'!B$5=Pat!$C$25,1,0),IF('wk1'!B28=Pat!C$27,1,0)),1,0)</f>
        <v>0</v>
      </c>
      <c r="D46" s="82">
        <f>IF(AND(IF('wk2'!B$5=Pat!$C$25,1,0),IF('wk2'!B28=Pat!B$27,1,0)),1,0)+IF(AND(IF('wk2'!C$5=Pat!$C$25,1,0),IF('wk2'!C28=Pat!B$27,1,0)),1,0)+IF(AND(IF('wk2'!D$5=Pat!$C$25,1,0),IF('wk2'!D28=Pat!B$27,1,0)),1,0)+IF(AND(IF('wk2'!E$5=Pat!$C$25,1,0),IF('wk2'!E28=Pat!B$27,1,0)),1,0)+IF(AND(IF('wk2'!F$5=Pat!$C$25,1,0),IF('wk2'!F28=Pat!B$27,1,0)),1,0)+IF(AND(IF('wk2'!G$5=Pat!$C$25,1,0),IF('wk2'!G28=Pat!B$27,1,0)),1,0)</f>
        <v>0</v>
      </c>
      <c r="E46" s="83">
        <f>IF(AND(IF('wk2'!C$5=Pat!$C$25,1,0),IF('wk2'!C28=Pat!C$27,1,0)),1,0)+IF(AND(IF('wk2'!D$5=Pat!$C$25,1,0),IF('wk2'!D28=Pat!C$27,1,0)),1,0)+IF(AND(IF('wk2'!E$5=Pat!$C$25,1,0),IF('wk2'!E28=Pat!C$27,1,0)),1,0)+IF(AND(IF('wk2'!F$5=Pat!$C$25,1,0),IF('wk2'!F28=Pat!C$27,1,0)),1,0)+IF(AND(IF('wk2'!G$5=Pat!$C$25,1,0),IF('wk2'!G28=Pat!C$27,1,0)),1,0)+IF(AND(IF('wk2'!H$5=Pat!$C$25,1,0),IF('wk2'!H28=Pat!C$27,1,0)),1,0)+IF(AND(IF('wk2'!B$5=Pat!$C$25,1,0),IF('wk2'!B28=Pat!C$27,1,0)),1,0)</f>
        <v>0</v>
      </c>
      <c r="F46" s="82">
        <f>IF(AND(IF('wk3'!B$5=Pat!$C$25,1,0),IF('wk3'!B28=Pat!B$27,1,0)),1,0)+IF(AND(IF('wk3'!C$5=Pat!$C$25,1,0),IF('wk3'!C28=Pat!B$27,1,0)),1,0)+IF(AND(IF('wk3'!D$5=Pat!$C$25,1,0),IF('wk3'!D28=Pat!B$27,1,0)),1,0)+IF(AND(IF('wk3'!E$5=Pat!$C$25,1,0),IF('wk3'!E28=Pat!B$27,1,0)),1,0)+IF(AND(IF('wk3'!F$5=Pat!$C$25,1,0),IF('wk3'!F28=Pat!B$27,1,0)),1,0)+IF(AND(IF('wk3'!G$5=Pat!$C$25,1,0),IF('wk3'!G28=Pat!B$27,1,0)),1,0)</f>
        <v>0</v>
      </c>
      <c r="G46" s="83">
        <f>IF(AND(IF('wk3'!C$5=Pat!$C$25,1,0),IF('wk3'!C28=Pat!C$27,1,0)),1,0)+IF(AND(IF('wk3'!D$5=Pat!$C$25,1,0),IF('wk3'!D28=Pat!C$27,1,0)),1,0)+IF(AND(IF('wk3'!E$5=Pat!$C$25,1,0),IF('wk3'!E28=Pat!C$27,1,0)),1,0)+IF(AND(IF('wk3'!F$5=Pat!$C$25,1,0),IF('wk3'!F28=Pat!C$27,1,0)),1,0)+IF(AND(IF('wk3'!G$5=Pat!$C$25,1,0),IF('wk3'!G28=Pat!C$27,1,0)),1,0)+IF(AND(IF('wk3'!H$5=Pat!$C$25,1,0),IF('wk3'!H28=Pat!C$27,1,0)),1,0)+IF(AND(IF('wk3'!B$5=Pat!$C$25,1,0),IF('wk3'!B28=Pat!C$27,1,0)),1,0)</f>
        <v>0</v>
      </c>
      <c r="H46" s="82">
        <f>IF(AND(IF('wk4'!B$5=Pat!$C$25,1,0),IF('wk4'!B28=Pat!B$27,1,0)),1,0)+IF(AND(IF('wk4'!C$5=Pat!$C$25,1,0),IF('wk4'!C28=Pat!B$27,1,0)),1,0)+IF(AND(IF('wk4'!D$5=Pat!$C$25,1,0),IF('wk4'!D28=Pat!B$27,1,0)),1,0)+IF(AND(IF('wk4'!E$5=Pat!$C$25,1,0),IF('wk4'!E28=Pat!B$27,1,0)),1,0)+IF(AND(IF('wk4'!F$5=Pat!$C$25,1,0),IF('wk4'!F28=Pat!B$27,1,0)),1,0)+IF(AND(IF('wk4'!G$5=Pat!$C$25,1,0),IF('wk4'!G28=Pat!B$27,1,0)),1,0)</f>
        <v>0</v>
      </c>
      <c r="I46" s="83">
        <f>IF(AND(IF('wk4'!C$5=Pat!$C$25,1,0),IF('wk4'!C28=Pat!C$27,1,0)),1,0)+IF(AND(IF('wk4'!D$5=Pat!$C$25,1,0),IF('wk4'!D28=Pat!C$27,1,0)),1,0)+IF(AND(IF('wk4'!E$5=Pat!$C$25,1,0),IF('wk4'!E28=Pat!C$27,1,0)),1,0)+IF(AND(IF('wk4'!F$5=Pat!$C$25,1,0),IF('wk4'!F28=Pat!C$27,1,0)),1,0)+IF(AND(IF('wk4'!G$5=Pat!$C$25,1,0),IF('wk4'!G28=Pat!C$27,1,0)),1,0)+IF(AND(IF('wk4'!H$5=Pat!$C$25,1,0),IF('wk4'!H28=Pat!C$27,1,0)),1,0)+IF(AND(IF('wk4'!B$5=Pat!$C$25,1,0),IF('wk4'!B28=Pat!C$27,1,0)),1,0)</f>
        <v>0</v>
      </c>
      <c r="J46" s="84">
        <f>IF(AND(IF('wk5'!B$5=Pat!$C$25,1,0),IF('wk5'!B28=Pat!B$27,1,0)),1,0)+IF(AND(IF('wk5'!C$5=Pat!$C$25,1,0),IF('wk5'!C28=Pat!B$27,1,0)),1,0)+IF(AND(IF('wk5'!D$5=Pat!$C$25,1,0),IF('wk5'!D28=Pat!B$27,1,0)),1,0)+IF(AND(IF('wk5'!E$5=Pat!$C$25,1,0),IF('wk5'!E28=Pat!B$27,1,0)),1,0)+IF(AND(IF('wk5'!F$5=Pat!$C$25,1,0),IF('wk5'!F28=Pat!B$27,1,0)),1,0)+IF(AND(IF('wk5'!G$5=Pat!$C$25,1,0),IF('wk5'!G28=Pat!B$27,1,0)),1,0)</f>
        <v>0</v>
      </c>
      <c r="K46" s="85">
        <f>IF(AND(IF('wk5'!C$5=Pat!$C$25,1,0),IF('wk5'!C28=Pat!C$27,1,0)),1,0)+IF(AND(IF('wk5'!D$5=Pat!$C$25,1,0),IF('wk5'!D28=Pat!C$27,1,0)),1,0)+IF(AND(IF('wk5'!E$5=Pat!$C$25,1,0),IF('wk5'!E28=Pat!C$27,1,0)),1,0)+IF(AND(IF('wk5'!F$5=Pat!$C$25,1,0),IF('wk5'!F28=Pat!C$27,1,0)),1,0)+IF(AND(IF('wk5'!G$5=Pat!$C$25,1,0),IF('wk5'!G28=Pat!C$27,1,0)),1,0)+IF(AND(IF('wk5'!H$5=Pat!$C$25,1,0),IF('wk5'!H28=Pat!C$27,1,0)),1,0)+IF(AND(IF('wk5'!B$5=Pat!$C$25,1,0),IF('wk5'!B28=Pat!C$27,1,0)),1,0)</f>
        <v>0</v>
      </c>
      <c r="L46" s="79"/>
      <c r="M46" s="79">
        <f t="shared" si="0"/>
        <v>0</v>
      </c>
      <c r="N46" s="81">
        <f t="shared" si="1"/>
        <v>0</v>
      </c>
    </row>
    <row r="47" spans="1:17" ht="13.5" thickBot="1">
      <c r="A47" s="78" t="str">
        <f>'Members Data'!A21</f>
        <v>Eárendíl</v>
      </c>
      <c r="B47" s="82">
        <f>IF(AND(IF('wk1'!B$5=Pat!$C$25,1,0),IF('wk1'!B29=Pat!B$27,1,0)),1,0)+IF(AND(IF('wk1'!D$5=Pat!$C$25,1,0),IF('wk1'!C29=Pat!B$27,1,0)),1,0)+IF(AND(IF('wk1'!D$5=Pat!$C$25,1,0),IF('wk1'!D29=Pat!B$27,1,0)),1,0)+IF(AND(IF('wk1'!E$5=Pat!$C$25,1,0),IF('wk1'!E29=Pat!B$27,1,0)),1,0)+IF(AND(IF('wk1'!F$5=Pat!$C$25,1,0),IF('wk1'!F29=Pat!B$27,1,0)),1,0)+IF(AND(IF('wk1'!G$5=Pat!$C$25,1,0),IF('wk1'!G29=Pat!B$27,1,0)),1,0)</f>
        <v>0</v>
      </c>
      <c r="C47" s="83">
        <f>IF(AND(IF('wk1'!D$5=Pat!$C$25,1,0),IF('wk1'!C29=Pat!C$27,1,0)),1,0)+IF(AND(IF('wk1'!D$5=Pat!$C$25,1,0),IF('wk1'!D29=Pat!C$27,1,0)),1,0)+IF(AND(IF('wk1'!E$5=Pat!$C$25,1,0),IF('wk1'!E29=Pat!C$27,1,0)),1,0)+IF(AND(IF('wk1'!F$5=Pat!$C$25,1,0),IF('wk1'!F29=Pat!C$27,1,0)),1,0)+IF(AND(IF('wk1'!G$5=Pat!$C$25,1,0),IF('wk1'!G29=Pat!C$27,1,0)),1,0)+IF(AND(IF('wk1'!H$5=Pat!$C$25,1,0),IF('wk1'!H29=Pat!C$27,1,0)),1,0)+IF(AND(IF('wk1'!B$5=Pat!$C$25,1,0),IF('wk1'!B29=Pat!C$27,1,0)),1,0)</f>
        <v>0</v>
      </c>
      <c r="D47" s="82">
        <f>IF(AND(IF('wk2'!B$5=Pat!$C$25,1,0),IF('wk2'!B29=Pat!B$27,1,0)),1,0)+IF(AND(IF('wk2'!C$5=Pat!$C$25,1,0),IF('wk2'!C29=Pat!B$27,1,0)),1,0)+IF(AND(IF('wk2'!D$5=Pat!$C$25,1,0),IF('wk2'!D29=Pat!B$27,1,0)),1,0)+IF(AND(IF('wk2'!E$5=Pat!$C$25,1,0),IF('wk2'!E29=Pat!B$27,1,0)),1,0)+IF(AND(IF('wk2'!F$5=Pat!$C$25,1,0),IF('wk2'!F29=Pat!B$27,1,0)),1,0)+IF(AND(IF('wk2'!G$5=Pat!$C$25,1,0),IF('wk2'!G29=Pat!B$27,1,0)),1,0)</f>
        <v>0</v>
      </c>
      <c r="E47" s="83">
        <f>IF(AND(IF('wk2'!C$5=Pat!$C$25,1,0),IF('wk2'!C29=Pat!C$27,1,0)),1,0)+IF(AND(IF('wk2'!D$5=Pat!$C$25,1,0),IF('wk2'!D29=Pat!C$27,1,0)),1,0)+IF(AND(IF('wk2'!E$5=Pat!$C$25,1,0),IF('wk2'!E29=Pat!C$27,1,0)),1,0)+IF(AND(IF('wk2'!F$5=Pat!$C$25,1,0),IF('wk2'!F29=Pat!C$27,1,0)),1,0)+IF(AND(IF('wk2'!G$5=Pat!$C$25,1,0),IF('wk2'!G29=Pat!C$27,1,0)),1,0)+IF(AND(IF('wk2'!H$5=Pat!$C$25,1,0),IF('wk2'!H29=Pat!C$27,1,0)),1,0)+IF(AND(IF('wk2'!B$5=Pat!$C$25,1,0),IF('wk2'!B29=Pat!C$27,1,0)),1,0)</f>
        <v>0</v>
      </c>
      <c r="F47" s="82">
        <f>IF(AND(IF('wk3'!B$5=Pat!$C$25,1,0),IF('wk3'!B29=Pat!B$27,1,0)),1,0)+IF(AND(IF('wk3'!C$5=Pat!$C$25,1,0),IF('wk3'!C29=Pat!B$27,1,0)),1,0)+IF(AND(IF('wk3'!D$5=Pat!$C$25,1,0),IF('wk3'!D29=Pat!B$27,1,0)),1,0)+IF(AND(IF('wk3'!E$5=Pat!$C$25,1,0),IF('wk3'!E29=Pat!B$27,1,0)),1,0)+IF(AND(IF('wk3'!F$5=Pat!$C$25,1,0),IF('wk3'!F29=Pat!B$27,1,0)),1,0)+IF(AND(IF('wk3'!G$5=Pat!$C$25,1,0),IF('wk3'!G29=Pat!B$27,1,0)),1,0)</f>
        <v>0</v>
      </c>
      <c r="G47" s="83">
        <f>IF(AND(IF('wk3'!C$5=Pat!$C$25,1,0),IF('wk3'!C29=Pat!C$27,1,0)),1,0)+IF(AND(IF('wk3'!D$5=Pat!$C$25,1,0),IF('wk3'!D29=Pat!C$27,1,0)),1,0)+IF(AND(IF('wk3'!E$5=Pat!$C$25,1,0),IF('wk3'!E29=Pat!C$27,1,0)),1,0)+IF(AND(IF('wk3'!F$5=Pat!$C$25,1,0),IF('wk3'!F29=Pat!C$27,1,0)),1,0)+IF(AND(IF('wk3'!G$5=Pat!$C$25,1,0),IF('wk3'!G29=Pat!C$27,1,0)),1,0)+IF(AND(IF('wk3'!H$5=Pat!$C$25,1,0),IF('wk3'!H29=Pat!C$27,1,0)),1,0)+IF(AND(IF('wk3'!B$5=Pat!$C$25,1,0),IF('wk3'!B29=Pat!C$27,1,0)),1,0)</f>
        <v>0</v>
      </c>
      <c r="H47" s="82">
        <f>IF(AND(IF('wk4'!B$5=Pat!$C$25,1,0),IF('wk4'!B29=Pat!B$27,1,0)),1,0)+IF(AND(IF('wk4'!C$5=Pat!$C$25,1,0),IF('wk4'!C29=Pat!B$27,1,0)),1,0)+IF(AND(IF('wk4'!D$5=Pat!$C$25,1,0),IF('wk4'!D29=Pat!B$27,1,0)),1,0)+IF(AND(IF('wk4'!E$5=Pat!$C$25,1,0),IF('wk4'!E29=Pat!B$27,1,0)),1,0)+IF(AND(IF('wk4'!F$5=Pat!$C$25,1,0),IF('wk4'!F29=Pat!B$27,1,0)),1,0)+IF(AND(IF('wk4'!G$5=Pat!$C$25,1,0),IF('wk4'!G29=Pat!B$27,1,0)),1,0)</f>
        <v>0</v>
      </c>
      <c r="I47" s="83">
        <f>IF(AND(IF('wk4'!C$5=Pat!$C$25,1,0),IF('wk4'!C29=Pat!C$27,1,0)),1,0)+IF(AND(IF('wk4'!D$5=Pat!$C$25,1,0),IF('wk4'!D29=Pat!C$27,1,0)),1,0)+IF(AND(IF('wk4'!E$5=Pat!$C$25,1,0),IF('wk4'!E29=Pat!C$27,1,0)),1,0)+IF(AND(IF('wk4'!F$5=Pat!$C$25,1,0),IF('wk4'!F29=Pat!C$27,1,0)),1,0)+IF(AND(IF('wk4'!G$5=Pat!$C$25,1,0),IF('wk4'!G29=Pat!C$27,1,0)),1,0)+IF(AND(IF('wk4'!H$5=Pat!$C$25,1,0),IF('wk4'!H29=Pat!C$27,1,0)),1,0)+IF(AND(IF('wk4'!B$5=Pat!$C$25,1,0),IF('wk4'!B29=Pat!C$27,1,0)),1,0)</f>
        <v>0</v>
      </c>
      <c r="J47" s="84">
        <f>IF(AND(IF('wk5'!B$5=Pat!$C$25,1,0),IF('wk5'!B29=Pat!B$27,1,0)),1,0)+IF(AND(IF('wk5'!C$5=Pat!$C$25,1,0),IF('wk5'!C29=Pat!B$27,1,0)),1,0)+IF(AND(IF('wk5'!D$5=Pat!$C$25,1,0),IF('wk5'!D29=Pat!B$27,1,0)),1,0)+IF(AND(IF('wk5'!E$5=Pat!$C$25,1,0),IF('wk5'!E29=Pat!B$27,1,0)),1,0)+IF(AND(IF('wk5'!F$5=Pat!$C$25,1,0),IF('wk5'!F29=Pat!B$27,1,0)),1,0)+IF(AND(IF('wk5'!G$5=Pat!$C$25,1,0),IF('wk5'!G29=Pat!B$27,1,0)),1,0)</f>
        <v>0</v>
      </c>
      <c r="K47" s="85">
        <f>IF(AND(IF('wk5'!C$5=Pat!$C$25,1,0),IF('wk5'!C29=Pat!C$27,1,0)),1,0)+IF(AND(IF('wk5'!D$5=Pat!$C$25,1,0),IF('wk5'!D29=Pat!C$27,1,0)),1,0)+IF(AND(IF('wk5'!E$5=Pat!$C$25,1,0),IF('wk5'!E29=Pat!C$27,1,0)),1,0)+IF(AND(IF('wk5'!F$5=Pat!$C$25,1,0),IF('wk5'!F29=Pat!C$27,1,0)),1,0)+IF(AND(IF('wk5'!G$5=Pat!$C$25,1,0),IF('wk5'!G29=Pat!C$27,1,0)),1,0)+IF(AND(IF('wk5'!H$5=Pat!$C$25,1,0),IF('wk5'!H29=Pat!C$27,1,0)),1,0)+IF(AND(IF('wk5'!B$5=Pat!$C$25,1,0),IF('wk5'!B29=Pat!C$27,1,0)),1,0)</f>
        <v>0</v>
      </c>
      <c r="L47" s="79"/>
      <c r="M47" s="79">
        <f t="shared" si="0"/>
        <v>0</v>
      </c>
      <c r="N47" s="81">
        <f t="shared" si="1"/>
        <v>0</v>
      </c>
    </row>
    <row r="48" spans="1:17" ht="13.5" thickBot="1">
      <c r="A48" s="78" t="str">
        <f>'Members Data'!A22</f>
        <v>Emril</v>
      </c>
      <c r="B48" s="82">
        <f>IF(AND(IF('wk1'!B$5=Pat!$C$25,1,0),IF('wk1'!B30=Pat!B$27,1,0)),1,0)+IF(AND(IF('wk1'!D$5=Pat!$C$25,1,0),IF('wk1'!C30=Pat!B$27,1,0)),1,0)+IF(AND(IF('wk1'!D$5=Pat!$C$25,1,0),IF('wk1'!D30=Pat!B$27,1,0)),1,0)+IF(AND(IF('wk1'!E$5=Pat!$C$25,1,0),IF('wk1'!E30=Pat!B$27,1,0)),1,0)+IF(AND(IF('wk1'!F$5=Pat!$C$25,1,0),IF('wk1'!F30=Pat!B$27,1,0)),1,0)+IF(AND(IF('wk1'!G$5=Pat!$C$25,1,0),IF('wk1'!G30=Pat!B$27,1,0)),1,0)</f>
        <v>0</v>
      </c>
      <c r="C48" s="83">
        <f>IF(AND(IF('wk1'!D$5=Pat!$C$25,1,0),IF('wk1'!C30=Pat!C$27,1,0)),1,0)+IF(AND(IF('wk1'!D$5=Pat!$C$25,1,0),IF('wk1'!D30=Pat!C$27,1,0)),1,0)+IF(AND(IF('wk1'!E$5=Pat!$C$25,1,0),IF('wk1'!E30=Pat!C$27,1,0)),1,0)+IF(AND(IF('wk1'!F$5=Pat!$C$25,1,0),IF('wk1'!F30=Pat!C$27,1,0)),1,0)+IF(AND(IF('wk1'!G$5=Pat!$C$25,1,0),IF('wk1'!G30=Pat!C$27,1,0)),1,0)+IF(AND(IF('wk1'!H$5=Pat!$C$25,1,0),IF('wk1'!H30=Pat!C$27,1,0)),1,0)+IF(AND(IF('wk1'!B$5=Pat!$C$25,1,0),IF('wk1'!B30=Pat!C$27,1,0)),1,0)</f>
        <v>0</v>
      </c>
      <c r="D48" s="82">
        <f>IF(AND(IF('wk2'!B$5=Pat!$C$25,1,0),IF('wk2'!B30=Pat!B$27,1,0)),1,0)+IF(AND(IF('wk2'!C$5=Pat!$C$25,1,0),IF('wk2'!C30=Pat!B$27,1,0)),1,0)+IF(AND(IF('wk2'!D$5=Pat!$C$25,1,0),IF('wk2'!D30=Pat!B$27,1,0)),1,0)+IF(AND(IF('wk2'!E$5=Pat!$C$25,1,0),IF('wk2'!E30=Pat!B$27,1,0)),1,0)+IF(AND(IF('wk2'!F$5=Pat!$C$25,1,0),IF('wk2'!F30=Pat!B$27,1,0)),1,0)+IF(AND(IF('wk2'!G$5=Pat!$C$25,1,0),IF('wk2'!G30=Pat!B$27,1,0)),1,0)</f>
        <v>0</v>
      </c>
      <c r="E48" s="83">
        <f>IF(AND(IF('wk2'!C$5=Pat!$C$25,1,0),IF('wk2'!C30=Pat!C$27,1,0)),1,0)+IF(AND(IF('wk2'!D$5=Pat!$C$25,1,0),IF('wk2'!D30=Pat!C$27,1,0)),1,0)+IF(AND(IF('wk2'!E$5=Pat!$C$25,1,0),IF('wk2'!E30=Pat!C$27,1,0)),1,0)+IF(AND(IF('wk2'!F$5=Pat!$C$25,1,0),IF('wk2'!F30=Pat!C$27,1,0)),1,0)+IF(AND(IF('wk2'!G$5=Pat!$C$25,1,0),IF('wk2'!G30=Pat!C$27,1,0)),1,0)+IF(AND(IF('wk2'!H$5=Pat!$C$25,1,0),IF('wk2'!H30=Pat!C$27,1,0)),1,0)+IF(AND(IF('wk2'!B$5=Pat!$C$25,1,0),IF('wk2'!B30=Pat!C$27,1,0)),1,0)</f>
        <v>0</v>
      </c>
      <c r="F48" s="82">
        <f>IF(AND(IF('wk3'!B$5=Pat!$C$25,1,0),IF('wk3'!B30=Pat!B$27,1,0)),1,0)+IF(AND(IF('wk3'!C$5=Pat!$C$25,1,0),IF('wk3'!C30=Pat!B$27,1,0)),1,0)+IF(AND(IF('wk3'!D$5=Pat!$C$25,1,0),IF('wk3'!D30=Pat!B$27,1,0)),1,0)+IF(AND(IF('wk3'!E$5=Pat!$C$25,1,0),IF('wk3'!E30=Pat!B$27,1,0)),1,0)+IF(AND(IF('wk3'!F$5=Pat!$C$25,1,0),IF('wk3'!F30=Pat!B$27,1,0)),1,0)+IF(AND(IF('wk3'!G$5=Pat!$C$25,1,0),IF('wk3'!G30=Pat!B$27,1,0)),1,0)</f>
        <v>0</v>
      </c>
      <c r="G48" s="83">
        <f>IF(AND(IF('wk3'!C$5=Pat!$C$25,1,0),IF('wk3'!C30=Pat!C$27,1,0)),1,0)+IF(AND(IF('wk3'!D$5=Pat!$C$25,1,0),IF('wk3'!D30=Pat!C$27,1,0)),1,0)+IF(AND(IF('wk3'!E$5=Pat!$C$25,1,0),IF('wk3'!E30=Pat!C$27,1,0)),1,0)+IF(AND(IF('wk3'!F$5=Pat!$C$25,1,0),IF('wk3'!F30=Pat!C$27,1,0)),1,0)+IF(AND(IF('wk3'!G$5=Pat!$C$25,1,0),IF('wk3'!G30=Pat!C$27,1,0)),1,0)+IF(AND(IF('wk3'!H$5=Pat!$C$25,1,0),IF('wk3'!H30=Pat!C$27,1,0)),1,0)+IF(AND(IF('wk3'!B$5=Pat!$C$25,1,0),IF('wk3'!B30=Pat!C$27,1,0)),1,0)</f>
        <v>0</v>
      </c>
      <c r="H48" s="82">
        <f>IF(AND(IF('wk4'!B$5=Pat!$C$25,1,0),IF('wk4'!B30=Pat!B$27,1,0)),1,0)+IF(AND(IF('wk4'!C$5=Pat!$C$25,1,0),IF('wk4'!C30=Pat!B$27,1,0)),1,0)+IF(AND(IF('wk4'!D$5=Pat!$C$25,1,0),IF('wk4'!D30=Pat!B$27,1,0)),1,0)+IF(AND(IF('wk4'!E$5=Pat!$C$25,1,0),IF('wk4'!E30=Pat!B$27,1,0)),1,0)+IF(AND(IF('wk4'!F$5=Pat!$C$25,1,0),IF('wk4'!F30=Pat!B$27,1,0)),1,0)+IF(AND(IF('wk4'!G$5=Pat!$C$25,1,0),IF('wk4'!G30=Pat!B$27,1,0)),1,0)</f>
        <v>0</v>
      </c>
      <c r="I48" s="83">
        <f>IF(AND(IF('wk4'!C$5=Pat!$C$25,1,0),IF('wk4'!C30=Pat!C$27,1,0)),1,0)+IF(AND(IF('wk4'!D$5=Pat!$C$25,1,0),IF('wk4'!D30=Pat!C$27,1,0)),1,0)+IF(AND(IF('wk4'!E$5=Pat!$C$25,1,0),IF('wk4'!E30=Pat!C$27,1,0)),1,0)+IF(AND(IF('wk4'!F$5=Pat!$C$25,1,0),IF('wk4'!F30=Pat!C$27,1,0)),1,0)+IF(AND(IF('wk4'!G$5=Pat!$C$25,1,0),IF('wk4'!G30=Pat!C$27,1,0)),1,0)+IF(AND(IF('wk4'!H$5=Pat!$C$25,1,0),IF('wk4'!H30=Pat!C$27,1,0)),1,0)+IF(AND(IF('wk4'!B$5=Pat!$C$25,1,0),IF('wk4'!B30=Pat!C$27,1,0)),1,0)</f>
        <v>0</v>
      </c>
      <c r="J48" s="84">
        <f>IF(AND(IF('wk5'!B$5=Pat!$C$25,1,0),IF('wk5'!B30=Pat!B$27,1,0)),1,0)+IF(AND(IF('wk5'!C$5=Pat!$C$25,1,0),IF('wk5'!C30=Pat!B$27,1,0)),1,0)+IF(AND(IF('wk5'!D$5=Pat!$C$25,1,0),IF('wk5'!D30=Pat!B$27,1,0)),1,0)+IF(AND(IF('wk5'!E$5=Pat!$C$25,1,0),IF('wk5'!E30=Pat!B$27,1,0)),1,0)+IF(AND(IF('wk5'!F$5=Pat!$C$25,1,0),IF('wk5'!F30=Pat!B$27,1,0)),1,0)+IF(AND(IF('wk5'!G$5=Pat!$C$25,1,0),IF('wk5'!G30=Pat!B$27,1,0)),1,0)</f>
        <v>0</v>
      </c>
      <c r="K48" s="85">
        <f>IF(AND(IF('wk5'!C$5=Pat!$C$25,1,0),IF('wk5'!C30=Pat!C$27,1,0)),1,0)+IF(AND(IF('wk5'!D$5=Pat!$C$25,1,0),IF('wk5'!D30=Pat!C$27,1,0)),1,0)+IF(AND(IF('wk5'!E$5=Pat!$C$25,1,0),IF('wk5'!E30=Pat!C$27,1,0)),1,0)+IF(AND(IF('wk5'!F$5=Pat!$C$25,1,0),IF('wk5'!F30=Pat!C$27,1,0)),1,0)+IF(AND(IF('wk5'!G$5=Pat!$C$25,1,0),IF('wk5'!G30=Pat!C$27,1,0)),1,0)+IF(AND(IF('wk5'!H$5=Pat!$C$25,1,0),IF('wk5'!H30=Pat!C$27,1,0)),1,0)+IF(AND(IF('wk5'!B$5=Pat!$C$25,1,0),IF('wk5'!B30=Pat!C$27,1,0)),1,0)</f>
        <v>0</v>
      </c>
      <c r="L48" s="79"/>
      <c r="M48" s="79">
        <f t="shared" si="0"/>
        <v>0</v>
      </c>
      <c r="N48" s="81">
        <f t="shared" si="1"/>
        <v>0</v>
      </c>
      <c r="P48" s="86"/>
      <c r="Q48" s="73"/>
    </row>
    <row r="49" spans="1:17" ht="13.5" thickBot="1">
      <c r="A49" s="78" t="str">
        <f>'Members Data'!A23</f>
        <v>Halfthings</v>
      </c>
      <c r="B49" s="82">
        <f>IF(AND(IF('wk1'!B$5=Pat!$C$25,1,0),IF('wk1'!B31=Pat!B$27,1,0)),1,0)+IF(AND(IF('wk1'!D$5=Pat!$C$25,1,0),IF('wk1'!C31=Pat!B$27,1,0)),1,0)+IF(AND(IF('wk1'!D$5=Pat!$C$25,1,0),IF('wk1'!D31=Pat!B$27,1,0)),1,0)+IF(AND(IF('wk1'!E$5=Pat!$C$25,1,0),IF('wk1'!E31=Pat!B$27,1,0)),1,0)+IF(AND(IF('wk1'!F$5=Pat!$C$25,1,0),IF('wk1'!F31=Pat!B$27,1,0)),1,0)+IF(AND(IF('wk1'!G$5=Pat!$C$25,1,0),IF('wk1'!G31=Pat!B$27,1,0)),1,0)</f>
        <v>0</v>
      </c>
      <c r="C49" s="83">
        <f>IF(AND(IF('wk1'!D$5=Pat!$C$25,1,0),IF('wk1'!C31=Pat!C$27,1,0)),1,0)+IF(AND(IF('wk1'!D$5=Pat!$C$25,1,0),IF('wk1'!D31=Pat!C$27,1,0)),1,0)+IF(AND(IF('wk1'!E$5=Pat!$C$25,1,0),IF('wk1'!E31=Pat!C$27,1,0)),1,0)+IF(AND(IF('wk1'!F$5=Pat!$C$25,1,0),IF('wk1'!F31=Pat!C$27,1,0)),1,0)+IF(AND(IF('wk1'!G$5=Pat!$C$25,1,0),IF('wk1'!G31=Pat!C$27,1,0)),1,0)+IF(AND(IF('wk1'!H$5=Pat!$C$25,1,0),IF('wk1'!H31=Pat!C$27,1,0)),1,0)+IF(AND(IF('wk1'!B$5=Pat!$C$25,1,0),IF('wk1'!B31=Pat!C$27,1,0)),1,0)</f>
        <v>0</v>
      </c>
      <c r="D49" s="82">
        <f>IF(AND(IF('wk2'!B$5=Pat!$C$25,1,0),IF('wk2'!B31=Pat!B$27,1,0)),1,0)+IF(AND(IF('wk2'!C$5=Pat!$C$25,1,0),IF('wk2'!C31=Pat!B$27,1,0)),1,0)+IF(AND(IF('wk2'!D$5=Pat!$C$25,1,0),IF('wk2'!D31=Pat!B$27,1,0)),1,0)+IF(AND(IF('wk2'!E$5=Pat!$C$25,1,0),IF('wk2'!E31=Pat!B$27,1,0)),1,0)+IF(AND(IF('wk2'!F$5=Pat!$C$25,1,0),IF('wk2'!F31=Pat!B$27,1,0)),1,0)+IF(AND(IF('wk2'!G$5=Pat!$C$25,1,0),IF('wk2'!G31=Pat!B$27,1,0)),1,0)</f>
        <v>0</v>
      </c>
      <c r="E49" s="83">
        <f>IF(AND(IF('wk2'!C$5=Pat!$C$25,1,0),IF('wk2'!C31=Pat!C$27,1,0)),1,0)+IF(AND(IF('wk2'!D$5=Pat!$C$25,1,0),IF('wk2'!D31=Pat!C$27,1,0)),1,0)+IF(AND(IF('wk2'!E$5=Pat!$C$25,1,0),IF('wk2'!E31=Pat!C$27,1,0)),1,0)+IF(AND(IF('wk2'!F$5=Pat!$C$25,1,0),IF('wk2'!F31=Pat!C$27,1,0)),1,0)+IF(AND(IF('wk2'!G$5=Pat!$C$25,1,0),IF('wk2'!G31=Pat!C$27,1,0)),1,0)+IF(AND(IF('wk2'!H$5=Pat!$C$25,1,0),IF('wk2'!H31=Pat!C$27,1,0)),1,0)+IF(AND(IF('wk2'!B$5=Pat!$C$25,1,0),IF('wk2'!B31=Pat!C$27,1,0)),1,0)</f>
        <v>0</v>
      </c>
      <c r="F49" s="82">
        <f>IF(AND(IF('wk3'!B$5=Pat!$C$25,1,0),IF('wk3'!B31=Pat!B$27,1,0)),1,0)+IF(AND(IF('wk3'!C$5=Pat!$C$25,1,0),IF('wk3'!C31=Pat!B$27,1,0)),1,0)+IF(AND(IF('wk3'!D$5=Pat!$C$25,1,0),IF('wk3'!D31=Pat!B$27,1,0)),1,0)+IF(AND(IF('wk3'!E$5=Pat!$C$25,1,0),IF('wk3'!E31=Pat!B$27,1,0)),1,0)+IF(AND(IF('wk3'!F$5=Pat!$C$25,1,0),IF('wk3'!F31=Pat!B$27,1,0)),1,0)+IF(AND(IF('wk3'!G$5=Pat!$C$25,1,0),IF('wk3'!G31=Pat!B$27,1,0)),1,0)</f>
        <v>0</v>
      </c>
      <c r="G49" s="83">
        <f>IF(AND(IF('wk3'!C$5=Pat!$C$25,1,0),IF('wk3'!C31=Pat!C$27,1,0)),1,0)+IF(AND(IF('wk3'!D$5=Pat!$C$25,1,0),IF('wk3'!D31=Pat!C$27,1,0)),1,0)+IF(AND(IF('wk3'!E$5=Pat!$C$25,1,0),IF('wk3'!E31=Pat!C$27,1,0)),1,0)+IF(AND(IF('wk3'!F$5=Pat!$C$25,1,0),IF('wk3'!F31=Pat!C$27,1,0)),1,0)+IF(AND(IF('wk3'!G$5=Pat!$C$25,1,0),IF('wk3'!G31=Pat!C$27,1,0)),1,0)+IF(AND(IF('wk3'!H$5=Pat!$C$25,1,0),IF('wk3'!H31=Pat!C$27,1,0)),1,0)+IF(AND(IF('wk3'!B$5=Pat!$C$25,1,0),IF('wk3'!B31=Pat!C$27,1,0)),1,0)</f>
        <v>0</v>
      </c>
      <c r="H49" s="82">
        <f>IF(AND(IF('wk4'!B$5=Pat!$C$25,1,0),IF('wk4'!B31=Pat!B$27,1,0)),1,0)+IF(AND(IF('wk4'!C$5=Pat!$C$25,1,0),IF('wk4'!C31=Pat!B$27,1,0)),1,0)+IF(AND(IF('wk4'!D$5=Pat!$C$25,1,0),IF('wk4'!D31=Pat!B$27,1,0)),1,0)+IF(AND(IF('wk4'!E$5=Pat!$C$25,1,0),IF('wk4'!E31=Pat!B$27,1,0)),1,0)+IF(AND(IF('wk4'!F$5=Pat!$C$25,1,0),IF('wk4'!F31=Pat!B$27,1,0)),1,0)+IF(AND(IF('wk4'!G$5=Pat!$C$25,1,0),IF('wk4'!G31=Pat!B$27,1,0)),1,0)</f>
        <v>0</v>
      </c>
      <c r="I49" s="83">
        <f>IF(AND(IF('wk4'!C$5=Pat!$C$25,1,0),IF('wk4'!C31=Pat!C$27,1,0)),1,0)+IF(AND(IF('wk4'!D$5=Pat!$C$25,1,0),IF('wk4'!D31=Pat!C$27,1,0)),1,0)+IF(AND(IF('wk4'!E$5=Pat!$C$25,1,0),IF('wk4'!E31=Pat!C$27,1,0)),1,0)+IF(AND(IF('wk4'!F$5=Pat!$C$25,1,0),IF('wk4'!F31=Pat!C$27,1,0)),1,0)+IF(AND(IF('wk4'!G$5=Pat!$C$25,1,0),IF('wk4'!G31=Pat!C$27,1,0)),1,0)+IF(AND(IF('wk4'!H$5=Pat!$C$25,1,0),IF('wk4'!H31=Pat!C$27,1,0)),1,0)+IF(AND(IF('wk4'!B$5=Pat!$C$25,1,0),IF('wk4'!B31=Pat!C$27,1,0)),1,0)</f>
        <v>0</v>
      </c>
      <c r="J49" s="84">
        <f>IF(AND(IF('wk5'!B$5=Pat!$C$25,1,0),IF('wk5'!B31=Pat!B$27,1,0)),1,0)+IF(AND(IF('wk5'!C$5=Pat!$C$25,1,0),IF('wk5'!C31=Pat!B$27,1,0)),1,0)+IF(AND(IF('wk5'!D$5=Pat!$C$25,1,0),IF('wk5'!D31=Pat!B$27,1,0)),1,0)+IF(AND(IF('wk5'!E$5=Pat!$C$25,1,0),IF('wk5'!E31=Pat!B$27,1,0)),1,0)+IF(AND(IF('wk5'!F$5=Pat!$C$25,1,0),IF('wk5'!F31=Pat!B$27,1,0)),1,0)+IF(AND(IF('wk5'!G$5=Pat!$C$25,1,0),IF('wk5'!G31=Pat!B$27,1,0)),1,0)</f>
        <v>0</v>
      </c>
      <c r="K49" s="85">
        <f>IF(AND(IF('wk5'!C$5=Pat!$C$25,1,0),IF('wk5'!C31=Pat!C$27,1,0)),1,0)+IF(AND(IF('wk5'!D$5=Pat!$C$25,1,0),IF('wk5'!D31=Pat!C$27,1,0)),1,0)+IF(AND(IF('wk5'!E$5=Pat!$C$25,1,0),IF('wk5'!E31=Pat!C$27,1,0)),1,0)+IF(AND(IF('wk5'!F$5=Pat!$C$25,1,0),IF('wk5'!F31=Pat!C$27,1,0)),1,0)+IF(AND(IF('wk5'!G$5=Pat!$C$25,1,0),IF('wk5'!G31=Pat!C$27,1,0)),1,0)+IF(AND(IF('wk5'!H$5=Pat!$C$25,1,0),IF('wk5'!H31=Pat!C$27,1,0)),1,0)+IF(AND(IF('wk5'!B$5=Pat!$C$25,1,0),IF('wk5'!B31=Pat!C$27,1,0)),1,0)</f>
        <v>0</v>
      </c>
      <c r="L49" s="79"/>
      <c r="M49" s="79">
        <f t="shared" si="0"/>
        <v>0</v>
      </c>
      <c r="N49" s="81">
        <f t="shared" si="1"/>
        <v>0</v>
      </c>
      <c r="P49" s="87"/>
      <c r="Q49" s="73"/>
    </row>
    <row r="50" spans="1:17" ht="13.5" thickBot="1">
      <c r="A50" s="78" t="str">
        <f>'Members Data'!A24</f>
        <v>Harkar</v>
      </c>
      <c r="B50" s="82">
        <f>IF(AND(IF('wk1'!B$5=Pat!$C$25,1,0),IF('wk1'!B32=Pat!B$27,1,0)),1,0)+IF(AND(IF('wk1'!D$5=Pat!$C$25,1,0),IF('wk1'!C32=Pat!B$27,1,0)),1,0)+IF(AND(IF('wk1'!D$5=Pat!$C$25,1,0),IF('wk1'!D32=Pat!B$27,1,0)),1,0)+IF(AND(IF('wk1'!E$5=Pat!$C$25,1,0),IF('wk1'!E32=Pat!B$27,1,0)),1,0)+IF(AND(IF('wk1'!F$5=Pat!$C$25,1,0),IF('wk1'!F32=Pat!B$27,1,0)),1,0)+IF(AND(IF('wk1'!G$5=Pat!$C$25,1,0),IF('wk1'!G32=Pat!B$27,1,0)),1,0)</f>
        <v>0</v>
      </c>
      <c r="C50" s="83">
        <f>IF(AND(IF('wk1'!D$5=Pat!$C$25,1,0),IF('wk1'!C32=Pat!C$27,1,0)),1,0)+IF(AND(IF('wk1'!D$5=Pat!$C$25,1,0),IF('wk1'!D32=Pat!C$27,1,0)),1,0)+IF(AND(IF('wk1'!E$5=Pat!$C$25,1,0),IF('wk1'!E32=Pat!C$27,1,0)),1,0)+IF(AND(IF('wk1'!F$5=Pat!$C$25,1,0),IF('wk1'!F32=Pat!C$27,1,0)),1,0)+IF(AND(IF('wk1'!G$5=Pat!$C$25,1,0),IF('wk1'!G32=Pat!C$27,1,0)),1,0)+IF(AND(IF('wk1'!H$5=Pat!$C$25,1,0),IF('wk1'!H32=Pat!C$27,1,0)),1,0)+IF(AND(IF('wk1'!B$5=Pat!$C$25,1,0),IF('wk1'!B32=Pat!C$27,1,0)),1,0)</f>
        <v>0</v>
      </c>
      <c r="D50" s="82">
        <f>IF(AND(IF('wk2'!B$5=Pat!$C$25,1,0),IF('wk2'!B32=Pat!B$27,1,0)),1,0)+IF(AND(IF('wk2'!C$5=Pat!$C$25,1,0),IF('wk2'!C32=Pat!B$27,1,0)),1,0)+IF(AND(IF('wk2'!D$5=Pat!$C$25,1,0),IF('wk2'!D32=Pat!B$27,1,0)),1,0)+IF(AND(IF('wk2'!E$5=Pat!$C$25,1,0),IF('wk2'!E32=Pat!B$27,1,0)),1,0)+IF(AND(IF('wk2'!F$5=Pat!$C$25,1,0),IF('wk2'!F32=Pat!B$27,1,0)),1,0)+IF(AND(IF('wk2'!G$5=Pat!$C$25,1,0),IF('wk2'!G32=Pat!B$27,1,0)),1,0)</f>
        <v>0</v>
      </c>
      <c r="E50" s="83">
        <f>IF(AND(IF('wk2'!C$5=Pat!$C$25,1,0),IF('wk2'!C32=Pat!C$27,1,0)),1,0)+IF(AND(IF('wk2'!D$5=Pat!$C$25,1,0),IF('wk2'!D32=Pat!C$27,1,0)),1,0)+IF(AND(IF('wk2'!E$5=Pat!$C$25,1,0),IF('wk2'!E32=Pat!C$27,1,0)),1,0)+IF(AND(IF('wk2'!F$5=Pat!$C$25,1,0),IF('wk2'!F32=Pat!C$27,1,0)),1,0)+IF(AND(IF('wk2'!G$5=Pat!$C$25,1,0),IF('wk2'!G32=Pat!C$27,1,0)),1,0)+IF(AND(IF('wk2'!H$5=Pat!$C$25,1,0),IF('wk2'!H32=Pat!C$27,1,0)),1,0)+IF(AND(IF('wk2'!B$5=Pat!$C$25,1,0),IF('wk2'!B32=Pat!C$27,1,0)),1,0)</f>
        <v>0</v>
      </c>
      <c r="F50" s="82">
        <f>IF(AND(IF('wk3'!B$5=Pat!$C$25,1,0),IF('wk3'!B32=Pat!B$27,1,0)),1,0)+IF(AND(IF('wk3'!C$5=Pat!$C$25,1,0),IF('wk3'!C32=Pat!B$27,1,0)),1,0)+IF(AND(IF('wk3'!D$5=Pat!$C$25,1,0),IF('wk3'!D32=Pat!B$27,1,0)),1,0)+IF(AND(IF('wk3'!E$5=Pat!$C$25,1,0),IF('wk3'!E32=Pat!B$27,1,0)),1,0)+IF(AND(IF('wk3'!F$5=Pat!$C$25,1,0),IF('wk3'!F32=Pat!B$27,1,0)),1,0)+IF(AND(IF('wk3'!G$5=Pat!$C$25,1,0),IF('wk3'!G32=Pat!B$27,1,0)),1,0)</f>
        <v>0</v>
      </c>
      <c r="G50" s="83">
        <f>IF(AND(IF('wk3'!C$5=Pat!$C$25,1,0),IF('wk3'!C32=Pat!C$27,1,0)),1,0)+IF(AND(IF('wk3'!D$5=Pat!$C$25,1,0),IF('wk3'!D32=Pat!C$27,1,0)),1,0)+IF(AND(IF('wk3'!E$5=Pat!$C$25,1,0),IF('wk3'!E32=Pat!C$27,1,0)),1,0)+IF(AND(IF('wk3'!F$5=Pat!$C$25,1,0),IF('wk3'!F32=Pat!C$27,1,0)),1,0)+IF(AND(IF('wk3'!G$5=Pat!$C$25,1,0),IF('wk3'!G32=Pat!C$27,1,0)),1,0)+IF(AND(IF('wk3'!H$5=Pat!$C$25,1,0),IF('wk3'!H32=Pat!C$27,1,0)),1,0)+IF(AND(IF('wk3'!B$5=Pat!$C$25,1,0),IF('wk3'!B32=Pat!C$27,1,0)),1,0)</f>
        <v>0</v>
      </c>
      <c r="H50" s="82">
        <f>IF(AND(IF('wk4'!B$5=Pat!$C$25,1,0),IF('wk4'!B32=Pat!B$27,1,0)),1,0)+IF(AND(IF('wk4'!C$5=Pat!$C$25,1,0),IF('wk4'!C32=Pat!B$27,1,0)),1,0)+IF(AND(IF('wk4'!D$5=Pat!$C$25,1,0),IF('wk4'!D32=Pat!B$27,1,0)),1,0)+IF(AND(IF('wk4'!E$5=Pat!$C$25,1,0),IF('wk4'!E32=Pat!B$27,1,0)),1,0)+IF(AND(IF('wk4'!F$5=Pat!$C$25,1,0),IF('wk4'!F32=Pat!B$27,1,0)),1,0)+IF(AND(IF('wk4'!G$5=Pat!$C$25,1,0),IF('wk4'!G32=Pat!B$27,1,0)),1,0)</f>
        <v>0</v>
      </c>
      <c r="I50" s="83">
        <f>IF(AND(IF('wk4'!C$5=Pat!$C$25,1,0),IF('wk4'!C32=Pat!C$27,1,0)),1,0)+IF(AND(IF('wk4'!D$5=Pat!$C$25,1,0),IF('wk4'!D32=Pat!C$27,1,0)),1,0)+IF(AND(IF('wk4'!E$5=Pat!$C$25,1,0),IF('wk4'!E32=Pat!C$27,1,0)),1,0)+IF(AND(IF('wk4'!F$5=Pat!$C$25,1,0),IF('wk4'!F32=Pat!C$27,1,0)),1,0)+IF(AND(IF('wk4'!G$5=Pat!$C$25,1,0),IF('wk4'!G32=Pat!C$27,1,0)),1,0)+IF(AND(IF('wk4'!H$5=Pat!$C$25,1,0),IF('wk4'!H32=Pat!C$27,1,0)),1,0)+IF(AND(IF('wk4'!B$5=Pat!$C$25,1,0),IF('wk4'!B32=Pat!C$27,1,0)),1,0)</f>
        <v>0</v>
      </c>
      <c r="J50" s="84">
        <f>IF(AND(IF('wk5'!B$5=Pat!$C$25,1,0),IF('wk5'!B32=Pat!B$27,1,0)),1,0)+IF(AND(IF('wk5'!C$5=Pat!$C$25,1,0),IF('wk5'!C32=Pat!B$27,1,0)),1,0)+IF(AND(IF('wk5'!D$5=Pat!$C$25,1,0),IF('wk5'!D32=Pat!B$27,1,0)),1,0)+IF(AND(IF('wk5'!E$5=Pat!$C$25,1,0),IF('wk5'!E32=Pat!B$27,1,0)),1,0)+IF(AND(IF('wk5'!F$5=Pat!$C$25,1,0),IF('wk5'!F32=Pat!B$27,1,0)),1,0)+IF(AND(IF('wk5'!G$5=Pat!$C$25,1,0),IF('wk5'!G32=Pat!B$27,1,0)),1,0)</f>
        <v>0</v>
      </c>
      <c r="K50" s="85">
        <f>IF(AND(IF('wk5'!C$5=Pat!$C$25,1,0),IF('wk5'!C32=Pat!C$27,1,0)),1,0)+IF(AND(IF('wk5'!D$5=Pat!$C$25,1,0),IF('wk5'!D32=Pat!C$27,1,0)),1,0)+IF(AND(IF('wk5'!E$5=Pat!$C$25,1,0),IF('wk5'!E32=Pat!C$27,1,0)),1,0)+IF(AND(IF('wk5'!F$5=Pat!$C$25,1,0),IF('wk5'!F32=Pat!C$27,1,0)),1,0)+IF(AND(IF('wk5'!G$5=Pat!$C$25,1,0),IF('wk5'!G32=Pat!C$27,1,0)),1,0)+IF(AND(IF('wk5'!H$5=Pat!$C$25,1,0),IF('wk5'!H32=Pat!C$27,1,0)),1,0)+IF(AND(IF('wk5'!B$5=Pat!$C$25,1,0),IF('wk5'!B32=Pat!C$27,1,0)),1,0)</f>
        <v>0</v>
      </c>
      <c r="L50" s="79"/>
      <c r="M50" s="79">
        <f t="shared" si="0"/>
        <v>0</v>
      </c>
      <c r="N50" s="81">
        <f t="shared" si="1"/>
        <v>0</v>
      </c>
      <c r="P50" s="87"/>
      <c r="Q50" s="73"/>
    </row>
    <row r="51" spans="1:17" ht="13.5" thickBot="1">
      <c r="A51" s="78" t="str">
        <f>'Members Data'!A25</f>
        <v>Hlianna</v>
      </c>
      <c r="B51" s="82">
        <f>IF(AND(IF('wk1'!B$5=Pat!$C$25,1,0),IF('wk1'!B33=Pat!B$27,1,0)),1,0)+IF(AND(IF('wk1'!D$5=Pat!$C$25,1,0),IF('wk1'!C33=Pat!B$27,1,0)),1,0)+IF(AND(IF('wk1'!D$5=Pat!$C$25,1,0),IF('wk1'!D33=Pat!B$27,1,0)),1,0)+IF(AND(IF('wk1'!E$5=Pat!$C$25,1,0),IF('wk1'!E33=Pat!B$27,1,0)),1,0)+IF(AND(IF('wk1'!F$5=Pat!$C$25,1,0),IF('wk1'!F33=Pat!B$27,1,0)),1,0)+IF(AND(IF('wk1'!G$5=Pat!$C$25,1,0),IF('wk1'!G33=Pat!B$27,1,0)),1,0)</f>
        <v>0</v>
      </c>
      <c r="C51" s="83">
        <f>IF(AND(IF('wk1'!D$5=Pat!$C$25,1,0),IF('wk1'!C33=Pat!C$27,1,0)),1,0)+IF(AND(IF('wk1'!D$5=Pat!$C$25,1,0),IF('wk1'!D33=Pat!C$27,1,0)),1,0)+IF(AND(IF('wk1'!E$5=Pat!$C$25,1,0),IF('wk1'!E33=Pat!C$27,1,0)),1,0)+IF(AND(IF('wk1'!F$5=Pat!$C$25,1,0),IF('wk1'!F33=Pat!C$27,1,0)),1,0)+IF(AND(IF('wk1'!G$5=Pat!$C$25,1,0),IF('wk1'!G33=Pat!C$27,1,0)),1,0)+IF(AND(IF('wk1'!H$5=Pat!$C$25,1,0),IF('wk1'!H33=Pat!C$27,1,0)),1,0)+IF(AND(IF('wk1'!B$5=Pat!$C$25,1,0),IF('wk1'!B33=Pat!C$27,1,0)),1,0)</f>
        <v>0</v>
      </c>
      <c r="D51" s="82">
        <f>IF(AND(IF('wk2'!B$5=Pat!$C$25,1,0),IF('wk2'!B33=Pat!B$27,1,0)),1,0)+IF(AND(IF('wk2'!C$5=Pat!$C$25,1,0),IF('wk2'!C33=Pat!B$27,1,0)),1,0)+IF(AND(IF('wk2'!D$5=Pat!$C$25,1,0),IF('wk2'!D33=Pat!B$27,1,0)),1,0)+IF(AND(IF('wk2'!E$5=Pat!$C$25,1,0),IF('wk2'!E33=Pat!B$27,1,0)),1,0)+IF(AND(IF('wk2'!F$5=Pat!$C$25,1,0),IF('wk2'!F33=Pat!B$27,1,0)),1,0)+IF(AND(IF('wk2'!G$5=Pat!$C$25,1,0),IF('wk2'!G33=Pat!B$27,1,0)),1,0)</f>
        <v>0</v>
      </c>
      <c r="E51" s="83">
        <f>IF(AND(IF('wk2'!C$5=Pat!$C$25,1,0),IF('wk2'!C33=Pat!C$27,1,0)),1,0)+IF(AND(IF('wk2'!D$5=Pat!$C$25,1,0),IF('wk2'!D33=Pat!C$27,1,0)),1,0)+IF(AND(IF('wk2'!E$5=Pat!$C$25,1,0),IF('wk2'!E33=Pat!C$27,1,0)),1,0)+IF(AND(IF('wk2'!F$5=Pat!$C$25,1,0),IF('wk2'!F33=Pat!C$27,1,0)),1,0)+IF(AND(IF('wk2'!G$5=Pat!$C$25,1,0),IF('wk2'!G33=Pat!C$27,1,0)),1,0)+IF(AND(IF('wk2'!H$5=Pat!$C$25,1,0),IF('wk2'!H33=Pat!C$27,1,0)),1,0)+IF(AND(IF('wk2'!B$5=Pat!$C$25,1,0),IF('wk2'!B33=Pat!C$27,1,0)),1,0)</f>
        <v>0</v>
      </c>
      <c r="F51" s="82">
        <f>IF(AND(IF('wk3'!B$5=Pat!$C$25,1,0),IF('wk3'!B33=Pat!B$27,1,0)),1,0)+IF(AND(IF('wk3'!C$5=Pat!$C$25,1,0),IF('wk3'!C33=Pat!B$27,1,0)),1,0)+IF(AND(IF('wk3'!D$5=Pat!$C$25,1,0),IF('wk3'!D33=Pat!B$27,1,0)),1,0)+IF(AND(IF('wk3'!E$5=Pat!$C$25,1,0),IF('wk3'!E33=Pat!B$27,1,0)),1,0)+IF(AND(IF('wk3'!F$5=Pat!$C$25,1,0),IF('wk3'!F33=Pat!B$27,1,0)),1,0)+IF(AND(IF('wk3'!G$5=Pat!$C$25,1,0),IF('wk3'!G33=Pat!B$27,1,0)),1,0)</f>
        <v>0</v>
      </c>
      <c r="G51" s="83">
        <f>IF(AND(IF('wk3'!C$5=Pat!$C$25,1,0),IF('wk3'!C33=Pat!C$27,1,0)),1,0)+IF(AND(IF('wk3'!D$5=Pat!$C$25,1,0),IF('wk3'!D33=Pat!C$27,1,0)),1,0)+IF(AND(IF('wk3'!E$5=Pat!$C$25,1,0),IF('wk3'!E33=Pat!C$27,1,0)),1,0)+IF(AND(IF('wk3'!F$5=Pat!$C$25,1,0),IF('wk3'!F33=Pat!C$27,1,0)),1,0)+IF(AND(IF('wk3'!G$5=Pat!$C$25,1,0),IF('wk3'!G33=Pat!C$27,1,0)),1,0)+IF(AND(IF('wk3'!H$5=Pat!$C$25,1,0),IF('wk3'!H33=Pat!C$27,1,0)),1,0)+IF(AND(IF('wk3'!B$5=Pat!$C$25,1,0),IF('wk3'!B33=Pat!C$27,1,0)),1,0)</f>
        <v>0</v>
      </c>
      <c r="H51" s="82">
        <f>IF(AND(IF('wk4'!B$5=Pat!$C$25,1,0),IF('wk4'!B33=Pat!B$27,1,0)),1,0)+IF(AND(IF('wk4'!C$5=Pat!$C$25,1,0),IF('wk4'!C33=Pat!B$27,1,0)),1,0)+IF(AND(IF('wk4'!D$5=Pat!$C$25,1,0),IF('wk4'!D33=Pat!B$27,1,0)),1,0)+IF(AND(IF('wk4'!E$5=Pat!$C$25,1,0),IF('wk4'!E33=Pat!B$27,1,0)),1,0)+IF(AND(IF('wk4'!F$5=Pat!$C$25,1,0),IF('wk4'!F33=Pat!B$27,1,0)),1,0)+IF(AND(IF('wk4'!G$5=Pat!$C$25,1,0),IF('wk4'!G33=Pat!B$27,1,0)),1,0)</f>
        <v>0</v>
      </c>
      <c r="I51" s="83">
        <f>IF(AND(IF('wk4'!C$5=Pat!$C$25,1,0),IF('wk4'!C33=Pat!C$27,1,0)),1,0)+IF(AND(IF('wk4'!D$5=Pat!$C$25,1,0),IF('wk4'!D33=Pat!C$27,1,0)),1,0)+IF(AND(IF('wk4'!E$5=Pat!$C$25,1,0),IF('wk4'!E33=Pat!C$27,1,0)),1,0)+IF(AND(IF('wk4'!F$5=Pat!$C$25,1,0),IF('wk4'!F33=Pat!C$27,1,0)),1,0)+IF(AND(IF('wk4'!G$5=Pat!$C$25,1,0),IF('wk4'!G33=Pat!C$27,1,0)),1,0)+IF(AND(IF('wk4'!H$5=Pat!$C$25,1,0),IF('wk4'!H33=Pat!C$27,1,0)),1,0)+IF(AND(IF('wk4'!B$5=Pat!$C$25,1,0),IF('wk4'!B33=Pat!C$27,1,0)),1,0)</f>
        <v>0</v>
      </c>
      <c r="J51" s="84">
        <f>IF(AND(IF('wk5'!B$5=Pat!$C$25,1,0),IF('wk5'!B33=Pat!B$27,1,0)),1,0)+IF(AND(IF('wk5'!C$5=Pat!$C$25,1,0),IF('wk5'!C33=Pat!B$27,1,0)),1,0)+IF(AND(IF('wk5'!D$5=Pat!$C$25,1,0),IF('wk5'!D33=Pat!B$27,1,0)),1,0)+IF(AND(IF('wk5'!E$5=Pat!$C$25,1,0),IF('wk5'!E33=Pat!B$27,1,0)),1,0)+IF(AND(IF('wk5'!F$5=Pat!$C$25,1,0),IF('wk5'!F33=Pat!B$27,1,0)),1,0)+IF(AND(IF('wk5'!G$5=Pat!$C$25,1,0),IF('wk5'!G33=Pat!B$27,1,0)),1,0)</f>
        <v>0</v>
      </c>
      <c r="K51" s="85">
        <f>IF(AND(IF('wk5'!C$5=Pat!$C$25,1,0),IF('wk5'!C33=Pat!C$27,1,0)),1,0)+IF(AND(IF('wk5'!D$5=Pat!$C$25,1,0),IF('wk5'!D33=Pat!C$27,1,0)),1,0)+IF(AND(IF('wk5'!E$5=Pat!$C$25,1,0),IF('wk5'!E33=Pat!C$27,1,0)),1,0)+IF(AND(IF('wk5'!F$5=Pat!$C$25,1,0),IF('wk5'!F33=Pat!C$27,1,0)),1,0)+IF(AND(IF('wk5'!G$5=Pat!$C$25,1,0),IF('wk5'!G33=Pat!C$27,1,0)),1,0)+IF(AND(IF('wk5'!H$5=Pat!$C$25,1,0),IF('wk5'!H33=Pat!C$27,1,0)),1,0)+IF(AND(IF('wk5'!B$5=Pat!$C$25,1,0),IF('wk5'!B33=Pat!C$27,1,0)),1,0)</f>
        <v>0</v>
      </c>
      <c r="L51" s="79"/>
      <c r="M51" s="79">
        <f t="shared" si="0"/>
        <v>0</v>
      </c>
      <c r="N51" s="81">
        <f t="shared" si="1"/>
        <v>0</v>
      </c>
      <c r="P51" s="87"/>
      <c r="Q51" s="88"/>
    </row>
    <row r="52" spans="1:17" ht="13.5" thickBot="1">
      <c r="A52" s="78" t="str">
        <f>'Members Data'!A26</f>
        <v>Hormones</v>
      </c>
      <c r="B52" s="82">
        <f>IF(AND(IF('wk1'!B$5=Pat!$C$25,1,0),IF('wk1'!B34=Pat!B$27,1,0)),1,0)+IF(AND(IF('wk1'!D$5=Pat!$C$25,1,0),IF('wk1'!C34=Pat!B$27,1,0)),1,0)+IF(AND(IF('wk1'!D$5=Pat!$C$25,1,0),IF('wk1'!D34=Pat!B$27,1,0)),1,0)+IF(AND(IF('wk1'!E$5=Pat!$C$25,1,0),IF('wk1'!E34=Pat!B$27,1,0)),1,0)+IF(AND(IF('wk1'!F$5=Pat!$C$25,1,0),IF('wk1'!F34=Pat!B$27,1,0)),1,0)+IF(AND(IF('wk1'!G$5=Pat!$C$25,1,0),IF('wk1'!G34=Pat!B$27,1,0)),1,0)</f>
        <v>0</v>
      </c>
      <c r="C52" s="83">
        <f>IF(AND(IF('wk1'!D$5=Pat!$C$25,1,0),IF('wk1'!C34=Pat!C$27,1,0)),1,0)+IF(AND(IF('wk1'!D$5=Pat!$C$25,1,0),IF('wk1'!D34=Pat!C$27,1,0)),1,0)+IF(AND(IF('wk1'!E$5=Pat!$C$25,1,0),IF('wk1'!E34=Pat!C$27,1,0)),1,0)+IF(AND(IF('wk1'!F$5=Pat!$C$25,1,0),IF('wk1'!F34=Pat!C$27,1,0)),1,0)+IF(AND(IF('wk1'!G$5=Pat!$C$25,1,0),IF('wk1'!G34=Pat!C$27,1,0)),1,0)+IF(AND(IF('wk1'!H$5=Pat!$C$25,1,0),IF('wk1'!H34=Pat!C$27,1,0)),1,0)+IF(AND(IF('wk1'!B$5=Pat!$C$25,1,0),IF('wk1'!B34=Pat!C$27,1,0)),1,0)</f>
        <v>0</v>
      </c>
      <c r="D52" s="82">
        <f>IF(AND(IF('wk2'!B$5=Pat!$C$25,1,0),IF('wk2'!B34=Pat!B$27,1,0)),1,0)+IF(AND(IF('wk2'!C$5=Pat!$C$25,1,0),IF('wk2'!C34=Pat!B$27,1,0)),1,0)+IF(AND(IF('wk2'!D$5=Pat!$C$25,1,0),IF('wk2'!D34=Pat!B$27,1,0)),1,0)+IF(AND(IF('wk2'!E$5=Pat!$C$25,1,0),IF('wk2'!E34=Pat!B$27,1,0)),1,0)+IF(AND(IF('wk2'!F$5=Pat!$C$25,1,0),IF('wk2'!F34=Pat!B$27,1,0)),1,0)+IF(AND(IF('wk2'!G$5=Pat!$C$25,1,0),IF('wk2'!G34=Pat!B$27,1,0)),1,0)</f>
        <v>0</v>
      </c>
      <c r="E52" s="83">
        <f>IF(AND(IF('wk2'!C$5=Pat!$C$25,1,0),IF('wk2'!C34=Pat!C$27,1,0)),1,0)+IF(AND(IF('wk2'!D$5=Pat!$C$25,1,0),IF('wk2'!D34=Pat!C$27,1,0)),1,0)+IF(AND(IF('wk2'!E$5=Pat!$C$25,1,0),IF('wk2'!E34=Pat!C$27,1,0)),1,0)+IF(AND(IF('wk2'!F$5=Pat!$C$25,1,0),IF('wk2'!F34=Pat!C$27,1,0)),1,0)+IF(AND(IF('wk2'!G$5=Pat!$C$25,1,0),IF('wk2'!G34=Pat!C$27,1,0)),1,0)+IF(AND(IF('wk2'!H$5=Pat!$C$25,1,0),IF('wk2'!H34=Pat!C$27,1,0)),1,0)+IF(AND(IF('wk2'!B$5=Pat!$C$25,1,0),IF('wk2'!B34=Pat!C$27,1,0)),1,0)</f>
        <v>0</v>
      </c>
      <c r="F52" s="82">
        <f>IF(AND(IF('wk3'!B$5=Pat!$C$25,1,0),IF('wk3'!B34=Pat!B$27,1,0)),1,0)+IF(AND(IF('wk3'!C$5=Pat!$C$25,1,0),IF('wk3'!C34=Pat!B$27,1,0)),1,0)+IF(AND(IF('wk3'!D$5=Pat!$C$25,1,0),IF('wk3'!D34=Pat!B$27,1,0)),1,0)+IF(AND(IF('wk3'!E$5=Pat!$C$25,1,0),IF('wk3'!E34=Pat!B$27,1,0)),1,0)+IF(AND(IF('wk3'!F$5=Pat!$C$25,1,0),IF('wk3'!F34=Pat!B$27,1,0)),1,0)+IF(AND(IF('wk3'!G$5=Pat!$C$25,1,0),IF('wk3'!G34=Pat!B$27,1,0)),1,0)</f>
        <v>0</v>
      </c>
      <c r="G52" s="83">
        <f>IF(AND(IF('wk3'!C$5=Pat!$C$25,1,0),IF('wk3'!C34=Pat!C$27,1,0)),1,0)+IF(AND(IF('wk3'!D$5=Pat!$C$25,1,0),IF('wk3'!D34=Pat!C$27,1,0)),1,0)+IF(AND(IF('wk3'!E$5=Pat!$C$25,1,0),IF('wk3'!E34=Pat!C$27,1,0)),1,0)+IF(AND(IF('wk3'!F$5=Pat!$C$25,1,0),IF('wk3'!F34=Pat!C$27,1,0)),1,0)+IF(AND(IF('wk3'!G$5=Pat!$C$25,1,0),IF('wk3'!G34=Pat!C$27,1,0)),1,0)+IF(AND(IF('wk3'!H$5=Pat!$C$25,1,0),IF('wk3'!H34=Pat!C$27,1,0)),1,0)+IF(AND(IF('wk3'!B$5=Pat!$C$25,1,0),IF('wk3'!B34=Pat!C$27,1,0)),1,0)</f>
        <v>0</v>
      </c>
      <c r="H52" s="82">
        <f>IF(AND(IF('wk4'!B$5=Pat!$C$25,1,0),IF('wk4'!B34=Pat!B$27,1,0)),1,0)+IF(AND(IF('wk4'!C$5=Pat!$C$25,1,0),IF('wk4'!C34=Pat!B$27,1,0)),1,0)+IF(AND(IF('wk4'!D$5=Pat!$C$25,1,0),IF('wk4'!D34=Pat!B$27,1,0)),1,0)+IF(AND(IF('wk4'!E$5=Pat!$C$25,1,0),IF('wk4'!E34=Pat!B$27,1,0)),1,0)+IF(AND(IF('wk4'!F$5=Pat!$C$25,1,0),IF('wk4'!F34=Pat!B$27,1,0)),1,0)+IF(AND(IF('wk4'!G$5=Pat!$C$25,1,0),IF('wk4'!G34=Pat!B$27,1,0)),1,0)</f>
        <v>0</v>
      </c>
      <c r="I52" s="83">
        <f>IF(AND(IF('wk4'!C$5=Pat!$C$25,1,0),IF('wk4'!C34=Pat!C$27,1,0)),1,0)+IF(AND(IF('wk4'!D$5=Pat!$C$25,1,0),IF('wk4'!D34=Pat!C$27,1,0)),1,0)+IF(AND(IF('wk4'!E$5=Pat!$C$25,1,0),IF('wk4'!E34=Pat!C$27,1,0)),1,0)+IF(AND(IF('wk4'!F$5=Pat!$C$25,1,0),IF('wk4'!F34=Pat!C$27,1,0)),1,0)+IF(AND(IF('wk4'!G$5=Pat!$C$25,1,0),IF('wk4'!G34=Pat!C$27,1,0)),1,0)+IF(AND(IF('wk4'!H$5=Pat!$C$25,1,0),IF('wk4'!H34=Pat!C$27,1,0)),1,0)+IF(AND(IF('wk4'!B$5=Pat!$C$25,1,0),IF('wk4'!B34=Pat!C$27,1,0)),1,0)</f>
        <v>0</v>
      </c>
      <c r="J52" s="84">
        <f>IF(AND(IF('wk5'!B$5=Pat!$C$25,1,0),IF('wk5'!B34=Pat!B$27,1,0)),1,0)+IF(AND(IF('wk5'!C$5=Pat!$C$25,1,0),IF('wk5'!C34=Pat!B$27,1,0)),1,0)+IF(AND(IF('wk5'!D$5=Pat!$C$25,1,0),IF('wk5'!D34=Pat!B$27,1,0)),1,0)+IF(AND(IF('wk5'!E$5=Pat!$C$25,1,0),IF('wk5'!E34=Pat!B$27,1,0)),1,0)+IF(AND(IF('wk5'!F$5=Pat!$C$25,1,0),IF('wk5'!F34=Pat!B$27,1,0)),1,0)+IF(AND(IF('wk5'!G$5=Pat!$C$25,1,0),IF('wk5'!G34=Pat!B$27,1,0)),1,0)</f>
        <v>0</v>
      </c>
      <c r="K52" s="85">
        <f>IF(AND(IF('wk5'!C$5=Pat!$C$25,1,0),IF('wk5'!C34=Pat!C$27,1,0)),1,0)+IF(AND(IF('wk5'!D$5=Pat!$C$25,1,0),IF('wk5'!D34=Pat!C$27,1,0)),1,0)+IF(AND(IF('wk5'!E$5=Pat!$C$25,1,0),IF('wk5'!E34=Pat!C$27,1,0)),1,0)+IF(AND(IF('wk5'!F$5=Pat!$C$25,1,0),IF('wk5'!F34=Pat!C$27,1,0)),1,0)+IF(AND(IF('wk5'!G$5=Pat!$C$25,1,0),IF('wk5'!G34=Pat!C$27,1,0)),1,0)+IF(AND(IF('wk5'!H$5=Pat!$C$25,1,0),IF('wk5'!H34=Pat!C$27,1,0)),1,0)+IF(AND(IF('wk5'!B$5=Pat!$C$25,1,0),IF('wk5'!B34=Pat!C$27,1,0)),1,0)</f>
        <v>0</v>
      </c>
      <c r="L52" s="79"/>
      <c r="M52" s="79">
        <f t="shared" si="0"/>
        <v>0</v>
      </c>
      <c r="N52" s="81">
        <f t="shared" si="1"/>
        <v>0</v>
      </c>
      <c r="P52" s="87"/>
      <c r="Q52" s="88"/>
    </row>
    <row r="53" spans="1:17" ht="13.5" thickBot="1">
      <c r="A53" s="78" t="str">
        <f>'Members Data'!A27</f>
        <v>Hyperïon</v>
      </c>
      <c r="B53" s="82">
        <f>IF(AND(IF('wk1'!B$5=Pat!$C$25,1,0),IF('wk1'!B35=Pat!B$27,1,0)),1,0)+IF(AND(IF('wk1'!D$5=Pat!$C$25,1,0),IF('wk1'!C35=Pat!B$27,1,0)),1,0)+IF(AND(IF('wk1'!D$5=Pat!$C$25,1,0),IF('wk1'!D35=Pat!B$27,1,0)),1,0)+IF(AND(IF('wk1'!E$5=Pat!$C$25,1,0),IF('wk1'!E35=Pat!B$27,1,0)),1,0)+IF(AND(IF('wk1'!F$5=Pat!$C$25,1,0),IF('wk1'!F35=Pat!B$27,1,0)),1,0)+IF(AND(IF('wk1'!G$5=Pat!$C$25,1,0),IF('wk1'!G35=Pat!B$27,1,0)),1,0)</f>
        <v>0</v>
      </c>
      <c r="C53" s="83">
        <f>IF(AND(IF('wk1'!D$5=Pat!$C$25,1,0),IF('wk1'!C35=Pat!C$27,1,0)),1,0)+IF(AND(IF('wk1'!D$5=Pat!$C$25,1,0),IF('wk1'!D35=Pat!C$27,1,0)),1,0)+IF(AND(IF('wk1'!E$5=Pat!$C$25,1,0),IF('wk1'!E35=Pat!C$27,1,0)),1,0)+IF(AND(IF('wk1'!F$5=Pat!$C$25,1,0),IF('wk1'!F35=Pat!C$27,1,0)),1,0)+IF(AND(IF('wk1'!G$5=Pat!$C$25,1,0),IF('wk1'!G35=Pat!C$27,1,0)),1,0)+IF(AND(IF('wk1'!H$5=Pat!$C$25,1,0),IF('wk1'!H35=Pat!C$27,1,0)),1,0)+IF(AND(IF('wk1'!B$5=Pat!$C$25,1,0),IF('wk1'!B35=Pat!C$27,1,0)),1,0)</f>
        <v>0</v>
      </c>
      <c r="D53" s="82">
        <f>IF(AND(IF('wk2'!B$5=Pat!$C$25,1,0),IF('wk2'!B35=Pat!B$27,1,0)),1,0)+IF(AND(IF('wk2'!C$5=Pat!$C$25,1,0),IF('wk2'!C35=Pat!B$27,1,0)),1,0)+IF(AND(IF('wk2'!D$5=Pat!$C$25,1,0),IF('wk2'!D35=Pat!B$27,1,0)),1,0)+IF(AND(IF('wk2'!E$5=Pat!$C$25,1,0),IF('wk2'!E35=Pat!B$27,1,0)),1,0)+IF(AND(IF('wk2'!F$5=Pat!$C$25,1,0),IF('wk2'!F35=Pat!B$27,1,0)),1,0)+IF(AND(IF('wk2'!G$5=Pat!$C$25,1,0),IF('wk2'!G35=Pat!B$27,1,0)),1,0)</f>
        <v>0</v>
      </c>
      <c r="E53" s="83">
        <f>IF(AND(IF('wk2'!C$5=Pat!$C$25,1,0),IF('wk2'!C35=Pat!C$27,1,0)),1,0)+IF(AND(IF('wk2'!D$5=Pat!$C$25,1,0),IF('wk2'!D35=Pat!C$27,1,0)),1,0)+IF(AND(IF('wk2'!E$5=Pat!$C$25,1,0),IF('wk2'!E35=Pat!C$27,1,0)),1,0)+IF(AND(IF('wk2'!F$5=Pat!$C$25,1,0),IF('wk2'!F35=Pat!C$27,1,0)),1,0)+IF(AND(IF('wk2'!G$5=Pat!$C$25,1,0),IF('wk2'!G35=Pat!C$27,1,0)),1,0)+IF(AND(IF('wk2'!H$5=Pat!$C$25,1,0),IF('wk2'!H35=Pat!C$27,1,0)),1,0)+IF(AND(IF('wk2'!B$5=Pat!$C$25,1,0),IF('wk2'!B35=Pat!C$27,1,0)),1,0)</f>
        <v>0</v>
      </c>
      <c r="F53" s="82">
        <f>IF(AND(IF('wk3'!B$5=Pat!$C$25,1,0),IF('wk3'!B35=Pat!B$27,1,0)),1,0)+IF(AND(IF('wk3'!C$5=Pat!$C$25,1,0),IF('wk3'!C35=Pat!B$27,1,0)),1,0)+IF(AND(IF('wk3'!D$5=Pat!$C$25,1,0),IF('wk3'!D35=Pat!B$27,1,0)),1,0)+IF(AND(IF('wk3'!E$5=Pat!$C$25,1,0),IF('wk3'!E35=Pat!B$27,1,0)),1,0)+IF(AND(IF('wk3'!F$5=Pat!$C$25,1,0),IF('wk3'!F35=Pat!B$27,1,0)),1,0)+IF(AND(IF('wk3'!G$5=Pat!$C$25,1,0),IF('wk3'!G35=Pat!B$27,1,0)),1,0)</f>
        <v>0</v>
      </c>
      <c r="G53" s="83">
        <f>IF(AND(IF('wk3'!C$5=Pat!$C$25,1,0),IF('wk3'!C35=Pat!C$27,1,0)),1,0)+IF(AND(IF('wk3'!D$5=Pat!$C$25,1,0),IF('wk3'!D35=Pat!C$27,1,0)),1,0)+IF(AND(IF('wk3'!E$5=Pat!$C$25,1,0),IF('wk3'!E35=Pat!C$27,1,0)),1,0)+IF(AND(IF('wk3'!F$5=Pat!$C$25,1,0),IF('wk3'!F35=Pat!C$27,1,0)),1,0)+IF(AND(IF('wk3'!G$5=Pat!$C$25,1,0),IF('wk3'!G35=Pat!C$27,1,0)),1,0)+IF(AND(IF('wk3'!H$5=Pat!$C$25,1,0),IF('wk3'!H35=Pat!C$27,1,0)),1,0)+IF(AND(IF('wk3'!B$5=Pat!$C$25,1,0),IF('wk3'!B35=Pat!C$27,1,0)),1,0)</f>
        <v>0</v>
      </c>
      <c r="H53" s="82">
        <f>IF(AND(IF('wk4'!B$5=Pat!$C$25,1,0),IF('wk4'!B35=Pat!B$27,1,0)),1,0)+IF(AND(IF('wk4'!C$5=Pat!$C$25,1,0),IF('wk4'!C35=Pat!B$27,1,0)),1,0)+IF(AND(IF('wk4'!D$5=Pat!$C$25,1,0),IF('wk4'!D35=Pat!B$27,1,0)),1,0)+IF(AND(IF('wk4'!E$5=Pat!$C$25,1,0),IF('wk4'!E35=Pat!B$27,1,0)),1,0)+IF(AND(IF('wk4'!F$5=Pat!$C$25,1,0),IF('wk4'!F35=Pat!B$27,1,0)),1,0)+IF(AND(IF('wk4'!G$5=Pat!$C$25,1,0),IF('wk4'!G35=Pat!B$27,1,0)),1,0)</f>
        <v>0</v>
      </c>
      <c r="I53" s="83">
        <f>IF(AND(IF('wk4'!C$5=Pat!$C$25,1,0),IF('wk4'!C35=Pat!C$27,1,0)),1,0)+IF(AND(IF('wk4'!D$5=Pat!$C$25,1,0),IF('wk4'!D35=Pat!C$27,1,0)),1,0)+IF(AND(IF('wk4'!E$5=Pat!$C$25,1,0),IF('wk4'!E35=Pat!C$27,1,0)),1,0)+IF(AND(IF('wk4'!F$5=Pat!$C$25,1,0),IF('wk4'!F35=Pat!C$27,1,0)),1,0)+IF(AND(IF('wk4'!G$5=Pat!$C$25,1,0),IF('wk4'!G35=Pat!C$27,1,0)),1,0)+IF(AND(IF('wk4'!H$5=Pat!$C$25,1,0),IF('wk4'!H35=Pat!C$27,1,0)),1,0)+IF(AND(IF('wk4'!B$5=Pat!$C$25,1,0),IF('wk4'!B35=Pat!C$27,1,0)),1,0)</f>
        <v>0</v>
      </c>
      <c r="J53" s="84">
        <f>IF(AND(IF('wk5'!B$5=Pat!$C$25,1,0),IF('wk5'!B35=Pat!B$27,1,0)),1,0)+IF(AND(IF('wk5'!C$5=Pat!$C$25,1,0),IF('wk5'!C35=Pat!B$27,1,0)),1,0)+IF(AND(IF('wk5'!D$5=Pat!$C$25,1,0),IF('wk5'!D35=Pat!B$27,1,0)),1,0)+IF(AND(IF('wk5'!E$5=Pat!$C$25,1,0),IF('wk5'!E35=Pat!B$27,1,0)),1,0)+IF(AND(IF('wk5'!F$5=Pat!$C$25,1,0),IF('wk5'!F35=Pat!B$27,1,0)),1,0)+IF(AND(IF('wk5'!G$5=Pat!$C$25,1,0),IF('wk5'!G35=Pat!B$27,1,0)),1,0)</f>
        <v>0</v>
      </c>
      <c r="K53" s="85">
        <f>IF(AND(IF('wk5'!C$5=Pat!$C$25,1,0),IF('wk5'!C35=Pat!C$27,1,0)),1,0)+IF(AND(IF('wk5'!D$5=Pat!$C$25,1,0),IF('wk5'!D35=Pat!C$27,1,0)),1,0)+IF(AND(IF('wk5'!E$5=Pat!$C$25,1,0),IF('wk5'!E35=Pat!C$27,1,0)),1,0)+IF(AND(IF('wk5'!F$5=Pat!$C$25,1,0),IF('wk5'!F35=Pat!C$27,1,0)),1,0)+IF(AND(IF('wk5'!G$5=Pat!$C$25,1,0),IF('wk5'!G35=Pat!C$27,1,0)),1,0)+IF(AND(IF('wk5'!H$5=Pat!$C$25,1,0),IF('wk5'!H35=Pat!C$27,1,0)),1,0)+IF(AND(IF('wk5'!B$5=Pat!$C$25,1,0),IF('wk5'!B35=Pat!C$27,1,0)),1,0)</f>
        <v>0</v>
      </c>
      <c r="L53" s="79"/>
      <c r="M53" s="79">
        <f t="shared" si="0"/>
        <v>0</v>
      </c>
      <c r="N53" s="81">
        <f t="shared" si="1"/>
        <v>0</v>
      </c>
      <c r="P53" s="87"/>
      <c r="Q53" s="88"/>
    </row>
    <row r="54" spans="1:17" ht="13.5" thickBot="1">
      <c r="A54" s="78" t="str">
        <f>'Members Data'!A28</f>
        <v>Hyunâ</v>
      </c>
      <c r="B54" s="82">
        <f>IF(AND(IF('wk1'!B$5=Pat!$C$25,1,0),IF('wk1'!B36=Pat!B$27,1,0)),1,0)+IF(AND(IF('wk1'!D$5=Pat!$C$25,1,0),IF('wk1'!C36=Pat!B$27,1,0)),1,0)+IF(AND(IF('wk1'!D$5=Pat!$C$25,1,0),IF('wk1'!D36=Pat!B$27,1,0)),1,0)+IF(AND(IF('wk1'!E$5=Pat!$C$25,1,0),IF('wk1'!E36=Pat!B$27,1,0)),1,0)+IF(AND(IF('wk1'!F$5=Pat!$C$25,1,0),IF('wk1'!F36=Pat!B$27,1,0)),1,0)+IF(AND(IF('wk1'!G$5=Pat!$C$25,1,0),IF('wk1'!G36=Pat!B$27,1,0)),1,0)</f>
        <v>0</v>
      </c>
      <c r="C54" s="83">
        <f>IF(AND(IF('wk1'!D$5=Pat!$C$25,1,0),IF('wk1'!C36=Pat!C$27,1,0)),1,0)+IF(AND(IF('wk1'!D$5=Pat!$C$25,1,0),IF('wk1'!D36=Pat!C$27,1,0)),1,0)+IF(AND(IF('wk1'!E$5=Pat!$C$25,1,0),IF('wk1'!E36=Pat!C$27,1,0)),1,0)+IF(AND(IF('wk1'!F$5=Pat!$C$25,1,0),IF('wk1'!F36=Pat!C$27,1,0)),1,0)+IF(AND(IF('wk1'!G$5=Pat!$C$25,1,0),IF('wk1'!G36=Pat!C$27,1,0)),1,0)+IF(AND(IF('wk1'!H$5=Pat!$C$25,1,0),IF('wk1'!H36=Pat!C$27,1,0)),1,0)+IF(AND(IF('wk1'!B$5=Pat!$C$25,1,0),IF('wk1'!B36=Pat!C$27,1,0)),1,0)</f>
        <v>0</v>
      </c>
      <c r="D54" s="82">
        <f>IF(AND(IF('wk2'!B$5=Pat!$C$25,1,0),IF('wk2'!B36=Pat!B$27,1,0)),1,0)+IF(AND(IF('wk2'!C$5=Pat!$C$25,1,0),IF('wk2'!C36=Pat!B$27,1,0)),1,0)+IF(AND(IF('wk2'!D$5=Pat!$C$25,1,0),IF('wk2'!D36=Pat!B$27,1,0)),1,0)+IF(AND(IF('wk2'!E$5=Pat!$C$25,1,0),IF('wk2'!E36=Pat!B$27,1,0)),1,0)+IF(AND(IF('wk2'!F$5=Pat!$C$25,1,0),IF('wk2'!F36=Pat!B$27,1,0)),1,0)+IF(AND(IF('wk2'!G$5=Pat!$C$25,1,0),IF('wk2'!G36=Pat!B$27,1,0)),1,0)</f>
        <v>0</v>
      </c>
      <c r="E54" s="83">
        <f>IF(AND(IF('wk2'!C$5=Pat!$C$25,1,0),IF('wk2'!C36=Pat!C$27,1,0)),1,0)+IF(AND(IF('wk2'!D$5=Pat!$C$25,1,0),IF('wk2'!D36=Pat!C$27,1,0)),1,0)+IF(AND(IF('wk2'!E$5=Pat!$C$25,1,0),IF('wk2'!E36=Pat!C$27,1,0)),1,0)+IF(AND(IF('wk2'!F$5=Pat!$C$25,1,0),IF('wk2'!F36=Pat!C$27,1,0)),1,0)+IF(AND(IF('wk2'!G$5=Pat!$C$25,1,0),IF('wk2'!G36=Pat!C$27,1,0)),1,0)+IF(AND(IF('wk2'!H$5=Pat!$C$25,1,0),IF('wk2'!H36=Pat!C$27,1,0)),1,0)+IF(AND(IF('wk2'!B$5=Pat!$C$25,1,0),IF('wk2'!B36=Pat!C$27,1,0)),1,0)</f>
        <v>0</v>
      </c>
      <c r="F54" s="82">
        <f>IF(AND(IF('wk3'!B$5=Pat!$C$25,1,0),IF('wk3'!B36=Pat!B$27,1,0)),1,0)+IF(AND(IF('wk3'!C$5=Pat!$C$25,1,0),IF('wk3'!C36=Pat!B$27,1,0)),1,0)+IF(AND(IF('wk3'!D$5=Pat!$C$25,1,0),IF('wk3'!D36=Pat!B$27,1,0)),1,0)+IF(AND(IF('wk3'!E$5=Pat!$C$25,1,0),IF('wk3'!E36=Pat!B$27,1,0)),1,0)+IF(AND(IF('wk3'!F$5=Pat!$C$25,1,0),IF('wk3'!F36=Pat!B$27,1,0)),1,0)+IF(AND(IF('wk3'!G$5=Pat!$C$25,1,0),IF('wk3'!G36=Pat!B$27,1,0)),1,0)</f>
        <v>0</v>
      </c>
      <c r="G54" s="83">
        <f>IF(AND(IF('wk3'!C$5=Pat!$C$25,1,0),IF('wk3'!C36=Pat!C$27,1,0)),1,0)+IF(AND(IF('wk3'!D$5=Pat!$C$25,1,0),IF('wk3'!D36=Pat!C$27,1,0)),1,0)+IF(AND(IF('wk3'!E$5=Pat!$C$25,1,0),IF('wk3'!E36=Pat!C$27,1,0)),1,0)+IF(AND(IF('wk3'!F$5=Pat!$C$25,1,0),IF('wk3'!F36=Pat!C$27,1,0)),1,0)+IF(AND(IF('wk3'!G$5=Pat!$C$25,1,0),IF('wk3'!G36=Pat!C$27,1,0)),1,0)+IF(AND(IF('wk3'!H$5=Pat!$C$25,1,0),IF('wk3'!H36=Pat!C$27,1,0)),1,0)+IF(AND(IF('wk3'!B$5=Pat!$C$25,1,0),IF('wk3'!B36=Pat!C$27,1,0)),1,0)</f>
        <v>0</v>
      </c>
      <c r="H54" s="82">
        <f>IF(AND(IF('wk4'!B$5=Pat!$C$25,1,0),IF('wk4'!B36=Pat!B$27,1,0)),1,0)+IF(AND(IF('wk4'!C$5=Pat!$C$25,1,0),IF('wk4'!C36=Pat!B$27,1,0)),1,0)+IF(AND(IF('wk4'!D$5=Pat!$C$25,1,0),IF('wk4'!D36=Pat!B$27,1,0)),1,0)+IF(AND(IF('wk4'!E$5=Pat!$C$25,1,0),IF('wk4'!E36=Pat!B$27,1,0)),1,0)+IF(AND(IF('wk4'!F$5=Pat!$C$25,1,0),IF('wk4'!F36=Pat!B$27,1,0)),1,0)+IF(AND(IF('wk4'!G$5=Pat!$C$25,1,0),IF('wk4'!G36=Pat!B$27,1,0)),1,0)</f>
        <v>0</v>
      </c>
      <c r="I54" s="83">
        <f>IF(AND(IF('wk4'!C$5=Pat!$C$25,1,0),IF('wk4'!C36=Pat!C$27,1,0)),1,0)+IF(AND(IF('wk4'!D$5=Pat!$C$25,1,0),IF('wk4'!D36=Pat!C$27,1,0)),1,0)+IF(AND(IF('wk4'!E$5=Pat!$C$25,1,0),IF('wk4'!E36=Pat!C$27,1,0)),1,0)+IF(AND(IF('wk4'!F$5=Pat!$C$25,1,0),IF('wk4'!F36=Pat!C$27,1,0)),1,0)+IF(AND(IF('wk4'!G$5=Pat!$C$25,1,0),IF('wk4'!G36=Pat!C$27,1,0)),1,0)+IF(AND(IF('wk4'!H$5=Pat!$C$25,1,0),IF('wk4'!H36=Pat!C$27,1,0)),1,0)+IF(AND(IF('wk4'!B$5=Pat!$C$25,1,0),IF('wk4'!B36=Pat!C$27,1,0)),1,0)</f>
        <v>0</v>
      </c>
      <c r="J54" s="84">
        <f>IF(AND(IF('wk5'!B$5=Pat!$C$25,1,0),IF('wk5'!B36=Pat!B$27,1,0)),1,0)+IF(AND(IF('wk5'!C$5=Pat!$C$25,1,0),IF('wk5'!C36=Pat!B$27,1,0)),1,0)+IF(AND(IF('wk5'!D$5=Pat!$C$25,1,0),IF('wk5'!D36=Pat!B$27,1,0)),1,0)+IF(AND(IF('wk5'!E$5=Pat!$C$25,1,0),IF('wk5'!E36=Pat!B$27,1,0)),1,0)+IF(AND(IF('wk5'!F$5=Pat!$C$25,1,0),IF('wk5'!F36=Pat!B$27,1,0)),1,0)+IF(AND(IF('wk5'!G$5=Pat!$C$25,1,0),IF('wk5'!G36=Pat!B$27,1,0)),1,0)</f>
        <v>0</v>
      </c>
      <c r="K54" s="85">
        <f>IF(AND(IF('wk5'!C$5=Pat!$C$25,1,0),IF('wk5'!C36=Pat!C$27,1,0)),1,0)+IF(AND(IF('wk5'!D$5=Pat!$C$25,1,0),IF('wk5'!D36=Pat!C$27,1,0)),1,0)+IF(AND(IF('wk5'!E$5=Pat!$C$25,1,0),IF('wk5'!E36=Pat!C$27,1,0)),1,0)+IF(AND(IF('wk5'!F$5=Pat!$C$25,1,0),IF('wk5'!F36=Pat!C$27,1,0)),1,0)+IF(AND(IF('wk5'!G$5=Pat!$C$25,1,0),IF('wk5'!G36=Pat!C$27,1,0)),1,0)+IF(AND(IF('wk5'!H$5=Pat!$C$25,1,0),IF('wk5'!H36=Pat!C$27,1,0)),1,0)+IF(AND(IF('wk5'!B$5=Pat!$C$25,1,0),IF('wk5'!B36=Pat!C$27,1,0)),1,0)</f>
        <v>0</v>
      </c>
      <c r="L54" s="79"/>
      <c r="M54" s="79">
        <f t="shared" si="0"/>
        <v>0</v>
      </c>
      <c r="N54" s="81">
        <f t="shared" si="1"/>
        <v>0</v>
      </c>
      <c r="P54" s="87"/>
      <c r="Q54" s="88"/>
    </row>
    <row r="55" spans="1:17" ht="13.5" thickBot="1">
      <c r="A55" s="78" t="str">
        <f>'Members Data'!A29</f>
        <v>Izzabelle</v>
      </c>
      <c r="B55" s="82">
        <f>IF(AND(IF('wk1'!B$5=Pat!$C$25,1,0),IF('wk1'!B37=Pat!B$27,1,0)),1,0)+IF(AND(IF('wk1'!D$5=Pat!$C$25,1,0),IF('wk1'!C37=Pat!B$27,1,0)),1,0)+IF(AND(IF('wk1'!D$5=Pat!$C$25,1,0),IF('wk1'!D37=Pat!B$27,1,0)),1,0)+IF(AND(IF('wk1'!E$5=Pat!$C$25,1,0),IF('wk1'!E37=Pat!B$27,1,0)),1,0)+IF(AND(IF('wk1'!F$5=Pat!$C$25,1,0),IF('wk1'!F37=Pat!B$27,1,0)),1,0)+IF(AND(IF('wk1'!G$5=Pat!$C$25,1,0),IF('wk1'!G37=Pat!B$27,1,0)),1,0)</f>
        <v>0</v>
      </c>
      <c r="C55" s="83">
        <f>IF(AND(IF('wk1'!D$5=Pat!$C$25,1,0),IF('wk1'!C37=Pat!C$27,1,0)),1,0)+IF(AND(IF('wk1'!D$5=Pat!$C$25,1,0),IF('wk1'!D37=Pat!C$27,1,0)),1,0)+IF(AND(IF('wk1'!E$5=Pat!$C$25,1,0),IF('wk1'!E37=Pat!C$27,1,0)),1,0)+IF(AND(IF('wk1'!F$5=Pat!$C$25,1,0),IF('wk1'!F37=Pat!C$27,1,0)),1,0)+IF(AND(IF('wk1'!G$5=Pat!$C$25,1,0),IF('wk1'!G37=Pat!C$27,1,0)),1,0)+IF(AND(IF('wk1'!H$5=Pat!$C$25,1,0),IF('wk1'!H37=Pat!C$27,1,0)),1,0)+IF(AND(IF('wk1'!B$5=Pat!$C$25,1,0),IF('wk1'!B37=Pat!C$27,1,0)),1,0)</f>
        <v>0</v>
      </c>
      <c r="D55" s="82">
        <f>IF(AND(IF('wk2'!B$5=Pat!$C$25,1,0),IF('wk2'!B37=Pat!B$27,1,0)),1,0)+IF(AND(IF('wk2'!C$5=Pat!$C$25,1,0),IF('wk2'!C37=Pat!B$27,1,0)),1,0)+IF(AND(IF('wk2'!D$5=Pat!$C$25,1,0),IF('wk2'!D37=Pat!B$27,1,0)),1,0)+IF(AND(IF('wk2'!E$5=Pat!$C$25,1,0),IF('wk2'!E37=Pat!B$27,1,0)),1,0)+IF(AND(IF('wk2'!F$5=Pat!$C$25,1,0),IF('wk2'!F37=Pat!B$27,1,0)),1,0)+IF(AND(IF('wk2'!G$5=Pat!$C$25,1,0),IF('wk2'!G37=Pat!B$27,1,0)),1,0)</f>
        <v>0</v>
      </c>
      <c r="E55" s="83">
        <f>IF(AND(IF('wk2'!C$5=Pat!$C$25,1,0),IF('wk2'!C37=Pat!C$27,1,0)),1,0)+IF(AND(IF('wk2'!D$5=Pat!$C$25,1,0),IF('wk2'!D37=Pat!C$27,1,0)),1,0)+IF(AND(IF('wk2'!E$5=Pat!$C$25,1,0),IF('wk2'!E37=Pat!C$27,1,0)),1,0)+IF(AND(IF('wk2'!F$5=Pat!$C$25,1,0),IF('wk2'!F37=Pat!C$27,1,0)),1,0)+IF(AND(IF('wk2'!G$5=Pat!$C$25,1,0),IF('wk2'!G37=Pat!C$27,1,0)),1,0)+IF(AND(IF('wk2'!H$5=Pat!$C$25,1,0),IF('wk2'!H37=Pat!C$27,1,0)),1,0)+IF(AND(IF('wk2'!B$5=Pat!$C$25,1,0),IF('wk2'!B37=Pat!C$27,1,0)),1,0)</f>
        <v>0</v>
      </c>
      <c r="F55" s="82">
        <f>IF(AND(IF('wk3'!B$5=Pat!$C$25,1,0),IF('wk3'!B37=Pat!B$27,1,0)),1,0)+IF(AND(IF('wk3'!C$5=Pat!$C$25,1,0),IF('wk3'!C37=Pat!B$27,1,0)),1,0)+IF(AND(IF('wk3'!D$5=Pat!$C$25,1,0),IF('wk3'!D37=Pat!B$27,1,0)),1,0)+IF(AND(IF('wk3'!E$5=Pat!$C$25,1,0),IF('wk3'!E37=Pat!B$27,1,0)),1,0)+IF(AND(IF('wk3'!F$5=Pat!$C$25,1,0),IF('wk3'!F37=Pat!B$27,1,0)),1,0)+IF(AND(IF('wk3'!G$5=Pat!$C$25,1,0),IF('wk3'!G37=Pat!B$27,1,0)),1,0)</f>
        <v>0</v>
      </c>
      <c r="G55" s="83">
        <f>IF(AND(IF('wk3'!C$5=Pat!$C$25,1,0),IF('wk3'!C37=Pat!C$27,1,0)),1,0)+IF(AND(IF('wk3'!D$5=Pat!$C$25,1,0),IF('wk3'!D37=Pat!C$27,1,0)),1,0)+IF(AND(IF('wk3'!E$5=Pat!$C$25,1,0),IF('wk3'!E37=Pat!C$27,1,0)),1,0)+IF(AND(IF('wk3'!F$5=Pat!$C$25,1,0),IF('wk3'!F37=Pat!C$27,1,0)),1,0)+IF(AND(IF('wk3'!G$5=Pat!$C$25,1,0),IF('wk3'!G37=Pat!C$27,1,0)),1,0)+IF(AND(IF('wk3'!H$5=Pat!$C$25,1,0),IF('wk3'!H37=Pat!C$27,1,0)),1,0)+IF(AND(IF('wk3'!B$5=Pat!$C$25,1,0),IF('wk3'!B37=Pat!C$27,1,0)),1,0)</f>
        <v>0</v>
      </c>
      <c r="H55" s="82">
        <f>IF(AND(IF('wk4'!B$5=Pat!$C$25,1,0),IF('wk4'!B37=Pat!B$27,1,0)),1,0)+IF(AND(IF('wk4'!C$5=Pat!$C$25,1,0),IF('wk4'!C37=Pat!B$27,1,0)),1,0)+IF(AND(IF('wk4'!D$5=Pat!$C$25,1,0),IF('wk4'!D37=Pat!B$27,1,0)),1,0)+IF(AND(IF('wk4'!E$5=Pat!$C$25,1,0),IF('wk4'!E37=Pat!B$27,1,0)),1,0)+IF(AND(IF('wk4'!F$5=Pat!$C$25,1,0),IF('wk4'!F37=Pat!B$27,1,0)),1,0)+IF(AND(IF('wk4'!G$5=Pat!$C$25,1,0),IF('wk4'!G37=Pat!B$27,1,0)),1,0)</f>
        <v>0</v>
      </c>
      <c r="I55" s="83">
        <f>IF(AND(IF('wk4'!C$5=Pat!$C$25,1,0),IF('wk4'!C37=Pat!C$27,1,0)),1,0)+IF(AND(IF('wk4'!D$5=Pat!$C$25,1,0),IF('wk4'!D37=Pat!C$27,1,0)),1,0)+IF(AND(IF('wk4'!E$5=Pat!$C$25,1,0),IF('wk4'!E37=Pat!C$27,1,0)),1,0)+IF(AND(IF('wk4'!F$5=Pat!$C$25,1,0),IF('wk4'!F37=Pat!C$27,1,0)),1,0)+IF(AND(IF('wk4'!G$5=Pat!$C$25,1,0),IF('wk4'!G37=Pat!C$27,1,0)),1,0)+IF(AND(IF('wk4'!H$5=Pat!$C$25,1,0),IF('wk4'!H37=Pat!C$27,1,0)),1,0)+IF(AND(IF('wk4'!B$5=Pat!$C$25,1,0),IF('wk4'!B37=Pat!C$27,1,0)),1,0)</f>
        <v>0</v>
      </c>
      <c r="J55" s="84">
        <f>IF(AND(IF('wk5'!B$5=Pat!$C$25,1,0),IF('wk5'!B37=Pat!B$27,1,0)),1,0)+IF(AND(IF('wk5'!C$5=Pat!$C$25,1,0),IF('wk5'!C37=Pat!B$27,1,0)),1,0)+IF(AND(IF('wk5'!D$5=Pat!$C$25,1,0),IF('wk5'!D37=Pat!B$27,1,0)),1,0)+IF(AND(IF('wk5'!E$5=Pat!$C$25,1,0),IF('wk5'!E37=Pat!B$27,1,0)),1,0)+IF(AND(IF('wk5'!F$5=Pat!$C$25,1,0),IF('wk5'!F37=Pat!B$27,1,0)),1,0)+IF(AND(IF('wk5'!G$5=Pat!$C$25,1,0),IF('wk5'!G37=Pat!B$27,1,0)),1,0)</f>
        <v>0</v>
      </c>
      <c r="K55" s="85">
        <f>IF(AND(IF('wk5'!C$5=Pat!$C$25,1,0),IF('wk5'!C37=Pat!C$27,1,0)),1,0)+IF(AND(IF('wk5'!D$5=Pat!$C$25,1,0),IF('wk5'!D37=Pat!C$27,1,0)),1,0)+IF(AND(IF('wk5'!E$5=Pat!$C$25,1,0),IF('wk5'!E37=Pat!C$27,1,0)),1,0)+IF(AND(IF('wk5'!F$5=Pat!$C$25,1,0),IF('wk5'!F37=Pat!C$27,1,0)),1,0)+IF(AND(IF('wk5'!G$5=Pat!$C$25,1,0),IF('wk5'!G37=Pat!C$27,1,0)),1,0)+IF(AND(IF('wk5'!H$5=Pat!$C$25,1,0),IF('wk5'!H37=Pat!C$27,1,0)),1,0)+IF(AND(IF('wk5'!B$5=Pat!$C$25,1,0),IF('wk5'!B37=Pat!C$27,1,0)),1,0)</f>
        <v>0</v>
      </c>
      <c r="L55" s="79"/>
      <c r="M55" s="79">
        <f t="shared" si="0"/>
        <v>0</v>
      </c>
      <c r="N55" s="81">
        <f t="shared" si="1"/>
        <v>0</v>
      </c>
      <c r="P55" s="87"/>
      <c r="Q55" s="73"/>
    </row>
    <row r="56" spans="1:17" ht="13.5" thickBot="1">
      <c r="A56" s="78" t="str">
        <f>'Members Data'!A30</f>
        <v>Jimentoez</v>
      </c>
      <c r="B56" s="82">
        <f>IF(AND(IF('wk1'!B$5=Pat!$C$25,1,0),IF('wk1'!B38=Pat!B$27,1,0)),1,0)+IF(AND(IF('wk1'!D$5=Pat!$C$25,1,0),IF('wk1'!C38=Pat!B$27,1,0)),1,0)+IF(AND(IF('wk1'!D$5=Pat!$C$25,1,0),IF('wk1'!D38=Pat!B$27,1,0)),1,0)+IF(AND(IF('wk1'!E$5=Pat!$C$25,1,0),IF('wk1'!E38=Pat!B$27,1,0)),1,0)+IF(AND(IF('wk1'!F$5=Pat!$C$25,1,0),IF('wk1'!F38=Pat!B$27,1,0)),1,0)+IF(AND(IF('wk1'!G$5=Pat!$C$25,1,0),IF('wk1'!G38=Pat!B$27,1,0)),1,0)</f>
        <v>0</v>
      </c>
      <c r="C56" s="83">
        <f>IF(AND(IF('wk1'!D$5=Pat!$C$25,1,0),IF('wk1'!C38=Pat!C$27,1,0)),1,0)+IF(AND(IF('wk1'!D$5=Pat!$C$25,1,0),IF('wk1'!D38=Pat!C$27,1,0)),1,0)+IF(AND(IF('wk1'!E$5=Pat!$C$25,1,0),IF('wk1'!E38=Pat!C$27,1,0)),1,0)+IF(AND(IF('wk1'!F$5=Pat!$C$25,1,0),IF('wk1'!F38=Pat!C$27,1,0)),1,0)+IF(AND(IF('wk1'!G$5=Pat!$C$25,1,0),IF('wk1'!G38=Pat!C$27,1,0)),1,0)+IF(AND(IF('wk1'!H$5=Pat!$C$25,1,0),IF('wk1'!H38=Pat!C$27,1,0)),1,0)+IF(AND(IF('wk1'!B$5=Pat!$C$25,1,0),IF('wk1'!B38=Pat!C$27,1,0)),1,0)</f>
        <v>0</v>
      </c>
      <c r="D56" s="82">
        <f>IF(AND(IF('wk2'!B$5=Pat!$C$25,1,0),IF('wk2'!B38=Pat!B$27,1,0)),1,0)+IF(AND(IF('wk2'!C$5=Pat!$C$25,1,0),IF('wk2'!C38=Pat!B$27,1,0)),1,0)+IF(AND(IF('wk2'!D$5=Pat!$C$25,1,0),IF('wk2'!D38=Pat!B$27,1,0)),1,0)+IF(AND(IF('wk2'!E$5=Pat!$C$25,1,0),IF('wk2'!E38=Pat!B$27,1,0)),1,0)+IF(AND(IF('wk2'!F$5=Pat!$C$25,1,0),IF('wk2'!F38=Pat!B$27,1,0)),1,0)+IF(AND(IF('wk2'!G$5=Pat!$C$25,1,0),IF('wk2'!G38=Pat!B$27,1,0)),1,0)</f>
        <v>0</v>
      </c>
      <c r="E56" s="83">
        <f>IF(AND(IF('wk2'!C$5=Pat!$C$25,1,0),IF('wk2'!C38=Pat!C$27,1,0)),1,0)+IF(AND(IF('wk2'!D$5=Pat!$C$25,1,0),IF('wk2'!D38=Pat!C$27,1,0)),1,0)+IF(AND(IF('wk2'!E$5=Pat!$C$25,1,0),IF('wk2'!E38=Pat!C$27,1,0)),1,0)+IF(AND(IF('wk2'!F$5=Pat!$C$25,1,0),IF('wk2'!F38=Pat!C$27,1,0)),1,0)+IF(AND(IF('wk2'!G$5=Pat!$C$25,1,0),IF('wk2'!G38=Pat!C$27,1,0)),1,0)+IF(AND(IF('wk2'!H$5=Pat!$C$25,1,0),IF('wk2'!H38=Pat!C$27,1,0)),1,0)+IF(AND(IF('wk2'!B$5=Pat!$C$25,1,0),IF('wk2'!B38=Pat!C$27,1,0)),1,0)</f>
        <v>0</v>
      </c>
      <c r="F56" s="82">
        <f>IF(AND(IF('wk3'!B$5=Pat!$C$25,1,0),IF('wk3'!B38=Pat!B$27,1,0)),1,0)+IF(AND(IF('wk3'!C$5=Pat!$C$25,1,0),IF('wk3'!C38=Pat!B$27,1,0)),1,0)+IF(AND(IF('wk3'!D$5=Pat!$C$25,1,0),IF('wk3'!D38=Pat!B$27,1,0)),1,0)+IF(AND(IF('wk3'!E$5=Pat!$C$25,1,0),IF('wk3'!E38=Pat!B$27,1,0)),1,0)+IF(AND(IF('wk3'!F$5=Pat!$C$25,1,0),IF('wk3'!F38=Pat!B$27,1,0)),1,0)+IF(AND(IF('wk3'!G$5=Pat!$C$25,1,0),IF('wk3'!G38=Pat!B$27,1,0)),1,0)</f>
        <v>0</v>
      </c>
      <c r="G56" s="83">
        <f>IF(AND(IF('wk3'!C$5=Pat!$C$25,1,0),IF('wk3'!C38=Pat!C$27,1,0)),1,0)+IF(AND(IF('wk3'!D$5=Pat!$C$25,1,0),IF('wk3'!D38=Pat!C$27,1,0)),1,0)+IF(AND(IF('wk3'!E$5=Pat!$C$25,1,0),IF('wk3'!E38=Pat!C$27,1,0)),1,0)+IF(AND(IF('wk3'!F$5=Pat!$C$25,1,0),IF('wk3'!F38=Pat!C$27,1,0)),1,0)+IF(AND(IF('wk3'!G$5=Pat!$C$25,1,0),IF('wk3'!G38=Pat!C$27,1,0)),1,0)+IF(AND(IF('wk3'!H$5=Pat!$C$25,1,0),IF('wk3'!H38=Pat!C$27,1,0)),1,0)+IF(AND(IF('wk3'!B$5=Pat!$C$25,1,0),IF('wk3'!B38=Pat!C$27,1,0)),1,0)</f>
        <v>0</v>
      </c>
      <c r="H56" s="82">
        <f>IF(AND(IF('wk4'!B$5=Pat!$C$25,1,0),IF('wk4'!B38=Pat!B$27,1,0)),1,0)+IF(AND(IF('wk4'!C$5=Pat!$C$25,1,0),IF('wk4'!C38=Pat!B$27,1,0)),1,0)+IF(AND(IF('wk4'!D$5=Pat!$C$25,1,0),IF('wk4'!D38=Pat!B$27,1,0)),1,0)+IF(AND(IF('wk4'!E$5=Pat!$C$25,1,0),IF('wk4'!E38=Pat!B$27,1,0)),1,0)+IF(AND(IF('wk4'!F$5=Pat!$C$25,1,0),IF('wk4'!F38=Pat!B$27,1,0)),1,0)+IF(AND(IF('wk4'!G$5=Pat!$C$25,1,0),IF('wk4'!G38=Pat!B$27,1,0)),1,0)</f>
        <v>0</v>
      </c>
      <c r="I56" s="83">
        <f>IF(AND(IF('wk4'!C$5=Pat!$C$25,1,0),IF('wk4'!C38=Pat!C$27,1,0)),1,0)+IF(AND(IF('wk4'!D$5=Pat!$C$25,1,0),IF('wk4'!D38=Pat!C$27,1,0)),1,0)+IF(AND(IF('wk4'!E$5=Pat!$C$25,1,0),IF('wk4'!E38=Pat!C$27,1,0)),1,0)+IF(AND(IF('wk4'!F$5=Pat!$C$25,1,0),IF('wk4'!F38=Pat!C$27,1,0)),1,0)+IF(AND(IF('wk4'!G$5=Pat!$C$25,1,0),IF('wk4'!G38=Pat!C$27,1,0)),1,0)+IF(AND(IF('wk4'!H$5=Pat!$C$25,1,0),IF('wk4'!H38=Pat!C$27,1,0)),1,0)+IF(AND(IF('wk4'!B$5=Pat!$C$25,1,0),IF('wk4'!B38=Pat!C$27,1,0)),1,0)</f>
        <v>0</v>
      </c>
      <c r="J56" s="84">
        <f>IF(AND(IF('wk5'!B$5=Pat!$C$25,1,0),IF('wk5'!B38=Pat!B$27,1,0)),1,0)+IF(AND(IF('wk5'!C$5=Pat!$C$25,1,0),IF('wk5'!C38=Pat!B$27,1,0)),1,0)+IF(AND(IF('wk5'!D$5=Pat!$C$25,1,0),IF('wk5'!D38=Pat!B$27,1,0)),1,0)+IF(AND(IF('wk5'!E$5=Pat!$C$25,1,0),IF('wk5'!E38=Pat!B$27,1,0)),1,0)+IF(AND(IF('wk5'!F$5=Pat!$C$25,1,0),IF('wk5'!F38=Pat!B$27,1,0)),1,0)+IF(AND(IF('wk5'!G$5=Pat!$C$25,1,0),IF('wk5'!G38=Pat!B$27,1,0)),1,0)</f>
        <v>0</v>
      </c>
      <c r="K56" s="85">
        <f>IF(AND(IF('wk5'!C$5=Pat!$C$25,1,0),IF('wk5'!C38=Pat!C$27,1,0)),1,0)+IF(AND(IF('wk5'!D$5=Pat!$C$25,1,0),IF('wk5'!D38=Pat!C$27,1,0)),1,0)+IF(AND(IF('wk5'!E$5=Pat!$C$25,1,0),IF('wk5'!E38=Pat!C$27,1,0)),1,0)+IF(AND(IF('wk5'!F$5=Pat!$C$25,1,0),IF('wk5'!F38=Pat!C$27,1,0)),1,0)+IF(AND(IF('wk5'!G$5=Pat!$C$25,1,0),IF('wk5'!G38=Pat!C$27,1,0)),1,0)+IF(AND(IF('wk5'!H$5=Pat!$C$25,1,0),IF('wk5'!H38=Pat!C$27,1,0)),1,0)+IF(AND(IF('wk5'!B$5=Pat!$C$25,1,0),IF('wk5'!B38=Pat!C$27,1,0)),1,0)</f>
        <v>0</v>
      </c>
      <c r="L56" s="79"/>
      <c r="M56" s="79">
        <f t="shared" si="0"/>
        <v>0</v>
      </c>
      <c r="N56" s="81">
        <f t="shared" si="1"/>
        <v>0</v>
      </c>
      <c r="P56" s="87"/>
      <c r="Q56" s="73"/>
    </row>
    <row r="57" spans="1:17" ht="13.5" thickBot="1">
      <c r="A57" s="78" t="str">
        <f>'Members Data'!A31</f>
        <v>Judge</v>
      </c>
      <c r="B57" s="82">
        <f>IF(AND(IF('wk1'!B$5=Pat!$C$25,1,0),IF('wk1'!B39=Pat!B$27,1,0)),1,0)+IF(AND(IF('wk1'!D$5=Pat!$C$25,1,0),IF('wk1'!C39=Pat!B$27,1,0)),1,0)+IF(AND(IF('wk1'!D$5=Pat!$C$25,1,0),IF('wk1'!D39=Pat!B$27,1,0)),1,0)+IF(AND(IF('wk1'!E$5=Pat!$C$25,1,0),IF('wk1'!E39=Pat!B$27,1,0)),1,0)+IF(AND(IF('wk1'!F$5=Pat!$C$25,1,0),IF('wk1'!F39=Pat!B$27,1,0)),1,0)+IF(AND(IF('wk1'!G$5=Pat!$C$25,1,0),IF('wk1'!G39=Pat!B$27,1,0)),1,0)</f>
        <v>0</v>
      </c>
      <c r="C57" s="83">
        <f>IF(AND(IF('wk1'!D$5=Pat!$C$25,1,0),IF('wk1'!C39=Pat!C$27,1,0)),1,0)+IF(AND(IF('wk1'!D$5=Pat!$C$25,1,0),IF('wk1'!D39=Pat!C$27,1,0)),1,0)+IF(AND(IF('wk1'!E$5=Pat!$C$25,1,0),IF('wk1'!E39=Pat!C$27,1,0)),1,0)+IF(AND(IF('wk1'!F$5=Pat!$C$25,1,0),IF('wk1'!F39=Pat!C$27,1,0)),1,0)+IF(AND(IF('wk1'!G$5=Pat!$C$25,1,0),IF('wk1'!G39=Pat!C$27,1,0)),1,0)+IF(AND(IF('wk1'!H$5=Pat!$C$25,1,0),IF('wk1'!H39=Pat!C$27,1,0)),1,0)+IF(AND(IF('wk1'!B$5=Pat!$C$25,1,0),IF('wk1'!B39=Pat!C$27,1,0)),1,0)</f>
        <v>0</v>
      </c>
      <c r="D57" s="82">
        <f>IF(AND(IF('wk2'!B$5=Pat!$C$25,1,0),IF('wk2'!B39=Pat!B$27,1,0)),1,0)+IF(AND(IF('wk2'!C$5=Pat!$C$25,1,0),IF('wk2'!C39=Pat!B$27,1,0)),1,0)+IF(AND(IF('wk2'!D$5=Pat!$C$25,1,0),IF('wk2'!D39=Pat!B$27,1,0)),1,0)+IF(AND(IF('wk2'!E$5=Pat!$C$25,1,0),IF('wk2'!E39=Pat!B$27,1,0)),1,0)+IF(AND(IF('wk2'!F$5=Pat!$C$25,1,0),IF('wk2'!F39=Pat!B$27,1,0)),1,0)+IF(AND(IF('wk2'!G$5=Pat!$C$25,1,0),IF('wk2'!G39=Pat!B$27,1,0)),1,0)</f>
        <v>0</v>
      </c>
      <c r="E57" s="83">
        <f>IF(AND(IF('wk2'!C$5=Pat!$C$25,1,0),IF('wk2'!C39=Pat!C$27,1,0)),1,0)+IF(AND(IF('wk2'!D$5=Pat!$C$25,1,0),IF('wk2'!D39=Pat!C$27,1,0)),1,0)+IF(AND(IF('wk2'!E$5=Pat!$C$25,1,0),IF('wk2'!E39=Pat!C$27,1,0)),1,0)+IF(AND(IF('wk2'!F$5=Pat!$C$25,1,0),IF('wk2'!F39=Pat!C$27,1,0)),1,0)+IF(AND(IF('wk2'!G$5=Pat!$C$25,1,0),IF('wk2'!G39=Pat!C$27,1,0)),1,0)+IF(AND(IF('wk2'!H$5=Pat!$C$25,1,0),IF('wk2'!H39=Pat!C$27,1,0)),1,0)+IF(AND(IF('wk2'!B$5=Pat!$C$25,1,0),IF('wk2'!B39=Pat!C$27,1,0)),1,0)</f>
        <v>0</v>
      </c>
      <c r="F57" s="82">
        <f>IF(AND(IF('wk3'!B$5=Pat!$C$25,1,0),IF('wk3'!B39=Pat!B$27,1,0)),1,0)+IF(AND(IF('wk3'!C$5=Pat!$C$25,1,0),IF('wk3'!C39=Pat!B$27,1,0)),1,0)+IF(AND(IF('wk3'!D$5=Pat!$C$25,1,0),IF('wk3'!D39=Pat!B$27,1,0)),1,0)+IF(AND(IF('wk3'!E$5=Pat!$C$25,1,0),IF('wk3'!E39=Pat!B$27,1,0)),1,0)+IF(AND(IF('wk3'!F$5=Pat!$C$25,1,0),IF('wk3'!F39=Pat!B$27,1,0)),1,0)+IF(AND(IF('wk3'!G$5=Pat!$C$25,1,0),IF('wk3'!G39=Pat!B$27,1,0)),1,0)</f>
        <v>0</v>
      </c>
      <c r="G57" s="83">
        <f>IF(AND(IF('wk3'!C$5=Pat!$C$25,1,0),IF('wk3'!C39=Pat!C$27,1,0)),1,0)+IF(AND(IF('wk3'!D$5=Pat!$C$25,1,0),IF('wk3'!D39=Pat!C$27,1,0)),1,0)+IF(AND(IF('wk3'!E$5=Pat!$C$25,1,0),IF('wk3'!E39=Pat!C$27,1,0)),1,0)+IF(AND(IF('wk3'!F$5=Pat!$C$25,1,0),IF('wk3'!F39=Pat!C$27,1,0)),1,0)+IF(AND(IF('wk3'!G$5=Pat!$C$25,1,0),IF('wk3'!G39=Pat!C$27,1,0)),1,0)+IF(AND(IF('wk3'!H$5=Pat!$C$25,1,0),IF('wk3'!H39=Pat!C$27,1,0)),1,0)+IF(AND(IF('wk3'!B$5=Pat!$C$25,1,0),IF('wk3'!B39=Pat!C$27,1,0)),1,0)</f>
        <v>0</v>
      </c>
      <c r="H57" s="82">
        <f>IF(AND(IF('wk4'!B$5=Pat!$C$25,1,0),IF('wk4'!B39=Pat!B$27,1,0)),1,0)+IF(AND(IF('wk4'!C$5=Pat!$C$25,1,0),IF('wk4'!C39=Pat!B$27,1,0)),1,0)+IF(AND(IF('wk4'!D$5=Pat!$C$25,1,0),IF('wk4'!D39=Pat!B$27,1,0)),1,0)+IF(AND(IF('wk4'!E$5=Pat!$C$25,1,0),IF('wk4'!E39=Pat!B$27,1,0)),1,0)+IF(AND(IF('wk4'!F$5=Pat!$C$25,1,0),IF('wk4'!F39=Pat!B$27,1,0)),1,0)+IF(AND(IF('wk4'!G$5=Pat!$C$25,1,0),IF('wk4'!G39=Pat!B$27,1,0)),1,0)</f>
        <v>0</v>
      </c>
      <c r="I57" s="83">
        <f>IF(AND(IF('wk4'!C$5=Pat!$C$25,1,0),IF('wk4'!C39=Pat!C$27,1,0)),1,0)+IF(AND(IF('wk4'!D$5=Pat!$C$25,1,0),IF('wk4'!D39=Pat!C$27,1,0)),1,0)+IF(AND(IF('wk4'!E$5=Pat!$C$25,1,0),IF('wk4'!E39=Pat!C$27,1,0)),1,0)+IF(AND(IF('wk4'!F$5=Pat!$C$25,1,0),IF('wk4'!F39=Pat!C$27,1,0)),1,0)+IF(AND(IF('wk4'!G$5=Pat!$C$25,1,0),IF('wk4'!G39=Pat!C$27,1,0)),1,0)+IF(AND(IF('wk4'!H$5=Pat!$C$25,1,0),IF('wk4'!H39=Pat!C$27,1,0)),1,0)+IF(AND(IF('wk4'!B$5=Pat!$C$25,1,0),IF('wk4'!B39=Pat!C$27,1,0)),1,0)</f>
        <v>0</v>
      </c>
      <c r="J57" s="84">
        <f>IF(AND(IF('wk5'!B$5=Pat!$C$25,1,0),IF('wk5'!B39=Pat!B$27,1,0)),1,0)+IF(AND(IF('wk5'!C$5=Pat!$C$25,1,0),IF('wk5'!C39=Pat!B$27,1,0)),1,0)+IF(AND(IF('wk5'!D$5=Pat!$C$25,1,0),IF('wk5'!D39=Pat!B$27,1,0)),1,0)+IF(AND(IF('wk5'!E$5=Pat!$C$25,1,0),IF('wk5'!E39=Pat!B$27,1,0)),1,0)+IF(AND(IF('wk5'!F$5=Pat!$C$25,1,0),IF('wk5'!F39=Pat!B$27,1,0)),1,0)+IF(AND(IF('wk5'!G$5=Pat!$C$25,1,0),IF('wk5'!G39=Pat!B$27,1,0)),1,0)</f>
        <v>0</v>
      </c>
      <c r="K57" s="85">
        <f>IF(AND(IF('wk5'!C$5=Pat!$C$25,1,0),IF('wk5'!C39=Pat!C$27,1,0)),1,0)+IF(AND(IF('wk5'!D$5=Pat!$C$25,1,0),IF('wk5'!D39=Pat!C$27,1,0)),1,0)+IF(AND(IF('wk5'!E$5=Pat!$C$25,1,0),IF('wk5'!E39=Pat!C$27,1,0)),1,0)+IF(AND(IF('wk5'!F$5=Pat!$C$25,1,0),IF('wk5'!F39=Pat!C$27,1,0)),1,0)+IF(AND(IF('wk5'!G$5=Pat!$C$25,1,0),IF('wk5'!G39=Pat!C$27,1,0)),1,0)+IF(AND(IF('wk5'!H$5=Pat!$C$25,1,0),IF('wk5'!H39=Pat!C$27,1,0)),1,0)+IF(AND(IF('wk5'!B$5=Pat!$C$25,1,0),IF('wk5'!B39=Pat!C$27,1,0)),1,0)</f>
        <v>0</v>
      </c>
      <c r="L57" s="79"/>
      <c r="M57" s="79">
        <f t="shared" si="0"/>
        <v>0</v>
      </c>
      <c r="N57" s="81">
        <f t="shared" si="1"/>
        <v>0</v>
      </c>
      <c r="P57" s="87"/>
      <c r="Q57" s="73"/>
    </row>
    <row r="58" spans="1:17" ht="13.5" thickBot="1">
      <c r="A58" s="78" t="str">
        <f>'Members Data'!A32</f>
        <v>Kádiz</v>
      </c>
      <c r="B58" s="82">
        <f>IF(AND(IF('wk1'!B$5=Pat!$C$25,1,0),IF('wk1'!B40=Pat!B$27,1,0)),1,0)+IF(AND(IF('wk1'!D$5=Pat!$C$25,1,0),IF('wk1'!C40=Pat!B$27,1,0)),1,0)+IF(AND(IF('wk1'!D$5=Pat!$C$25,1,0),IF('wk1'!D40=Pat!B$27,1,0)),1,0)+IF(AND(IF('wk1'!E$5=Pat!$C$25,1,0),IF('wk1'!E40=Pat!B$27,1,0)),1,0)+IF(AND(IF('wk1'!F$5=Pat!$C$25,1,0),IF('wk1'!F40=Pat!B$27,1,0)),1,0)+IF(AND(IF('wk1'!G$5=Pat!$C$25,1,0),IF('wk1'!G40=Pat!B$27,1,0)),1,0)</f>
        <v>0</v>
      </c>
      <c r="C58" s="83">
        <f>IF(AND(IF('wk1'!D$5=Pat!$C$25,1,0),IF('wk1'!C40=Pat!C$27,1,0)),1,0)+IF(AND(IF('wk1'!D$5=Pat!$C$25,1,0),IF('wk1'!D40=Pat!C$27,1,0)),1,0)+IF(AND(IF('wk1'!E$5=Pat!$C$25,1,0),IF('wk1'!E40=Pat!C$27,1,0)),1,0)+IF(AND(IF('wk1'!F$5=Pat!$C$25,1,0),IF('wk1'!F40=Pat!C$27,1,0)),1,0)+IF(AND(IF('wk1'!G$5=Pat!$C$25,1,0),IF('wk1'!G40=Pat!C$27,1,0)),1,0)+IF(AND(IF('wk1'!H$5=Pat!$C$25,1,0),IF('wk1'!H40=Pat!C$27,1,0)),1,0)+IF(AND(IF('wk1'!B$5=Pat!$C$25,1,0),IF('wk1'!B40=Pat!C$27,1,0)),1,0)</f>
        <v>0</v>
      </c>
      <c r="D58" s="82">
        <f>IF(AND(IF('wk2'!B$5=Pat!$C$25,1,0),IF('wk2'!B40=Pat!B$27,1,0)),1,0)+IF(AND(IF('wk2'!C$5=Pat!$C$25,1,0),IF('wk2'!C40=Pat!B$27,1,0)),1,0)+IF(AND(IF('wk2'!D$5=Pat!$C$25,1,0),IF('wk2'!D40=Pat!B$27,1,0)),1,0)+IF(AND(IF('wk2'!E$5=Pat!$C$25,1,0),IF('wk2'!E40=Pat!B$27,1,0)),1,0)+IF(AND(IF('wk2'!F$5=Pat!$C$25,1,0),IF('wk2'!F40=Pat!B$27,1,0)),1,0)+IF(AND(IF('wk2'!G$5=Pat!$C$25,1,0),IF('wk2'!G40=Pat!B$27,1,0)),1,0)</f>
        <v>0</v>
      </c>
      <c r="E58" s="83">
        <f>IF(AND(IF('wk2'!C$5=Pat!$C$25,1,0),IF('wk2'!C40=Pat!C$27,1,0)),1,0)+IF(AND(IF('wk2'!D$5=Pat!$C$25,1,0),IF('wk2'!D40=Pat!C$27,1,0)),1,0)+IF(AND(IF('wk2'!E$5=Pat!$C$25,1,0),IF('wk2'!E40=Pat!C$27,1,0)),1,0)+IF(AND(IF('wk2'!F$5=Pat!$C$25,1,0),IF('wk2'!F40=Pat!C$27,1,0)),1,0)+IF(AND(IF('wk2'!G$5=Pat!$C$25,1,0),IF('wk2'!G40=Pat!C$27,1,0)),1,0)+IF(AND(IF('wk2'!H$5=Pat!$C$25,1,0),IF('wk2'!H40=Pat!C$27,1,0)),1,0)+IF(AND(IF('wk2'!B$5=Pat!$C$25,1,0),IF('wk2'!B40=Pat!C$27,1,0)),1,0)</f>
        <v>0</v>
      </c>
      <c r="F58" s="82">
        <f>IF(AND(IF('wk3'!B$5=Pat!$C$25,1,0),IF('wk3'!B40=Pat!B$27,1,0)),1,0)+IF(AND(IF('wk3'!C$5=Pat!$C$25,1,0),IF('wk3'!C40=Pat!B$27,1,0)),1,0)+IF(AND(IF('wk3'!D$5=Pat!$C$25,1,0),IF('wk3'!D40=Pat!B$27,1,0)),1,0)+IF(AND(IF('wk3'!E$5=Pat!$C$25,1,0),IF('wk3'!E40=Pat!B$27,1,0)),1,0)+IF(AND(IF('wk3'!F$5=Pat!$C$25,1,0),IF('wk3'!F40=Pat!B$27,1,0)),1,0)+IF(AND(IF('wk3'!G$5=Pat!$C$25,1,0),IF('wk3'!G40=Pat!B$27,1,0)),1,0)</f>
        <v>0</v>
      </c>
      <c r="G58" s="83">
        <f>IF(AND(IF('wk3'!C$5=Pat!$C$25,1,0),IF('wk3'!C40=Pat!C$27,1,0)),1,0)+IF(AND(IF('wk3'!D$5=Pat!$C$25,1,0),IF('wk3'!D40=Pat!C$27,1,0)),1,0)+IF(AND(IF('wk3'!E$5=Pat!$C$25,1,0),IF('wk3'!E40=Pat!C$27,1,0)),1,0)+IF(AND(IF('wk3'!F$5=Pat!$C$25,1,0),IF('wk3'!F40=Pat!C$27,1,0)),1,0)+IF(AND(IF('wk3'!G$5=Pat!$C$25,1,0),IF('wk3'!G40=Pat!C$27,1,0)),1,0)+IF(AND(IF('wk3'!H$5=Pat!$C$25,1,0),IF('wk3'!H40=Pat!C$27,1,0)),1,0)+IF(AND(IF('wk3'!B$5=Pat!$C$25,1,0),IF('wk3'!B40=Pat!C$27,1,0)),1,0)</f>
        <v>0</v>
      </c>
      <c r="H58" s="82">
        <f>IF(AND(IF('wk4'!B$5=Pat!$C$25,1,0),IF('wk4'!B40=Pat!B$27,1,0)),1,0)+IF(AND(IF('wk4'!C$5=Pat!$C$25,1,0),IF('wk4'!C40=Pat!B$27,1,0)),1,0)+IF(AND(IF('wk4'!D$5=Pat!$C$25,1,0),IF('wk4'!D40=Pat!B$27,1,0)),1,0)+IF(AND(IF('wk4'!E$5=Pat!$C$25,1,0),IF('wk4'!E40=Pat!B$27,1,0)),1,0)+IF(AND(IF('wk4'!F$5=Pat!$C$25,1,0),IF('wk4'!F40=Pat!B$27,1,0)),1,0)+IF(AND(IF('wk4'!G$5=Pat!$C$25,1,0),IF('wk4'!G40=Pat!B$27,1,0)),1,0)</f>
        <v>0</v>
      </c>
      <c r="I58" s="83">
        <f>IF(AND(IF('wk4'!C$5=Pat!$C$25,1,0),IF('wk4'!C40=Pat!C$27,1,0)),1,0)+IF(AND(IF('wk4'!D$5=Pat!$C$25,1,0),IF('wk4'!D40=Pat!C$27,1,0)),1,0)+IF(AND(IF('wk4'!E$5=Pat!$C$25,1,0),IF('wk4'!E40=Pat!C$27,1,0)),1,0)+IF(AND(IF('wk4'!F$5=Pat!$C$25,1,0),IF('wk4'!F40=Pat!C$27,1,0)),1,0)+IF(AND(IF('wk4'!G$5=Pat!$C$25,1,0),IF('wk4'!G40=Pat!C$27,1,0)),1,0)+IF(AND(IF('wk4'!H$5=Pat!$C$25,1,0),IF('wk4'!H40=Pat!C$27,1,0)),1,0)+IF(AND(IF('wk4'!B$5=Pat!$C$25,1,0),IF('wk4'!B40=Pat!C$27,1,0)),1,0)</f>
        <v>0</v>
      </c>
      <c r="J58" s="84">
        <f>IF(AND(IF('wk5'!B$5=Pat!$C$25,1,0),IF('wk5'!B40=Pat!B$27,1,0)),1,0)+IF(AND(IF('wk5'!C$5=Pat!$C$25,1,0),IF('wk5'!C40=Pat!B$27,1,0)),1,0)+IF(AND(IF('wk5'!D$5=Pat!$C$25,1,0),IF('wk5'!D40=Pat!B$27,1,0)),1,0)+IF(AND(IF('wk5'!E$5=Pat!$C$25,1,0),IF('wk5'!E40=Pat!B$27,1,0)),1,0)+IF(AND(IF('wk5'!F$5=Pat!$C$25,1,0),IF('wk5'!F40=Pat!B$27,1,0)),1,0)+IF(AND(IF('wk5'!G$5=Pat!$C$25,1,0),IF('wk5'!G40=Pat!B$27,1,0)),1,0)</f>
        <v>0</v>
      </c>
      <c r="K58" s="85">
        <f>IF(AND(IF('wk5'!C$5=Pat!$C$25,1,0),IF('wk5'!C40=Pat!C$27,1,0)),1,0)+IF(AND(IF('wk5'!D$5=Pat!$C$25,1,0),IF('wk5'!D40=Pat!C$27,1,0)),1,0)+IF(AND(IF('wk5'!E$5=Pat!$C$25,1,0),IF('wk5'!E40=Pat!C$27,1,0)),1,0)+IF(AND(IF('wk5'!F$5=Pat!$C$25,1,0),IF('wk5'!F40=Pat!C$27,1,0)),1,0)+IF(AND(IF('wk5'!G$5=Pat!$C$25,1,0),IF('wk5'!G40=Pat!C$27,1,0)),1,0)+IF(AND(IF('wk5'!H$5=Pat!$C$25,1,0),IF('wk5'!H40=Pat!C$27,1,0)),1,0)+IF(AND(IF('wk5'!B$5=Pat!$C$25,1,0),IF('wk5'!B40=Pat!C$27,1,0)),1,0)</f>
        <v>0</v>
      </c>
      <c r="L58" s="79"/>
      <c r="M58" s="79">
        <f t="shared" si="0"/>
        <v>0</v>
      </c>
      <c r="N58" s="81">
        <f t="shared" si="1"/>
        <v>0</v>
      </c>
      <c r="P58" s="87"/>
      <c r="Q58" s="73"/>
    </row>
    <row r="59" spans="1:17" ht="13.5" thickBot="1">
      <c r="A59" s="78" t="str">
        <f>'Members Data'!A33</f>
        <v>Kanoni</v>
      </c>
      <c r="B59" s="82">
        <f>IF(AND(IF('wk1'!B$5=Pat!$C$25,1,0),IF('wk1'!B41=Pat!B$27,1,0)),1,0)+IF(AND(IF('wk1'!D$5=Pat!$C$25,1,0),IF('wk1'!C41=Pat!B$27,1,0)),1,0)+IF(AND(IF('wk1'!D$5=Pat!$C$25,1,0),IF('wk1'!D41=Pat!B$27,1,0)),1,0)+IF(AND(IF('wk1'!E$5=Pat!$C$25,1,0),IF('wk1'!E41=Pat!B$27,1,0)),1,0)+IF(AND(IF('wk1'!F$5=Pat!$C$25,1,0),IF('wk1'!F41=Pat!B$27,1,0)),1,0)+IF(AND(IF('wk1'!G$5=Pat!$C$25,1,0),IF('wk1'!G41=Pat!B$27,1,0)),1,0)</f>
        <v>0</v>
      </c>
      <c r="C59" s="83">
        <f>IF(AND(IF('wk1'!D$5=Pat!$C$25,1,0),IF('wk1'!C41=Pat!C$27,1,0)),1,0)+IF(AND(IF('wk1'!D$5=Pat!$C$25,1,0),IF('wk1'!D41=Pat!C$27,1,0)),1,0)+IF(AND(IF('wk1'!E$5=Pat!$C$25,1,0),IF('wk1'!E41=Pat!C$27,1,0)),1,0)+IF(AND(IF('wk1'!F$5=Pat!$C$25,1,0),IF('wk1'!F41=Pat!C$27,1,0)),1,0)+IF(AND(IF('wk1'!G$5=Pat!$C$25,1,0),IF('wk1'!G41=Pat!C$27,1,0)),1,0)+IF(AND(IF('wk1'!H$5=Pat!$C$25,1,0),IF('wk1'!H41=Pat!C$27,1,0)),1,0)+IF(AND(IF('wk1'!B$5=Pat!$C$25,1,0),IF('wk1'!B41=Pat!C$27,1,0)),1,0)</f>
        <v>0</v>
      </c>
      <c r="D59" s="82">
        <f>IF(AND(IF('wk2'!B$5=Pat!$C$25,1,0),IF('wk2'!B41=Pat!B$27,1,0)),1,0)+IF(AND(IF('wk2'!C$5=Pat!$C$25,1,0),IF('wk2'!C41=Pat!B$27,1,0)),1,0)+IF(AND(IF('wk2'!D$5=Pat!$C$25,1,0),IF('wk2'!D41=Pat!B$27,1,0)),1,0)+IF(AND(IF('wk2'!E$5=Pat!$C$25,1,0),IF('wk2'!E41=Pat!B$27,1,0)),1,0)+IF(AND(IF('wk2'!F$5=Pat!$C$25,1,0),IF('wk2'!F41=Pat!B$27,1,0)),1,0)+IF(AND(IF('wk2'!G$5=Pat!$C$25,1,0),IF('wk2'!G41=Pat!B$27,1,0)),1,0)</f>
        <v>0</v>
      </c>
      <c r="E59" s="83">
        <f>IF(AND(IF('wk2'!C$5=Pat!$C$25,1,0),IF('wk2'!C41=Pat!C$27,1,0)),1,0)+IF(AND(IF('wk2'!D$5=Pat!$C$25,1,0),IF('wk2'!D41=Pat!C$27,1,0)),1,0)+IF(AND(IF('wk2'!E$5=Pat!$C$25,1,0),IF('wk2'!E41=Pat!C$27,1,0)),1,0)+IF(AND(IF('wk2'!F$5=Pat!$C$25,1,0),IF('wk2'!F41=Pat!C$27,1,0)),1,0)+IF(AND(IF('wk2'!G$5=Pat!$C$25,1,0),IF('wk2'!G41=Pat!C$27,1,0)),1,0)+IF(AND(IF('wk2'!H$5=Pat!$C$25,1,0),IF('wk2'!H41=Pat!C$27,1,0)),1,0)+IF(AND(IF('wk2'!B$5=Pat!$C$25,1,0),IF('wk2'!B41=Pat!C$27,1,0)),1,0)</f>
        <v>0</v>
      </c>
      <c r="F59" s="82">
        <f>IF(AND(IF('wk3'!B$5=Pat!$C$25,1,0),IF('wk3'!B41=Pat!B$27,1,0)),1,0)+IF(AND(IF('wk3'!C$5=Pat!$C$25,1,0),IF('wk3'!C41=Pat!B$27,1,0)),1,0)+IF(AND(IF('wk3'!D$5=Pat!$C$25,1,0),IF('wk3'!D41=Pat!B$27,1,0)),1,0)+IF(AND(IF('wk3'!E$5=Pat!$C$25,1,0),IF('wk3'!E41=Pat!B$27,1,0)),1,0)+IF(AND(IF('wk3'!F$5=Pat!$C$25,1,0),IF('wk3'!F41=Pat!B$27,1,0)),1,0)+IF(AND(IF('wk3'!G$5=Pat!$C$25,1,0),IF('wk3'!G41=Pat!B$27,1,0)),1,0)</f>
        <v>0</v>
      </c>
      <c r="G59" s="83">
        <f>IF(AND(IF('wk3'!C$5=Pat!$C$25,1,0),IF('wk3'!C41=Pat!C$27,1,0)),1,0)+IF(AND(IF('wk3'!D$5=Pat!$C$25,1,0),IF('wk3'!D41=Pat!C$27,1,0)),1,0)+IF(AND(IF('wk3'!E$5=Pat!$C$25,1,0),IF('wk3'!E41=Pat!C$27,1,0)),1,0)+IF(AND(IF('wk3'!F$5=Pat!$C$25,1,0),IF('wk3'!F41=Pat!C$27,1,0)),1,0)+IF(AND(IF('wk3'!G$5=Pat!$C$25,1,0),IF('wk3'!G41=Pat!C$27,1,0)),1,0)+IF(AND(IF('wk3'!H$5=Pat!$C$25,1,0),IF('wk3'!H41=Pat!C$27,1,0)),1,0)+IF(AND(IF('wk3'!B$5=Pat!$C$25,1,0),IF('wk3'!B41=Pat!C$27,1,0)),1,0)</f>
        <v>0</v>
      </c>
      <c r="H59" s="82">
        <f>IF(AND(IF('wk4'!B$5=Pat!$C$25,1,0),IF('wk4'!B41=Pat!B$27,1,0)),1,0)+IF(AND(IF('wk4'!C$5=Pat!$C$25,1,0),IF('wk4'!C41=Pat!B$27,1,0)),1,0)+IF(AND(IF('wk4'!D$5=Pat!$C$25,1,0),IF('wk4'!D41=Pat!B$27,1,0)),1,0)+IF(AND(IF('wk4'!E$5=Pat!$C$25,1,0),IF('wk4'!E41=Pat!B$27,1,0)),1,0)+IF(AND(IF('wk4'!F$5=Pat!$C$25,1,0),IF('wk4'!F41=Pat!B$27,1,0)),1,0)+IF(AND(IF('wk4'!G$5=Pat!$C$25,1,0),IF('wk4'!G41=Pat!B$27,1,0)),1,0)</f>
        <v>0</v>
      </c>
      <c r="I59" s="83">
        <f>IF(AND(IF('wk4'!C$5=Pat!$C$25,1,0),IF('wk4'!C41=Pat!C$27,1,0)),1,0)+IF(AND(IF('wk4'!D$5=Pat!$C$25,1,0),IF('wk4'!D41=Pat!C$27,1,0)),1,0)+IF(AND(IF('wk4'!E$5=Pat!$C$25,1,0),IF('wk4'!E41=Pat!C$27,1,0)),1,0)+IF(AND(IF('wk4'!F$5=Pat!$C$25,1,0),IF('wk4'!F41=Pat!C$27,1,0)),1,0)+IF(AND(IF('wk4'!G$5=Pat!$C$25,1,0),IF('wk4'!G41=Pat!C$27,1,0)),1,0)+IF(AND(IF('wk4'!H$5=Pat!$C$25,1,0),IF('wk4'!H41=Pat!C$27,1,0)),1,0)+IF(AND(IF('wk4'!B$5=Pat!$C$25,1,0),IF('wk4'!B41=Pat!C$27,1,0)),1,0)</f>
        <v>0</v>
      </c>
      <c r="J59" s="84">
        <f>IF(AND(IF('wk5'!B$5=Pat!$C$25,1,0),IF('wk5'!B41=Pat!B$27,1,0)),1,0)+IF(AND(IF('wk5'!C$5=Pat!$C$25,1,0),IF('wk5'!C41=Pat!B$27,1,0)),1,0)+IF(AND(IF('wk5'!D$5=Pat!$C$25,1,0),IF('wk5'!D41=Pat!B$27,1,0)),1,0)+IF(AND(IF('wk5'!E$5=Pat!$C$25,1,0),IF('wk5'!E41=Pat!B$27,1,0)),1,0)+IF(AND(IF('wk5'!F$5=Pat!$C$25,1,0),IF('wk5'!F41=Pat!B$27,1,0)),1,0)+IF(AND(IF('wk5'!G$5=Pat!$C$25,1,0),IF('wk5'!G41=Pat!B$27,1,0)),1,0)</f>
        <v>0</v>
      </c>
      <c r="K59" s="85">
        <f>IF(AND(IF('wk5'!C$5=Pat!$C$25,1,0),IF('wk5'!C41=Pat!C$27,1,0)),1,0)+IF(AND(IF('wk5'!D$5=Pat!$C$25,1,0),IF('wk5'!D41=Pat!C$27,1,0)),1,0)+IF(AND(IF('wk5'!E$5=Pat!$C$25,1,0),IF('wk5'!E41=Pat!C$27,1,0)),1,0)+IF(AND(IF('wk5'!F$5=Pat!$C$25,1,0),IF('wk5'!F41=Pat!C$27,1,0)),1,0)+IF(AND(IF('wk5'!G$5=Pat!$C$25,1,0),IF('wk5'!G41=Pat!C$27,1,0)),1,0)+IF(AND(IF('wk5'!H$5=Pat!$C$25,1,0),IF('wk5'!H41=Pat!C$27,1,0)),1,0)+IF(AND(IF('wk5'!B$5=Pat!$C$25,1,0),IF('wk5'!B41=Pat!C$27,1,0)),1,0)</f>
        <v>0</v>
      </c>
      <c r="L59" s="79"/>
      <c r="M59" s="79">
        <f t="shared" si="0"/>
        <v>0</v>
      </c>
      <c r="N59" s="81">
        <f t="shared" si="1"/>
        <v>0</v>
      </c>
      <c r="P59" s="87"/>
      <c r="Q59" s="73"/>
    </row>
    <row r="60" spans="1:17" ht="13.5" thickBot="1">
      <c r="A60" s="78" t="str">
        <f>'Members Data'!A34</f>
        <v>Kristofix</v>
      </c>
      <c r="B60" s="82">
        <f>IF(AND(IF('wk1'!B$5=Pat!$C$25,1,0),IF('wk1'!B42=Pat!B$27,1,0)),1,0)+IF(AND(IF('wk1'!D$5=Pat!$C$25,1,0),IF('wk1'!C42=Pat!B$27,1,0)),1,0)+IF(AND(IF('wk1'!D$5=Pat!$C$25,1,0),IF('wk1'!D42=Pat!B$27,1,0)),1,0)+IF(AND(IF('wk1'!E$5=Pat!$C$25,1,0),IF('wk1'!E42=Pat!B$27,1,0)),1,0)+IF(AND(IF('wk1'!F$5=Pat!$C$25,1,0),IF('wk1'!F42=Pat!B$27,1,0)),1,0)+IF(AND(IF('wk1'!G$5=Pat!$C$25,1,0),IF('wk1'!G42=Pat!B$27,1,0)),1,0)</f>
        <v>0</v>
      </c>
      <c r="C60" s="83">
        <f>IF(AND(IF('wk1'!D$5=Pat!$C$25,1,0),IF('wk1'!C42=Pat!C$27,1,0)),1,0)+IF(AND(IF('wk1'!D$5=Pat!$C$25,1,0),IF('wk1'!D42=Pat!C$27,1,0)),1,0)+IF(AND(IF('wk1'!E$5=Pat!$C$25,1,0),IF('wk1'!E42=Pat!C$27,1,0)),1,0)+IF(AND(IF('wk1'!F$5=Pat!$C$25,1,0),IF('wk1'!F42=Pat!C$27,1,0)),1,0)+IF(AND(IF('wk1'!G$5=Pat!$C$25,1,0),IF('wk1'!G42=Pat!C$27,1,0)),1,0)+IF(AND(IF('wk1'!H$5=Pat!$C$25,1,0),IF('wk1'!H42=Pat!C$27,1,0)),1,0)+IF(AND(IF('wk1'!B$5=Pat!$C$25,1,0),IF('wk1'!B42=Pat!C$27,1,0)),1,0)</f>
        <v>0</v>
      </c>
      <c r="D60" s="82">
        <f>IF(AND(IF('wk2'!B$5=Pat!$C$25,1,0),IF('wk2'!B42=Pat!B$27,1,0)),1,0)+IF(AND(IF('wk2'!C$5=Pat!$C$25,1,0),IF('wk2'!C42=Pat!B$27,1,0)),1,0)+IF(AND(IF('wk2'!D$5=Pat!$C$25,1,0),IF('wk2'!D42=Pat!B$27,1,0)),1,0)+IF(AND(IF('wk2'!E$5=Pat!$C$25,1,0),IF('wk2'!E42=Pat!B$27,1,0)),1,0)+IF(AND(IF('wk2'!F$5=Pat!$C$25,1,0),IF('wk2'!F42=Pat!B$27,1,0)),1,0)+IF(AND(IF('wk2'!G$5=Pat!$C$25,1,0),IF('wk2'!G42=Pat!B$27,1,0)),1,0)</f>
        <v>0</v>
      </c>
      <c r="E60" s="83">
        <f>IF(AND(IF('wk2'!C$5=Pat!$C$25,1,0),IF('wk2'!C42=Pat!C$27,1,0)),1,0)+IF(AND(IF('wk2'!D$5=Pat!$C$25,1,0),IF('wk2'!D42=Pat!C$27,1,0)),1,0)+IF(AND(IF('wk2'!E$5=Pat!$C$25,1,0),IF('wk2'!E42=Pat!C$27,1,0)),1,0)+IF(AND(IF('wk2'!F$5=Pat!$C$25,1,0),IF('wk2'!F42=Pat!C$27,1,0)),1,0)+IF(AND(IF('wk2'!G$5=Pat!$C$25,1,0),IF('wk2'!G42=Pat!C$27,1,0)),1,0)+IF(AND(IF('wk2'!H$5=Pat!$C$25,1,0),IF('wk2'!H42=Pat!C$27,1,0)),1,0)+IF(AND(IF('wk2'!B$5=Pat!$C$25,1,0),IF('wk2'!B42=Pat!C$27,1,0)),1,0)</f>
        <v>0</v>
      </c>
      <c r="F60" s="82">
        <f>IF(AND(IF('wk3'!B$5=Pat!$C$25,1,0),IF('wk3'!B42=Pat!B$27,1,0)),1,0)+IF(AND(IF('wk3'!C$5=Pat!$C$25,1,0),IF('wk3'!C42=Pat!B$27,1,0)),1,0)+IF(AND(IF('wk3'!D$5=Pat!$C$25,1,0),IF('wk3'!D42=Pat!B$27,1,0)),1,0)+IF(AND(IF('wk3'!E$5=Pat!$C$25,1,0),IF('wk3'!E42=Pat!B$27,1,0)),1,0)+IF(AND(IF('wk3'!F$5=Pat!$C$25,1,0),IF('wk3'!F42=Pat!B$27,1,0)),1,0)+IF(AND(IF('wk3'!G$5=Pat!$C$25,1,0),IF('wk3'!G42=Pat!B$27,1,0)),1,0)</f>
        <v>0</v>
      </c>
      <c r="G60" s="83">
        <f>IF(AND(IF('wk3'!C$5=Pat!$C$25,1,0),IF('wk3'!C42=Pat!C$27,1,0)),1,0)+IF(AND(IF('wk3'!D$5=Pat!$C$25,1,0),IF('wk3'!D42=Pat!C$27,1,0)),1,0)+IF(AND(IF('wk3'!E$5=Pat!$C$25,1,0),IF('wk3'!E42=Pat!C$27,1,0)),1,0)+IF(AND(IF('wk3'!F$5=Pat!$C$25,1,0),IF('wk3'!F42=Pat!C$27,1,0)),1,0)+IF(AND(IF('wk3'!G$5=Pat!$C$25,1,0),IF('wk3'!G42=Pat!C$27,1,0)),1,0)+IF(AND(IF('wk3'!H$5=Pat!$C$25,1,0),IF('wk3'!H42=Pat!C$27,1,0)),1,0)+IF(AND(IF('wk3'!B$5=Pat!$C$25,1,0),IF('wk3'!B42=Pat!C$27,1,0)),1,0)</f>
        <v>0</v>
      </c>
      <c r="H60" s="82">
        <f>IF(AND(IF('wk4'!B$5=Pat!$C$25,1,0),IF('wk4'!B42=Pat!B$27,1,0)),1,0)+IF(AND(IF('wk4'!C$5=Pat!$C$25,1,0),IF('wk4'!C42=Pat!B$27,1,0)),1,0)+IF(AND(IF('wk4'!D$5=Pat!$C$25,1,0),IF('wk4'!D42=Pat!B$27,1,0)),1,0)+IF(AND(IF('wk4'!E$5=Pat!$C$25,1,0),IF('wk4'!E42=Pat!B$27,1,0)),1,0)+IF(AND(IF('wk4'!F$5=Pat!$C$25,1,0),IF('wk4'!F42=Pat!B$27,1,0)),1,0)+IF(AND(IF('wk4'!G$5=Pat!$C$25,1,0),IF('wk4'!G42=Pat!B$27,1,0)),1,0)</f>
        <v>0</v>
      </c>
      <c r="I60" s="83">
        <f>IF(AND(IF('wk4'!C$5=Pat!$C$25,1,0),IF('wk4'!C42=Pat!C$27,1,0)),1,0)+IF(AND(IF('wk4'!D$5=Pat!$C$25,1,0),IF('wk4'!D42=Pat!C$27,1,0)),1,0)+IF(AND(IF('wk4'!E$5=Pat!$C$25,1,0),IF('wk4'!E42=Pat!C$27,1,0)),1,0)+IF(AND(IF('wk4'!F$5=Pat!$C$25,1,0),IF('wk4'!F42=Pat!C$27,1,0)),1,0)+IF(AND(IF('wk4'!G$5=Pat!$C$25,1,0),IF('wk4'!G42=Pat!C$27,1,0)),1,0)+IF(AND(IF('wk4'!H$5=Pat!$C$25,1,0),IF('wk4'!H42=Pat!C$27,1,0)),1,0)+IF(AND(IF('wk4'!B$5=Pat!$C$25,1,0),IF('wk4'!B42=Pat!C$27,1,0)),1,0)</f>
        <v>0</v>
      </c>
      <c r="J60" s="84">
        <f>IF(AND(IF('wk5'!B$5=Pat!$C$25,1,0),IF('wk5'!B42=Pat!B$27,1,0)),1,0)+IF(AND(IF('wk5'!C$5=Pat!$C$25,1,0),IF('wk5'!C42=Pat!B$27,1,0)),1,0)+IF(AND(IF('wk5'!D$5=Pat!$C$25,1,0),IF('wk5'!D42=Pat!B$27,1,0)),1,0)+IF(AND(IF('wk5'!E$5=Pat!$C$25,1,0),IF('wk5'!E42=Pat!B$27,1,0)),1,0)+IF(AND(IF('wk5'!F$5=Pat!$C$25,1,0),IF('wk5'!F42=Pat!B$27,1,0)),1,0)+IF(AND(IF('wk5'!G$5=Pat!$C$25,1,0),IF('wk5'!G42=Pat!B$27,1,0)),1,0)</f>
        <v>0</v>
      </c>
      <c r="K60" s="85">
        <f>IF(AND(IF('wk5'!C$5=Pat!$C$25,1,0),IF('wk5'!C42=Pat!C$27,1,0)),1,0)+IF(AND(IF('wk5'!D$5=Pat!$C$25,1,0),IF('wk5'!D42=Pat!C$27,1,0)),1,0)+IF(AND(IF('wk5'!E$5=Pat!$C$25,1,0),IF('wk5'!E42=Pat!C$27,1,0)),1,0)+IF(AND(IF('wk5'!F$5=Pat!$C$25,1,0),IF('wk5'!F42=Pat!C$27,1,0)),1,0)+IF(AND(IF('wk5'!G$5=Pat!$C$25,1,0),IF('wk5'!G42=Pat!C$27,1,0)),1,0)+IF(AND(IF('wk5'!H$5=Pat!$C$25,1,0),IF('wk5'!H42=Pat!C$27,1,0)),1,0)+IF(AND(IF('wk5'!B$5=Pat!$C$25,1,0),IF('wk5'!B42=Pat!C$27,1,0)),1,0)</f>
        <v>0</v>
      </c>
      <c r="L60" s="79"/>
      <c r="M60" s="79">
        <f t="shared" ref="M60:M87" si="2">B60+D60+F60+H60+J60</f>
        <v>0</v>
      </c>
      <c r="N60" s="81">
        <f t="shared" ref="N60:N87" si="3">C60+E60+G60+I60+K60</f>
        <v>0</v>
      </c>
      <c r="Q60" s="73"/>
    </row>
    <row r="61" spans="1:17" ht="13.5" thickBot="1">
      <c r="A61" s="78">
        <f>'Members Data'!A35</f>
        <v>0</v>
      </c>
      <c r="B61" s="82">
        <f>IF(AND(IF('wk1'!B$5=Pat!$C$25,1,0),IF('wk1'!B43=Pat!B$27,1,0)),1,0)+IF(AND(IF('wk1'!D$5=Pat!$C$25,1,0),IF('wk1'!C43=Pat!B$27,1,0)),1,0)+IF(AND(IF('wk1'!D$5=Pat!$C$25,1,0),IF('wk1'!D43=Pat!B$27,1,0)),1,0)+IF(AND(IF('wk1'!E$5=Pat!$C$25,1,0),IF('wk1'!E43=Pat!B$27,1,0)),1,0)+IF(AND(IF('wk1'!F$5=Pat!$C$25,1,0),IF('wk1'!F43=Pat!B$27,1,0)),1,0)+IF(AND(IF('wk1'!G$5=Pat!$C$25,1,0),IF('wk1'!G43=Pat!B$27,1,0)),1,0)</f>
        <v>0</v>
      </c>
      <c r="C61" s="83">
        <f>IF(AND(IF('wk1'!D$5=Pat!$C$25,1,0),IF('wk1'!C43=Pat!C$27,1,0)),1,0)+IF(AND(IF('wk1'!D$5=Pat!$C$25,1,0),IF('wk1'!D43=Pat!C$27,1,0)),1,0)+IF(AND(IF('wk1'!E$5=Pat!$C$25,1,0),IF('wk1'!E43=Pat!C$27,1,0)),1,0)+IF(AND(IF('wk1'!F$5=Pat!$C$25,1,0),IF('wk1'!F43=Pat!C$27,1,0)),1,0)+IF(AND(IF('wk1'!G$5=Pat!$C$25,1,0),IF('wk1'!G43=Pat!C$27,1,0)),1,0)+IF(AND(IF('wk1'!H$5=Pat!$C$25,1,0),IF('wk1'!H43=Pat!C$27,1,0)),1,0)+IF(AND(IF('wk1'!B$5=Pat!$C$25,1,0),IF('wk1'!B43=Pat!C$27,1,0)),1,0)</f>
        <v>0</v>
      </c>
      <c r="D61" s="82">
        <f>IF(AND(IF('wk2'!B$5=Pat!$C$25,1,0),IF('wk2'!B43=Pat!B$27,1,0)),1,0)+IF(AND(IF('wk2'!C$5=Pat!$C$25,1,0),IF('wk2'!C43=Pat!B$27,1,0)),1,0)+IF(AND(IF('wk2'!D$5=Pat!$C$25,1,0),IF('wk2'!D43=Pat!B$27,1,0)),1,0)+IF(AND(IF('wk2'!E$5=Pat!$C$25,1,0),IF('wk2'!E43=Pat!B$27,1,0)),1,0)+IF(AND(IF('wk2'!F$5=Pat!$C$25,1,0),IF('wk2'!F43=Pat!B$27,1,0)),1,0)+IF(AND(IF('wk2'!G$5=Pat!$C$25,1,0),IF('wk2'!G43=Pat!B$27,1,0)),1,0)</f>
        <v>0</v>
      </c>
      <c r="E61" s="83">
        <f>IF(AND(IF('wk2'!C$5=Pat!$C$25,1,0),IF('wk2'!C43=Pat!C$27,1,0)),1,0)+IF(AND(IF('wk2'!D$5=Pat!$C$25,1,0),IF('wk2'!D43=Pat!C$27,1,0)),1,0)+IF(AND(IF('wk2'!E$5=Pat!$C$25,1,0),IF('wk2'!E43=Pat!C$27,1,0)),1,0)+IF(AND(IF('wk2'!F$5=Pat!$C$25,1,0),IF('wk2'!F43=Pat!C$27,1,0)),1,0)+IF(AND(IF('wk2'!G$5=Pat!$C$25,1,0),IF('wk2'!G43=Pat!C$27,1,0)),1,0)+IF(AND(IF('wk2'!H$5=Pat!$C$25,1,0),IF('wk2'!H43=Pat!C$27,1,0)),1,0)+IF(AND(IF('wk2'!B$5=Pat!$C$25,1,0),IF('wk2'!B43=Pat!C$27,1,0)),1,0)</f>
        <v>0</v>
      </c>
      <c r="F61" s="82">
        <f>IF(AND(IF('wk3'!B$5=Pat!$C$25,1,0),IF('wk3'!B43=Pat!B$27,1,0)),1,0)+IF(AND(IF('wk3'!C$5=Pat!$C$25,1,0),IF('wk3'!C43=Pat!B$27,1,0)),1,0)+IF(AND(IF('wk3'!D$5=Pat!$C$25,1,0),IF('wk3'!D43=Pat!B$27,1,0)),1,0)+IF(AND(IF('wk3'!E$5=Pat!$C$25,1,0),IF('wk3'!E43=Pat!B$27,1,0)),1,0)+IF(AND(IF('wk3'!F$5=Pat!$C$25,1,0),IF('wk3'!F43=Pat!B$27,1,0)),1,0)+IF(AND(IF('wk3'!G$5=Pat!$C$25,1,0),IF('wk3'!G43=Pat!B$27,1,0)),1,0)</f>
        <v>0</v>
      </c>
      <c r="G61" s="83">
        <f>IF(AND(IF('wk3'!C$5=Pat!$C$25,1,0),IF('wk3'!C43=Pat!C$27,1,0)),1,0)+IF(AND(IF('wk3'!D$5=Pat!$C$25,1,0),IF('wk3'!D43=Pat!C$27,1,0)),1,0)+IF(AND(IF('wk3'!E$5=Pat!$C$25,1,0),IF('wk3'!E43=Pat!C$27,1,0)),1,0)+IF(AND(IF('wk3'!F$5=Pat!$C$25,1,0),IF('wk3'!F43=Pat!C$27,1,0)),1,0)+IF(AND(IF('wk3'!G$5=Pat!$C$25,1,0),IF('wk3'!G43=Pat!C$27,1,0)),1,0)+IF(AND(IF('wk3'!H$5=Pat!$C$25,1,0),IF('wk3'!H43=Pat!C$27,1,0)),1,0)+IF(AND(IF('wk3'!B$5=Pat!$C$25,1,0),IF('wk3'!B43=Pat!C$27,1,0)),1,0)</f>
        <v>0</v>
      </c>
      <c r="H61" s="82">
        <f>IF(AND(IF('wk4'!B$5=Pat!$C$25,1,0),IF('wk4'!B43=Pat!B$27,1,0)),1,0)+IF(AND(IF('wk4'!C$5=Pat!$C$25,1,0),IF('wk4'!C43=Pat!B$27,1,0)),1,0)+IF(AND(IF('wk4'!D$5=Pat!$C$25,1,0),IF('wk4'!D43=Pat!B$27,1,0)),1,0)+IF(AND(IF('wk4'!E$5=Pat!$C$25,1,0),IF('wk4'!E43=Pat!B$27,1,0)),1,0)+IF(AND(IF('wk4'!F$5=Pat!$C$25,1,0),IF('wk4'!F43=Pat!B$27,1,0)),1,0)+IF(AND(IF('wk4'!G$5=Pat!$C$25,1,0),IF('wk4'!G43=Pat!B$27,1,0)),1,0)</f>
        <v>0</v>
      </c>
      <c r="I61" s="83">
        <f>IF(AND(IF('wk4'!C$5=Pat!$C$25,1,0),IF('wk4'!C43=Pat!C$27,1,0)),1,0)+IF(AND(IF('wk4'!D$5=Pat!$C$25,1,0),IF('wk4'!D43=Pat!C$27,1,0)),1,0)+IF(AND(IF('wk4'!E$5=Pat!$C$25,1,0),IF('wk4'!E43=Pat!C$27,1,0)),1,0)+IF(AND(IF('wk4'!F$5=Pat!$C$25,1,0),IF('wk4'!F43=Pat!C$27,1,0)),1,0)+IF(AND(IF('wk4'!G$5=Pat!$C$25,1,0),IF('wk4'!G43=Pat!C$27,1,0)),1,0)+IF(AND(IF('wk4'!H$5=Pat!$C$25,1,0),IF('wk4'!H43=Pat!C$27,1,0)),1,0)+IF(AND(IF('wk4'!B$5=Pat!$C$25,1,0),IF('wk4'!B43=Pat!C$27,1,0)),1,0)</f>
        <v>0</v>
      </c>
      <c r="J61" s="84">
        <f>IF(AND(IF('wk5'!B$5=Pat!$C$25,1,0),IF('wk5'!B43=Pat!B$27,1,0)),1,0)+IF(AND(IF('wk5'!C$5=Pat!$C$25,1,0),IF('wk5'!C43=Pat!B$27,1,0)),1,0)+IF(AND(IF('wk5'!D$5=Pat!$C$25,1,0),IF('wk5'!D43=Pat!B$27,1,0)),1,0)+IF(AND(IF('wk5'!E$5=Pat!$C$25,1,0),IF('wk5'!E43=Pat!B$27,1,0)),1,0)+IF(AND(IF('wk5'!F$5=Pat!$C$25,1,0),IF('wk5'!F43=Pat!B$27,1,0)),1,0)+IF(AND(IF('wk5'!G$5=Pat!$C$25,1,0),IF('wk5'!G43=Pat!B$27,1,0)),1,0)</f>
        <v>0</v>
      </c>
      <c r="K61" s="85">
        <f>IF(AND(IF('wk5'!C$5=Pat!$C$25,1,0),IF('wk5'!C43=Pat!C$27,1,0)),1,0)+IF(AND(IF('wk5'!D$5=Pat!$C$25,1,0),IF('wk5'!D43=Pat!C$27,1,0)),1,0)+IF(AND(IF('wk5'!E$5=Pat!$C$25,1,0),IF('wk5'!E43=Pat!C$27,1,0)),1,0)+IF(AND(IF('wk5'!F$5=Pat!$C$25,1,0),IF('wk5'!F43=Pat!C$27,1,0)),1,0)+IF(AND(IF('wk5'!G$5=Pat!$C$25,1,0),IF('wk5'!G43=Pat!C$27,1,0)),1,0)+IF(AND(IF('wk5'!H$5=Pat!$C$25,1,0),IF('wk5'!H43=Pat!C$27,1,0)),1,0)+IF(AND(IF('wk5'!B$5=Pat!$C$25,1,0),IF('wk5'!B43=Pat!C$27,1,0)),1,0)</f>
        <v>0</v>
      </c>
      <c r="L61" s="79"/>
      <c r="M61" s="79">
        <f t="shared" si="2"/>
        <v>0</v>
      </c>
      <c r="N61" s="81">
        <f t="shared" si="3"/>
        <v>0</v>
      </c>
      <c r="P61" s="87"/>
      <c r="Q61" s="73"/>
    </row>
    <row r="62" spans="1:17" ht="13.5" thickBot="1">
      <c r="A62" s="78">
        <f>'Members Data'!A36</f>
        <v>0</v>
      </c>
      <c r="B62" s="82">
        <f>IF(AND(IF('wk1'!B$5=Pat!$C$25,1,0),IF('wk1'!B44=Pat!B$27,1,0)),1,0)+IF(AND(IF('wk1'!D$5=Pat!$C$25,1,0),IF('wk1'!C44=Pat!B$27,1,0)),1,0)+IF(AND(IF('wk1'!D$5=Pat!$C$25,1,0),IF('wk1'!D44=Pat!B$27,1,0)),1,0)+IF(AND(IF('wk1'!E$5=Pat!$C$25,1,0),IF('wk1'!E44=Pat!B$27,1,0)),1,0)+IF(AND(IF('wk1'!F$5=Pat!$C$25,1,0),IF('wk1'!F44=Pat!B$27,1,0)),1,0)+IF(AND(IF('wk1'!G$5=Pat!$C$25,1,0),IF('wk1'!G44=Pat!B$27,1,0)),1,0)</f>
        <v>0</v>
      </c>
      <c r="C62" s="83">
        <f>IF(AND(IF('wk1'!D$5=Pat!$C$25,1,0),IF('wk1'!C44=Pat!C$27,1,0)),1,0)+IF(AND(IF('wk1'!D$5=Pat!$C$25,1,0),IF('wk1'!D44=Pat!C$27,1,0)),1,0)+IF(AND(IF('wk1'!E$5=Pat!$C$25,1,0),IF('wk1'!E44=Pat!C$27,1,0)),1,0)+IF(AND(IF('wk1'!F$5=Pat!$C$25,1,0),IF('wk1'!F44=Pat!C$27,1,0)),1,0)+IF(AND(IF('wk1'!G$5=Pat!$C$25,1,0),IF('wk1'!G44=Pat!C$27,1,0)),1,0)+IF(AND(IF('wk1'!H$5=Pat!$C$25,1,0),IF('wk1'!H44=Pat!C$27,1,0)),1,0)+IF(AND(IF('wk1'!B$5=Pat!$C$25,1,0),IF('wk1'!B44=Pat!C$27,1,0)),1,0)</f>
        <v>0</v>
      </c>
      <c r="D62" s="82">
        <f>IF(AND(IF('wk2'!B$5=Pat!$C$25,1,0),IF('wk2'!B44=Pat!B$27,1,0)),1,0)+IF(AND(IF('wk2'!C$5=Pat!$C$25,1,0),IF('wk2'!C44=Pat!B$27,1,0)),1,0)+IF(AND(IF('wk2'!D$5=Pat!$C$25,1,0),IF('wk2'!D44=Pat!B$27,1,0)),1,0)+IF(AND(IF('wk2'!E$5=Pat!$C$25,1,0),IF('wk2'!E44=Pat!B$27,1,0)),1,0)+IF(AND(IF('wk2'!F$5=Pat!$C$25,1,0),IF('wk2'!F44=Pat!B$27,1,0)),1,0)+IF(AND(IF('wk2'!G$5=Pat!$C$25,1,0),IF('wk2'!G44=Pat!B$27,1,0)),1,0)</f>
        <v>0</v>
      </c>
      <c r="E62" s="83">
        <f>IF(AND(IF('wk2'!C$5=Pat!$C$25,1,0),IF('wk2'!C44=Pat!C$27,1,0)),1,0)+IF(AND(IF('wk2'!D$5=Pat!$C$25,1,0),IF('wk2'!D44=Pat!C$27,1,0)),1,0)+IF(AND(IF('wk2'!E$5=Pat!$C$25,1,0),IF('wk2'!E44=Pat!C$27,1,0)),1,0)+IF(AND(IF('wk2'!F$5=Pat!$C$25,1,0),IF('wk2'!F44=Pat!C$27,1,0)),1,0)+IF(AND(IF('wk2'!G$5=Pat!$C$25,1,0),IF('wk2'!G44=Pat!C$27,1,0)),1,0)+IF(AND(IF('wk2'!H$5=Pat!$C$25,1,0),IF('wk2'!H44=Pat!C$27,1,0)),1,0)+IF(AND(IF('wk2'!B$5=Pat!$C$25,1,0),IF('wk2'!B44=Pat!C$27,1,0)),1,0)</f>
        <v>0</v>
      </c>
      <c r="F62" s="82">
        <f>IF(AND(IF('wk3'!B$5=Pat!$C$25,1,0),IF('wk3'!B44=Pat!B$27,1,0)),1,0)+IF(AND(IF('wk3'!C$5=Pat!$C$25,1,0),IF('wk3'!C44=Pat!B$27,1,0)),1,0)+IF(AND(IF('wk3'!D$5=Pat!$C$25,1,0),IF('wk3'!D44=Pat!B$27,1,0)),1,0)+IF(AND(IF('wk3'!E$5=Pat!$C$25,1,0),IF('wk3'!E44=Pat!B$27,1,0)),1,0)+IF(AND(IF('wk3'!F$5=Pat!$C$25,1,0),IF('wk3'!F44=Pat!B$27,1,0)),1,0)+IF(AND(IF('wk3'!G$5=Pat!$C$25,1,0),IF('wk3'!G44=Pat!B$27,1,0)),1,0)</f>
        <v>0</v>
      </c>
      <c r="G62" s="83">
        <f>IF(AND(IF('wk3'!C$5=Pat!$C$25,1,0),IF('wk3'!C44=Pat!C$27,1,0)),1,0)+IF(AND(IF('wk3'!D$5=Pat!$C$25,1,0),IF('wk3'!D44=Pat!C$27,1,0)),1,0)+IF(AND(IF('wk3'!E$5=Pat!$C$25,1,0),IF('wk3'!E44=Pat!C$27,1,0)),1,0)+IF(AND(IF('wk3'!F$5=Pat!$C$25,1,0),IF('wk3'!F44=Pat!C$27,1,0)),1,0)+IF(AND(IF('wk3'!G$5=Pat!$C$25,1,0),IF('wk3'!G44=Pat!C$27,1,0)),1,0)+IF(AND(IF('wk3'!H$5=Pat!$C$25,1,0),IF('wk3'!H44=Pat!C$27,1,0)),1,0)+IF(AND(IF('wk3'!B$5=Pat!$C$25,1,0),IF('wk3'!B44=Pat!C$27,1,0)),1,0)</f>
        <v>0</v>
      </c>
      <c r="H62" s="82">
        <f>IF(AND(IF('wk4'!B$5=Pat!$C$25,1,0),IF('wk4'!B44=Pat!B$27,1,0)),1,0)+IF(AND(IF('wk4'!C$5=Pat!$C$25,1,0),IF('wk4'!C44=Pat!B$27,1,0)),1,0)+IF(AND(IF('wk4'!D$5=Pat!$C$25,1,0),IF('wk4'!D44=Pat!B$27,1,0)),1,0)+IF(AND(IF('wk4'!E$5=Pat!$C$25,1,0),IF('wk4'!E44=Pat!B$27,1,0)),1,0)+IF(AND(IF('wk4'!F$5=Pat!$C$25,1,0),IF('wk4'!F44=Pat!B$27,1,0)),1,0)+IF(AND(IF('wk4'!G$5=Pat!$C$25,1,0),IF('wk4'!G44=Pat!B$27,1,0)),1,0)</f>
        <v>0</v>
      </c>
      <c r="I62" s="83">
        <f>IF(AND(IF('wk4'!C$5=Pat!$C$25,1,0),IF('wk4'!C44=Pat!C$27,1,0)),1,0)+IF(AND(IF('wk4'!D$5=Pat!$C$25,1,0),IF('wk4'!D44=Pat!C$27,1,0)),1,0)+IF(AND(IF('wk4'!E$5=Pat!$C$25,1,0),IF('wk4'!E44=Pat!C$27,1,0)),1,0)+IF(AND(IF('wk4'!F$5=Pat!$C$25,1,0),IF('wk4'!F44=Pat!C$27,1,0)),1,0)+IF(AND(IF('wk4'!G$5=Pat!$C$25,1,0),IF('wk4'!G44=Pat!C$27,1,0)),1,0)+IF(AND(IF('wk4'!H$5=Pat!$C$25,1,0),IF('wk4'!H44=Pat!C$27,1,0)),1,0)+IF(AND(IF('wk4'!B$5=Pat!$C$25,1,0),IF('wk4'!B44=Pat!C$27,1,0)),1,0)</f>
        <v>0</v>
      </c>
      <c r="J62" s="84">
        <f>IF(AND(IF('wk5'!B$5=Pat!$C$25,1,0),IF('wk5'!B44=Pat!B$27,1,0)),1,0)+IF(AND(IF('wk5'!C$5=Pat!$C$25,1,0),IF('wk5'!C44=Pat!B$27,1,0)),1,0)+IF(AND(IF('wk5'!D$5=Pat!$C$25,1,0),IF('wk5'!D44=Pat!B$27,1,0)),1,0)+IF(AND(IF('wk5'!E$5=Pat!$C$25,1,0),IF('wk5'!E44=Pat!B$27,1,0)),1,0)+IF(AND(IF('wk5'!F$5=Pat!$C$25,1,0),IF('wk5'!F44=Pat!B$27,1,0)),1,0)+IF(AND(IF('wk5'!G$5=Pat!$C$25,1,0),IF('wk5'!G44=Pat!B$27,1,0)),1,0)</f>
        <v>0</v>
      </c>
      <c r="K62" s="85">
        <f>IF(AND(IF('wk5'!C$5=Pat!$C$25,1,0),IF('wk5'!C44=Pat!C$27,1,0)),1,0)+IF(AND(IF('wk5'!D$5=Pat!$C$25,1,0),IF('wk5'!D44=Pat!C$27,1,0)),1,0)+IF(AND(IF('wk5'!E$5=Pat!$C$25,1,0),IF('wk5'!E44=Pat!C$27,1,0)),1,0)+IF(AND(IF('wk5'!F$5=Pat!$C$25,1,0),IF('wk5'!F44=Pat!C$27,1,0)),1,0)+IF(AND(IF('wk5'!G$5=Pat!$C$25,1,0),IF('wk5'!G44=Pat!C$27,1,0)),1,0)+IF(AND(IF('wk5'!H$5=Pat!$C$25,1,0),IF('wk5'!H44=Pat!C$27,1,0)),1,0)+IF(AND(IF('wk5'!B$5=Pat!$C$25,1,0),IF('wk5'!B44=Pat!C$27,1,0)),1,0)</f>
        <v>0</v>
      </c>
      <c r="L62" s="79"/>
      <c r="M62" s="79">
        <f t="shared" si="2"/>
        <v>0</v>
      </c>
      <c r="N62" s="81">
        <f t="shared" si="3"/>
        <v>0</v>
      </c>
      <c r="Q62" s="73"/>
    </row>
    <row r="63" spans="1:17" ht="13.5" thickBot="1">
      <c r="A63" s="78">
        <f>'Members Data'!A37</f>
        <v>0</v>
      </c>
      <c r="B63" s="82">
        <f>IF(AND(IF('wk1'!B$5=Pat!$C$25,1,0),IF('wk1'!B45=Pat!B$27,1,0)),1,0)+IF(AND(IF('wk1'!D$5=Pat!$C$25,1,0),IF('wk1'!C45=Pat!B$27,1,0)),1,0)+IF(AND(IF('wk1'!D$5=Pat!$C$25,1,0),IF('wk1'!D45=Pat!B$27,1,0)),1,0)+IF(AND(IF('wk1'!E$5=Pat!$C$25,1,0),IF('wk1'!E45=Pat!B$27,1,0)),1,0)+IF(AND(IF('wk1'!F$5=Pat!$C$25,1,0),IF('wk1'!F45=Pat!B$27,1,0)),1,0)+IF(AND(IF('wk1'!G$5=Pat!$C$25,1,0),IF('wk1'!G45=Pat!B$27,1,0)),1,0)</f>
        <v>0</v>
      </c>
      <c r="C63" s="83">
        <f>IF(AND(IF('wk1'!D$5=Pat!$C$25,1,0),IF('wk1'!C45=Pat!C$27,1,0)),1,0)+IF(AND(IF('wk1'!D$5=Pat!$C$25,1,0),IF('wk1'!D45=Pat!C$27,1,0)),1,0)+IF(AND(IF('wk1'!E$5=Pat!$C$25,1,0),IF('wk1'!E45=Pat!C$27,1,0)),1,0)+IF(AND(IF('wk1'!F$5=Pat!$C$25,1,0),IF('wk1'!F45=Pat!C$27,1,0)),1,0)+IF(AND(IF('wk1'!G$5=Pat!$C$25,1,0),IF('wk1'!G45=Pat!C$27,1,0)),1,0)+IF(AND(IF('wk1'!H$5=Pat!$C$25,1,0),IF('wk1'!H45=Pat!C$27,1,0)),1,0)+IF(AND(IF('wk1'!B$5=Pat!$C$25,1,0),IF('wk1'!B45=Pat!C$27,1,0)),1,0)</f>
        <v>0</v>
      </c>
      <c r="D63" s="82">
        <f>IF(AND(IF('wk2'!B$5=Pat!$C$25,1,0),IF('wk2'!B45=Pat!B$27,1,0)),1,0)+IF(AND(IF('wk2'!C$5=Pat!$C$25,1,0),IF('wk2'!C45=Pat!B$27,1,0)),1,0)+IF(AND(IF('wk2'!D$5=Pat!$C$25,1,0),IF('wk2'!D45=Pat!B$27,1,0)),1,0)+IF(AND(IF('wk2'!E$5=Pat!$C$25,1,0),IF('wk2'!E45=Pat!B$27,1,0)),1,0)+IF(AND(IF('wk2'!F$5=Pat!$C$25,1,0),IF('wk2'!F45=Pat!B$27,1,0)),1,0)+IF(AND(IF('wk2'!G$5=Pat!$C$25,1,0),IF('wk2'!G45=Pat!B$27,1,0)),1,0)</f>
        <v>0</v>
      </c>
      <c r="E63" s="83">
        <f>IF(AND(IF('wk2'!C$5=Pat!$C$25,1,0),IF('wk2'!C45=Pat!C$27,1,0)),1,0)+IF(AND(IF('wk2'!D$5=Pat!$C$25,1,0),IF('wk2'!D45=Pat!C$27,1,0)),1,0)+IF(AND(IF('wk2'!E$5=Pat!$C$25,1,0),IF('wk2'!E45=Pat!C$27,1,0)),1,0)+IF(AND(IF('wk2'!F$5=Pat!$C$25,1,0),IF('wk2'!F45=Pat!C$27,1,0)),1,0)+IF(AND(IF('wk2'!G$5=Pat!$C$25,1,0),IF('wk2'!G45=Pat!C$27,1,0)),1,0)+IF(AND(IF('wk2'!H$5=Pat!$C$25,1,0),IF('wk2'!H45=Pat!C$27,1,0)),1,0)+IF(AND(IF('wk2'!B$5=Pat!$C$25,1,0),IF('wk2'!B45=Pat!C$27,1,0)),1,0)</f>
        <v>0</v>
      </c>
      <c r="F63" s="82">
        <f>IF(AND(IF('wk3'!B$5=Pat!$C$25,1,0),IF('wk3'!B45=Pat!B$27,1,0)),1,0)+IF(AND(IF('wk3'!C$5=Pat!$C$25,1,0),IF('wk3'!C45=Pat!B$27,1,0)),1,0)+IF(AND(IF('wk3'!D$5=Pat!$C$25,1,0),IF('wk3'!D45=Pat!B$27,1,0)),1,0)+IF(AND(IF('wk3'!E$5=Pat!$C$25,1,0),IF('wk3'!E45=Pat!B$27,1,0)),1,0)+IF(AND(IF('wk3'!F$5=Pat!$C$25,1,0),IF('wk3'!F45=Pat!B$27,1,0)),1,0)+IF(AND(IF('wk3'!G$5=Pat!$C$25,1,0),IF('wk3'!G45=Pat!B$27,1,0)),1,0)</f>
        <v>0</v>
      </c>
      <c r="G63" s="83">
        <f>IF(AND(IF('wk3'!C$5=Pat!$C$25,1,0),IF('wk3'!C45=Pat!C$27,1,0)),1,0)+IF(AND(IF('wk3'!D$5=Pat!$C$25,1,0),IF('wk3'!D45=Pat!C$27,1,0)),1,0)+IF(AND(IF('wk3'!E$5=Pat!$C$25,1,0),IF('wk3'!E45=Pat!C$27,1,0)),1,0)+IF(AND(IF('wk3'!F$5=Pat!$C$25,1,0),IF('wk3'!F45=Pat!C$27,1,0)),1,0)+IF(AND(IF('wk3'!G$5=Pat!$C$25,1,0),IF('wk3'!G45=Pat!C$27,1,0)),1,0)+IF(AND(IF('wk3'!H$5=Pat!$C$25,1,0),IF('wk3'!H45=Pat!C$27,1,0)),1,0)+IF(AND(IF('wk3'!B$5=Pat!$C$25,1,0),IF('wk3'!B45=Pat!C$27,1,0)),1,0)</f>
        <v>0</v>
      </c>
      <c r="H63" s="82">
        <f>IF(AND(IF('wk4'!B$5=Pat!$C$25,1,0),IF('wk4'!B45=Pat!B$27,1,0)),1,0)+IF(AND(IF('wk4'!C$5=Pat!$C$25,1,0),IF('wk4'!C45=Pat!B$27,1,0)),1,0)+IF(AND(IF('wk4'!D$5=Pat!$C$25,1,0),IF('wk4'!D45=Pat!B$27,1,0)),1,0)+IF(AND(IF('wk4'!E$5=Pat!$C$25,1,0),IF('wk4'!E45=Pat!B$27,1,0)),1,0)+IF(AND(IF('wk4'!F$5=Pat!$C$25,1,0),IF('wk4'!F45=Pat!B$27,1,0)),1,0)+IF(AND(IF('wk4'!G$5=Pat!$C$25,1,0),IF('wk4'!G45=Pat!B$27,1,0)),1,0)</f>
        <v>0</v>
      </c>
      <c r="I63" s="83">
        <f>IF(AND(IF('wk4'!C$5=Pat!$C$25,1,0),IF('wk4'!C45=Pat!C$27,1,0)),1,0)+IF(AND(IF('wk4'!D$5=Pat!$C$25,1,0),IF('wk4'!D45=Pat!C$27,1,0)),1,0)+IF(AND(IF('wk4'!E$5=Pat!$C$25,1,0),IF('wk4'!E45=Pat!C$27,1,0)),1,0)+IF(AND(IF('wk4'!F$5=Pat!$C$25,1,0),IF('wk4'!F45=Pat!C$27,1,0)),1,0)+IF(AND(IF('wk4'!G$5=Pat!$C$25,1,0),IF('wk4'!G45=Pat!C$27,1,0)),1,0)+IF(AND(IF('wk4'!H$5=Pat!$C$25,1,0),IF('wk4'!H45=Pat!C$27,1,0)),1,0)+IF(AND(IF('wk4'!B$5=Pat!$C$25,1,0),IF('wk4'!B45=Pat!C$27,1,0)),1,0)</f>
        <v>0</v>
      </c>
      <c r="J63" s="84">
        <f>IF(AND(IF('wk5'!B$5=Pat!$C$25,1,0),IF('wk5'!B45=Pat!B$27,1,0)),1,0)+IF(AND(IF('wk5'!C$5=Pat!$C$25,1,0),IF('wk5'!C45=Pat!B$27,1,0)),1,0)+IF(AND(IF('wk5'!D$5=Pat!$C$25,1,0),IF('wk5'!D45=Pat!B$27,1,0)),1,0)+IF(AND(IF('wk5'!E$5=Pat!$C$25,1,0),IF('wk5'!E45=Pat!B$27,1,0)),1,0)+IF(AND(IF('wk5'!F$5=Pat!$C$25,1,0),IF('wk5'!F45=Pat!B$27,1,0)),1,0)+IF(AND(IF('wk5'!G$5=Pat!$C$25,1,0),IF('wk5'!G45=Pat!B$27,1,0)),1,0)</f>
        <v>0</v>
      </c>
      <c r="K63" s="85">
        <f>IF(AND(IF('wk5'!C$5=Pat!$C$25,1,0),IF('wk5'!C45=Pat!C$27,1,0)),1,0)+IF(AND(IF('wk5'!D$5=Pat!$C$25,1,0),IF('wk5'!D45=Pat!C$27,1,0)),1,0)+IF(AND(IF('wk5'!E$5=Pat!$C$25,1,0),IF('wk5'!E45=Pat!C$27,1,0)),1,0)+IF(AND(IF('wk5'!F$5=Pat!$C$25,1,0),IF('wk5'!F45=Pat!C$27,1,0)),1,0)+IF(AND(IF('wk5'!G$5=Pat!$C$25,1,0),IF('wk5'!G45=Pat!C$27,1,0)),1,0)+IF(AND(IF('wk5'!H$5=Pat!$C$25,1,0),IF('wk5'!H45=Pat!C$27,1,0)),1,0)+IF(AND(IF('wk5'!B$5=Pat!$C$25,1,0),IF('wk5'!B45=Pat!C$27,1,0)),1,0)</f>
        <v>0</v>
      </c>
      <c r="L63" s="79"/>
      <c r="M63" s="79">
        <f t="shared" si="2"/>
        <v>0</v>
      </c>
      <c r="N63" s="81">
        <f t="shared" si="3"/>
        <v>0</v>
      </c>
      <c r="Q63" s="73"/>
    </row>
    <row r="64" spans="1:17" ht="13.5" thickBot="1">
      <c r="A64" s="78">
        <f>'Members Data'!A38</f>
        <v>0</v>
      </c>
      <c r="B64" s="82">
        <f>IF(AND(IF('wk1'!B$5=Pat!$C$25,1,0),IF('wk1'!B46=Pat!B$27,1,0)),1,0)+IF(AND(IF('wk1'!D$5=Pat!$C$25,1,0),IF('wk1'!C46=Pat!B$27,1,0)),1,0)+IF(AND(IF('wk1'!D$5=Pat!$C$25,1,0),IF('wk1'!D46=Pat!B$27,1,0)),1,0)+IF(AND(IF('wk1'!E$5=Pat!$C$25,1,0),IF('wk1'!E46=Pat!B$27,1,0)),1,0)+IF(AND(IF('wk1'!F$5=Pat!$C$25,1,0),IF('wk1'!F46=Pat!B$27,1,0)),1,0)+IF(AND(IF('wk1'!G$5=Pat!$C$25,1,0),IF('wk1'!G46=Pat!B$27,1,0)),1,0)</f>
        <v>0</v>
      </c>
      <c r="C64" s="83">
        <f>IF(AND(IF('wk1'!D$5=Pat!$C$25,1,0),IF('wk1'!C46=Pat!C$27,1,0)),1,0)+IF(AND(IF('wk1'!D$5=Pat!$C$25,1,0),IF('wk1'!D46=Pat!C$27,1,0)),1,0)+IF(AND(IF('wk1'!E$5=Pat!$C$25,1,0),IF('wk1'!E46=Pat!C$27,1,0)),1,0)+IF(AND(IF('wk1'!F$5=Pat!$C$25,1,0),IF('wk1'!F46=Pat!C$27,1,0)),1,0)+IF(AND(IF('wk1'!G$5=Pat!$C$25,1,0),IF('wk1'!G46=Pat!C$27,1,0)),1,0)+IF(AND(IF('wk1'!H$5=Pat!$C$25,1,0),IF('wk1'!H46=Pat!C$27,1,0)),1,0)+IF(AND(IF('wk1'!B$5=Pat!$C$25,1,0),IF('wk1'!B46=Pat!C$27,1,0)),1,0)</f>
        <v>0</v>
      </c>
      <c r="D64" s="82">
        <f>IF(AND(IF('wk2'!B$5=Pat!$C$25,1,0),IF('wk2'!B46=Pat!B$27,1,0)),1,0)+IF(AND(IF('wk2'!C$5=Pat!$C$25,1,0),IF('wk2'!C46=Pat!B$27,1,0)),1,0)+IF(AND(IF('wk2'!D$5=Pat!$C$25,1,0),IF('wk2'!D46=Pat!B$27,1,0)),1,0)+IF(AND(IF('wk2'!E$5=Pat!$C$25,1,0),IF('wk2'!E46=Pat!B$27,1,0)),1,0)+IF(AND(IF('wk2'!F$5=Pat!$C$25,1,0),IF('wk2'!F46=Pat!B$27,1,0)),1,0)+IF(AND(IF('wk2'!G$5=Pat!$C$25,1,0),IF('wk2'!G46=Pat!B$27,1,0)),1,0)</f>
        <v>0</v>
      </c>
      <c r="E64" s="83">
        <f>IF(AND(IF('wk2'!C$5=Pat!$C$25,1,0),IF('wk2'!C46=Pat!C$27,1,0)),1,0)+IF(AND(IF('wk2'!D$5=Pat!$C$25,1,0),IF('wk2'!D46=Pat!C$27,1,0)),1,0)+IF(AND(IF('wk2'!E$5=Pat!$C$25,1,0),IF('wk2'!E46=Pat!C$27,1,0)),1,0)+IF(AND(IF('wk2'!F$5=Pat!$C$25,1,0),IF('wk2'!F46=Pat!C$27,1,0)),1,0)+IF(AND(IF('wk2'!G$5=Pat!$C$25,1,0),IF('wk2'!G46=Pat!C$27,1,0)),1,0)+IF(AND(IF('wk2'!H$5=Pat!$C$25,1,0),IF('wk2'!H46=Pat!C$27,1,0)),1,0)+IF(AND(IF('wk2'!B$5=Pat!$C$25,1,0),IF('wk2'!B46=Pat!C$27,1,0)),1,0)</f>
        <v>0</v>
      </c>
      <c r="F64" s="82">
        <f>IF(AND(IF('wk3'!B$5=Pat!$C$25,1,0),IF('wk3'!B46=Pat!B$27,1,0)),1,0)+IF(AND(IF('wk3'!C$5=Pat!$C$25,1,0),IF('wk3'!C46=Pat!B$27,1,0)),1,0)+IF(AND(IF('wk3'!D$5=Pat!$C$25,1,0),IF('wk3'!D46=Pat!B$27,1,0)),1,0)+IF(AND(IF('wk3'!E$5=Pat!$C$25,1,0),IF('wk3'!E46=Pat!B$27,1,0)),1,0)+IF(AND(IF('wk3'!F$5=Pat!$C$25,1,0),IF('wk3'!F46=Pat!B$27,1,0)),1,0)+IF(AND(IF('wk3'!G$5=Pat!$C$25,1,0),IF('wk3'!G46=Pat!B$27,1,0)),1,0)</f>
        <v>0</v>
      </c>
      <c r="G64" s="83">
        <f>IF(AND(IF('wk3'!C$5=Pat!$C$25,1,0),IF('wk3'!C46=Pat!C$27,1,0)),1,0)+IF(AND(IF('wk3'!D$5=Pat!$C$25,1,0),IF('wk3'!D46=Pat!C$27,1,0)),1,0)+IF(AND(IF('wk3'!E$5=Pat!$C$25,1,0),IF('wk3'!E46=Pat!C$27,1,0)),1,0)+IF(AND(IF('wk3'!F$5=Pat!$C$25,1,0),IF('wk3'!F46=Pat!C$27,1,0)),1,0)+IF(AND(IF('wk3'!G$5=Pat!$C$25,1,0),IF('wk3'!G46=Pat!C$27,1,0)),1,0)+IF(AND(IF('wk3'!H$5=Pat!$C$25,1,0),IF('wk3'!H46=Pat!C$27,1,0)),1,0)+IF(AND(IF('wk3'!B$5=Pat!$C$25,1,0),IF('wk3'!B46=Pat!C$27,1,0)),1,0)</f>
        <v>0</v>
      </c>
      <c r="H64" s="82">
        <f>IF(AND(IF('wk4'!B$5=Pat!$C$25,1,0),IF('wk4'!B46=Pat!B$27,1,0)),1,0)+IF(AND(IF('wk4'!C$5=Pat!$C$25,1,0),IF('wk4'!C46=Pat!B$27,1,0)),1,0)+IF(AND(IF('wk4'!D$5=Pat!$C$25,1,0),IF('wk4'!D46=Pat!B$27,1,0)),1,0)+IF(AND(IF('wk4'!E$5=Pat!$C$25,1,0),IF('wk4'!E46=Pat!B$27,1,0)),1,0)+IF(AND(IF('wk4'!F$5=Pat!$C$25,1,0),IF('wk4'!F46=Pat!B$27,1,0)),1,0)+IF(AND(IF('wk4'!G$5=Pat!$C$25,1,0),IF('wk4'!G46=Pat!B$27,1,0)),1,0)</f>
        <v>0</v>
      </c>
      <c r="I64" s="83">
        <f>IF(AND(IF('wk4'!C$5=Pat!$C$25,1,0),IF('wk4'!C46=Pat!C$27,1,0)),1,0)+IF(AND(IF('wk4'!D$5=Pat!$C$25,1,0),IF('wk4'!D46=Pat!C$27,1,0)),1,0)+IF(AND(IF('wk4'!E$5=Pat!$C$25,1,0),IF('wk4'!E46=Pat!C$27,1,0)),1,0)+IF(AND(IF('wk4'!F$5=Pat!$C$25,1,0),IF('wk4'!F46=Pat!C$27,1,0)),1,0)+IF(AND(IF('wk4'!G$5=Pat!$C$25,1,0),IF('wk4'!G46=Pat!C$27,1,0)),1,0)+IF(AND(IF('wk4'!H$5=Pat!$C$25,1,0),IF('wk4'!H46=Pat!C$27,1,0)),1,0)+IF(AND(IF('wk4'!B$5=Pat!$C$25,1,0),IF('wk4'!B46=Pat!C$27,1,0)),1,0)</f>
        <v>0</v>
      </c>
      <c r="J64" s="84">
        <f>IF(AND(IF('wk5'!B$5=Pat!$C$25,1,0),IF('wk5'!B46=Pat!B$27,1,0)),1,0)+IF(AND(IF('wk5'!C$5=Pat!$C$25,1,0),IF('wk5'!C46=Pat!B$27,1,0)),1,0)+IF(AND(IF('wk5'!D$5=Pat!$C$25,1,0),IF('wk5'!D46=Pat!B$27,1,0)),1,0)+IF(AND(IF('wk5'!E$5=Pat!$C$25,1,0),IF('wk5'!E46=Pat!B$27,1,0)),1,0)+IF(AND(IF('wk5'!F$5=Pat!$C$25,1,0),IF('wk5'!F46=Pat!B$27,1,0)),1,0)+IF(AND(IF('wk5'!G$5=Pat!$C$25,1,0),IF('wk5'!G46=Pat!B$27,1,0)),1,0)</f>
        <v>0</v>
      </c>
      <c r="K64" s="85">
        <f>IF(AND(IF('wk5'!C$5=Pat!$C$25,1,0),IF('wk5'!C46=Pat!C$27,1,0)),1,0)+IF(AND(IF('wk5'!D$5=Pat!$C$25,1,0),IF('wk5'!D46=Pat!C$27,1,0)),1,0)+IF(AND(IF('wk5'!E$5=Pat!$C$25,1,0),IF('wk5'!E46=Pat!C$27,1,0)),1,0)+IF(AND(IF('wk5'!F$5=Pat!$C$25,1,0),IF('wk5'!F46=Pat!C$27,1,0)),1,0)+IF(AND(IF('wk5'!G$5=Pat!$C$25,1,0),IF('wk5'!G46=Pat!C$27,1,0)),1,0)+IF(AND(IF('wk5'!H$5=Pat!$C$25,1,0),IF('wk5'!H46=Pat!C$27,1,0)),1,0)+IF(AND(IF('wk5'!B$5=Pat!$C$25,1,0),IF('wk5'!B46=Pat!C$27,1,0)),1,0)</f>
        <v>0</v>
      </c>
      <c r="L64" s="79"/>
      <c r="M64" s="79">
        <f t="shared" si="2"/>
        <v>0</v>
      </c>
      <c r="N64" s="81">
        <f t="shared" si="3"/>
        <v>0</v>
      </c>
      <c r="Q64" s="73"/>
    </row>
    <row r="65" spans="1:17" ht="13.5" thickBot="1">
      <c r="A65" s="78" t="str">
        <f>'Members Data'!A39</f>
        <v>Mardazur</v>
      </c>
      <c r="B65" s="82">
        <f>IF(AND(IF('wk1'!B$5=Pat!$C$25,1,0),IF('wk1'!B47=Pat!B$27,1,0)),1,0)+IF(AND(IF('wk1'!D$5=Pat!$C$25,1,0),IF('wk1'!C47=Pat!B$27,1,0)),1,0)+IF(AND(IF('wk1'!D$5=Pat!$C$25,1,0),IF('wk1'!D47=Pat!B$27,1,0)),1,0)+IF(AND(IF('wk1'!E$5=Pat!$C$25,1,0),IF('wk1'!E47=Pat!B$27,1,0)),1,0)+IF(AND(IF('wk1'!F$5=Pat!$C$25,1,0),IF('wk1'!F47=Pat!B$27,1,0)),1,0)+IF(AND(IF('wk1'!G$5=Pat!$C$25,1,0),IF('wk1'!G47=Pat!B$27,1,0)),1,0)</f>
        <v>0</v>
      </c>
      <c r="C65" s="83">
        <f>IF(AND(IF('wk1'!D$5=Pat!$C$25,1,0),IF('wk1'!C47=Pat!C$27,1,0)),1,0)+IF(AND(IF('wk1'!D$5=Pat!$C$25,1,0),IF('wk1'!D47=Pat!C$27,1,0)),1,0)+IF(AND(IF('wk1'!E$5=Pat!$C$25,1,0),IF('wk1'!E47=Pat!C$27,1,0)),1,0)+IF(AND(IF('wk1'!F$5=Pat!$C$25,1,0),IF('wk1'!F47=Pat!C$27,1,0)),1,0)+IF(AND(IF('wk1'!G$5=Pat!$C$25,1,0),IF('wk1'!G47=Pat!C$27,1,0)),1,0)+IF(AND(IF('wk1'!H$5=Pat!$C$25,1,0),IF('wk1'!H47=Pat!C$27,1,0)),1,0)+IF(AND(IF('wk1'!B$5=Pat!$C$25,1,0),IF('wk1'!B47=Pat!C$27,1,0)),1,0)</f>
        <v>0</v>
      </c>
      <c r="D65" s="82">
        <f>IF(AND(IF('wk2'!B$5=Pat!$C$25,1,0),IF('wk2'!B47=Pat!B$27,1,0)),1,0)+IF(AND(IF('wk2'!C$5=Pat!$C$25,1,0),IF('wk2'!C47=Pat!B$27,1,0)),1,0)+IF(AND(IF('wk2'!D$5=Pat!$C$25,1,0),IF('wk2'!D47=Pat!B$27,1,0)),1,0)+IF(AND(IF('wk2'!E$5=Pat!$C$25,1,0),IF('wk2'!E47=Pat!B$27,1,0)),1,0)+IF(AND(IF('wk2'!F$5=Pat!$C$25,1,0),IF('wk2'!F47=Pat!B$27,1,0)),1,0)+IF(AND(IF('wk2'!G$5=Pat!$C$25,1,0),IF('wk2'!G47=Pat!B$27,1,0)),1,0)</f>
        <v>0</v>
      </c>
      <c r="E65" s="83">
        <f>IF(AND(IF('wk2'!C$5=Pat!$C$25,1,0),IF('wk2'!C47=Pat!C$27,1,0)),1,0)+IF(AND(IF('wk2'!D$5=Pat!$C$25,1,0),IF('wk2'!D47=Pat!C$27,1,0)),1,0)+IF(AND(IF('wk2'!E$5=Pat!$C$25,1,0),IF('wk2'!E47=Pat!C$27,1,0)),1,0)+IF(AND(IF('wk2'!F$5=Pat!$C$25,1,0),IF('wk2'!F47=Pat!C$27,1,0)),1,0)+IF(AND(IF('wk2'!G$5=Pat!$C$25,1,0),IF('wk2'!G47=Pat!C$27,1,0)),1,0)+IF(AND(IF('wk2'!H$5=Pat!$C$25,1,0),IF('wk2'!H47=Pat!C$27,1,0)),1,0)+IF(AND(IF('wk2'!B$5=Pat!$C$25,1,0),IF('wk2'!B47=Pat!C$27,1,0)),1,0)</f>
        <v>0</v>
      </c>
      <c r="F65" s="82">
        <f>IF(AND(IF('wk3'!B$5=Pat!$C$25,1,0),IF('wk3'!B47=Pat!B$27,1,0)),1,0)+IF(AND(IF('wk3'!C$5=Pat!$C$25,1,0),IF('wk3'!C47=Pat!B$27,1,0)),1,0)+IF(AND(IF('wk3'!D$5=Pat!$C$25,1,0),IF('wk3'!D47=Pat!B$27,1,0)),1,0)+IF(AND(IF('wk3'!E$5=Pat!$C$25,1,0),IF('wk3'!E47=Pat!B$27,1,0)),1,0)+IF(AND(IF('wk3'!F$5=Pat!$C$25,1,0),IF('wk3'!F47=Pat!B$27,1,0)),1,0)+IF(AND(IF('wk3'!G$5=Pat!$C$25,1,0),IF('wk3'!G47=Pat!B$27,1,0)),1,0)</f>
        <v>0</v>
      </c>
      <c r="G65" s="83">
        <f>IF(AND(IF('wk3'!C$5=Pat!$C$25,1,0),IF('wk3'!C47=Pat!C$27,1,0)),1,0)+IF(AND(IF('wk3'!D$5=Pat!$C$25,1,0),IF('wk3'!D47=Pat!C$27,1,0)),1,0)+IF(AND(IF('wk3'!E$5=Pat!$C$25,1,0),IF('wk3'!E47=Pat!C$27,1,0)),1,0)+IF(AND(IF('wk3'!F$5=Pat!$C$25,1,0),IF('wk3'!F47=Pat!C$27,1,0)),1,0)+IF(AND(IF('wk3'!G$5=Pat!$C$25,1,0),IF('wk3'!G47=Pat!C$27,1,0)),1,0)+IF(AND(IF('wk3'!H$5=Pat!$C$25,1,0),IF('wk3'!H47=Pat!C$27,1,0)),1,0)+IF(AND(IF('wk3'!B$5=Pat!$C$25,1,0),IF('wk3'!B47=Pat!C$27,1,0)),1,0)</f>
        <v>0</v>
      </c>
      <c r="H65" s="82">
        <f>IF(AND(IF('wk4'!B$5=Pat!$C$25,1,0),IF('wk4'!B47=Pat!B$27,1,0)),1,0)+IF(AND(IF('wk4'!C$5=Pat!$C$25,1,0),IF('wk4'!C47=Pat!B$27,1,0)),1,0)+IF(AND(IF('wk4'!D$5=Pat!$C$25,1,0),IF('wk4'!D47=Pat!B$27,1,0)),1,0)+IF(AND(IF('wk4'!E$5=Pat!$C$25,1,0),IF('wk4'!E47=Pat!B$27,1,0)),1,0)+IF(AND(IF('wk4'!F$5=Pat!$C$25,1,0),IF('wk4'!F47=Pat!B$27,1,0)),1,0)+IF(AND(IF('wk4'!G$5=Pat!$C$25,1,0),IF('wk4'!G47=Pat!B$27,1,0)),1,0)</f>
        <v>0</v>
      </c>
      <c r="I65" s="83">
        <f>IF(AND(IF('wk4'!C$5=Pat!$C$25,1,0),IF('wk4'!C47=Pat!C$27,1,0)),1,0)+IF(AND(IF('wk4'!D$5=Pat!$C$25,1,0),IF('wk4'!D47=Pat!C$27,1,0)),1,0)+IF(AND(IF('wk4'!E$5=Pat!$C$25,1,0),IF('wk4'!E47=Pat!C$27,1,0)),1,0)+IF(AND(IF('wk4'!F$5=Pat!$C$25,1,0),IF('wk4'!F47=Pat!C$27,1,0)),1,0)+IF(AND(IF('wk4'!G$5=Pat!$C$25,1,0),IF('wk4'!G47=Pat!C$27,1,0)),1,0)+IF(AND(IF('wk4'!H$5=Pat!$C$25,1,0),IF('wk4'!H47=Pat!C$27,1,0)),1,0)+IF(AND(IF('wk4'!B$5=Pat!$C$25,1,0),IF('wk4'!B47=Pat!C$27,1,0)),1,0)</f>
        <v>0</v>
      </c>
      <c r="J65" s="84">
        <f>IF(AND(IF('wk5'!B$5=Pat!$C$25,1,0),IF('wk5'!B47=Pat!B$27,1,0)),1,0)+IF(AND(IF('wk5'!C$5=Pat!$C$25,1,0),IF('wk5'!C47=Pat!B$27,1,0)),1,0)+IF(AND(IF('wk5'!D$5=Pat!$C$25,1,0),IF('wk5'!D47=Pat!B$27,1,0)),1,0)+IF(AND(IF('wk5'!E$5=Pat!$C$25,1,0),IF('wk5'!E47=Pat!B$27,1,0)),1,0)+IF(AND(IF('wk5'!F$5=Pat!$C$25,1,0),IF('wk5'!F47=Pat!B$27,1,0)),1,0)+IF(AND(IF('wk5'!G$5=Pat!$C$25,1,0),IF('wk5'!G47=Pat!B$27,1,0)),1,0)</f>
        <v>0</v>
      </c>
      <c r="K65" s="85">
        <f>IF(AND(IF('wk5'!C$5=Pat!$C$25,1,0),IF('wk5'!C47=Pat!C$27,1,0)),1,0)+IF(AND(IF('wk5'!D$5=Pat!$C$25,1,0),IF('wk5'!D47=Pat!C$27,1,0)),1,0)+IF(AND(IF('wk5'!E$5=Pat!$C$25,1,0),IF('wk5'!E47=Pat!C$27,1,0)),1,0)+IF(AND(IF('wk5'!F$5=Pat!$C$25,1,0),IF('wk5'!F47=Pat!C$27,1,0)),1,0)+IF(AND(IF('wk5'!G$5=Pat!$C$25,1,0),IF('wk5'!G47=Pat!C$27,1,0)),1,0)+IF(AND(IF('wk5'!H$5=Pat!$C$25,1,0),IF('wk5'!H47=Pat!C$27,1,0)),1,0)+IF(AND(IF('wk5'!B$5=Pat!$C$25,1,0),IF('wk5'!B47=Pat!C$27,1,0)),1,0)</f>
        <v>0</v>
      </c>
      <c r="L65" s="79"/>
      <c r="M65" s="79">
        <f t="shared" si="2"/>
        <v>0</v>
      </c>
      <c r="N65" s="81">
        <f t="shared" si="3"/>
        <v>0</v>
      </c>
      <c r="Q65" s="73"/>
    </row>
    <row r="66" spans="1:17" ht="13.5" thickBot="1">
      <c r="A66" s="78" t="str">
        <f>'Members Data'!A40</f>
        <v>Mezzolina</v>
      </c>
      <c r="B66" s="82">
        <f>IF(AND(IF('wk1'!B$5=Pat!$C$25,1,0),IF('wk1'!B48=Pat!B$27,1,0)),1,0)+IF(AND(IF('wk1'!D$5=Pat!$C$25,1,0),IF('wk1'!C48=Pat!B$27,1,0)),1,0)+IF(AND(IF('wk1'!D$5=Pat!$C$25,1,0),IF('wk1'!D48=Pat!B$27,1,0)),1,0)+IF(AND(IF('wk1'!E$5=Pat!$C$25,1,0),IF('wk1'!E48=Pat!B$27,1,0)),1,0)+IF(AND(IF('wk1'!F$5=Pat!$C$25,1,0),IF('wk1'!F48=Pat!B$27,1,0)),1,0)+IF(AND(IF('wk1'!G$5=Pat!$C$25,1,0),IF('wk1'!G48=Pat!B$27,1,0)),1,0)</f>
        <v>0</v>
      </c>
      <c r="C66" s="83">
        <f>IF(AND(IF('wk1'!D$5=Pat!$C$25,1,0),IF('wk1'!C48=Pat!C$27,1,0)),1,0)+IF(AND(IF('wk1'!D$5=Pat!$C$25,1,0),IF('wk1'!D48=Pat!C$27,1,0)),1,0)+IF(AND(IF('wk1'!E$5=Pat!$C$25,1,0),IF('wk1'!E48=Pat!C$27,1,0)),1,0)+IF(AND(IF('wk1'!F$5=Pat!$C$25,1,0),IF('wk1'!F48=Pat!C$27,1,0)),1,0)+IF(AND(IF('wk1'!G$5=Pat!$C$25,1,0),IF('wk1'!G48=Pat!C$27,1,0)),1,0)+IF(AND(IF('wk1'!H$5=Pat!$C$25,1,0),IF('wk1'!H48=Pat!C$27,1,0)),1,0)+IF(AND(IF('wk1'!B$5=Pat!$C$25,1,0),IF('wk1'!B48=Pat!C$27,1,0)),1,0)</f>
        <v>0</v>
      </c>
      <c r="D66" s="82">
        <f>IF(AND(IF('wk2'!B$5=Pat!$C$25,1,0),IF('wk2'!B48=Pat!B$27,1,0)),1,0)+IF(AND(IF('wk2'!C$5=Pat!$C$25,1,0),IF('wk2'!C48=Pat!B$27,1,0)),1,0)+IF(AND(IF('wk2'!D$5=Pat!$C$25,1,0),IF('wk2'!D48=Pat!B$27,1,0)),1,0)+IF(AND(IF('wk2'!E$5=Pat!$C$25,1,0),IF('wk2'!E48=Pat!B$27,1,0)),1,0)+IF(AND(IF('wk2'!F$5=Pat!$C$25,1,0),IF('wk2'!F48=Pat!B$27,1,0)),1,0)+IF(AND(IF('wk2'!G$5=Pat!$C$25,1,0),IF('wk2'!G48=Pat!B$27,1,0)),1,0)</f>
        <v>0</v>
      </c>
      <c r="E66" s="83">
        <f>IF(AND(IF('wk2'!C$5=Pat!$C$25,1,0),IF('wk2'!C48=Pat!C$27,1,0)),1,0)+IF(AND(IF('wk2'!D$5=Pat!$C$25,1,0),IF('wk2'!D48=Pat!C$27,1,0)),1,0)+IF(AND(IF('wk2'!E$5=Pat!$C$25,1,0),IF('wk2'!E48=Pat!C$27,1,0)),1,0)+IF(AND(IF('wk2'!F$5=Pat!$C$25,1,0),IF('wk2'!F48=Pat!C$27,1,0)),1,0)+IF(AND(IF('wk2'!G$5=Pat!$C$25,1,0),IF('wk2'!G48=Pat!C$27,1,0)),1,0)+IF(AND(IF('wk2'!H$5=Pat!$C$25,1,0),IF('wk2'!H48=Pat!C$27,1,0)),1,0)+IF(AND(IF('wk2'!B$5=Pat!$C$25,1,0),IF('wk2'!B48=Pat!C$27,1,0)),1,0)</f>
        <v>0</v>
      </c>
      <c r="F66" s="82">
        <f>IF(AND(IF('wk3'!B$5=Pat!$C$25,1,0),IF('wk3'!B48=Pat!B$27,1,0)),1,0)+IF(AND(IF('wk3'!C$5=Pat!$C$25,1,0),IF('wk3'!C48=Pat!B$27,1,0)),1,0)+IF(AND(IF('wk3'!D$5=Pat!$C$25,1,0),IF('wk3'!D48=Pat!B$27,1,0)),1,0)+IF(AND(IF('wk3'!E$5=Pat!$C$25,1,0),IF('wk3'!E48=Pat!B$27,1,0)),1,0)+IF(AND(IF('wk3'!F$5=Pat!$C$25,1,0),IF('wk3'!F48=Pat!B$27,1,0)),1,0)+IF(AND(IF('wk3'!G$5=Pat!$C$25,1,0),IF('wk3'!G48=Pat!B$27,1,0)),1,0)</f>
        <v>0</v>
      </c>
      <c r="G66" s="83">
        <f>IF(AND(IF('wk3'!C$5=Pat!$C$25,1,0),IF('wk3'!C48=Pat!C$27,1,0)),1,0)+IF(AND(IF('wk3'!D$5=Pat!$C$25,1,0),IF('wk3'!D48=Pat!C$27,1,0)),1,0)+IF(AND(IF('wk3'!E$5=Pat!$C$25,1,0),IF('wk3'!E48=Pat!C$27,1,0)),1,0)+IF(AND(IF('wk3'!F$5=Pat!$C$25,1,0),IF('wk3'!F48=Pat!C$27,1,0)),1,0)+IF(AND(IF('wk3'!G$5=Pat!$C$25,1,0),IF('wk3'!G48=Pat!C$27,1,0)),1,0)+IF(AND(IF('wk3'!H$5=Pat!$C$25,1,0),IF('wk3'!H48=Pat!C$27,1,0)),1,0)+IF(AND(IF('wk3'!B$5=Pat!$C$25,1,0),IF('wk3'!B48=Pat!C$27,1,0)),1,0)</f>
        <v>0</v>
      </c>
      <c r="H66" s="82">
        <f>IF(AND(IF('wk4'!B$5=Pat!$C$25,1,0),IF('wk4'!B48=Pat!B$27,1,0)),1,0)+IF(AND(IF('wk4'!C$5=Pat!$C$25,1,0),IF('wk4'!C48=Pat!B$27,1,0)),1,0)+IF(AND(IF('wk4'!D$5=Pat!$C$25,1,0),IF('wk4'!D48=Pat!B$27,1,0)),1,0)+IF(AND(IF('wk4'!E$5=Pat!$C$25,1,0),IF('wk4'!E48=Pat!B$27,1,0)),1,0)+IF(AND(IF('wk4'!F$5=Pat!$C$25,1,0),IF('wk4'!F48=Pat!B$27,1,0)),1,0)+IF(AND(IF('wk4'!G$5=Pat!$C$25,1,0),IF('wk4'!G48=Pat!B$27,1,0)),1,0)</f>
        <v>0</v>
      </c>
      <c r="I66" s="83">
        <f>IF(AND(IF('wk4'!C$5=Pat!$C$25,1,0),IF('wk4'!C48=Pat!C$27,1,0)),1,0)+IF(AND(IF('wk4'!D$5=Pat!$C$25,1,0),IF('wk4'!D48=Pat!C$27,1,0)),1,0)+IF(AND(IF('wk4'!E$5=Pat!$C$25,1,0),IF('wk4'!E48=Pat!C$27,1,0)),1,0)+IF(AND(IF('wk4'!F$5=Pat!$C$25,1,0),IF('wk4'!F48=Pat!C$27,1,0)),1,0)+IF(AND(IF('wk4'!G$5=Pat!$C$25,1,0),IF('wk4'!G48=Pat!C$27,1,0)),1,0)+IF(AND(IF('wk4'!H$5=Pat!$C$25,1,0),IF('wk4'!H48=Pat!C$27,1,0)),1,0)+IF(AND(IF('wk4'!B$5=Pat!$C$25,1,0),IF('wk4'!B48=Pat!C$27,1,0)),1,0)</f>
        <v>0</v>
      </c>
      <c r="J66" s="84">
        <f>IF(AND(IF('wk5'!B$5=Pat!$C$25,1,0),IF('wk5'!B48=Pat!B$27,1,0)),1,0)+IF(AND(IF('wk5'!C$5=Pat!$C$25,1,0),IF('wk5'!C48=Pat!B$27,1,0)),1,0)+IF(AND(IF('wk5'!D$5=Pat!$C$25,1,0),IF('wk5'!D48=Pat!B$27,1,0)),1,0)+IF(AND(IF('wk5'!E$5=Pat!$C$25,1,0),IF('wk5'!E48=Pat!B$27,1,0)),1,0)+IF(AND(IF('wk5'!F$5=Pat!$C$25,1,0),IF('wk5'!F48=Pat!B$27,1,0)),1,0)+IF(AND(IF('wk5'!G$5=Pat!$C$25,1,0),IF('wk5'!G48=Pat!B$27,1,0)),1,0)</f>
        <v>0</v>
      </c>
      <c r="K66" s="85">
        <f>IF(AND(IF('wk5'!C$5=Pat!$C$25,1,0),IF('wk5'!C48=Pat!C$27,1,0)),1,0)+IF(AND(IF('wk5'!D$5=Pat!$C$25,1,0),IF('wk5'!D48=Pat!C$27,1,0)),1,0)+IF(AND(IF('wk5'!E$5=Pat!$C$25,1,0),IF('wk5'!E48=Pat!C$27,1,0)),1,0)+IF(AND(IF('wk5'!F$5=Pat!$C$25,1,0),IF('wk5'!F48=Pat!C$27,1,0)),1,0)+IF(AND(IF('wk5'!G$5=Pat!$C$25,1,0),IF('wk5'!G48=Pat!C$27,1,0)),1,0)+IF(AND(IF('wk5'!H$5=Pat!$C$25,1,0),IF('wk5'!H48=Pat!C$27,1,0)),1,0)+IF(AND(IF('wk5'!B$5=Pat!$C$25,1,0),IF('wk5'!B48=Pat!C$27,1,0)),1,0)</f>
        <v>0</v>
      </c>
      <c r="L66" s="79"/>
      <c r="M66" s="79">
        <f t="shared" si="2"/>
        <v>0</v>
      </c>
      <c r="N66" s="81">
        <f t="shared" si="3"/>
        <v>0</v>
      </c>
      <c r="Q66" s="73"/>
    </row>
    <row r="67" spans="1:17" ht="13.5" thickBot="1">
      <c r="A67" s="78">
        <f>'Members Data'!A41</f>
        <v>0</v>
      </c>
      <c r="B67" s="82">
        <f>IF(AND(IF('wk1'!B$5=Pat!$C$25,1,0),IF('wk1'!B49=Pat!B$27,1,0)),1,0)+IF(AND(IF('wk1'!D$5=Pat!$C$25,1,0),IF('wk1'!C49=Pat!B$27,1,0)),1,0)+IF(AND(IF('wk1'!D$5=Pat!$C$25,1,0),IF('wk1'!D49=Pat!B$27,1,0)),1,0)+IF(AND(IF('wk1'!E$5=Pat!$C$25,1,0),IF('wk1'!E49=Pat!B$27,1,0)),1,0)+IF(AND(IF('wk1'!F$5=Pat!$C$25,1,0),IF('wk1'!F49=Pat!B$27,1,0)),1,0)+IF(AND(IF('wk1'!G$5=Pat!$C$25,1,0),IF('wk1'!G49=Pat!B$27,1,0)),1,0)</f>
        <v>0</v>
      </c>
      <c r="C67" s="83">
        <f>IF(AND(IF('wk1'!D$5=Pat!$C$25,1,0),IF('wk1'!C49=Pat!C$27,1,0)),1,0)+IF(AND(IF('wk1'!D$5=Pat!$C$25,1,0),IF('wk1'!D49=Pat!C$27,1,0)),1,0)+IF(AND(IF('wk1'!E$5=Pat!$C$25,1,0),IF('wk1'!E49=Pat!C$27,1,0)),1,0)+IF(AND(IF('wk1'!F$5=Pat!$C$25,1,0),IF('wk1'!F49=Pat!C$27,1,0)),1,0)+IF(AND(IF('wk1'!G$5=Pat!$C$25,1,0),IF('wk1'!G49=Pat!C$27,1,0)),1,0)+IF(AND(IF('wk1'!H$5=Pat!$C$25,1,0),IF('wk1'!H49=Pat!C$27,1,0)),1,0)+IF(AND(IF('wk1'!B$5=Pat!$C$25,1,0),IF('wk1'!B49=Pat!C$27,1,0)),1,0)</f>
        <v>0</v>
      </c>
      <c r="D67" s="82">
        <f>IF(AND(IF('wk2'!B$5=Pat!$C$25,1,0),IF('wk2'!B49=Pat!B$27,1,0)),1,0)+IF(AND(IF('wk2'!C$5=Pat!$C$25,1,0),IF('wk2'!C49=Pat!B$27,1,0)),1,0)+IF(AND(IF('wk2'!D$5=Pat!$C$25,1,0),IF('wk2'!D49=Pat!B$27,1,0)),1,0)+IF(AND(IF('wk2'!E$5=Pat!$C$25,1,0),IF('wk2'!E49=Pat!B$27,1,0)),1,0)+IF(AND(IF('wk2'!F$5=Pat!$C$25,1,0),IF('wk2'!F49=Pat!B$27,1,0)),1,0)+IF(AND(IF('wk2'!G$5=Pat!$C$25,1,0),IF('wk2'!G49=Pat!B$27,1,0)),1,0)</f>
        <v>0</v>
      </c>
      <c r="E67" s="83">
        <f>IF(AND(IF('wk2'!C$5=Pat!$C$25,1,0),IF('wk2'!C49=Pat!C$27,1,0)),1,0)+IF(AND(IF('wk2'!D$5=Pat!$C$25,1,0),IF('wk2'!D49=Pat!C$27,1,0)),1,0)+IF(AND(IF('wk2'!E$5=Pat!$C$25,1,0),IF('wk2'!E49=Pat!C$27,1,0)),1,0)+IF(AND(IF('wk2'!F$5=Pat!$C$25,1,0),IF('wk2'!F49=Pat!C$27,1,0)),1,0)+IF(AND(IF('wk2'!G$5=Pat!$C$25,1,0),IF('wk2'!G49=Pat!C$27,1,0)),1,0)+IF(AND(IF('wk2'!H$5=Pat!$C$25,1,0),IF('wk2'!H49=Pat!C$27,1,0)),1,0)+IF(AND(IF('wk2'!B$5=Pat!$C$25,1,0),IF('wk2'!B49=Pat!C$27,1,0)),1,0)</f>
        <v>0</v>
      </c>
      <c r="F67" s="82">
        <f>IF(AND(IF('wk3'!B$5=Pat!$C$25,1,0),IF('wk3'!B49=Pat!B$27,1,0)),1,0)+IF(AND(IF('wk3'!C$5=Pat!$C$25,1,0),IF('wk3'!C49=Pat!B$27,1,0)),1,0)+IF(AND(IF('wk3'!D$5=Pat!$C$25,1,0),IF('wk3'!D49=Pat!B$27,1,0)),1,0)+IF(AND(IF('wk3'!E$5=Pat!$C$25,1,0),IF('wk3'!E49=Pat!B$27,1,0)),1,0)+IF(AND(IF('wk3'!F$5=Pat!$C$25,1,0),IF('wk3'!F49=Pat!B$27,1,0)),1,0)+IF(AND(IF('wk3'!G$5=Pat!$C$25,1,0),IF('wk3'!G49=Pat!B$27,1,0)),1,0)</f>
        <v>0</v>
      </c>
      <c r="G67" s="83">
        <f>IF(AND(IF('wk3'!C$5=Pat!$C$25,1,0),IF('wk3'!C49=Pat!C$27,1,0)),1,0)+IF(AND(IF('wk3'!D$5=Pat!$C$25,1,0),IF('wk3'!D49=Pat!C$27,1,0)),1,0)+IF(AND(IF('wk3'!E$5=Pat!$C$25,1,0),IF('wk3'!E49=Pat!C$27,1,0)),1,0)+IF(AND(IF('wk3'!F$5=Pat!$C$25,1,0),IF('wk3'!F49=Pat!C$27,1,0)),1,0)+IF(AND(IF('wk3'!G$5=Pat!$C$25,1,0),IF('wk3'!G49=Pat!C$27,1,0)),1,0)+IF(AND(IF('wk3'!H$5=Pat!$C$25,1,0),IF('wk3'!H49=Pat!C$27,1,0)),1,0)+IF(AND(IF('wk3'!B$5=Pat!$C$25,1,0),IF('wk3'!B49=Pat!C$27,1,0)),1,0)</f>
        <v>0</v>
      </c>
      <c r="H67" s="82">
        <f>IF(AND(IF('wk4'!B$5=Pat!$C$25,1,0),IF('wk4'!B49=Pat!B$27,1,0)),1,0)+IF(AND(IF('wk4'!C$5=Pat!$C$25,1,0),IF('wk4'!C49=Pat!B$27,1,0)),1,0)+IF(AND(IF('wk4'!D$5=Pat!$C$25,1,0),IF('wk4'!D49=Pat!B$27,1,0)),1,0)+IF(AND(IF('wk4'!E$5=Pat!$C$25,1,0),IF('wk4'!E49=Pat!B$27,1,0)),1,0)+IF(AND(IF('wk4'!F$5=Pat!$C$25,1,0),IF('wk4'!F49=Pat!B$27,1,0)),1,0)+IF(AND(IF('wk4'!G$5=Pat!$C$25,1,0),IF('wk4'!G49=Pat!B$27,1,0)),1,0)</f>
        <v>0</v>
      </c>
      <c r="I67" s="83">
        <f>IF(AND(IF('wk4'!C$5=Pat!$C$25,1,0),IF('wk4'!C49=Pat!C$27,1,0)),1,0)+IF(AND(IF('wk4'!D$5=Pat!$C$25,1,0),IF('wk4'!D49=Pat!C$27,1,0)),1,0)+IF(AND(IF('wk4'!E$5=Pat!$C$25,1,0),IF('wk4'!E49=Pat!C$27,1,0)),1,0)+IF(AND(IF('wk4'!F$5=Pat!$C$25,1,0),IF('wk4'!F49=Pat!C$27,1,0)),1,0)+IF(AND(IF('wk4'!G$5=Pat!$C$25,1,0),IF('wk4'!G49=Pat!C$27,1,0)),1,0)+IF(AND(IF('wk4'!H$5=Pat!$C$25,1,0),IF('wk4'!H49=Pat!C$27,1,0)),1,0)+IF(AND(IF('wk4'!B$5=Pat!$C$25,1,0),IF('wk4'!B49=Pat!C$27,1,0)),1,0)</f>
        <v>0</v>
      </c>
      <c r="J67" s="84">
        <f>IF(AND(IF('wk5'!B$5=Pat!$C$25,1,0),IF('wk5'!B49=Pat!B$27,1,0)),1,0)+IF(AND(IF('wk5'!C$5=Pat!$C$25,1,0),IF('wk5'!C49=Pat!B$27,1,0)),1,0)+IF(AND(IF('wk5'!D$5=Pat!$C$25,1,0),IF('wk5'!D49=Pat!B$27,1,0)),1,0)+IF(AND(IF('wk5'!E$5=Pat!$C$25,1,0),IF('wk5'!E49=Pat!B$27,1,0)),1,0)+IF(AND(IF('wk5'!F$5=Pat!$C$25,1,0),IF('wk5'!F49=Pat!B$27,1,0)),1,0)+IF(AND(IF('wk5'!G$5=Pat!$C$25,1,0),IF('wk5'!G49=Pat!B$27,1,0)),1,0)</f>
        <v>0</v>
      </c>
      <c r="K67" s="85">
        <f>IF(AND(IF('wk5'!C$5=Pat!$C$25,1,0),IF('wk5'!C49=Pat!C$27,1,0)),1,0)+IF(AND(IF('wk5'!D$5=Pat!$C$25,1,0),IF('wk5'!D49=Pat!C$27,1,0)),1,0)+IF(AND(IF('wk5'!E$5=Pat!$C$25,1,0),IF('wk5'!E49=Pat!C$27,1,0)),1,0)+IF(AND(IF('wk5'!F$5=Pat!$C$25,1,0),IF('wk5'!F49=Pat!C$27,1,0)),1,0)+IF(AND(IF('wk5'!G$5=Pat!$C$25,1,0),IF('wk5'!G49=Pat!C$27,1,0)),1,0)+IF(AND(IF('wk5'!H$5=Pat!$C$25,1,0),IF('wk5'!H49=Pat!C$27,1,0)),1,0)+IF(AND(IF('wk5'!B$5=Pat!$C$25,1,0),IF('wk5'!B49=Pat!C$27,1,0)),1,0)</f>
        <v>0</v>
      </c>
      <c r="L67" s="79"/>
      <c r="M67" s="79">
        <f t="shared" si="2"/>
        <v>0</v>
      </c>
      <c r="N67" s="81">
        <f t="shared" si="3"/>
        <v>0</v>
      </c>
      <c r="Q67" s="73"/>
    </row>
    <row r="68" spans="1:17" ht="13.5" thickBot="1">
      <c r="A68" s="78" t="str">
        <f>'Members Data'!A42</f>
        <v>Morenna</v>
      </c>
      <c r="B68" s="82">
        <f>IF(AND(IF('wk1'!B$5=Pat!$C$25,1,0),IF('wk1'!B50=Pat!B$27,1,0)),1,0)+IF(AND(IF('wk1'!D$5=Pat!$C$25,1,0),IF('wk1'!C50=Pat!B$27,1,0)),1,0)+IF(AND(IF('wk1'!D$5=Pat!$C$25,1,0),IF('wk1'!D50=Pat!B$27,1,0)),1,0)+IF(AND(IF('wk1'!E$5=Pat!$C$25,1,0),IF('wk1'!E50=Pat!B$27,1,0)),1,0)+IF(AND(IF('wk1'!F$5=Pat!$C$25,1,0),IF('wk1'!F50=Pat!B$27,1,0)),1,0)+IF(AND(IF('wk1'!G$5=Pat!$C$25,1,0),IF('wk1'!G50=Pat!B$27,1,0)),1,0)</f>
        <v>0</v>
      </c>
      <c r="C68" s="83">
        <f>IF(AND(IF('wk1'!D$5=Pat!$C$25,1,0),IF('wk1'!C50=Pat!C$27,1,0)),1,0)+IF(AND(IF('wk1'!D$5=Pat!$C$25,1,0),IF('wk1'!D50=Pat!C$27,1,0)),1,0)+IF(AND(IF('wk1'!E$5=Pat!$C$25,1,0),IF('wk1'!E50=Pat!C$27,1,0)),1,0)+IF(AND(IF('wk1'!F$5=Pat!$C$25,1,0),IF('wk1'!F50=Pat!C$27,1,0)),1,0)+IF(AND(IF('wk1'!G$5=Pat!$C$25,1,0),IF('wk1'!G50=Pat!C$27,1,0)),1,0)+IF(AND(IF('wk1'!H$5=Pat!$C$25,1,0),IF('wk1'!H50=Pat!C$27,1,0)),1,0)+IF(AND(IF('wk1'!B$5=Pat!$C$25,1,0),IF('wk1'!B50=Pat!C$27,1,0)),1,0)</f>
        <v>0</v>
      </c>
      <c r="D68" s="82">
        <f>IF(AND(IF('wk2'!B$5=Pat!$C$25,1,0),IF('wk2'!B50=Pat!B$27,1,0)),1,0)+IF(AND(IF('wk2'!C$5=Pat!$C$25,1,0),IF('wk2'!C50=Pat!B$27,1,0)),1,0)+IF(AND(IF('wk2'!D$5=Pat!$C$25,1,0),IF('wk2'!D50=Pat!B$27,1,0)),1,0)+IF(AND(IF('wk2'!E$5=Pat!$C$25,1,0),IF('wk2'!E50=Pat!B$27,1,0)),1,0)+IF(AND(IF('wk2'!F$5=Pat!$C$25,1,0),IF('wk2'!F50=Pat!B$27,1,0)),1,0)+IF(AND(IF('wk2'!G$5=Pat!$C$25,1,0),IF('wk2'!G50=Pat!B$27,1,0)),1,0)</f>
        <v>0</v>
      </c>
      <c r="E68" s="83">
        <f>IF(AND(IF('wk2'!C$5=Pat!$C$25,1,0),IF('wk2'!C50=Pat!C$27,1,0)),1,0)+IF(AND(IF('wk2'!D$5=Pat!$C$25,1,0),IF('wk2'!D50=Pat!C$27,1,0)),1,0)+IF(AND(IF('wk2'!E$5=Pat!$C$25,1,0),IF('wk2'!E50=Pat!C$27,1,0)),1,0)+IF(AND(IF('wk2'!F$5=Pat!$C$25,1,0),IF('wk2'!F50=Pat!C$27,1,0)),1,0)+IF(AND(IF('wk2'!G$5=Pat!$C$25,1,0),IF('wk2'!G50=Pat!C$27,1,0)),1,0)+IF(AND(IF('wk2'!H$5=Pat!$C$25,1,0),IF('wk2'!H50=Pat!C$27,1,0)),1,0)+IF(AND(IF('wk2'!B$5=Pat!$C$25,1,0),IF('wk2'!B50=Pat!C$27,1,0)),1,0)</f>
        <v>0</v>
      </c>
      <c r="F68" s="82">
        <f>IF(AND(IF('wk3'!B$5=Pat!$C$25,1,0),IF('wk3'!B50=Pat!B$27,1,0)),1,0)+IF(AND(IF('wk3'!C$5=Pat!$C$25,1,0),IF('wk3'!C50=Pat!B$27,1,0)),1,0)+IF(AND(IF('wk3'!D$5=Pat!$C$25,1,0),IF('wk3'!D50=Pat!B$27,1,0)),1,0)+IF(AND(IF('wk3'!E$5=Pat!$C$25,1,0),IF('wk3'!E50=Pat!B$27,1,0)),1,0)+IF(AND(IF('wk3'!F$5=Pat!$C$25,1,0),IF('wk3'!F50=Pat!B$27,1,0)),1,0)+IF(AND(IF('wk3'!G$5=Pat!$C$25,1,0),IF('wk3'!G50=Pat!B$27,1,0)),1,0)</f>
        <v>0</v>
      </c>
      <c r="G68" s="83">
        <f>IF(AND(IF('wk3'!C$5=Pat!$C$25,1,0),IF('wk3'!C50=Pat!C$27,1,0)),1,0)+IF(AND(IF('wk3'!D$5=Pat!$C$25,1,0),IF('wk3'!D50=Pat!C$27,1,0)),1,0)+IF(AND(IF('wk3'!E$5=Pat!$C$25,1,0),IF('wk3'!E50=Pat!C$27,1,0)),1,0)+IF(AND(IF('wk3'!F$5=Pat!$C$25,1,0),IF('wk3'!F50=Pat!C$27,1,0)),1,0)+IF(AND(IF('wk3'!G$5=Pat!$C$25,1,0),IF('wk3'!G50=Pat!C$27,1,0)),1,0)+IF(AND(IF('wk3'!H$5=Pat!$C$25,1,0),IF('wk3'!H50=Pat!C$27,1,0)),1,0)+IF(AND(IF('wk3'!B$5=Pat!$C$25,1,0),IF('wk3'!B50=Pat!C$27,1,0)),1,0)</f>
        <v>0</v>
      </c>
      <c r="H68" s="82">
        <f>IF(AND(IF('wk4'!B$5=Pat!$C$25,1,0),IF('wk4'!B50=Pat!B$27,1,0)),1,0)+IF(AND(IF('wk4'!C$5=Pat!$C$25,1,0),IF('wk4'!C50=Pat!B$27,1,0)),1,0)+IF(AND(IF('wk4'!D$5=Pat!$C$25,1,0),IF('wk4'!D50=Pat!B$27,1,0)),1,0)+IF(AND(IF('wk4'!E$5=Pat!$C$25,1,0),IF('wk4'!E50=Pat!B$27,1,0)),1,0)+IF(AND(IF('wk4'!F$5=Pat!$C$25,1,0),IF('wk4'!F50=Pat!B$27,1,0)),1,0)+IF(AND(IF('wk4'!G$5=Pat!$C$25,1,0),IF('wk4'!G50=Pat!B$27,1,0)),1,0)</f>
        <v>0</v>
      </c>
      <c r="I68" s="83">
        <f>IF(AND(IF('wk4'!C$5=Pat!$C$25,1,0),IF('wk4'!C50=Pat!C$27,1,0)),1,0)+IF(AND(IF('wk4'!D$5=Pat!$C$25,1,0),IF('wk4'!D50=Pat!C$27,1,0)),1,0)+IF(AND(IF('wk4'!E$5=Pat!$C$25,1,0),IF('wk4'!E50=Pat!C$27,1,0)),1,0)+IF(AND(IF('wk4'!F$5=Pat!$C$25,1,0),IF('wk4'!F50=Pat!C$27,1,0)),1,0)+IF(AND(IF('wk4'!G$5=Pat!$C$25,1,0),IF('wk4'!G50=Pat!C$27,1,0)),1,0)+IF(AND(IF('wk4'!H$5=Pat!$C$25,1,0),IF('wk4'!H50=Pat!C$27,1,0)),1,0)+IF(AND(IF('wk4'!B$5=Pat!$C$25,1,0),IF('wk4'!B50=Pat!C$27,1,0)),1,0)</f>
        <v>0</v>
      </c>
      <c r="J68" s="84">
        <f>IF(AND(IF('wk5'!B$5=Pat!$C$25,1,0),IF('wk5'!B50=Pat!B$27,1,0)),1,0)+IF(AND(IF('wk5'!C$5=Pat!$C$25,1,0),IF('wk5'!C50=Pat!B$27,1,0)),1,0)+IF(AND(IF('wk5'!D$5=Pat!$C$25,1,0),IF('wk5'!D50=Pat!B$27,1,0)),1,0)+IF(AND(IF('wk5'!E$5=Pat!$C$25,1,0),IF('wk5'!E50=Pat!B$27,1,0)),1,0)+IF(AND(IF('wk5'!F$5=Pat!$C$25,1,0),IF('wk5'!F50=Pat!B$27,1,0)),1,0)+IF(AND(IF('wk5'!G$5=Pat!$C$25,1,0),IF('wk5'!G50=Pat!B$27,1,0)),1,0)</f>
        <v>0</v>
      </c>
      <c r="K68" s="85">
        <f>IF(AND(IF('wk5'!C$5=Pat!$C$25,1,0),IF('wk5'!C50=Pat!C$27,1,0)),1,0)+IF(AND(IF('wk5'!D$5=Pat!$C$25,1,0),IF('wk5'!D50=Pat!C$27,1,0)),1,0)+IF(AND(IF('wk5'!E$5=Pat!$C$25,1,0),IF('wk5'!E50=Pat!C$27,1,0)),1,0)+IF(AND(IF('wk5'!F$5=Pat!$C$25,1,0),IF('wk5'!F50=Pat!C$27,1,0)),1,0)+IF(AND(IF('wk5'!G$5=Pat!$C$25,1,0),IF('wk5'!G50=Pat!C$27,1,0)),1,0)+IF(AND(IF('wk5'!H$5=Pat!$C$25,1,0),IF('wk5'!H50=Pat!C$27,1,0)),1,0)+IF(AND(IF('wk5'!B$5=Pat!$C$25,1,0),IF('wk5'!B50=Pat!C$27,1,0)),1,0)</f>
        <v>0</v>
      </c>
      <c r="L68" s="79"/>
      <c r="M68" s="79">
        <f t="shared" si="2"/>
        <v>0</v>
      </c>
      <c r="N68" s="81">
        <f t="shared" si="3"/>
        <v>0</v>
      </c>
      <c r="Q68" s="73"/>
    </row>
    <row r="69" spans="1:17" ht="13.5" thickBot="1">
      <c r="A69" s="78" t="str">
        <f>'Members Data'!A43</f>
        <v>Naliyas</v>
      </c>
      <c r="B69" s="82">
        <f>IF(AND(IF('wk1'!B$5=Pat!$C$25,1,0),IF('wk1'!B51=Pat!B$27,1,0)),1,0)+IF(AND(IF('wk1'!D$5=Pat!$C$25,1,0),IF('wk1'!C51=Pat!B$27,1,0)),1,0)+IF(AND(IF('wk1'!D$5=Pat!$C$25,1,0),IF('wk1'!D51=Pat!B$27,1,0)),1,0)+IF(AND(IF('wk1'!E$5=Pat!$C$25,1,0),IF('wk1'!E51=Pat!B$27,1,0)),1,0)+IF(AND(IF('wk1'!F$5=Pat!$C$25,1,0),IF('wk1'!F51=Pat!B$27,1,0)),1,0)+IF(AND(IF('wk1'!G$5=Pat!$C$25,1,0),IF('wk1'!G51=Pat!B$27,1,0)),1,0)</f>
        <v>0</v>
      </c>
      <c r="C69" s="83">
        <f>IF(AND(IF('wk1'!D$5=Pat!$C$25,1,0),IF('wk1'!C51=Pat!C$27,1,0)),1,0)+IF(AND(IF('wk1'!D$5=Pat!$C$25,1,0),IF('wk1'!D51=Pat!C$27,1,0)),1,0)+IF(AND(IF('wk1'!E$5=Pat!$C$25,1,0),IF('wk1'!E51=Pat!C$27,1,0)),1,0)+IF(AND(IF('wk1'!F$5=Pat!$C$25,1,0),IF('wk1'!F51=Pat!C$27,1,0)),1,0)+IF(AND(IF('wk1'!G$5=Pat!$C$25,1,0),IF('wk1'!G51=Pat!C$27,1,0)),1,0)+IF(AND(IF('wk1'!H$5=Pat!$C$25,1,0),IF('wk1'!H51=Pat!C$27,1,0)),1,0)+IF(AND(IF('wk1'!B$5=Pat!$C$25,1,0),IF('wk1'!B51=Pat!C$27,1,0)),1,0)</f>
        <v>0</v>
      </c>
      <c r="D69" s="82">
        <f>IF(AND(IF('wk2'!B$5=Pat!$C$25,1,0),IF('wk2'!B51=Pat!B$27,1,0)),1,0)+IF(AND(IF('wk2'!C$5=Pat!$C$25,1,0),IF('wk2'!C51=Pat!B$27,1,0)),1,0)+IF(AND(IF('wk2'!D$5=Pat!$C$25,1,0),IF('wk2'!D51=Pat!B$27,1,0)),1,0)+IF(AND(IF('wk2'!E$5=Pat!$C$25,1,0),IF('wk2'!E51=Pat!B$27,1,0)),1,0)+IF(AND(IF('wk2'!F$5=Pat!$C$25,1,0),IF('wk2'!F51=Pat!B$27,1,0)),1,0)+IF(AND(IF('wk2'!G$5=Pat!$C$25,1,0),IF('wk2'!G51=Pat!B$27,1,0)),1,0)</f>
        <v>0</v>
      </c>
      <c r="E69" s="83">
        <f>IF(AND(IF('wk2'!C$5=Pat!$C$25,1,0),IF('wk2'!C51=Pat!C$27,1,0)),1,0)+IF(AND(IF('wk2'!D$5=Pat!$C$25,1,0),IF('wk2'!D51=Pat!C$27,1,0)),1,0)+IF(AND(IF('wk2'!E$5=Pat!$C$25,1,0),IF('wk2'!E51=Pat!C$27,1,0)),1,0)+IF(AND(IF('wk2'!F$5=Pat!$C$25,1,0),IF('wk2'!F51=Pat!C$27,1,0)),1,0)+IF(AND(IF('wk2'!G$5=Pat!$C$25,1,0),IF('wk2'!G51=Pat!C$27,1,0)),1,0)+IF(AND(IF('wk2'!H$5=Pat!$C$25,1,0),IF('wk2'!H51=Pat!C$27,1,0)),1,0)+IF(AND(IF('wk2'!B$5=Pat!$C$25,1,0),IF('wk2'!B51=Pat!C$27,1,0)),1,0)</f>
        <v>0</v>
      </c>
      <c r="F69" s="82">
        <f>IF(AND(IF('wk3'!B$5=Pat!$C$25,1,0),IF('wk3'!B51=Pat!B$27,1,0)),1,0)+IF(AND(IF('wk3'!C$5=Pat!$C$25,1,0),IF('wk3'!C51=Pat!B$27,1,0)),1,0)+IF(AND(IF('wk3'!D$5=Pat!$C$25,1,0),IF('wk3'!D51=Pat!B$27,1,0)),1,0)+IF(AND(IF('wk3'!E$5=Pat!$C$25,1,0),IF('wk3'!E51=Pat!B$27,1,0)),1,0)+IF(AND(IF('wk3'!F$5=Pat!$C$25,1,0),IF('wk3'!F51=Pat!B$27,1,0)),1,0)+IF(AND(IF('wk3'!G$5=Pat!$C$25,1,0),IF('wk3'!G51=Pat!B$27,1,0)),1,0)</f>
        <v>0</v>
      </c>
      <c r="G69" s="83">
        <f>IF(AND(IF('wk3'!C$5=Pat!$C$25,1,0),IF('wk3'!C51=Pat!C$27,1,0)),1,0)+IF(AND(IF('wk3'!D$5=Pat!$C$25,1,0),IF('wk3'!D51=Pat!C$27,1,0)),1,0)+IF(AND(IF('wk3'!E$5=Pat!$C$25,1,0),IF('wk3'!E51=Pat!C$27,1,0)),1,0)+IF(AND(IF('wk3'!F$5=Pat!$C$25,1,0),IF('wk3'!F51=Pat!C$27,1,0)),1,0)+IF(AND(IF('wk3'!G$5=Pat!$C$25,1,0),IF('wk3'!G51=Pat!C$27,1,0)),1,0)+IF(AND(IF('wk3'!H$5=Pat!$C$25,1,0),IF('wk3'!H51=Pat!C$27,1,0)),1,0)+IF(AND(IF('wk3'!B$5=Pat!$C$25,1,0),IF('wk3'!B51=Pat!C$27,1,0)),1,0)</f>
        <v>0</v>
      </c>
      <c r="H69" s="82">
        <f>IF(AND(IF('wk4'!B$5=Pat!$C$25,1,0),IF('wk4'!B51=Pat!B$27,1,0)),1,0)+IF(AND(IF('wk4'!C$5=Pat!$C$25,1,0),IF('wk4'!C51=Pat!B$27,1,0)),1,0)+IF(AND(IF('wk4'!D$5=Pat!$C$25,1,0),IF('wk4'!D51=Pat!B$27,1,0)),1,0)+IF(AND(IF('wk4'!E$5=Pat!$C$25,1,0),IF('wk4'!E51=Pat!B$27,1,0)),1,0)+IF(AND(IF('wk4'!F$5=Pat!$C$25,1,0),IF('wk4'!F51=Pat!B$27,1,0)),1,0)+IF(AND(IF('wk4'!G$5=Pat!$C$25,1,0),IF('wk4'!G51=Pat!B$27,1,0)),1,0)</f>
        <v>0</v>
      </c>
      <c r="I69" s="83">
        <f>IF(AND(IF('wk4'!C$5=Pat!$C$25,1,0),IF('wk4'!C51=Pat!C$27,1,0)),1,0)+IF(AND(IF('wk4'!D$5=Pat!$C$25,1,0),IF('wk4'!D51=Pat!C$27,1,0)),1,0)+IF(AND(IF('wk4'!E$5=Pat!$C$25,1,0),IF('wk4'!E51=Pat!C$27,1,0)),1,0)+IF(AND(IF('wk4'!F$5=Pat!$C$25,1,0),IF('wk4'!F51=Pat!C$27,1,0)),1,0)+IF(AND(IF('wk4'!G$5=Pat!$C$25,1,0),IF('wk4'!G51=Pat!C$27,1,0)),1,0)+IF(AND(IF('wk4'!H$5=Pat!$C$25,1,0),IF('wk4'!H51=Pat!C$27,1,0)),1,0)+IF(AND(IF('wk4'!B$5=Pat!$C$25,1,0),IF('wk4'!B51=Pat!C$27,1,0)),1,0)</f>
        <v>0</v>
      </c>
      <c r="J69" s="84">
        <f>IF(AND(IF('wk5'!B$5=Pat!$C$25,1,0),IF('wk5'!B51=Pat!B$27,1,0)),1,0)+IF(AND(IF('wk5'!C$5=Pat!$C$25,1,0),IF('wk5'!C51=Pat!B$27,1,0)),1,0)+IF(AND(IF('wk5'!D$5=Pat!$C$25,1,0),IF('wk5'!D51=Pat!B$27,1,0)),1,0)+IF(AND(IF('wk5'!E$5=Pat!$C$25,1,0),IF('wk5'!E51=Pat!B$27,1,0)),1,0)+IF(AND(IF('wk5'!F$5=Pat!$C$25,1,0),IF('wk5'!F51=Pat!B$27,1,0)),1,0)+IF(AND(IF('wk5'!G$5=Pat!$C$25,1,0),IF('wk5'!G51=Pat!B$27,1,0)),1,0)</f>
        <v>0</v>
      </c>
      <c r="K69" s="85">
        <f>IF(AND(IF('wk5'!C$5=Pat!$C$25,1,0),IF('wk5'!C51=Pat!C$27,1,0)),1,0)+IF(AND(IF('wk5'!D$5=Pat!$C$25,1,0),IF('wk5'!D51=Pat!C$27,1,0)),1,0)+IF(AND(IF('wk5'!E$5=Pat!$C$25,1,0),IF('wk5'!E51=Pat!C$27,1,0)),1,0)+IF(AND(IF('wk5'!F$5=Pat!$C$25,1,0),IF('wk5'!F51=Pat!C$27,1,0)),1,0)+IF(AND(IF('wk5'!G$5=Pat!$C$25,1,0),IF('wk5'!G51=Pat!C$27,1,0)),1,0)+IF(AND(IF('wk5'!H$5=Pat!$C$25,1,0),IF('wk5'!H51=Pat!C$27,1,0)),1,0)+IF(AND(IF('wk5'!B$5=Pat!$C$25,1,0),IF('wk5'!B51=Pat!C$27,1,0)),1,0)</f>
        <v>0</v>
      </c>
      <c r="L69" s="79"/>
      <c r="M69" s="79">
        <f t="shared" si="2"/>
        <v>0</v>
      </c>
      <c r="N69" s="81">
        <f t="shared" si="3"/>
        <v>0</v>
      </c>
      <c r="Q69" s="73"/>
    </row>
    <row r="70" spans="1:17" ht="13.5" thickBot="1">
      <c r="A70" s="78">
        <f>'Members Data'!A44</f>
        <v>0</v>
      </c>
      <c r="B70" s="82">
        <f>IF(AND(IF('wk1'!B$5=Pat!$C$25,1,0),IF('wk1'!B52=Pat!B$27,1,0)),1,0)+IF(AND(IF('wk1'!D$5=Pat!$C$25,1,0),IF('wk1'!C52=Pat!B$27,1,0)),1,0)+IF(AND(IF('wk1'!D$5=Pat!$C$25,1,0),IF('wk1'!D52=Pat!B$27,1,0)),1,0)+IF(AND(IF('wk1'!E$5=Pat!$C$25,1,0),IF('wk1'!E52=Pat!B$27,1,0)),1,0)+IF(AND(IF('wk1'!F$5=Pat!$C$25,1,0),IF('wk1'!F52=Pat!B$27,1,0)),1,0)+IF(AND(IF('wk1'!G$5=Pat!$C$25,1,0),IF('wk1'!G52=Pat!B$27,1,0)),1,0)</f>
        <v>0</v>
      </c>
      <c r="C70" s="83">
        <f>IF(AND(IF('wk1'!D$5=Pat!$C$25,1,0),IF('wk1'!C52=Pat!C$27,1,0)),1,0)+IF(AND(IF('wk1'!D$5=Pat!$C$25,1,0),IF('wk1'!D52=Pat!C$27,1,0)),1,0)+IF(AND(IF('wk1'!E$5=Pat!$C$25,1,0),IF('wk1'!E52=Pat!C$27,1,0)),1,0)+IF(AND(IF('wk1'!F$5=Pat!$C$25,1,0),IF('wk1'!F52=Pat!C$27,1,0)),1,0)+IF(AND(IF('wk1'!G$5=Pat!$C$25,1,0),IF('wk1'!G52=Pat!C$27,1,0)),1,0)+IF(AND(IF('wk1'!H$5=Pat!$C$25,1,0),IF('wk1'!H52=Pat!C$27,1,0)),1,0)+IF(AND(IF('wk1'!B$5=Pat!$C$25,1,0),IF('wk1'!B52=Pat!C$27,1,0)),1,0)</f>
        <v>0</v>
      </c>
      <c r="D70" s="82">
        <f>IF(AND(IF('wk2'!B$5=Pat!$C$25,1,0),IF('wk2'!B52=Pat!B$27,1,0)),1,0)+IF(AND(IF('wk2'!C$5=Pat!$C$25,1,0),IF('wk2'!C52=Pat!B$27,1,0)),1,0)+IF(AND(IF('wk2'!D$5=Pat!$C$25,1,0),IF('wk2'!D52=Pat!B$27,1,0)),1,0)+IF(AND(IF('wk2'!E$5=Pat!$C$25,1,0),IF('wk2'!E52=Pat!B$27,1,0)),1,0)+IF(AND(IF('wk2'!F$5=Pat!$C$25,1,0),IF('wk2'!F52=Pat!B$27,1,0)),1,0)+IF(AND(IF('wk2'!G$5=Pat!$C$25,1,0),IF('wk2'!G52=Pat!B$27,1,0)),1,0)</f>
        <v>0</v>
      </c>
      <c r="E70" s="83">
        <f>IF(AND(IF('wk2'!C$5=Pat!$C$25,1,0),IF('wk2'!C52=Pat!C$27,1,0)),1,0)+IF(AND(IF('wk2'!D$5=Pat!$C$25,1,0),IF('wk2'!D52=Pat!C$27,1,0)),1,0)+IF(AND(IF('wk2'!E$5=Pat!$C$25,1,0),IF('wk2'!E52=Pat!C$27,1,0)),1,0)+IF(AND(IF('wk2'!F$5=Pat!$C$25,1,0),IF('wk2'!F52=Pat!C$27,1,0)),1,0)+IF(AND(IF('wk2'!G$5=Pat!$C$25,1,0),IF('wk2'!G52=Pat!C$27,1,0)),1,0)+IF(AND(IF('wk2'!H$5=Pat!$C$25,1,0),IF('wk2'!H52=Pat!C$27,1,0)),1,0)+IF(AND(IF('wk2'!B$5=Pat!$C$25,1,0),IF('wk2'!B52=Pat!C$27,1,0)),1,0)</f>
        <v>0</v>
      </c>
      <c r="F70" s="82">
        <f>IF(AND(IF('wk3'!B$5=Pat!$C$25,1,0),IF('wk3'!B52=Pat!B$27,1,0)),1,0)+IF(AND(IF('wk3'!C$5=Pat!$C$25,1,0),IF('wk3'!C52=Pat!B$27,1,0)),1,0)+IF(AND(IF('wk3'!D$5=Pat!$C$25,1,0),IF('wk3'!D52=Pat!B$27,1,0)),1,0)+IF(AND(IF('wk3'!E$5=Pat!$C$25,1,0),IF('wk3'!E52=Pat!B$27,1,0)),1,0)+IF(AND(IF('wk3'!F$5=Pat!$C$25,1,0),IF('wk3'!F52=Pat!B$27,1,0)),1,0)+IF(AND(IF('wk3'!G$5=Pat!$C$25,1,0),IF('wk3'!G52=Pat!B$27,1,0)),1,0)</f>
        <v>0</v>
      </c>
      <c r="G70" s="83">
        <f>IF(AND(IF('wk3'!C$5=Pat!$C$25,1,0),IF('wk3'!C52=Pat!C$27,1,0)),1,0)+IF(AND(IF('wk3'!D$5=Pat!$C$25,1,0),IF('wk3'!D52=Pat!C$27,1,0)),1,0)+IF(AND(IF('wk3'!E$5=Pat!$C$25,1,0),IF('wk3'!E52=Pat!C$27,1,0)),1,0)+IF(AND(IF('wk3'!F$5=Pat!$C$25,1,0),IF('wk3'!F52=Pat!C$27,1,0)),1,0)+IF(AND(IF('wk3'!G$5=Pat!$C$25,1,0),IF('wk3'!G52=Pat!C$27,1,0)),1,0)+IF(AND(IF('wk3'!H$5=Pat!$C$25,1,0),IF('wk3'!H52=Pat!C$27,1,0)),1,0)+IF(AND(IF('wk3'!B$5=Pat!$C$25,1,0),IF('wk3'!B52=Pat!C$27,1,0)),1,0)</f>
        <v>0</v>
      </c>
      <c r="H70" s="82">
        <f>IF(AND(IF('wk4'!B$5=Pat!$C$25,1,0),IF('wk4'!B52=Pat!B$27,1,0)),1,0)+IF(AND(IF('wk4'!C$5=Pat!$C$25,1,0),IF('wk4'!C52=Pat!B$27,1,0)),1,0)+IF(AND(IF('wk4'!D$5=Pat!$C$25,1,0),IF('wk4'!D52=Pat!B$27,1,0)),1,0)+IF(AND(IF('wk4'!E$5=Pat!$C$25,1,0),IF('wk4'!E52=Pat!B$27,1,0)),1,0)+IF(AND(IF('wk4'!F$5=Pat!$C$25,1,0),IF('wk4'!F52=Pat!B$27,1,0)),1,0)+IF(AND(IF('wk4'!G$5=Pat!$C$25,1,0),IF('wk4'!G52=Pat!B$27,1,0)),1,0)</f>
        <v>0</v>
      </c>
      <c r="I70" s="83">
        <f>IF(AND(IF('wk4'!C$5=Pat!$C$25,1,0),IF('wk4'!C52=Pat!C$27,1,0)),1,0)+IF(AND(IF('wk4'!D$5=Pat!$C$25,1,0),IF('wk4'!D52=Pat!C$27,1,0)),1,0)+IF(AND(IF('wk4'!E$5=Pat!$C$25,1,0),IF('wk4'!E52=Pat!C$27,1,0)),1,0)+IF(AND(IF('wk4'!F$5=Pat!$C$25,1,0),IF('wk4'!F52=Pat!C$27,1,0)),1,0)+IF(AND(IF('wk4'!G$5=Pat!$C$25,1,0),IF('wk4'!G52=Pat!C$27,1,0)),1,0)+IF(AND(IF('wk4'!H$5=Pat!$C$25,1,0),IF('wk4'!H52=Pat!C$27,1,0)),1,0)+IF(AND(IF('wk4'!B$5=Pat!$C$25,1,0),IF('wk4'!B52=Pat!C$27,1,0)),1,0)</f>
        <v>0</v>
      </c>
      <c r="J70" s="84">
        <f>IF(AND(IF('wk5'!B$5=Pat!$C$25,1,0),IF('wk5'!B52=Pat!B$27,1,0)),1,0)+IF(AND(IF('wk5'!C$5=Pat!$C$25,1,0),IF('wk5'!C52=Pat!B$27,1,0)),1,0)+IF(AND(IF('wk5'!D$5=Pat!$C$25,1,0),IF('wk5'!D52=Pat!B$27,1,0)),1,0)+IF(AND(IF('wk5'!E$5=Pat!$C$25,1,0),IF('wk5'!E52=Pat!B$27,1,0)),1,0)+IF(AND(IF('wk5'!F$5=Pat!$C$25,1,0),IF('wk5'!F52=Pat!B$27,1,0)),1,0)+IF(AND(IF('wk5'!G$5=Pat!$C$25,1,0),IF('wk5'!G52=Pat!B$27,1,0)),1,0)</f>
        <v>0</v>
      </c>
      <c r="K70" s="85">
        <f>IF(AND(IF('wk5'!C$5=Pat!$C$25,1,0),IF('wk5'!C52=Pat!C$27,1,0)),1,0)+IF(AND(IF('wk5'!D$5=Pat!$C$25,1,0),IF('wk5'!D52=Pat!C$27,1,0)),1,0)+IF(AND(IF('wk5'!E$5=Pat!$C$25,1,0),IF('wk5'!E52=Pat!C$27,1,0)),1,0)+IF(AND(IF('wk5'!F$5=Pat!$C$25,1,0),IF('wk5'!F52=Pat!C$27,1,0)),1,0)+IF(AND(IF('wk5'!G$5=Pat!$C$25,1,0),IF('wk5'!G52=Pat!C$27,1,0)),1,0)+IF(AND(IF('wk5'!H$5=Pat!$C$25,1,0),IF('wk5'!H52=Pat!C$27,1,0)),1,0)+IF(AND(IF('wk5'!B$5=Pat!$C$25,1,0),IF('wk5'!B52=Pat!C$27,1,0)),1,0)</f>
        <v>0</v>
      </c>
      <c r="L70" s="79"/>
      <c r="M70" s="79">
        <f t="shared" si="2"/>
        <v>0</v>
      </c>
      <c r="N70" s="81">
        <f t="shared" si="3"/>
        <v>0</v>
      </c>
    </row>
    <row r="71" spans="1:17" ht="13.5" thickBot="1">
      <c r="A71" s="78" t="str">
        <f>'Members Data'!A45</f>
        <v>Nazgol</v>
      </c>
      <c r="B71" s="82">
        <f>IF(AND(IF('wk1'!B$5=Pat!$C$25,1,0),IF('wk1'!B53=Pat!B$27,1,0)),1,0)+IF(AND(IF('wk1'!D$5=Pat!$C$25,1,0),IF('wk1'!C53=Pat!B$27,1,0)),1,0)+IF(AND(IF('wk1'!D$5=Pat!$C$25,1,0),IF('wk1'!D53=Pat!B$27,1,0)),1,0)+IF(AND(IF('wk1'!E$5=Pat!$C$25,1,0),IF('wk1'!E53=Pat!B$27,1,0)),1,0)+IF(AND(IF('wk1'!F$5=Pat!$C$25,1,0),IF('wk1'!F53=Pat!B$27,1,0)),1,0)+IF(AND(IF('wk1'!G$5=Pat!$C$25,1,0),IF('wk1'!G53=Pat!B$27,1,0)),1,0)</f>
        <v>0</v>
      </c>
      <c r="C71" s="83">
        <f>IF(AND(IF('wk1'!D$5=Pat!$C$25,1,0),IF('wk1'!C53=Pat!C$27,1,0)),1,0)+IF(AND(IF('wk1'!D$5=Pat!$C$25,1,0),IF('wk1'!D53=Pat!C$27,1,0)),1,0)+IF(AND(IF('wk1'!E$5=Pat!$C$25,1,0),IF('wk1'!E53=Pat!C$27,1,0)),1,0)+IF(AND(IF('wk1'!F$5=Pat!$C$25,1,0),IF('wk1'!F53=Pat!C$27,1,0)),1,0)+IF(AND(IF('wk1'!G$5=Pat!$C$25,1,0),IF('wk1'!G53=Pat!C$27,1,0)),1,0)+IF(AND(IF('wk1'!H$5=Pat!$C$25,1,0),IF('wk1'!H53=Pat!C$27,1,0)),1,0)+IF(AND(IF('wk1'!B$5=Pat!$C$25,1,0),IF('wk1'!B53=Pat!C$27,1,0)),1,0)</f>
        <v>0</v>
      </c>
      <c r="D71" s="82">
        <f>IF(AND(IF('wk2'!B$5=Pat!$C$25,1,0),IF('wk2'!B53=Pat!B$27,1,0)),1,0)+IF(AND(IF('wk2'!C$5=Pat!$C$25,1,0),IF('wk2'!C53=Pat!B$27,1,0)),1,0)+IF(AND(IF('wk2'!D$5=Pat!$C$25,1,0),IF('wk2'!D53=Pat!B$27,1,0)),1,0)+IF(AND(IF('wk2'!E$5=Pat!$C$25,1,0),IF('wk2'!E53=Pat!B$27,1,0)),1,0)+IF(AND(IF('wk2'!F$5=Pat!$C$25,1,0),IF('wk2'!F53=Pat!B$27,1,0)),1,0)+IF(AND(IF('wk2'!G$5=Pat!$C$25,1,0),IF('wk2'!G53=Pat!B$27,1,0)),1,0)</f>
        <v>0</v>
      </c>
      <c r="E71" s="83">
        <f>IF(AND(IF('wk2'!C$5=Pat!$C$25,1,0),IF('wk2'!C53=Pat!C$27,1,0)),1,0)+IF(AND(IF('wk2'!D$5=Pat!$C$25,1,0),IF('wk2'!D53=Pat!C$27,1,0)),1,0)+IF(AND(IF('wk2'!E$5=Pat!$C$25,1,0),IF('wk2'!E53=Pat!C$27,1,0)),1,0)+IF(AND(IF('wk2'!F$5=Pat!$C$25,1,0),IF('wk2'!F53=Pat!C$27,1,0)),1,0)+IF(AND(IF('wk2'!G$5=Pat!$C$25,1,0),IF('wk2'!G53=Pat!C$27,1,0)),1,0)+IF(AND(IF('wk2'!H$5=Pat!$C$25,1,0),IF('wk2'!H53=Pat!C$27,1,0)),1,0)+IF(AND(IF('wk2'!B$5=Pat!$C$25,1,0),IF('wk2'!B53=Pat!C$27,1,0)),1,0)</f>
        <v>0</v>
      </c>
      <c r="F71" s="82">
        <f>IF(AND(IF('wk3'!B$5=Pat!$C$25,1,0),IF('wk3'!B53=Pat!B$27,1,0)),1,0)+IF(AND(IF('wk3'!C$5=Pat!$C$25,1,0),IF('wk3'!C53=Pat!B$27,1,0)),1,0)+IF(AND(IF('wk3'!D$5=Pat!$C$25,1,0),IF('wk3'!D53=Pat!B$27,1,0)),1,0)+IF(AND(IF('wk3'!E$5=Pat!$C$25,1,0),IF('wk3'!E53=Pat!B$27,1,0)),1,0)+IF(AND(IF('wk3'!F$5=Pat!$C$25,1,0),IF('wk3'!F53=Pat!B$27,1,0)),1,0)+IF(AND(IF('wk3'!G$5=Pat!$C$25,1,0),IF('wk3'!G53=Pat!B$27,1,0)),1,0)</f>
        <v>0</v>
      </c>
      <c r="G71" s="83">
        <f>IF(AND(IF('wk3'!C$5=Pat!$C$25,1,0),IF('wk3'!C53=Pat!C$27,1,0)),1,0)+IF(AND(IF('wk3'!D$5=Pat!$C$25,1,0),IF('wk3'!D53=Pat!C$27,1,0)),1,0)+IF(AND(IF('wk3'!E$5=Pat!$C$25,1,0),IF('wk3'!E53=Pat!C$27,1,0)),1,0)+IF(AND(IF('wk3'!F$5=Pat!$C$25,1,0),IF('wk3'!F53=Pat!C$27,1,0)),1,0)+IF(AND(IF('wk3'!G$5=Pat!$C$25,1,0),IF('wk3'!G53=Pat!C$27,1,0)),1,0)+IF(AND(IF('wk3'!H$5=Pat!$C$25,1,0),IF('wk3'!H53=Pat!C$27,1,0)),1,0)+IF(AND(IF('wk3'!B$5=Pat!$C$25,1,0),IF('wk3'!B53=Pat!C$27,1,0)),1,0)</f>
        <v>0</v>
      </c>
      <c r="H71" s="82">
        <f>IF(AND(IF('wk4'!B$5=Pat!$C$25,1,0),IF('wk4'!B53=Pat!B$27,1,0)),1,0)+IF(AND(IF('wk4'!C$5=Pat!$C$25,1,0),IF('wk4'!C53=Pat!B$27,1,0)),1,0)+IF(AND(IF('wk4'!D$5=Pat!$C$25,1,0),IF('wk4'!D53=Pat!B$27,1,0)),1,0)+IF(AND(IF('wk4'!E$5=Pat!$C$25,1,0),IF('wk4'!E53=Pat!B$27,1,0)),1,0)+IF(AND(IF('wk4'!F$5=Pat!$C$25,1,0),IF('wk4'!F53=Pat!B$27,1,0)),1,0)+IF(AND(IF('wk4'!G$5=Pat!$C$25,1,0),IF('wk4'!G53=Pat!B$27,1,0)),1,0)</f>
        <v>0</v>
      </c>
      <c r="I71" s="83">
        <f>IF(AND(IF('wk4'!C$5=Pat!$C$25,1,0),IF('wk4'!C53=Pat!C$27,1,0)),1,0)+IF(AND(IF('wk4'!D$5=Pat!$C$25,1,0),IF('wk4'!D53=Pat!C$27,1,0)),1,0)+IF(AND(IF('wk4'!E$5=Pat!$C$25,1,0),IF('wk4'!E53=Pat!C$27,1,0)),1,0)+IF(AND(IF('wk4'!F$5=Pat!$C$25,1,0),IF('wk4'!F53=Pat!C$27,1,0)),1,0)+IF(AND(IF('wk4'!G$5=Pat!$C$25,1,0),IF('wk4'!G53=Pat!C$27,1,0)),1,0)+IF(AND(IF('wk4'!H$5=Pat!$C$25,1,0),IF('wk4'!H53=Pat!C$27,1,0)),1,0)+IF(AND(IF('wk4'!B$5=Pat!$C$25,1,0),IF('wk4'!B53=Pat!C$27,1,0)),1,0)</f>
        <v>0</v>
      </c>
      <c r="J71" s="84">
        <f>IF(AND(IF('wk5'!B$5=Pat!$C$25,1,0),IF('wk5'!B53=Pat!B$27,1,0)),1,0)+IF(AND(IF('wk5'!C$5=Pat!$C$25,1,0),IF('wk5'!C53=Pat!B$27,1,0)),1,0)+IF(AND(IF('wk5'!D$5=Pat!$C$25,1,0),IF('wk5'!D53=Pat!B$27,1,0)),1,0)+IF(AND(IF('wk5'!E$5=Pat!$C$25,1,0),IF('wk5'!E53=Pat!B$27,1,0)),1,0)+IF(AND(IF('wk5'!F$5=Pat!$C$25,1,0),IF('wk5'!F53=Pat!B$27,1,0)),1,0)+IF(AND(IF('wk5'!G$5=Pat!$C$25,1,0),IF('wk5'!G53=Pat!B$27,1,0)),1,0)</f>
        <v>0</v>
      </c>
      <c r="K71" s="85">
        <f>IF(AND(IF('wk5'!C$5=Pat!$C$25,1,0),IF('wk5'!C53=Pat!C$27,1,0)),1,0)+IF(AND(IF('wk5'!D$5=Pat!$C$25,1,0),IF('wk5'!D53=Pat!C$27,1,0)),1,0)+IF(AND(IF('wk5'!E$5=Pat!$C$25,1,0),IF('wk5'!E53=Pat!C$27,1,0)),1,0)+IF(AND(IF('wk5'!F$5=Pat!$C$25,1,0),IF('wk5'!F53=Pat!C$27,1,0)),1,0)+IF(AND(IF('wk5'!G$5=Pat!$C$25,1,0),IF('wk5'!G53=Pat!C$27,1,0)),1,0)+IF(AND(IF('wk5'!H$5=Pat!$C$25,1,0),IF('wk5'!H53=Pat!C$27,1,0)),1,0)+IF(AND(IF('wk5'!B$5=Pat!$C$25,1,0),IF('wk5'!B53=Pat!C$27,1,0)),1,0)</f>
        <v>0</v>
      </c>
      <c r="L71" s="79"/>
      <c r="M71" s="79">
        <f t="shared" si="2"/>
        <v>0</v>
      </c>
      <c r="N71" s="81">
        <f t="shared" si="3"/>
        <v>0</v>
      </c>
    </row>
    <row r="72" spans="1:17" ht="13.5" thickBot="1">
      <c r="A72" s="78" t="str">
        <f>'Members Data'!A46</f>
        <v>Niiwa</v>
      </c>
      <c r="B72" s="82">
        <f>IF(AND(IF('wk1'!B$5=Pat!$C$25,1,0),IF('wk1'!B54=Pat!B$27,1,0)),1,0)+IF(AND(IF('wk1'!D$5=Pat!$C$25,1,0),IF('wk1'!C54=Pat!B$27,1,0)),1,0)+IF(AND(IF('wk1'!D$5=Pat!$C$25,1,0),IF('wk1'!D54=Pat!B$27,1,0)),1,0)+IF(AND(IF('wk1'!E$5=Pat!$C$25,1,0),IF('wk1'!E54=Pat!B$27,1,0)),1,0)+IF(AND(IF('wk1'!F$5=Pat!$C$25,1,0),IF('wk1'!F54=Pat!B$27,1,0)),1,0)+IF(AND(IF('wk1'!G$5=Pat!$C$25,1,0),IF('wk1'!G54=Pat!B$27,1,0)),1,0)</f>
        <v>0</v>
      </c>
      <c r="C72" s="83">
        <f>IF(AND(IF('wk1'!D$5=Pat!$C$25,1,0),IF('wk1'!C54=Pat!C$27,1,0)),1,0)+IF(AND(IF('wk1'!D$5=Pat!$C$25,1,0),IF('wk1'!D54=Pat!C$27,1,0)),1,0)+IF(AND(IF('wk1'!E$5=Pat!$C$25,1,0),IF('wk1'!E54=Pat!C$27,1,0)),1,0)+IF(AND(IF('wk1'!F$5=Pat!$C$25,1,0),IF('wk1'!F54=Pat!C$27,1,0)),1,0)+IF(AND(IF('wk1'!G$5=Pat!$C$25,1,0),IF('wk1'!G54=Pat!C$27,1,0)),1,0)+IF(AND(IF('wk1'!H$5=Pat!$C$25,1,0),IF('wk1'!H54=Pat!C$27,1,0)),1,0)+IF(AND(IF('wk1'!B$5=Pat!$C$25,1,0),IF('wk1'!B54=Pat!C$27,1,0)),1,0)</f>
        <v>0</v>
      </c>
      <c r="D72" s="82">
        <f>IF(AND(IF('wk2'!B$5=Pat!$C$25,1,0),IF('wk2'!B54=Pat!B$27,1,0)),1,0)+IF(AND(IF('wk2'!C$5=Pat!$C$25,1,0),IF('wk2'!C54=Pat!B$27,1,0)),1,0)+IF(AND(IF('wk2'!D$5=Pat!$C$25,1,0),IF('wk2'!D54=Pat!B$27,1,0)),1,0)+IF(AND(IF('wk2'!E$5=Pat!$C$25,1,0),IF('wk2'!E54=Pat!B$27,1,0)),1,0)+IF(AND(IF('wk2'!F$5=Pat!$C$25,1,0),IF('wk2'!F54=Pat!B$27,1,0)),1,0)+IF(AND(IF('wk2'!G$5=Pat!$C$25,1,0),IF('wk2'!G54=Pat!B$27,1,0)),1,0)</f>
        <v>0</v>
      </c>
      <c r="E72" s="83">
        <f>IF(AND(IF('wk2'!C$5=Pat!$C$25,1,0),IF('wk2'!C54=Pat!C$27,1,0)),1,0)+IF(AND(IF('wk2'!D$5=Pat!$C$25,1,0),IF('wk2'!D54=Pat!C$27,1,0)),1,0)+IF(AND(IF('wk2'!E$5=Pat!$C$25,1,0),IF('wk2'!E54=Pat!C$27,1,0)),1,0)+IF(AND(IF('wk2'!F$5=Pat!$C$25,1,0),IF('wk2'!F54=Pat!C$27,1,0)),1,0)+IF(AND(IF('wk2'!G$5=Pat!$C$25,1,0),IF('wk2'!G54=Pat!C$27,1,0)),1,0)+IF(AND(IF('wk2'!H$5=Pat!$C$25,1,0),IF('wk2'!H54=Pat!C$27,1,0)),1,0)+IF(AND(IF('wk2'!B$5=Pat!$C$25,1,0),IF('wk2'!B54=Pat!C$27,1,0)),1,0)</f>
        <v>0</v>
      </c>
      <c r="F72" s="82">
        <f>IF(AND(IF('wk3'!B$5=Pat!$C$25,1,0),IF('wk3'!B54=Pat!B$27,1,0)),1,0)+IF(AND(IF('wk3'!C$5=Pat!$C$25,1,0),IF('wk3'!C54=Pat!B$27,1,0)),1,0)+IF(AND(IF('wk3'!D$5=Pat!$C$25,1,0),IF('wk3'!D54=Pat!B$27,1,0)),1,0)+IF(AND(IF('wk3'!E$5=Pat!$C$25,1,0),IF('wk3'!E54=Pat!B$27,1,0)),1,0)+IF(AND(IF('wk3'!F$5=Pat!$C$25,1,0),IF('wk3'!F54=Pat!B$27,1,0)),1,0)+IF(AND(IF('wk3'!G$5=Pat!$C$25,1,0),IF('wk3'!G54=Pat!B$27,1,0)),1,0)</f>
        <v>0</v>
      </c>
      <c r="G72" s="83">
        <f>IF(AND(IF('wk3'!C$5=Pat!$C$25,1,0),IF('wk3'!C54=Pat!C$27,1,0)),1,0)+IF(AND(IF('wk3'!D$5=Pat!$C$25,1,0),IF('wk3'!D54=Pat!C$27,1,0)),1,0)+IF(AND(IF('wk3'!E$5=Pat!$C$25,1,0),IF('wk3'!E54=Pat!C$27,1,0)),1,0)+IF(AND(IF('wk3'!F$5=Pat!$C$25,1,0),IF('wk3'!F54=Pat!C$27,1,0)),1,0)+IF(AND(IF('wk3'!G$5=Pat!$C$25,1,0),IF('wk3'!G54=Pat!C$27,1,0)),1,0)+IF(AND(IF('wk3'!H$5=Pat!$C$25,1,0),IF('wk3'!H54=Pat!C$27,1,0)),1,0)+IF(AND(IF('wk3'!B$5=Pat!$C$25,1,0),IF('wk3'!B54=Pat!C$27,1,0)),1,0)</f>
        <v>0</v>
      </c>
      <c r="H72" s="82">
        <f>IF(AND(IF('wk4'!B$5=Pat!$C$25,1,0),IF('wk4'!B54=Pat!B$27,1,0)),1,0)+IF(AND(IF('wk4'!C$5=Pat!$C$25,1,0),IF('wk4'!C54=Pat!B$27,1,0)),1,0)+IF(AND(IF('wk4'!D$5=Pat!$C$25,1,0),IF('wk4'!D54=Pat!B$27,1,0)),1,0)+IF(AND(IF('wk4'!E$5=Pat!$C$25,1,0),IF('wk4'!E54=Pat!B$27,1,0)),1,0)+IF(AND(IF('wk4'!F$5=Pat!$C$25,1,0),IF('wk4'!F54=Pat!B$27,1,0)),1,0)+IF(AND(IF('wk4'!G$5=Pat!$C$25,1,0),IF('wk4'!G54=Pat!B$27,1,0)),1,0)</f>
        <v>0</v>
      </c>
      <c r="I72" s="83">
        <f>IF(AND(IF('wk4'!C$5=Pat!$C$25,1,0),IF('wk4'!C54=Pat!C$27,1,0)),1,0)+IF(AND(IF('wk4'!D$5=Pat!$C$25,1,0),IF('wk4'!D54=Pat!C$27,1,0)),1,0)+IF(AND(IF('wk4'!E$5=Pat!$C$25,1,0),IF('wk4'!E54=Pat!C$27,1,0)),1,0)+IF(AND(IF('wk4'!F$5=Pat!$C$25,1,0),IF('wk4'!F54=Pat!C$27,1,0)),1,0)+IF(AND(IF('wk4'!G$5=Pat!$C$25,1,0),IF('wk4'!G54=Pat!C$27,1,0)),1,0)+IF(AND(IF('wk4'!H$5=Pat!$C$25,1,0),IF('wk4'!H54=Pat!C$27,1,0)),1,0)+IF(AND(IF('wk4'!B$5=Pat!$C$25,1,0),IF('wk4'!B54=Pat!C$27,1,0)),1,0)</f>
        <v>0</v>
      </c>
      <c r="J72" s="84">
        <f>IF(AND(IF('wk5'!B$5=Pat!$C$25,1,0),IF('wk5'!B54=Pat!B$27,1,0)),1,0)+IF(AND(IF('wk5'!C$5=Pat!$C$25,1,0),IF('wk5'!C54=Pat!B$27,1,0)),1,0)+IF(AND(IF('wk5'!D$5=Pat!$C$25,1,0),IF('wk5'!D54=Pat!B$27,1,0)),1,0)+IF(AND(IF('wk5'!E$5=Pat!$C$25,1,0),IF('wk5'!E54=Pat!B$27,1,0)),1,0)+IF(AND(IF('wk5'!F$5=Pat!$C$25,1,0),IF('wk5'!F54=Pat!B$27,1,0)),1,0)+IF(AND(IF('wk5'!G$5=Pat!$C$25,1,0),IF('wk5'!G54=Pat!B$27,1,0)),1,0)</f>
        <v>0</v>
      </c>
      <c r="K72" s="85">
        <f>IF(AND(IF('wk5'!C$5=Pat!$C$25,1,0),IF('wk5'!C54=Pat!C$27,1,0)),1,0)+IF(AND(IF('wk5'!D$5=Pat!$C$25,1,0),IF('wk5'!D54=Pat!C$27,1,0)),1,0)+IF(AND(IF('wk5'!E$5=Pat!$C$25,1,0),IF('wk5'!E54=Pat!C$27,1,0)),1,0)+IF(AND(IF('wk5'!F$5=Pat!$C$25,1,0),IF('wk5'!F54=Pat!C$27,1,0)),1,0)+IF(AND(IF('wk5'!G$5=Pat!$C$25,1,0),IF('wk5'!G54=Pat!C$27,1,0)),1,0)+IF(AND(IF('wk5'!H$5=Pat!$C$25,1,0),IF('wk5'!H54=Pat!C$27,1,0)),1,0)+IF(AND(IF('wk5'!B$5=Pat!$C$25,1,0),IF('wk5'!B54=Pat!C$27,1,0)),1,0)</f>
        <v>0</v>
      </c>
      <c r="L72" s="79"/>
      <c r="M72" s="79">
        <f t="shared" si="2"/>
        <v>0</v>
      </c>
      <c r="N72" s="81">
        <f t="shared" si="3"/>
        <v>0</v>
      </c>
    </row>
    <row r="73" spans="1:17" ht="13.5" thickBot="1">
      <c r="A73" s="78" t="str">
        <f>'Members Data'!A47</f>
        <v>Octavìus</v>
      </c>
      <c r="B73" s="82">
        <f>IF(AND(IF('wk1'!B$5=Pat!$C$25,1,0),IF('wk1'!B55=Pat!B$27,1,0)),1,0)+IF(AND(IF('wk1'!D$5=Pat!$C$25,1,0),IF('wk1'!C55=Pat!B$27,1,0)),1,0)+IF(AND(IF('wk1'!D$5=Pat!$C$25,1,0),IF('wk1'!D55=Pat!B$27,1,0)),1,0)+IF(AND(IF('wk1'!E$5=Pat!$C$25,1,0),IF('wk1'!E55=Pat!B$27,1,0)),1,0)+IF(AND(IF('wk1'!F$5=Pat!$C$25,1,0),IF('wk1'!F55=Pat!B$27,1,0)),1,0)+IF(AND(IF('wk1'!G$5=Pat!$C$25,1,0),IF('wk1'!G55=Pat!B$27,1,0)),1,0)</f>
        <v>0</v>
      </c>
      <c r="C73" s="83">
        <f>IF(AND(IF('wk1'!D$5=Pat!$C$25,1,0),IF('wk1'!C55=Pat!C$27,1,0)),1,0)+IF(AND(IF('wk1'!D$5=Pat!$C$25,1,0),IF('wk1'!D55=Pat!C$27,1,0)),1,0)+IF(AND(IF('wk1'!E$5=Pat!$C$25,1,0),IF('wk1'!E55=Pat!C$27,1,0)),1,0)+IF(AND(IF('wk1'!F$5=Pat!$C$25,1,0),IF('wk1'!F55=Pat!C$27,1,0)),1,0)+IF(AND(IF('wk1'!G$5=Pat!$C$25,1,0),IF('wk1'!G55=Pat!C$27,1,0)),1,0)+IF(AND(IF('wk1'!H$5=Pat!$C$25,1,0),IF('wk1'!H55=Pat!C$27,1,0)),1,0)+IF(AND(IF('wk1'!B$5=Pat!$C$25,1,0),IF('wk1'!B55=Pat!C$27,1,0)),1,0)</f>
        <v>0</v>
      </c>
      <c r="D73" s="82">
        <f>IF(AND(IF('wk2'!B$5=Pat!$C$25,1,0),IF('wk2'!B55=Pat!B$27,1,0)),1,0)+IF(AND(IF('wk2'!C$5=Pat!$C$25,1,0),IF('wk2'!C55=Pat!B$27,1,0)),1,0)+IF(AND(IF('wk2'!D$5=Pat!$C$25,1,0),IF('wk2'!D55=Pat!B$27,1,0)),1,0)+IF(AND(IF('wk2'!E$5=Pat!$C$25,1,0),IF('wk2'!E55=Pat!B$27,1,0)),1,0)+IF(AND(IF('wk2'!F$5=Pat!$C$25,1,0),IF('wk2'!F55=Pat!B$27,1,0)),1,0)+IF(AND(IF('wk2'!G$5=Pat!$C$25,1,0),IF('wk2'!G55=Pat!B$27,1,0)),1,0)</f>
        <v>0</v>
      </c>
      <c r="E73" s="83">
        <f>IF(AND(IF('wk2'!C$5=Pat!$C$25,1,0),IF('wk2'!C55=Pat!C$27,1,0)),1,0)+IF(AND(IF('wk2'!D$5=Pat!$C$25,1,0),IF('wk2'!D55=Pat!C$27,1,0)),1,0)+IF(AND(IF('wk2'!E$5=Pat!$C$25,1,0),IF('wk2'!E55=Pat!C$27,1,0)),1,0)+IF(AND(IF('wk2'!F$5=Pat!$C$25,1,0),IF('wk2'!F55=Pat!C$27,1,0)),1,0)+IF(AND(IF('wk2'!G$5=Pat!$C$25,1,0),IF('wk2'!G55=Pat!C$27,1,0)),1,0)+IF(AND(IF('wk2'!H$5=Pat!$C$25,1,0),IF('wk2'!H55=Pat!C$27,1,0)),1,0)+IF(AND(IF('wk2'!B$5=Pat!$C$25,1,0),IF('wk2'!B55=Pat!C$27,1,0)),1,0)</f>
        <v>0</v>
      </c>
      <c r="F73" s="82">
        <f>IF(AND(IF('wk3'!B$5=Pat!$C$25,1,0),IF('wk3'!B55=Pat!B$27,1,0)),1,0)+IF(AND(IF('wk3'!C$5=Pat!$C$25,1,0),IF('wk3'!C55=Pat!B$27,1,0)),1,0)+IF(AND(IF('wk3'!D$5=Pat!$C$25,1,0),IF('wk3'!D55=Pat!B$27,1,0)),1,0)+IF(AND(IF('wk3'!E$5=Pat!$C$25,1,0),IF('wk3'!E55=Pat!B$27,1,0)),1,0)+IF(AND(IF('wk3'!F$5=Pat!$C$25,1,0),IF('wk3'!F55=Pat!B$27,1,0)),1,0)+IF(AND(IF('wk3'!G$5=Pat!$C$25,1,0),IF('wk3'!G55=Pat!B$27,1,0)),1,0)</f>
        <v>0</v>
      </c>
      <c r="G73" s="83">
        <f>IF(AND(IF('wk3'!C$5=Pat!$C$25,1,0),IF('wk3'!C55=Pat!C$27,1,0)),1,0)+IF(AND(IF('wk3'!D$5=Pat!$C$25,1,0),IF('wk3'!D55=Pat!C$27,1,0)),1,0)+IF(AND(IF('wk3'!E$5=Pat!$C$25,1,0),IF('wk3'!E55=Pat!C$27,1,0)),1,0)+IF(AND(IF('wk3'!F$5=Pat!$C$25,1,0),IF('wk3'!F55=Pat!C$27,1,0)),1,0)+IF(AND(IF('wk3'!G$5=Pat!$C$25,1,0),IF('wk3'!G55=Pat!C$27,1,0)),1,0)+IF(AND(IF('wk3'!H$5=Pat!$C$25,1,0),IF('wk3'!H55=Pat!C$27,1,0)),1,0)+IF(AND(IF('wk3'!B$5=Pat!$C$25,1,0),IF('wk3'!B55=Pat!C$27,1,0)),1,0)</f>
        <v>0</v>
      </c>
      <c r="H73" s="82">
        <f>IF(AND(IF('wk4'!B$5=Pat!$C$25,1,0),IF('wk4'!B55=Pat!B$27,1,0)),1,0)+IF(AND(IF('wk4'!C$5=Pat!$C$25,1,0),IF('wk4'!C55=Pat!B$27,1,0)),1,0)+IF(AND(IF('wk4'!D$5=Pat!$C$25,1,0),IF('wk4'!D55=Pat!B$27,1,0)),1,0)+IF(AND(IF('wk4'!E$5=Pat!$C$25,1,0),IF('wk4'!E55=Pat!B$27,1,0)),1,0)+IF(AND(IF('wk4'!F$5=Pat!$C$25,1,0),IF('wk4'!F55=Pat!B$27,1,0)),1,0)+IF(AND(IF('wk4'!G$5=Pat!$C$25,1,0),IF('wk4'!G55=Pat!B$27,1,0)),1,0)</f>
        <v>0</v>
      </c>
      <c r="I73" s="83">
        <f>IF(AND(IF('wk4'!C$5=Pat!$C$25,1,0),IF('wk4'!C55=Pat!C$27,1,0)),1,0)+IF(AND(IF('wk4'!D$5=Pat!$C$25,1,0),IF('wk4'!D55=Pat!C$27,1,0)),1,0)+IF(AND(IF('wk4'!E$5=Pat!$C$25,1,0),IF('wk4'!E55=Pat!C$27,1,0)),1,0)+IF(AND(IF('wk4'!F$5=Pat!$C$25,1,0),IF('wk4'!F55=Pat!C$27,1,0)),1,0)+IF(AND(IF('wk4'!G$5=Pat!$C$25,1,0),IF('wk4'!G55=Pat!C$27,1,0)),1,0)+IF(AND(IF('wk4'!H$5=Pat!$C$25,1,0),IF('wk4'!H55=Pat!C$27,1,0)),1,0)+IF(AND(IF('wk4'!B$5=Pat!$C$25,1,0),IF('wk4'!B55=Pat!C$27,1,0)),1,0)</f>
        <v>0</v>
      </c>
      <c r="J73" s="84">
        <f>IF(AND(IF('wk5'!B$5=Pat!$C$25,1,0),IF('wk5'!B55=Pat!B$27,1,0)),1,0)+IF(AND(IF('wk5'!C$5=Pat!$C$25,1,0),IF('wk5'!C55=Pat!B$27,1,0)),1,0)+IF(AND(IF('wk5'!D$5=Pat!$C$25,1,0),IF('wk5'!D55=Pat!B$27,1,0)),1,0)+IF(AND(IF('wk5'!E$5=Pat!$C$25,1,0),IF('wk5'!E55=Pat!B$27,1,0)),1,0)+IF(AND(IF('wk5'!F$5=Pat!$C$25,1,0),IF('wk5'!F55=Pat!B$27,1,0)),1,0)+IF(AND(IF('wk5'!G$5=Pat!$C$25,1,0),IF('wk5'!G55=Pat!B$27,1,0)),1,0)</f>
        <v>0</v>
      </c>
      <c r="K73" s="85">
        <f>IF(AND(IF('wk5'!C$5=Pat!$C$25,1,0),IF('wk5'!C55=Pat!C$27,1,0)),1,0)+IF(AND(IF('wk5'!D$5=Pat!$C$25,1,0),IF('wk5'!D55=Pat!C$27,1,0)),1,0)+IF(AND(IF('wk5'!E$5=Pat!$C$25,1,0),IF('wk5'!E55=Pat!C$27,1,0)),1,0)+IF(AND(IF('wk5'!F$5=Pat!$C$25,1,0),IF('wk5'!F55=Pat!C$27,1,0)),1,0)+IF(AND(IF('wk5'!G$5=Pat!$C$25,1,0),IF('wk5'!G55=Pat!C$27,1,0)),1,0)+IF(AND(IF('wk5'!H$5=Pat!$C$25,1,0),IF('wk5'!H55=Pat!C$27,1,0)),1,0)+IF(AND(IF('wk5'!B$5=Pat!$C$25,1,0),IF('wk5'!B55=Pat!C$27,1,0)),1,0)</f>
        <v>0</v>
      </c>
      <c r="L73" s="79"/>
      <c r="M73" s="79">
        <f t="shared" si="2"/>
        <v>0</v>
      </c>
      <c r="N73" s="81">
        <f t="shared" si="3"/>
        <v>0</v>
      </c>
    </row>
    <row r="74" spans="1:17" ht="13.5" thickBot="1">
      <c r="A74" s="78" t="str">
        <f>'Members Data'!A48</f>
        <v>Overtake</v>
      </c>
      <c r="B74" s="82">
        <f>IF(AND(IF('wk1'!B$5=Pat!$C$25,1,0),IF('wk1'!B56=Pat!B$27,1,0)),1,0)+IF(AND(IF('wk1'!D$5=Pat!$C$25,1,0),IF('wk1'!C56=Pat!B$27,1,0)),1,0)+IF(AND(IF('wk1'!D$5=Pat!$C$25,1,0),IF('wk1'!D56=Pat!B$27,1,0)),1,0)+IF(AND(IF('wk1'!E$5=Pat!$C$25,1,0),IF('wk1'!E56=Pat!B$27,1,0)),1,0)+IF(AND(IF('wk1'!F$5=Pat!$C$25,1,0),IF('wk1'!F56=Pat!B$27,1,0)),1,0)+IF(AND(IF('wk1'!G$5=Pat!$C$25,1,0),IF('wk1'!G56=Pat!B$27,1,0)),1,0)</f>
        <v>0</v>
      </c>
      <c r="C74" s="83">
        <f>IF(AND(IF('wk1'!D$5=Pat!$C$25,1,0),IF('wk1'!C56=Pat!C$27,1,0)),1,0)+IF(AND(IF('wk1'!D$5=Pat!$C$25,1,0),IF('wk1'!D56=Pat!C$27,1,0)),1,0)+IF(AND(IF('wk1'!E$5=Pat!$C$25,1,0),IF('wk1'!E56=Pat!C$27,1,0)),1,0)+IF(AND(IF('wk1'!F$5=Pat!$C$25,1,0),IF('wk1'!F56=Pat!C$27,1,0)),1,0)+IF(AND(IF('wk1'!G$5=Pat!$C$25,1,0),IF('wk1'!G56=Pat!C$27,1,0)),1,0)+IF(AND(IF('wk1'!H$5=Pat!$C$25,1,0),IF('wk1'!H56=Pat!C$27,1,0)),1,0)+IF(AND(IF('wk1'!B$5=Pat!$C$25,1,0),IF('wk1'!B56=Pat!C$27,1,0)),1,0)</f>
        <v>0</v>
      </c>
      <c r="D74" s="82">
        <f>IF(AND(IF('wk2'!B$5=Pat!$C$25,1,0),IF('wk2'!B56=Pat!B$27,1,0)),1,0)+IF(AND(IF('wk2'!C$5=Pat!$C$25,1,0),IF('wk2'!C56=Pat!B$27,1,0)),1,0)+IF(AND(IF('wk2'!D$5=Pat!$C$25,1,0),IF('wk2'!D56=Pat!B$27,1,0)),1,0)+IF(AND(IF('wk2'!E$5=Pat!$C$25,1,0),IF('wk2'!E56=Pat!B$27,1,0)),1,0)+IF(AND(IF('wk2'!F$5=Pat!$C$25,1,0),IF('wk2'!F56=Pat!B$27,1,0)),1,0)+IF(AND(IF('wk2'!G$5=Pat!$C$25,1,0),IF('wk2'!G56=Pat!B$27,1,0)),1,0)</f>
        <v>0</v>
      </c>
      <c r="E74" s="83">
        <f>IF(AND(IF('wk2'!C$5=Pat!$C$25,1,0),IF('wk2'!C56=Pat!C$27,1,0)),1,0)+IF(AND(IF('wk2'!D$5=Pat!$C$25,1,0),IF('wk2'!D56=Pat!C$27,1,0)),1,0)+IF(AND(IF('wk2'!E$5=Pat!$C$25,1,0),IF('wk2'!E56=Pat!C$27,1,0)),1,0)+IF(AND(IF('wk2'!F$5=Pat!$C$25,1,0),IF('wk2'!F56=Pat!C$27,1,0)),1,0)+IF(AND(IF('wk2'!G$5=Pat!$C$25,1,0),IF('wk2'!G56=Pat!C$27,1,0)),1,0)+IF(AND(IF('wk2'!H$5=Pat!$C$25,1,0),IF('wk2'!H56=Pat!C$27,1,0)),1,0)+IF(AND(IF('wk2'!B$5=Pat!$C$25,1,0),IF('wk2'!B56=Pat!C$27,1,0)),1,0)</f>
        <v>0</v>
      </c>
      <c r="F74" s="82">
        <f>IF(AND(IF('wk3'!B$5=Pat!$C$25,1,0),IF('wk3'!B56=Pat!B$27,1,0)),1,0)+IF(AND(IF('wk3'!C$5=Pat!$C$25,1,0),IF('wk3'!C56=Pat!B$27,1,0)),1,0)+IF(AND(IF('wk3'!D$5=Pat!$C$25,1,0),IF('wk3'!D56=Pat!B$27,1,0)),1,0)+IF(AND(IF('wk3'!E$5=Pat!$C$25,1,0),IF('wk3'!E56=Pat!B$27,1,0)),1,0)+IF(AND(IF('wk3'!F$5=Pat!$C$25,1,0),IF('wk3'!F56=Pat!B$27,1,0)),1,0)+IF(AND(IF('wk3'!G$5=Pat!$C$25,1,0),IF('wk3'!G56=Pat!B$27,1,0)),1,0)</f>
        <v>0</v>
      </c>
      <c r="G74" s="83">
        <f>IF(AND(IF('wk3'!C$5=Pat!$C$25,1,0),IF('wk3'!C56=Pat!C$27,1,0)),1,0)+IF(AND(IF('wk3'!D$5=Pat!$C$25,1,0),IF('wk3'!D56=Pat!C$27,1,0)),1,0)+IF(AND(IF('wk3'!E$5=Pat!$C$25,1,0),IF('wk3'!E56=Pat!C$27,1,0)),1,0)+IF(AND(IF('wk3'!F$5=Pat!$C$25,1,0),IF('wk3'!F56=Pat!C$27,1,0)),1,0)+IF(AND(IF('wk3'!G$5=Pat!$C$25,1,0),IF('wk3'!G56=Pat!C$27,1,0)),1,0)+IF(AND(IF('wk3'!H$5=Pat!$C$25,1,0),IF('wk3'!H56=Pat!C$27,1,0)),1,0)+IF(AND(IF('wk3'!B$5=Pat!$C$25,1,0),IF('wk3'!B56=Pat!C$27,1,0)),1,0)</f>
        <v>0</v>
      </c>
      <c r="H74" s="82">
        <f>IF(AND(IF('wk4'!B$5=Pat!$C$25,1,0),IF('wk4'!B56=Pat!B$27,1,0)),1,0)+IF(AND(IF('wk4'!C$5=Pat!$C$25,1,0),IF('wk4'!C56=Pat!B$27,1,0)),1,0)+IF(AND(IF('wk4'!D$5=Pat!$C$25,1,0),IF('wk4'!D56=Pat!B$27,1,0)),1,0)+IF(AND(IF('wk4'!E$5=Pat!$C$25,1,0),IF('wk4'!E56=Pat!B$27,1,0)),1,0)+IF(AND(IF('wk4'!F$5=Pat!$C$25,1,0),IF('wk4'!F56=Pat!B$27,1,0)),1,0)+IF(AND(IF('wk4'!G$5=Pat!$C$25,1,0),IF('wk4'!G56=Pat!B$27,1,0)),1,0)</f>
        <v>0</v>
      </c>
      <c r="I74" s="83">
        <f>IF(AND(IF('wk4'!C$5=Pat!$C$25,1,0),IF('wk4'!C56=Pat!C$27,1,0)),1,0)+IF(AND(IF('wk4'!D$5=Pat!$C$25,1,0),IF('wk4'!D56=Pat!C$27,1,0)),1,0)+IF(AND(IF('wk4'!E$5=Pat!$C$25,1,0),IF('wk4'!E56=Pat!C$27,1,0)),1,0)+IF(AND(IF('wk4'!F$5=Pat!$C$25,1,0),IF('wk4'!F56=Pat!C$27,1,0)),1,0)+IF(AND(IF('wk4'!G$5=Pat!$C$25,1,0),IF('wk4'!G56=Pat!C$27,1,0)),1,0)+IF(AND(IF('wk4'!H$5=Pat!$C$25,1,0),IF('wk4'!H56=Pat!C$27,1,0)),1,0)+IF(AND(IF('wk4'!B$5=Pat!$C$25,1,0),IF('wk4'!B56=Pat!C$27,1,0)),1,0)</f>
        <v>0</v>
      </c>
      <c r="J74" s="84">
        <f>IF(AND(IF('wk5'!B$5=Pat!$C$25,1,0),IF('wk5'!B56=Pat!B$27,1,0)),1,0)+IF(AND(IF('wk5'!C$5=Pat!$C$25,1,0),IF('wk5'!C56=Pat!B$27,1,0)),1,0)+IF(AND(IF('wk5'!D$5=Pat!$C$25,1,0),IF('wk5'!D56=Pat!B$27,1,0)),1,0)+IF(AND(IF('wk5'!E$5=Pat!$C$25,1,0),IF('wk5'!E56=Pat!B$27,1,0)),1,0)+IF(AND(IF('wk5'!F$5=Pat!$C$25,1,0),IF('wk5'!F56=Pat!B$27,1,0)),1,0)+IF(AND(IF('wk5'!G$5=Pat!$C$25,1,0),IF('wk5'!G56=Pat!B$27,1,0)),1,0)</f>
        <v>0</v>
      </c>
      <c r="K74" s="85">
        <f>IF(AND(IF('wk5'!C$5=Pat!$C$25,1,0),IF('wk5'!C56=Pat!C$27,1,0)),1,0)+IF(AND(IF('wk5'!D$5=Pat!$C$25,1,0),IF('wk5'!D56=Pat!C$27,1,0)),1,0)+IF(AND(IF('wk5'!E$5=Pat!$C$25,1,0),IF('wk5'!E56=Pat!C$27,1,0)),1,0)+IF(AND(IF('wk5'!F$5=Pat!$C$25,1,0),IF('wk5'!F56=Pat!C$27,1,0)),1,0)+IF(AND(IF('wk5'!G$5=Pat!$C$25,1,0),IF('wk5'!G56=Pat!C$27,1,0)),1,0)+IF(AND(IF('wk5'!H$5=Pat!$C$25,1,0),IF('wk5'!H56=Pat!C$27,1,0)),1,0)+IF(AND(IF('wk5'!B$5=Pat!$C$25,1,0),IF('wk5'!B56=Pat!C$27,1,0)),1,0)</f>
        <v>0</v>
      </c>
      <c r="L74" s="79"/>
      <c r="M74" s="79">
        <f t="shared" si="2"/>
        <v>0</v>
      </c>
      <c r="N74" s="81">
        <f t="shared" si="3"/>
        <v>0</v>
      </c>
    </row>
    <row r="75" spans="1:17" ht="13.5" thickBot="1">
      <c r="A75" s="78" t="str">
        <f>'Members Data'!A49</f>
        <v>Paolin</v>
      </c>
      <c r="B75" s="82">
        <f>IF(AND(IF('wk1'!B$5=Pat!$C$25,1,0),IF('wk1'!B57=Pat!B$27,1,0)),1,0)+IF(AND(IF('wk1'!D$5=Pat!$C$25,1,0),IF('wk1'!C57=Pat!B$27,1,0)),1,0)+IF(AND(IF('wk1'!D$5=Pat!$C$25,1,0),IF('wk1'!D57=Pat!B$27,1,0)),1,0)+IF(AND(IF('wk1'!E$5=Pat!$C$25,1,0),IF('wk1'!E57=Pat!B$27,1,0)),1,0)+IF(AND(IF('wk1'!F$5=Pat!$C$25,1,0),IF('wk1'!F57=Pat!B$27,1,0)),1,0)+IF(AND(IF('wk1'!G$5=Pat!$C$25,1,0),IF('wk1'!G57=Pat!B$27,1,0)),1,0)</f>
        <v>0</v>
      </c>
      <c r="C75" s="83">
        <f>IF(AND(IF('wk1'!D$5=Pat!$C$25,1,0),IF('wk1'!C57=Pat!C$27,1,0)),1,0)+IF(AND(IF('wk1'!D$5=Pat!$C$25,1,0),IF('wk1'!D57=Pat!C$27,1,0)),1,0)+IF(AND(IF('wk1'!E$5=Pat!$C$25,1,0),IF('wk1'!E57=Pat!C$27,1,0)),1,0)+IF(AND(IF('wk1'!F$5=Pat!$C$25,1,0),IF('wk1'!F57=Pat!C$27,1,0)),1,0)+IF(AND(IF('wk1'!G$5=Pat!$C$25,1,0),IF('wk1'!G57=Pat!C$27,1,0)),1,0)+IF(AND(IF('wk1'!H$5=Pat!$C$25,1,0),IF('wk1'!H57=Pat!C$27,1,0)),1,0)+IF(AND(IF('wk1'!B$5=Pat!$C$25,1,0),IF('wk1'!B57=Pat!C$27,1,0)),1,0)</f>
        <v>0</v>
      </c>
      <c r="D75" s="82">
        <f>IF(AND(IF('wk2'!B$5=Pat!$C$25,1,0),IF('wk2'!B57=Pat!B$27,1,0)),1,0)+IF(AND(IF('wk2'!C$5=Pat!$C$25,1,0),IF('wk2'!C57=Pat!B$27,1,0)),1,0)+IF(AND(IF('wk2'!D$5=Pat!$C$25,1,0),IF('wk2'!D57=Pat!B$27,1,0)),1,0)+IF(AND(IF('wk2'!E$5=Pat!$C$25,1,0),IF('wk2'!E57=Pat!B$27,1,0)),1,0)+IF(AND(IF('wk2'!F$5=Pat!$C$25,1,0),IF('wk2'!F57=Pat!B$27,1,0)),1,0)+IF(AND(IF('wk2'!G$5=Pat!$C$25,1,0),IF('wk2'!G57=Pat!B$27,1,0)),1,0)</f>
        <v>0</v>
      </c>
      <c r="E75" s="83">
        <f>IF(AND(IF('wk2'!C$5=Pat!$C$25,1,0),IF('wk2'!C57=Pat!C$27,1,0)),1,0)+IF(AND(IF('wk2'!D$5=Pat!$C$25,1,0),IF('wk2'!D57=Pat!C$27,1,0)),1,0)+IF(AND(IF('wk2'!E$5=Pat!$C$25,1,0),IF('wk2'!E57=Pat!C$27,1,0)),1,0)+IF(AND(IF('wk2'!F$5=Pat!$C$25,1,0),IF('wk2'!F57=Pat!C$27,1,0)),1,0)+IF(AND(IF('wk2'!G$5=Pat!$C$25,1,0),IF('wk2'!G57=Pat!C$27,1,0)),1,0)+IF(AND(IF('wk2'!H$5=Pat!$C$25,1,0),IF('wk2'!H57=Pat!C$27,1,0)),1,0)+IF(AND(IF('wk2'!B$5=Pat!$C$25,1,0),IF('wk2'!B57=Pat!C$27,1,0)),1,0)</f>
        <v>0</v>
      </c>
      <c r="F75" s="82">
        <f>IF(AND(IF('wk3'!B$5=Pat!$C$25,1,0),IF('wk3'!B57=Pat!B$27,1,0)),1,0)+IF(AND(IF('wk3'!C$5=Pat!$C$25,1,0),IF('wk3'!C57=Pat!B$27,1,0)),1,0)+IF(AND(IF('wk3'!D$5=Pat!$C$25,1,0),IF('wk3'!D57=Pat!B$27,1,0)),1,0)+IF(AND(IF('wk3'!E$5=Pat!$C$25,1,0),IF('wk3'!E57=Pat!B$27,1,0)),1,0)+IF(AND(IF('wk3'!F$5=Pat!$C$25,1,0),IF('wk3'!F57=Pat!B$27,1,0)),1,0)+IF(AND(IF('wk3'!G$5=Pat!$C$25,1,0),IF('wk3'!G57=Pat!B$27,1,0)),1,0)</f>
        <v>0</v>
      </c>
      <c r="G75" s="83">
        <f>IF(AND(IF('wk3'!C$5=Pat!$C$25,1,0),IF('wk3'!C57=Pat!C$27,1,0)),1,0)+IF(AND(IF('wk3'!D$5=Pat!$C$25,1,0),IF('wk3'!D57=Pat!C$27,1,0)),1,0)+IF(AND(IF('wk3'!E$5=Pat!$C$25,1,0),IF('wk3'!E57=Pat!C$27,1,0)),1,0)+IF(AND(IF('wk3'!F$5=Pat!$C$25,1,0),IF('wk3'!F57=Pat!C$27,1,0)),1,0)+IF(AND(IF('wk3'!G$5=Pat!$C$25,1,0),IF('wk3'!G57=Pat!C$27,1,0)),1,0)+IF(AND(IF('wk3'!H$5=Pat!$C$25,1,0),IF('wk3'!H57=Pat!C$27,1,0)),1,0)+IF(AND(IF('wk3'!B$5=Pat!$C$25,1,0),IF('wk3'!B57=Pat!C$27,1,0)),1,0)</f>
        <v>0</v>
      </c>
      <c r="H75" s="82">
        <f>IF(AND(IF('wk4'!B$5=Pat!$C$25,1,0),IF('wk4'!B57=Pat!B$27,1,0)),1,0)+IF(AND(IF('wk4'!C$5=Pat!$C$25,1,0),IF('wk4'!C57=Pat!B$27,1,0)),1,0)+IF(AND(IF('wk4'!D$5=Pat!$C$25,1,0),IF('wk4'!D57=Pat!B$27,1,0)),1,0)+IF(AND(IF('wk4'!E$5=Pat!$C$25,1,0),IF('wk4'!E57=Pat!B$27,1,0)),1,0)+IF(AND(IF('wk4'!F$5=Pat!$C$25,1,0),IF('wk4'!F57=Pat!B$27,1,0)),1,0)+IF(AND(IF('wk4'!G$5=Pat!$C$25,1,0),IF('wk4'!G57=Pat!B$27,1,0)),1,0)</f>
        <v>0</v>
      </c>
      <c r="I75" s="83">
        <f>IF(AND(IF('wk4'!C$5=Pat!$C$25,1,0),IF('wk4'!C57=Pat!C$27,1,0)),1,0)+IF(AND(IF('wk4'!D$5=Pat!$C$25,1,0),IF('wk4'!D57=Pat!C$27,1,0)),1,0)+IF(AND(IF('wk4'!E$5=Pat!$C$25,1,0),IF('wk4'!E57=Pat!C$27,1,0)),1,0)+IF(AND(IF('wk4'!F$5=Pat!$C$25,1,0),IF('wk4'!F57=Pat!C$27,1,0)),1,0)+IF(AND(IF('wk4'!G$5=Pat!$C$25,1,0),IF('wk4'!G57=Pat!C$27,1,0)),1,0)+IF(AND(IF('wk4'!H$5=Pat!$C$25,1,0),IF('wk4'!H57=Pat!C$27,1,0)),1,0)+IF(AND(IF('wk4'!B$5=Pat!$C$25,1,0),IF('wk4'!B57=Pat!C$27,1,0)),1,0)</f>
        <v>0</v>
      </c>
      <c r="J75" s="84">
        <f>IF(AND(IF('wk5'!B$5=Pat!$C$25,1,0),IF('wk5'!B57=Pat!B$27,1,0)),1,0)+IF(AND(IF('wk5'!C$5=Pat!$C$25,1,0),IF('wk5'!C57=Pat!B$27,1,0)),1,0)+IF(AND(IF('wk5'!D$5=Pat!$C$25,1,0),IF('wk5'!D57=Pat!B$27,1,0)),1,0)+IF(AND(IF('wk5'!E$5=Pat!$C$25,1,0),IF('wk5'!E57=Pat!B$27,1,0)),1,0)+IF(AND(IF('wk5'!F$5=Pat!$C$25,1,0),IF('wk5'!F57=Pat!B$27,1,0)),1,0)+IF(AND(IF('wk5'!G$5=Pat!$C$25,1,0),IF('wk5'!G57=Pat!B$27,1,0)),1,0)</f>
        <v>0</v>
      </c>
      <c r="K75" s="85">
        <f>IF(AND(IF('wk5'!C$5=Pat!$C$25,1,0),IF('wk5'!C57=Pat!C$27,1,0)),1,0)+IF(AND(IF('wk5'!D$5=Pat!$C$25,1,0),IF('wk5'!D57=Pat!C$27,1,0)),1,0)+IF(AND(IF('wk5'!E$5=Pat!$C$25,1,0),IF('wk5'!E57=Pat!C$27,1,0)),1,0)+IF(AND(IF('wk5'!F$5=Pat!$C$25,1,0),IF('wk5'!F57=Pat!C$27,1,0)),1,0)+IF(AND(IF('wk5'!G$5=Pat!$C$25,1,0),IF('wk5'!G57=Pat!C$27,1,0)),1,0)+IF(AND(IF('wk5'!H$5=Pat!$C$25,1,0),IF('wk5'!H57=Pat!C$27,1,0)),1,0)+IF(AND(IF('wk5'!B$5=Pat!$C$25,1,0),IF('wk5'!B57=Pat!C$27,1,0)),1,0)</f>
        <v>0</v>
      </c>
      <c r="L75" s="79"/>
      <c r="M75" s="79">
        <f t="shared" si="2"/>
        <v>0</v>
      </c>
      <c r="N75" s="81">
        <f t="shared" si="3"/>
        <v>0</v>
      </c>
    </row>
    <row r="76" spans="1:17" ht="13.5" thickBot="1">
      <c r="A76" s="78" t="str">
        <f>'Members Data'!A50</f>
        <v>Páula</v>
      </c>
      <c r="B76" s="82">
        <f>IF(AND(IF('wk1'!B$5=Pat!$C$25,1,0),IF('wk1'!B58=Pat!B$27,1,0)),1,0)+IF(AND(IF('wk1'!D$5=Pat!$C$25,1,0),IF('wk1'!C58=Pat!B$27,1,0)),1,0)+IF(AND(IF('wk1'!D$5=Pat!$C$25,1,0),IF('wk1'!D58=Pat!B$27,1,0)),1,0)+IF(AND(IF('wk1'!E$5=Pat!$C$25,1,0),IF('wk1'!E58=Pat!B$27,1,0)),1,0)+IF(AND(IF('wk1'!F$5=Pat!$C$25,1,0),IF('wk1'!F58=Pat!B$27,1,0)),1,0)+IF(AND(IF('wk1'!G$5=Pat!$C$25,1,0),IF('wk1'!G58=Pat!B$27,1,0)),1,0)</f>
        <v>0</v>
      </c>
      <c r="C76" s="83">
        <f>IF(AND(IF('wk1'!D$5=Pat!$C$25,1,0),IF('wk1'!C58=Pat!C$27,1,0)),1,0)+IF(AND(IF('wk1'!D$5=Pat!$C$25,1,0),IF('wk1'!D58=Pat!C$27,1,0)),1,0)+IF(AND(IF('wk1'!E$5=Pat!$C$25,1,0),IF('wk1'!E58=Pat!C$27,1,0)),1,0)+IF(AND(IF('wk1'!F$5=Pat!$C$25,1,0),IF('wk1'!F58=Pat!C$27,1,0)),1,0)+IF(AND(IF('wk1'!G$5=Pat!$C$25,1,0),IF('wk1'!G58=Pat!C$27,1,0)),1,0)+IF(AND(IF('wk1'!H$5=Pat!$C$25,1,0),IF('wk1'!H58=Pat!C$27,1,0)),1,0)+IF(AND(IF('wk1'!B$5=Pat!$C$25,1,0),IF('wk1'!B58=Pat!C$27,1,0)),1,0)</f>
        <v>0</v>
      </c>
      <c r="D76" s="82">
        <f>IF(AND(IF('wk2'!B$5=Pat!$C$25,1,0),IF('wk2'!B58=Pat!B$27,1,0)),1,0)+IF(AND(IF('wk2'!C$5=Pat!$C$25,1,0),IF('wk2'!C58=Pat!B$27,1,0)),1,0)+IF(AND(IF('wk2'!D$5=Pat!$C$25,1,0),IF('wk2'!D58=Pat!B$27,1,0)),1,0)+IF(AND(IF('wk2'!E$5=Pat!$C$25,1,0),IF('wk2'!E58=Pat!B$27,1,0)),1,0)+IF(AND(IF('wk2'!F$5=Pat!$C$25,1,0),IF('wk2'!F58=Pat!B$27,1,0)),1,0)+IF(AND(IF('wk2'!G$5=Pat!$C$25,1,0),IF('wk2'!G58=Pat!B$27,1,0)),1,0)</f>
        <v>0</v>
      </c>
      <c r="E76" s="83">
        <f>IF(AND(IF('wk2'!C$5=Pat!$C$25,1,0),IF('wk2'!C58=Pat!C$27,1,0)),1,0)+IF(AND(IF('wk2'!D$5=Pat!$C$25,1,0),IF('wk2'!D58=Pat!C$27,1,0)),1,0)+IF(AND(IF('wk2'!E$5=Pat!$C$25,1,0),IF('wk2'!E58=Pat!C$27,1,0)),1,0)+IF(AND(IF('wk2'!F$5=Pat!$C$25,1,0),IF('wk2'!F58=Pat!C$27,1,0)),1,0)+IF(AND(IF('wk2'!G$5=Pat!$C$25,1,0),IF('wk2'!G58=Pat!C$27,1,0)),1,0)+IF(AND(IF('wk2'!H$5=Pat!$C$25,1,0),IF('wk2'!H58=Pat!C$27,1,0)),1,0)+IF(AND(IF('wk2'!B$5=Pat!$C$25,1,0),IF('wk2'!B58=Pat!C$27,1,0)),1,0)</f>
        <v>0</v>
      </c>
      <c r="F76" s="82">
        <f>IF(AND(IF('wk3'!B$5=Pat!$C$25,1,0),IF('wk3'!B58=Pat!B$27,1,0)),1,0)+IF(AND(IF('wk3'!C$5=Pat!$C$25,1,0),IF('wk3'!C58=Pat!B$27,1,0)),1,0)+IF(AND(IF('wk3'!D$5=Pat!$C$25,1,0),IF('wk3'!D58=Pat!B$27,1,0)),1,0)+IF(AND(IF('wk3'!E$5=Pat!$C$25,1,0),IF('wk3'!E58=Pat!B$27,1,0)),1,0)+IF(AND(IF('wk3'!F$5=Pat!$C$25,1,0),IF('wk3'!F58=Pat!B$27,1,0)),1,0)+IF(AND(IF('wk3'!G$5=Pat!$C$25,1,0),IF('wk3'!G58=Pat!B$27,1,0)),1,0)</f>
        <v>0</v>
      </c>
      <c r="G76" s="83">
        <f>IF(AND(IF('wk3'!C$5=Pat!$C$25,1,0),IF('wk3'!C58=Pat!C$27,1,0)),1,0)+IF(AND(IF('wk3'!D$5=Pat!$C$25,1,0),IF('wk3'!D58=Pat!C$27,1,0)),1,0)+IF(AND(IF('wk3'!E$5=Pat!$C$25,1,0),IF('wk3'!E58=Pat!C$27,1,0)),1,0)+IF(AND(IF('wk3'!F$5=Pat!$C$25,1,0),IF('wk3'!F58=Pat!C$27,1,0)),1,0)+IF(AND(IF('wk3'!G$5=Pat!$C$25,1,0),IF('wk3'!G58=Pat!C$27,1,0)),1,0)+IF(AND(IF('wk3'!H$5=Pat!$C$25,1,0),IF('wk3'!H58=Pat!C$27,1,0)),1,0)+IF(AND(IF('wk3'!B$5=Pat!$C$25,1,0),IF('wk3'!B58=Pat!C$27,1,0)),1,0)</f>
        <v>0</v>
      </c>
      <c r="H76" s="82">
        <f>IF(AND(IF('wk4'!B$5=Pat!$C$25,1,0),IF('wk4'!B58=Pat!B$27,1,0)),1,0)+IF(AND(IF('wk4'!C$5=Pat!$C$25,1,0),IF('wk4'!C58=Pat!B$27,1,0)),1,0)+IF(AND(IF('wk4'!D$5=Pat!$C$25,1,0),IF('wk4'!D58=Pat!B$27,1,0)),1,0)+IF(AND(IF('wk4'!E$5=Pat!$C$25,1,0),IF('wk4'!E58=Pat!B$27,1,0)),1,0)+IF(AND(IF('wk4'!F$5=Pat!$C$25,1,0),IF('wk4'!F58=Pat!B$27,1,0)),1,0)+IF(AND(IF('wk4'!G$5=Pat!$C$25,1,0),IF('wk4'!G58=Pat!B$27,1,0)),1,0)</f>
        <v>0</v>
      </c>
      <c r="I76" s="83">
        <f>IF(AND(IF('wk4'!C$5=Pat!$C$25,1,0),IF('wk4'!C58=Pat!C$27,1,0)),1,0)+IF(AND(IF('wk4'!D$5=Pat!$C$25,1,0),IF('wk4'!D58=Pat!C$27,1,0)),1,0)+IF(AND(IF('wk4'!E$5=Pat!$C$25,1,0),IF('wk4'!E58=Pat!C$27,1,0)),1,0)+IF(AND(IF('wk4'!F$5=Pat!$C$25,1,0),IF('wk4'!F58=Pat!C$27,1,0)),1,0)+IF(AND(IF('wk4'!G$5=Pat!$C$25,1,0),IF('wk4'!G58=Pat!C$27,1,0)),1,0)+IF(AND(IF('wk4'!H$5=Pat!$C$25,1,0),IF('wk4'!H58=Pat!C$27,1,0)),1,0)+IF(AND(IF('wk4'!B$5=Pat!$C$25,1,0),IF('wk4'!B58=Pat!C$27,1,0)),1,0)</f>
        <v>0</v>
      </c>
      <c r="J76" s="84">
        <f>IF(AND(IF('wk5'!B$5=Pat!$C$25,1,0),IF('wk5'!B58=Pat!B$27,1,0)),1,0)+IF(AND(IF('wk5'!C$5=Pat!$C$25,1,0),IF('wk5'!C58=Pat!B$27,1,0)),1,0)+IF(AND(IF('wk5'!D$5=Pat!$C$25,1,0),IF('wk5'!D58=Pat!B$27,1,0)),1,0)+IF(AND(IF('wk5'!E$5=Pat!$C$25,1,0),IF('wk5'!E58=Pat!B$27,1,0)),1,0)+IF(AND(IF('wk5'!F$5=Pat!$C$25,1,0),IF('wk5'!F58=Pat!B$27,1,0)),1,0)+IF(AND(IF('wk5'!G$5=Pat!$C$25,1,0),IF('wk5'!G58=Pat!B$27,1,0)),1,0)</f>
        <v>0</v>
      </c>
      <c r="K76" s="85">
        <f>IF(AND(IF('wk5'!C$5=Pat!$C$25,1,0),IF('wk5'!C58=Pat!C$27,1,0)),1,0)+IF(AND(IF('wk5'!D$5=Pat!$C$25,1,0),IF('wk5'!D58=Pat!C$27,1,0)),1,0)+IF(AND(IF('wk5'!E$5=Pat!$C$25,1,0),IF('wk5'!E58=Pat!C$27,1,0)),1,0)+IF(AND(IF('wk5'!F$5=Pat!$C$25,1,0),IF('wk5'!F58=Pat!C$27,1,0)),1,0)+IF(AND(IF('wk5'!G$5=Pat!$C$25,1,0),IF('wk5'!G58=Pat!C$27,1,0)),1,0)+IF(AND(IF('wk5'!H$5=Pat!$C$25,1,0),IF('wk5'!H58=Pat!C$27,1,0)),1,0)+IF(AND(IF('wk5'!B$5=Pat!$C$25,1,0),IF('wk5'!B58=Pat!C$27,1,0)),1,0)</f>
        <v>0</v>
      </c>
      <c r="L76" s="79"/>
      <c r="M76" s="79">
        <f t="shared" si="2"/>
        <v>0</v>
      </c>
      <c r="N76" s="81">
        <f t="shared" si="3"/>
        <v>0</v>
      </c>
    </row>
    <row r="77" spans="1:17" ht="13.5" thickBot="1">
      <c r="A77" s="78" t="str">
        <f>'Members Data'!A51</f>
        <v>Predictable</v>
      </c>
      <c r="B77" s="82">
        <f>IF(AND(IF('wk1'!B$5=Pat!$C$25,1,0),IF('wk1'!B59=Pat!B$27,1,0)),1,0)+IF(AND(IF('wk1'!D$5=Pat!$C$25,1,0),IF('wk1'!C59=Pat!B$27,1,0)),1,0)+IF(AND(IF('wk1'!D$5=Pat!$C$25,1,0),IF('wk1'!D59=Pat!B$27,1,0)),1,0)+IF(AND(IF('wk1'!E$5=Pat!$C$25,1,0),IF('wk1'!E59=Pat!B$27,1,0)),1,0)+IF(AND(IF('wk1'!F$5=Pat!$C$25,1,0),IF('wk1'!F59=Pat!B$27,1,0)),1,0)+IF(AND(IF('wk1'!G$5=Pat!$C$25,1,0),IF('wk1'!G59=Pat!B$27,1,0)),1,0)</f>
        <v>0</v>
      </c>
      <c r="C77" s="83">
        <f>IF(AND(IF('wk1'!D$5=Pat!$C$25,1,0),IF('wk1'!C59=Pat!C$27,1,0)),1,0)+IF(AND(IF('wk1'!D$5=Pat!$C$25,1,0),IF('wk1'!D59=Pat!C$27,1,0)),1,0)+IF(AND(IF('wk1'!E$5=Pat!$C$25,1,0),IF('wk1'!E59=Pat!C$27,1,0)),1,0)+IF(AND(IF('wk1'!F$5=Pat!$C$25,1,0),IF('wk1'!F59=Pat!C$27,1,0)),1,0)+IF(AND(IF('wk1'!G$5=Pat!$C$25,1,0),IF('wk1'!G59=Pat!C$27,1,0)),1,0)+IF(AND(IF('wk1'!H$5=Pat!$C$25,1,0),IF('wk1'!H59=Pat!C$27,1,0)),1,0)+IF(AND(IF('wk1'!B$5=Pat!$C$25,1,0),IF('wk1'!B59=Pat!C$27,1,0)),1,0)</f>
        <v>0</v>
      </c>
      <c r="D77" s="82">
        <f>IF(AND(IF('wk2'!B$5=Pat!$C$25,1,0),IF('wk2'!B59=Pat!B$27,1,0)),1,0)+IF(AND(IF('wk2'!C$5=Pat!$C$25,1,0),IF('wk2'!C59=Pat!B$27,1,0)),1,0)+IF(AND(IF('wk2'!D$5=Pat!$C$25,1,0),IF('wk2'!D59=Pat!B$27,1,0)),1,0)+IF(AND(IF('wk2'!E$5=Pat!$C$25,1,0),IF('wk2'!E59=Pat!B$27,1,0)),1,0)+IF(AND(IF('wk2'!F$5=Pat!$C$25,1,0),IF('wk2'!F59=Pat!B$27,1,0)),1,0)+IF(AND(IF('wk2'!G$5=Pat!$C$25,1,0),IF('wk2'!G59=Pat!B$27,1,0)),1,0)</f>
        <v>0</v>
      </c>
      <c r="E77" s="83">
        <f>IF(AND(IF('wk2'!C$5=Pat!$C$25,1,0),IF('wk2'!C59=Pat!C$27,1,0)),1,0)+IF(AND(IF('wk2'!D$5=Pat!$C$25,1,0),IF('wk2'!D59=Pat!C$27,1,0)),1,0)+IF(AND(IF('wk2'!E$5=Pat!$C$25,1,0),IF('wk2'!E59=Pat!C$27,1,0)),1,0)+IF(AND(IF('wk2'!F$5=Pat!$C$25,1,0),IF('wk2'!F59=Pat!C$27,1,0)),1,0)+IF(AND(IF('wk2'!G$5=Pat!$C$25,1,0),IF('wk2'!G59=Pat!C$27,1,0)),1,0)+IF(AND(IF('wk2'!H$5=Pat!$C$25,1,0),IF('wk2'!H59=Pat!C$27,1,0)),1,0)+IF(AND(IF('wk2'!B$5=Pat!$C$25,1,0),IF('wk2'!B59=Pat!C$27,1,0)),1,0)</f>
        <v>0</v>
      </c>
      <c r="F77" s="82">
        <f>IF(AND(IF('wk3'!B$5=Pat!$C$25,1,0),IF('wk3'!B59=Pat!B$27,1,0)),1,0)+IF(AND(IF('wk3'!C$5=Pat!$C$25,1,0),IF('wk3'!C59=Pat!B$27,1,0)),1,0)+IF(AND(IF('wk3'!D$5=Pat!$C$25,1,0),IF('wk3'!D59=Pat!B$27,1,0)),1,0)+IF(AND(IF('wk3'!E$5=Pat!$C$25,1,0),IF('wk3'!E59=Pat!B$27,1,0)),1,0)+IF(AND(IF('wk3'!F$5=Pat!$C$25,1,0),IF('wk3'!F59=Pat!B$27,1,0)),1,0)+IF(AND(IF('wk3'!G$5=Pat!$C$25,1,0),IF('wk3'!G59=Pat!B$27,1,0)),1,0)</f>
        <v>0</v>
      </c>
      <c r="G77" s="83">
        <f>IF(AND(IF('wk3'!C$5=Pat!$C$25,1,0),IF('wk3'!C59=Pat!C$27,1,0)),1,0)+IF(AND(IF('wk3'!D$5=Pat!$C$25,1,0),IF('wk3'!D59=Pat!C$27,1,0)),1,0)+IF(AND(IF('wk3'!E$5=Pat!$C$25,1,0),IF('wk3'!E59=Pat!C$27,1,0)),1,0)+IF(AND(IF('wk3'!F$5=Pat!$C$25,1,0),IF('wk3'!F59=Pat!C$27,1,0)),1,0)+IF(AND(IF('wk3'!G$5=Pat!$C$25,1,0),IF('wk3'!G59=Pat!C$27,1,0)),1,0)+IF(AND(IF('wk3'!H$5=Pat!$C$25,1,0),IF('wk3'!H59=Pat!C$27,1,0)),1,0)+IF(AND(IF('wk3'!B$5=Pat!$C$25,1,0),IF('wk3'!B59=Pat!C$27,1,0)),1,0)</f>
        <v>0</v>
      </c>
      <c r="H77" s="82">
        <f>IF(AND(IF('wk4'!B$5=Pat!$C$25,1,0),IF('wk4'!B59=Pat!B$27,1,0)),1,0)+IF(AND(IF('wk4'!C$5=Pat!$C$25,1,0),IF('wk4'!C59=Pat!B$27,1,0)),1,0)+IF(AND(IF('wk4'!D$5=Pat!$C$25,1,0),IF('wk4'!D59=Pat!B$27,1,0)),1,0)+IF(AND(IF('wk4'!E$5=Pat!$C$25,1,0),IF('wk4'!E59=Pat!B$27,1,0)),1,0)+IF(AND(IF('wk4'!F$5=Pat!$C$25,1,0),IF('wk4'!F59=Pat!B$27,1,0)),1,0)+IF(AND(IF('wk4'!G$5=Pat!$C$25,1,0),IF('wk4'!G59=Pat!B$27,1,0)),1,0)</f>
        <v>0</v>
      </c>
      <c r="I77" s="83">
        <f>IF(AND(IF('wk4'!C$5=Pat!$C$25,1,0),IF('wk4'!C59=Pat!C$27,1,0)),1,0)+IF(AND(IF('wk4'!D$5=Pat!$C$25,1,0),IF('wk4'!D59=Pat!C$27,1,0)),1,0)+IF(AND(IF('wk4'!E$5=Pat!$C$25,1,0),IF('wk4'!E59=Pat!C$27,1,0)),1,0)+IF(AND(IF('wk4'!F$5=Pat!$C$25,1,0),IF('wk4'!F59=Pat!C$27,1,0)),1,0)+IF(AND(IF('wk4'!G$5=Pat!$C$25,1,0),IF('wk4'!G59=Pat!C$27,1,0)),1,0)+IF(AND(IF('wk4'!H$5=Pat!$C$25,1,0),IF('wk4'!H59=Pat!C$27,1,0)),1,0)+IF(AND(IF('wk4'!B$5=Pat!$C$25,1,0),IF('wk4'!B59=Pat!C$27,1,0)),1,0)</f>
        <v>0</v>
      </c>
      <c r="J77" s="84">
        <f>IF(AND(IF('wk5'!B$5=Pat!$C$25,1,0),IF('wk5'!B59=Pat!B$27,1,0)),1,0)+IF(AND(IF('wk5'!C$5=Pat!$C$25,1,0),IF('wk5'!C59=Pat!B$27,1,0)),1,0)+IF(AND(IF('wk5'!D$5=Pat!$C$25,1,0),IF('wk5'!D59=Pat!B$27,1,0)),1,0)+IF(AND(IF('wk5'!E$5=Pat!$C$25,1,0),IF('wk5'!E59=Pat!B$27,1,0)),1,0)+IF(AND(IF('wk5'!F$5=Pat!$C$25,1,0),IF('wk5'!F59=Pat!B$27,1,0)),1,0)+IF(AND(IF('wk5'!G$5=Pat!$C$25,1,0),IF('wk5'!G59=Pat!B$27,1,0)),1,0)</f>
        <v>0</v>
      </c>
      <c r="K77" s="85">
        <f>IF(AND(IF('wk5'!C$5=Pat!$C$25,1,0),IF('wk5'!C59=Pat!C$27,1,0)),1,0)+IF(AND(IF('wk5'!D$5=Pat!$C$25,1,0),IF('wk5'!D59=Pat!C$27,1,0)),1,0)+IF(AND(IF('wk5'!E$5=Pat!$C$25,1,0),IF('wk5'!E59=Pat!C$27,1,0)),1,0)+IF(AND(IF('wk5'!F$5=Pat!$C$25,1,0),IF('wk5'!F59=Pat!C$27,1,0)),1,0)+IF(AND(IF('wk5'!G$5=Pat!$C$25,1,0),IF('wk5'!G59=Pat!C$27,1,0)),1,0)+IF(AND(IF('wk5'!H$5=Pat!$C$25,1,0),IF('wk5'!H59=Pat!C$27,1,0)),1,0)+IF(AND(IF('wk5'!B$5=Pat!$C$25,1,0),IF('wk5'!B59=Pat!C$27,1,0)),1,0)</f>
        <v>0</v>
      </c>
      <c r="L77" s="79"/>
      <c r="M77" s="79">
        <f t="shared" si="2"/>
        <v>0</v>
      </c>
      <c r="N77" s="81">
        <f t="shared" si="3"/>
        <v>0</v>
      </c>
    </row>
    <row r="78" spans="1:17" ht="13.5" thickBot="1">
      <c r="A78" s="78" t="str">
        <f>'Members Data'!A52</f>
        <v>Rhinoru</v>
      </c>
      <c r="B78" s="82">
        <f>IF(AND(IF('wk1'!B$5=Pat!$C$25,1,0),IF('wk1'!B60=Pat!B$27,1,0)),1,0)+IF(AND(IF('wk1'!D$5=Pat!$C$25,1,0),IF('wk1'!C60=Pat!B$27,1,0)),1,0)+IF(AND(IF('wk1'!D$5=Pat!$C$25,1,0),IF('wk1'!D60=Pat!B$27,1,0)),1,0)+IF(AND(IF('wk1'!E$5=Pat!$C$25,1,0),IF('wk1'!E60=Pat!B$27,1,0)),1,0)+IF(AND(IF('wk1'!F$5=Pat!$C$25,1,0),IF('wk1'!F60=Pat!B$27,1,0)),1,0)+IF(AND(IF('wk1'!G$5=Pat!$C$25,1,0),IF('wk1'!G60=Pat!B$27,1,0)),1,0)</f>
        <v>0</v>
      </c>
      <c r="C78" s="83">
        <f>IF(AND(IF('wk1'!D$5=Pat!$C$25,1,0),IF('wk1'!C60=Pat!C$27,1,0)),1,0)+IF(AND(IF('wk1'!D$5=Pat!$C$25,1,0),IF('wk1'!D60=Pat!C$27,1,0)),1,0)+IF(AND(IF('wk1'!E$5=Pat!$C$25,1,0),IF('wk1'!E60=Pat!C$27,1,0)),1,0)+IF(AND(IF('wk1'!F$5=Pat!$C$25,1,0),IF('wk1'!F60=Pat!C$27,1,0)),1,0)+IF(AND(IF('wk1'!G$5=Pat!$C$25,1,0),IF('wk1'!G60=Pat!C$27,1,0)),1,0)+IF(AND(IF('wk1'!H$5=Pat!$C$25,1,0),IF('wk1'!H60=Pat!C$27,1,0)),1,0)+IF(AND(IF('wk1'!B$5=Pat!$C$25,1,0),IF('wk1'!B60=Pat!C$27,1,0)),1,0)</f>
        <v>0</v>
      </c>
      <c r="D78" s="82">
        <f>IF(AND(IF('wk2'!B$5=Pat!$C$25,1,0),IF('wk2'!B60=Pat!B$27,1,0)),1,0)+IF(AND(IF('wk2'!C$5=Pat!$C$25,1,0),IF('wk2'!C60=Pat!B$27,1,0)),1,0)+IF(AND(IF('wk2'!D$5=Pat!$C$25,1,0),IF('wk2'!D60=Pat!B$27,1,0)),1,0)+IF(AND(IF('wk2'!E$5=Pat!$C$25,1,0),IF('wk2'!E60=Pat!B$27,1,0)),1,0)+IF(AND(IF('wk2'!F$5=Pat!$C$25,1,0),IF('wk2'!F60=Pat!B$27,1,0)),1,0)+IF(AND(IF('wk2'!G$5=Pat!$C$25,1,0),IF('wk2'!G60=Pat!B$27,1,0)),1,0)</f>
        <v>0</v>
      </c>
      <c r="E78" s="83">
        <f>IF(AND(IF('wk2'!C$5=Pat!$C$25,1,0),IF('wk2'!C60=Pat!C$27,1,0)),1,0)+IF(AND(IF('wk2'!D$5=Pat!$C$25,1,0),IF('wk2'!D60=Pat!C$27,1,0)),1,0)+IF(AND(IF('wk2'!E$5=Pat!$C$25,1,0),IF('wk2'!E60=Pat!C$27,1,0)),1,0)+IF(AND(IF('wk2'!F$5=Pat!$C$25,1,0),IF('wk2'!F60=Pat!C$27,1,0)),1,0)+IF(AND(IF('wk2'!G$5=Pat!$C$25,1,0),IF('wk2'!G60=Pat!C$27,1,0)),1,0)+IF(AND(IF('wk2'!H$5=Pat!$C$25,1,0),IF('wk2'!H60=Pat!C$27,1,0)),1,0)+IF(AND(IF('wk2'!B$5=Pat!$C$25,1,0),IF('wk2'!B60=Pat!C$27,1,0)),1,0)</f>
        <v>0</v>
      </c>
      <c r="F78" s="82">
        <f>IF(AND(IF('wk3'!B$5=Pat!$C$25,1,0),IF('wk3'!B60=Pat!B$27,1,0)),1,0)+IF(AND(IF('wk3'!C$5=Pat!$C$25,1,0),IF('wk3'!C60=Pat!B$27,1,0)),1,0)+IF(AND(IF('wk3'!D$5=Pat!$C$25,1,0),IF('wk3'!D60=Pat!B$27,1,0)),1,0)+IF(AND(IF('wk3'!E$5=Pat!$C$25,1,0),IF('wk3'!E60=Pat!B$27,1,0)),1,0)+IF(AND(IF('wk3'!F$5=Pat!$C$25,1,0),IF('wk3'!F60=Pat!B$27,1,0)),1,0)+IF(AND(IF('wk3'!G$5=Pat!$C$25,1,0),IF('wk3'!G60=Pat!B$27,1,0)),1,0)</f>
        <v>0</v>
      </c>
      <c r="G78" s="83">
        <f>IF(AND(IF('wk3'!C$5=Pat!$C$25,1,0),IF('wk3'!C60=Pat!C$27,1,0)),1,0)+IF(AND(IF('wk3'!D$5=Pat!$C$25,1,0),IF('wk3'!D60=Pat!C$27,1,0)),1,0)+IF(AND(IF('wk3'!E$5=Pat!$C$25,1,0),IF('wk3'!E60=Pat!C$27,1,0)),1,0)+IF(AND(IF('wk3'!F$5=Pat!$C$25,1,0),IF('wk3'!F60=Pat!C$27,1,0)),1,0)+IF(AND(IF('wk3'!G$5=Pat!$C$25,1,0),IF('wk3'!G60=Pat!C$27,1,0)),1,0)+IF(AND(IF('wk3'!H$5=Pat!$C$25,1,0),IF('wk3'!H60=Pat!C$27,1,0)),1,0)+IF(AND(IF('wk3'!B$5=Pat!$C$25,1,0),IF('wk3'!B60=Pat!C$27,1,0)),1,0)</f>
        <v>0</v>
      </c>
      <c r="H78" s="82">
        <f>IF(AND(IF('wk4'!B$5=Pat!$C$25,1,0),IF('wk4'!B60=Pat!B$27,1,0)),1,0)+IF(AND(IF('wk4'!C$5=Pat!$C$25,1,0),IF('wk4'!C60=Pat!B$27,1,0)),1,0)+IF(AND(IF('wk4'!D$5=Pat!$C$25,1,0),IF('wk4'!D60=Pat!B$27,1,0)),1,0)+IF(AND(IF('wk4'!E$5=Pat!$C$25,1,0),IF('wk4'!E60=Pat!B$27,1,0)),1,0)+IF(AND(IF('wk4'!F$5=Pat!$C$25,1,0),IF('wk4'!F60=Pat!B$27,1,0)),1,0)+IF(AND(IF('wk4'!G$5=Pat!$C$25,1,0),IF('wk4'!G60=Pat!B$27,1,0)),1,0)</f>
        <v>0</v>
      </c>
      <c r="I78" s="83">
        <f>IF(AND(IF('wk4'!C$5=Pat!$C$25,1,0),IF('wk4'!C60=Pat!C$27,1,0)),1,0)+IF(AND(IF('wk4'!D$5=Pat!$C$25,1,0),IF('wk4'!D60=Pat!C$27,1,0)),1,0)+IF(AND(IF('wk4'!E$5=Pat!$C$25,1,0),IF('wk4'!E60=Pat!C$27,1,0)),1,0)+IF(AND(IF('wk4'!F$5=Pat!$C$25,1,0),IF('wk4'!F60=Pat!C$27,1,0)),1,0)+IF(AND(IF('wk4'!G$5=Pat!$C$25,1,0),IF('wk4'!G60=Pat!C$27,1,0)),1,0)+IF(AND(IF('wk4'!H$5=Pat!$C$25,1,0),IF('wk4'!H60=Pat!C$27,1,0)),1,0)+IF(AND(IF('wk4'!B$5=Pat!$C$25,1,0),IF('wk4'!B60=Pat!C$27,1,0)),1,0)</f>
        <v>0</v>
      </c>
      <c r="J78" s="84">
        <f>IF(AND(IF('wk5'!B$5=Pat!$C$25,1,0),IF('wk5'!B60=Pat!B$27,1,0)),1,0)+IF(AND(IF('wk5'!C$5=Pat!$C$25,1,0),IF('wk5'!C60=Pat!B$27,1,0)),1,0)+IF(AND(IF('wk5'!D$5=Pat!$C$25,1,0),IF('wk5'!D60=Pat!B$27,1,0)),1,0)+IF(AND(IF('wk5'!E$5=Pat!$C$25,1,0),IF('wk5'!E60=Pat!B$27,1,0)),1,0)+IF(AND(IF('wk5'!F$5=Pat!$C$25,1,0),IF('wk5'!F60=Pat!B$27,1,0)),1,0)+IF(AND(IF('wk5'!G$5=Pat!$C$25,1,0),IF('wk5'!G60=Pat!B$27,1,0)),1,0)</f>
        <v>0</v>
      </c>
      <c r="K78" s="85">
        <f>IF(AND(IF('wk5'!C$5=Pat!$C$25,1,0),IF('wk5'!C60=Pat!C$27,1,0)),1,0)+IF(AND(IF('wk5'!D$5=Pat!$C$25,1,0),IF('wk5'!D60=Pat!C$27,1,0)),1,0)+IF(AND(IF('wk5'!E$5=Pat!$C$25,1,0),IF('wk5'!E60=Pat!C$27,1,0)),1,0)+IF(AND(IF('wk5'!F$5=Pat!$C$25,1,0),IF('wk5'!F60=Pat!C$27,1,0)),1,0)+IF(AND(IF('wk5'!G$5=Pat!$C$25,1,0),IF('wk5'!G60=Pat!C$27,1,0)),1,0)+IF(AND(IF('wk5'!H$5=Pat!$C$25,1,0),IF('wk5'!H60=Pat!C$27,1,0)),1,0)+IF(AND(IF('wk5'!B$5=Pat!$C$25,1,0),IF('wk5'!B60=Pat!C$27,1,0)),1,0)</f>
        <v>0</v>
      </c>
      <c r="L78" s="79"/>
      <c r="M78" s="79">
        <f t="shared" si="2"/>
        <v>0</v>
      </c>
      <c r="N78" s="81">
        <f t="shared" si="3"/>
        <v>0</v>
      </c>
    </row>
    <row r="79" spans="1:17" ht="13.5" thickBot="1">
      <c r="A79" s="78">
        <f>'Members Data'!A53</f>
        <v>0</v>
      </c>
      <c r="B79" s="82">
        <f>IF(AND(IF('wk1'!B$5=Pat!$C$25,1,0),IF('wk1'!B61=Pat!B$27,1,0)),1,0)+IF(AND(IF('wk1'!D$5=Pat!$C$25,1,0),IF('wk1'!C61=Pat!B$27,1,0)),1,0)+IF(AND(IF('wk1'!D$5=Pat!$C$25,1,0),IF('wk1'!D61=Pat!B$27,1,0)),1,0)+IF(AND(IF('wk1'!E$5=Pat!$C$25,1,0),IF('wk1'!E61=Pat!B$27,1,0)),1,0)+IF(AND(IF('wk1'!F$5=Pat!$C$25,1,0),IF('wk1'!F61=Pat!B$27,1,0)),1,0)+IF(AND(IF('wk1'!G$5=Pat!$C$25,1,0),IF('wk1'!G61=Pat!B$27,1,0)),1,0)</f>
        <v>0</v>
      </c>
      <c r="C79" s="83">
        <f>IF(AND(IF('wk1'!D$5=Pat!$C$25,1,0),IF('wk1'!C61=Pat!C$27,1,0)),1,0)+IF(AND(IF('wk1'!D$5=Pat!$C$25,1,0),IF('wk1'!D61=Pat!C$27,1,0)),1,0)+IF(AND(IF('wk1'!E$5=Pat!$C$25,1,0),IF('wk1'!E61=Pat!C$27,1,0)),1,0)+IF(AND(IF('wk1'!F$5=Pat!$C$25,1,0),IF('wk1'!F61=Pat!C$27,1,0)),1,0)+IF(AND(IF('wk1'!G$5=Pat!$C$25,1,0),IF('wk1'!G61=Pat!C$27,1,0)),1,0)+IF(AND(IF('wk1'!H$5=Pat!$C$25,1,0),IF('wk1'!H61=Pat!C$27,1,0)),1,0)+IF(AND(IF('wk1'!B$5=Pat!$C$25,1,0),IF('wk1'!B61=Pat!C$27,1,0)),1,0)</f>
        <v>0</v>
      </c>
      <c r="D79" s="82">
        <f>IF(AND(IF('wk2'!B$5=Pat!$C$25,1,0),IF('wk2'!B61=Pat!B$27,1,0)),1,0)+IF(AND(IF('wk2'!C$5=Pat!$C$25,1,0),IF('wk2'!C61=Pat!B$27,1,0)),1,0)+IF(AND(IF('wk2'!D$5=Pat!$C$25,1,0),IF('wk2'!D61=Pat!B$27,1,0)),1,0)+IF(AND(IF('wk2'!E$5=Pat!$C$25,1,0),IF('wk2'!E61=Pat!B$27,1,0)),1,0)+IF(AND(IF('wk2'!F$5=Pat!$C$25,1,0),IF('wk2'!F61=Pat!B$27,1,0)),1,0)+IF(AND(IF('wk2'!G$5=Pat!$C$25,1,0),IF('wk2'!G61=Pat!B$27,1,0)),1,0)</f>
        <v>0</v>
      </c>
      <c r="E79" s="83">
        <f>IF(AND(IF('wk2'!C$5=Pat!$C$25,1,0),IF('wk2'!C61=Pat!C$27,1,0)),1,0)+IF(AND(IF('wk2'!D$5=Pat!$C$25,1,0),IF('wk2'!D61=Pat!C$27,1,0)),1,0)+IF(AND(IF('wk2'!E$5=Pat!$C$25,1,0),IF('wk2'!E61=Pat!C$27,1,0)),1,0)+IF(AND(IF('wk2'!F$5=Pat!$C$25,1,0),IF('wk2'!F61=Pat!C$27,1,0)),1,0)+IF(AND(IF('wk2'!G$5=Pat!$C$25,1,0),IF('wk2'!G61=Pat!C$27,1,0)),1,0)+IF(AND(IF('wk2'!H$5=Pat!$C$25,1,0),IF('wk2'!H61=Pat!C$27,1,0)),1,0)+IF(AND(IF('wk2'!B$5=Pat!$C$25,1,0),IF('wk2'!B61=Pat!C$27,1,0)),1,0)</f>
        <v>0</v>
      </c>
      <c r="F79" s="82">
        <f>IF(AND(IF('wk3'!B$5=Pat!$C$25,1,0),IF('wk3'!B61=Pat!B$27,1,0)),1,0)+IF(AND(IF('wk3'!C$5=Pat!$C$25,1,0),IF('wk3'!C61=Pat!B$27,1,0)),1,0)+IF(AND(IF('wk3'!D$5=Pat!$C$25,1,0),IF('wk3'!D61=Pat!B$27,1,0)),1,0)+IF(AND(IF('wk3'!E$5=Pat!$C$25,1,0),IF('wk3'!E61=Pat!B$27,1,0)),1,0)+IF(AND(IF('wk3'!F$5=Pat!$C$25,1,0),IF('wk3'!F61=Pat!B$27,1,0)),1,0)+IF(AND(IF('wk3'!G$5=Pat!$C$25,1,0),IF('wk3'!G61=Pat!B$27,1,0)),1,0)</f>
        <v>0</v>
      </c>
      <c r="G79" s="83">
        <f>IF(AND(IF('wk3'!C$5=Pat!$C$25,1,0),IF('wk3'!C61=Pat!C$27,1,0)),1,0)+IF(AND(IF('wk3'!D$5=Pat!$C$25,1,0),IF('wk3'!D61=Pat!C$27,1,0)),1,0)+IF(AND(IF('wk3'!E$5=Pat!$C$25,1,0),IF('wk3'!E61=Pat!C$27,1,0)),1,0)+IF(AND(IF('wk3'!F$5=Pat!$C$25,1,0),IF('wk3'!F61=Pat!C$27,1,0)),1,0)+IF(AND(IF('wk3'!G$5=Pat!$C$25,1,0),IF('wk3'!G61=Pat!C$27,1,0)),1,0)+IF(AND(IF('wk3'!H$5=Pat!$C$25,1,0),IF('wk3'!H61=Pat!C$27,1,0)),1,0)+IF(AND(IF('wk3'!B$5=Pat!$C$25,1,0),IF('wk3'!B61=Pat!C$27,1,0)),1,0)</f>
        <v>0</v>
      </c>
      <c r="H79" s="82">
        <f>IF(AND(IF('wk4'!B$5=Pat!$C$25,1,0),IF('wk4'!B61=Pat!B$27,1,0)),1,0)+IF(AND(IF('wk4'!C$5=Pat!$C$25,1,0),IF('wk4'!C61=Pat!B$27,1,0)),1,0)+IF(AND(IF('wk4'!D$5=Pat!$C$25,1,0),IF('wk4'!D61=Pat!B$27,1,0)),1,0)+IF(AND(IF('wk4'!E$5=Pat!$C$25,1,0),IF('wk4'!E61=Pat!B$27,1,0)),1,0)+IF(AND(IF('wk4'!F$5=Pat!$C$25,1,0),IF('wk4'!F61=Pat!B$27,1,0)),1,0)+IF(AND(IF('wk4'!G$5=Pat!$C$25,1,0),IF('wk4'!G61=Pat!B$27,1,0)),1,0)</f>
        <v>0</v>
      </c>
      <c r="I79" s="83">
        <f>IF(AND(IF('wk4'!C$5=Pat!$C$25,1,0),IF('wk4'!C61=Pat!C$27,1,0)),1,0)+IF(AND(IF('wk4'!D$5=Pat!$C$25,1,0),IF('wk4'!D61=Pat!C$27,1,0)),1,0)+IF(AND(IF('wk4'!E$5=Pat!$C$25,1,0),IF('wk4'!E61=Pat!C$27,1,0)),1,0)+IF(AND(IF('wk4'!F$5=Pat!$C$25,1,0),IF('wk4'!F61=Pat!C$27,1,0)),1,0)+IF(AND(IF('wk4'!G$5=Pat!$C$25,1,0),IF('wk4'!G61=Pat!C$27,1,0)),1,0)+IF(AND(IF('wk4'!H$5=Pat!$C$25,1,0),IF('wk4'!H61=Pat!C$27,1,0)),1,0)+IF(AND(IF('wk4'!B$5=Pat!$C$25,1,0),IF('wk4'!B61=Pat!C$27,1,0)),1,0)</f>
        <v>0</v>
      </c>
      <c r="J79" s="84">
        <f>IF(AND(IF('wk5'!B$5=Pat!$C$25,1,0),IF('wk5'!B61=Pat!B$27,1,0)),1,0)+IF(AND(IF('wk5'!C$5=Pat!$C$25,1,0),IF('wk5'!C61=Pat!B$27,1,0)),1,0)+IF(AND(IF('wk5'!D$5=Pat!$C$25,1,0),IF('wk5'!D61=Pat!B$27,1,0)),1,0)+IF(AND(IF('wk5'!E$5=Pat!$C$25,1,0),IF('wk5'!E61=Pat!B$27,1,0)),1,0)+IF(AND(IF('wk5'!F$5=Pat!$C$25,1,0),IF('wk5'!F61=Pat!B$27,1,0)),1,0)+IF(AND(IF('wk5'!G$5=Pat!$C$25,1,0),IF('wk5'!G61=Pat!B$27,1,0)),1,0)</f>
        <v>0</v>
      </c>
      <c r="K79" s="85">
        <f>IF(AND(IF('wk5'!C$5=Pat!$C$25,1,0),IF('wk5'!C61=Pat!C$27,1,0)),1,0)+IF(AND(IF('wk5'!D$5=Pat!$C$25,1,0),IF('wk5'!D61=Pat!C$27,1,0)),1,0)+IF(AND(IF('wk5'!E$5=Pat!$C$25,1,0),IF('wk5'!E61=Pat!C$27,1,0)),1,0)+IF(AND(IF('wk5'!F$5=Pat!$C$25,1,0),IF('wk5'!F61=Pat!C$27,1,0)),1,0)+IF(AND(IF('wk5'!G$5=Pat!$C$25,1,0),IF('wk5'!G61=Pat!C$27,1,0)),1,0)+IF(AND(IF('wk5'!H$5=Pat!$C$25,1,0),IF('wk5'!H61=Pat!C$27,1,0)),1,0)+IF(AND(IF('wk5'!B$5=Pat!$C$25,1,0),IF('wk5'!B61=Pat!C$27,1,0)),1,0)</f>
        <v>0</v>
      </c>
      <c r="L79" s="79"/>
      <c r="M79" s="79">
        <f t="shared" si="2"/>
        <v>0</v>
      </c>
      <c r="N79" s="81">
        <f t="shared" si="3"/>
        <v>0</v>
      </c>
    </row>
    <row r="80" spans="1:17" ht="13.5" thickBot="1">
      <c r="A80" s="78" t="str">
        <f>'Members Data'!A54</f>
        <v>Saltycream</v>
      </c>
      <c r="B80" s="82">
        <f>IF(AND(IF('wk1'!B$5=Pat!$C$25,1,0),IF('wk1'!B62=Pat!B$27,1,0)),1,0)+IF(AND(IF('wk1'!D$5=Pat!$C$25,1,0),IF('wk1'!C62=Pat!B$27,1,0)),1,0)+IF(AND(IF('wk1'!D$5=Pat!$C$25,1,0),IF('wk1'!D62=Pat!B$27,1,0)),1,0)+IF(AND(IF('wk1'!E$5=Pat!$C$25,1,0),IF('wk1'!E62=Pat!B$27,1,0)),1,0)+IF(AND(IF('wk1'!F$5=Pat!$C$25,1,0),IF('wk1'!F62=Pat!B$27,1,0)),1,0)+IF(AND(IF('wk1'!G$5=Pat!$C$25,1,0),IF('wk1'!G62=Pat!B$27,1,0)),1,0)</f>
        <v>0</v>
      </c>
      <c r="C80" s="83">
        <f>IF(AND(IF('wk1'!D$5=Pat!$C$25,1,0),IF('wk1'!C62=Pat!C$27,1,0)),1,0)+IF(AND(IF('wk1'!D$5=Pat!$C$25,1,0),IF('wk1'!D62=Pat!C$27,1,0)),1,0)+IF(AND(IF('wk1'!E$5=Pat!$C$25,1,0),IF('wk1'!E62=Pat!C$27,1,0)),1,0)+IF(AND(IF('wk1'!F$5=Pat!$C$25,1,0),IF('wk1'!F62=Pat!C$27,1,0)),1,0)+IF(AND(IF('wk1'!G$5=Pat!$C$25,1,0),IF('wk1'!G62=Pat!C$27,1,0)),1,0)+IF(AND(IF('wk1'!H$5=Pat!$C$25,1,0),IF('wk1'!H62=Pat!C$27,1,0)),1,0)+IF(AND(IF('wk1'!B$5=Pat!$C$25,1,0),IF('wk1'!B62=Pat!C$27,1,0)),1,0)</f>
        <v>0</v>
      </c>
      <c r="D80" s="82">
        <f>IF(AND(IF('wk2'!B$5=Pat!$C$25,1,0),IF('wk2'!B62=Pat!B$27,1,0)),1,0)+IF(AND(IF('wk2'!C$5=Pat!$C$25,1,0),IF('wk2'!C62=Pat!B$27,1,0)),1,0)+IF(AND(IF('wk2'!D$5=Pat!$C$25,1,0),IF('wk2'!D62=Pat!B$27,1,0)),1,0)+IF(AND(IF('wk2'!E$5=Pat!$C$25,1,0),IF('wk2'!E62=Pat!B$27,1,0)),1,0)+IF(AND(IF('wk2'!F$5=Pat!$C$25,1,0),IF('wk2'!F62=Pat!B$27,1,0)),1,0)+IF(AND(IF('wk2'!G$5=Pat!$C$25,1,0),IF('wk2'!G62=Pat!B$27,1,0)),1,0)</f>
        <v>0</v>
      </c>
      <c r="E80" s="83">
        <f>IF(AND(IF('wk2'!C$5=Pat!$C$25,1,0),IF('wk2'!C62=Pat!C$27,1,0)),1,0)+IF(AND(IF('wk2'!D$5=Pat!$C$25,1,0),IF('wk2'!D62=Pat!C$27,1,0)),1,0)+IF(AND(IF('wk2'!E$5=Pat!$C$25,1,0),IF('wk2'!E62=Pat!C$27,1,0)),1,0)+IF(AND(IF('wk2'!F$5=Pat!$C$25,1,0),IF('wk2'!F62=Pat!C$27,1,0)),1,0)+IF(AND(IF('wk2'!G$5=Pat!$C$25,1,0),IF('wk2'!G62=Pat!C$27,1,0)),1,0)+IF(AND(IF('wk2'!H$5=Pat!$C$25,1,0),IF('wk2'!H62=Pat!C$27,1,0)),1,0)+IF(AND(IF('wk2'!B$5=Pat!$C$25,1,0),IF('wk2'!B62=Pat!C$27,1,0)),1,0)</f>
        <v>0</v>
      </c>
      <c r="F80" s="82">
        <f>IF(AND(IF('wk3'!B$5=Pat!$C$25,1,0),IF('wk3'!B62=Pat!B$27,1,0)),1,0)+IF(AND(IF('wk3'!C$5=Pat!$C$25,1,0),IF('wk3'!C62=Pat!B$27,1,0)),1,0)+IF(AND(IF('wk3'!D$5=Pat!$C$25,1,0),IF('wk3'!D62=Pat!B$27,1,0)),1,0)+IF(AND(IF('wk3'!E$5=Pat!$C$25,1,0),IF('wk3'!E62=Pat!B$27,1,0)),1,0)+IF(AND(IF('wk3'!F$5=Pat!$C$25,1,0),IF('wk3'!F62=Pat!B$27,1,0)),1,0)+IF(AND(IF('wk3'!G$5=Pat!$C$25,1,0),IF('wk3'!G62=Pat!B$27,1,0)),1,0)</f>
        <v>0</v>
      </c>
      <c r="G80" s="83">
        <f>IF(AND(IF('wk3'!C$5=Pat!$C$25,1,0),IF('wk3'!C62=Pat!C$27,1,0)),1,0)+IF(AND(IF('wk3'!D$5=Pat!$C$25,1,0),IF('wk3'!D62=Pat!C$27,1,0)),1,0)+IF(AND(IF('wk3'!E$5=Pat!$C$25,1,0),IF('wk3'!E62=Pat!C$27,1,0)),1,0)+IF(AND(IF('wk3'!F$5=Pat!$C$25,1,0),IF('wk3'!F62=Pat!C$27,1,0)),1,0)+IF(AND(IF('wk3'!G$5=Pat!$C$25,1,0),IF('wk3'!G62=Pat!C$27,1,0)),1,0)+IF(AND(IF('wk3'!H$5=Pat!$C$25,1,0),IF('wk3'!H62=Pat!C$27,1,0)),1,0)+IF(AND(IF('wk3'!B$5=Pat!$C$25,1,0),IF('wk3'!B62=Pat!C$27,1,0)),1,0)</f>
        <v>0</v>
      </c>
      <c r="H80" s="82">
        <f>IF(AND(IF('wk4'!B$5=Pat!$C$25,1,0),IF('wk4'!B62=Pat!B$27,1,0)),1,0)+IF(AND(IF('wk4'!C$5=Pat!$C$25,1,0),IF('wk4'!C62=Pat!B$27,1,0)),1,0)+IF(AND(IF('wk4'!D$5=Pat!$C$25,1,0),IF('wk4'!D62=Pat!B$27,1,0)),1,0)+IF(AND(IF('wk4'!E$5=Pat!$C$25,1,0),IF('wk4'!E62=Pat!B$27,1,0)),1,0)+IF(AND(IF('wk4'!F$5=Pat!$C$25,1,0),IF('wk4'!F62=Pat!B$27,1,0)),1,0)+IF(AND(IF('wk4'!G$5=Pat!$C$25,1,0),IF('wk4'!G62=Pat!B$27,1,0)),1,0)</f>
        <v>0</v>
      </c>
      <c r="I80" s="83">
        <f>IF(AND(IF('wk4'!C$5=Pat!$C$25,1,0),IF('wk4'!C62=Pat!C$27,1,0)),1,0)+IF(AND(IF('wk4'!D$5=Pat!$C$25,1,0),IF('wk4'!D62=Pat!C$27,1,0)),1,0)+IF(AND(IF('wk4'!E$5=Pat!$C$25,1,0),IF('wk4'!E62=Pat!C$27,1,0)),1,0)+IF(AND(IF('wk4'!F$5=Pat!$C$25,1,0),IF('wk4'!F62=Pat!C$27,1,0)),1,0)+IF(AND(IF('wk4'!G$5=Pat!$C$25,1,0),IF('wk4'!G62=Pat!C$27,1,0)),1,0)+IF(AND(IF('wk4'!H$5=Pat!$C$25,1,0),IF('wk4'!H62=Pat!C$27,1,0)),1,0)+IF(AND(IF('wk4'!B$5=Pat!$C$25,1,0),IF('wk4'!B62=Pat!C$27,1,0)),1,0)</f>
        <v>0</v>
      </c>
      <c r="J80" s="84">
        <f>IF(AND(IF('wk5'!B$5=Pat!$C$25,1,0),IF('wk5'!B62=Pat!B$27,1,0)),1,0)+IF(AND(IF('wk5'!C$5=Pat!$C$25,1,0),IF('wk5'!C62=Pat!B$27,1,0)),1,0)+IF(AND(IF('wk5'!D$5=Pat!$C$25,1,0),IF('wk5'!D62=Pat!B$27,1,0)),1,0)+IF(AND(IF('wk5'!E$5=Pat!$C$25,1,0),IF('wk5'!E62=Pat!B$27,1,0)),1,0)+IF(AND(IF('wk5'!F$5=Pat!$C$25,1,0),IF('wk5'!F62=Pat!B$27,1,0)),1,0)+IF(AND(IF('wk5'!G$5=Pat!$C$25,1,0),IF('wk5'!G62=Pat!B$27,1,0)),1,0)</f>
        <v>0</v>
      </c>
      <c r="K80" s="85">
        <f>IF(AND(IF('wk5'!C$5=Pat!$C$25,1,0),IF('wk5'!C62=Pat!C$27,1,0)),1,0)+IF(AND(IF('wk5'!D$5=Pat!$C$25,1,0),IF('wk5'!D62=Pat!C$27,1,0)),1,0)+IF(AND(IF('wk5'!E$5=Pat!$C$25,1,0),IF('wk5'!E62=Pat!C$27,1,0)),1,0)+IF(AND(IF('wk5'!F$5=Pat!$C$25,1,0),IF('wk5'!F62=Pat!C$27,1,0)),1,0)+IF(AND(IF('wk5'!G$5=Pat!$C$25,1,0),IF('wk5'!G62=Pat!C$27,1,0)),1,0)+IF(AND(IF('wk5'!H$5=Pat!$C$25,1,0),IF('wk5'!H62=Pat!C$27,1,0)),1,0)+IF(AND(IF('wk5'!B$5=Pat!$C$25,1,0),IF('wk5'!B62=Pat!C$27,1,0)),1,0)</f>
        <v>0</v>
      </c>
      <c r="L80" s="79"/>
      <c r="M80" s="79">
        <f t="shared" si="2"/>
        <v>0</v>
      </c>
      <c r="N80" s="81">
        <f t="shared" si="3"/>
        <v>0</v>
      </c>
    </row>
    <row r="81" spans="1:14" ht="13.5" thickBot="1">
      <c r="A81" s="78" t="str">
        <f>'Members Data'!A55</f>
        <v>Sarjezzar</v>
      </c>
      <c r="B81" s="82">
        <f>IF(AND(IF('wk1'!B$5=Pat!$C$25,1,0),IF('wk1'!B63=Pat!B$27,1,0)),1,0)+IF(AND(IF('wk1'!D$5=Pat!$C$25,1,0),IF('wk1'!C63=Pat!B$27,1,0)),1,0)+IF(AND(IF('wk1'!D$5=Pat!$C$25,1,0),IF('wk1'!D63=Pat!B$27,1,0)),1,0)+IF(AND(IF('wk1'!E$5=Pat!$C$25,1,0),IF('wk1'!E63=Pat!B$27,1,0)),1,0)+IF(AND(IF('wk1'!F$5=Pat!$C$25,1,0),IF('wk1'!F63=Pat!B$27,1,0)),1,0)+IF(AND(IF('wk1'!G$5=Pat!$C$25,1,0),IF('wk1'!G63=Pat!B$27,1,0)),1,0)</f>
        <v>0</v>
      </c>
      <c r="C81" s="83">
        <f>IF(AND(IF('wk1'!D$5=Pat!$C$25,1,0),IF('wk1'!C63=Pat!C$27,1,0)),1,0)+IF(AND(IF('wk1'!D$5=Pat!$C$25,1,0),IF('wk1'!D63=Pat!C$27,1,0)),1,0)+IF(AND(IF('wk1'!E$5=Pat!$C$25,1,0),IF('wk1'!E63=Pat!C$27,1,0)),1,0)+IF(AND(IF('wk1'!F$5=Pat!$C$25,1,0),IF('wk1'!F63=Pat!C$27,1,0)),1,0)+IF(AND(IF('wk1'!G$5=Pat!$C$25,1,0),IF('wk1'!G63=Pat!C$27,1,0)),1,0)+IF(AND(IF('wk1'!H$5=Pat!$C$25,1,0),IF('wk1'!H63=Pat!C$27,1,0)),1,0)+IF(AND(IF('wk1'!B$5=Pat!$C$25,1,0),IF('wk1'!B63=Pat!C$27,1,0)),1,0)</f>
        <v>0</v>
      </c>
      <c r="D81" s="82">
        <f>IF(AND(IF('wk2'!B$5=Pat!$C$25,1,0),IF('wk2'!B63=Pat!B$27,1,0)),1,0)+IF(AND(IF('wk2'!C$5=Pat!$C$25,1,0),IF('wk2'!C63=Pat!B$27,1,0)),1,0)+IF(AND(IF('wk2'!D$5=Pat!$C$25,1,0),IF('wk2'!D63=Pat!B$27,1,0)),1,0)+IF(AND(IF('wk2'!E$5=Pat!$C$25,1,0),IF('wk2'!E63=Pat!B$27,1,0)),1,0)+IF(AND(IF('wk2'!F$5=Pat!$C$25,1,0),IF('wk2'!F63=Pat!B$27,1,0)),1,0)+IF(AND(IF('wk2'!G$5=Pat!$C$25,1,0),IF('wk2'!G63=Pat!B$27,1,0)),1,0)</f>
        <v>0</v>
      </c>
      <c r="E81" s="83">
        <f>IF(AND(IF('wk2'!C$5=Pat!$C$25,1,0),IF('wk2'!C63=Pat!C$27,1,0)),1,0)+IF(AND(IF('wk2'!D$5=Pat!$C$25,1,0),IF('wk2'!D63=Pat!C$27,1,0)),1,0)+IF(AND(IF('wk2'!E$5=Pat!$C$25,1,0),IF('wk2'!E63=Pat!C$27,1,0)),1,0)+IF(AND(IF('wk2'!F$5=Pat!$C$25,1,0),IF('wk2'!F63=Pat!C$27,1,0)),1,0)+IF(AND(IF('wk2'!G$5=Pat!$C$25,1,0),IF('wk2'!G63=Pat!C$27,1,0)),1,0)+IF(AND(IF('wk2'!H$5=Pat!$C$25,1,0),IF('wk2'!H63=Pat!C$27,1,0)),1,0)+IF(AND(IF('wk2'!B$5=Pat!$C$25,1,0),IF('wk2'!B63=Pat!C$27,1,0)),1,0)</f>
        <v>0</v>
      </c>
      <c r="F81" s="82">
        <f>IF(AND(IF('wk3'!B$5=Pat!$C$25,1,0),IF('wk3'!B63=Pat!B$27,1,0)),1,0)+IF(AND(IF('wk3'!C$5=Pat!$C$25,1,0),IF('wk3'!C63=Pat!B$27,1,0)),1,0)+IF(AND(IF('wk3'!D$5=Pat!$C$25,1,0),IF('wk3'!D63=Pat!B$27,1,0)),1,0)+IF(AND(IF('wk3'!E$5=Pat!$C$25,1,0),IF('wk3'!E63=Pat!B$27,1,0)),1,0)+IF(AND(IF('wk3'!F$5=Pat!$C$25,1,0),IF('wk3'!F63=Pat!B$27,1,0)),1,0)+IF(AND(IF('wk3'!G$5=Pat!$C$25,1,0),IF('wk3'!G63=Pat!B$27,1,0)),1,0)</f>
        <v>0</v>
      </c>
      <c r="G81" s="83">
        <f>IF(AND(IF('wk3'!C$5=Pat!$C$25,1,0),IF('wk3'!C63=Pat!C$27,1,0)),1,0)+IF(AND(IF('wk3'!D$5=Pat!$C$25,1,0),IF('wk3'!D63=Pat!C$27,1,0)),1,0)+IF(AND(IF('wk3'!E$5=Pat!$C$25,1,0),IF('wk3'!E63=Pat!C$27,1,0)),1,0)+IF(AND(IF('wk3'!F$5=Pat!$C$25,1,0),IF('wk3'!F63=Pat!C$27,1,0)),1,0)+IF(AND(IF('wk3'!G$5=Pat!$C$25,1,0),IF('wk3'!G63=Pat!C$27,1,0)),1,0)+IF(AND(IF('wk3'!H$5=Pat!$C$25,1,0),IF('wk3'!H63=Pat!C$27,1,0)),1,0)+IF(AND(IF('wk3'!B$5=Pat!$C$25,1,0),IF('wk3'!B63=Pat!C$27,1,0)),1,0)</f>
        <v>0</v>
      </c>
      <c r="H81" s="82">
        <f>IF(AND(IF('wk4'!B$5=Pat!$C$25,1,0),IF('wk4'!B63=Pat!B$27,1,0)),1,0)+IF(AND(IF('wk4'!C$5=Pat!$C$25,1,0),IF('wk4'!C63=Pat!B$27,1,0)),1,0)+IF(AND(IF('wk4'!D$5=Pat!$C$25,1,0),IF('wk4'!D63=Pat!B$27,1,0)),1,0)+IF(AND(IF('wk4'!E$5=Pat!$C$25,1,0),IF('wk4'!E63=Pat!B$27,1,0)),1,0)+IF(AND(IF('wk4'!F$5=Pat!$C$25,1,0),IF('wk4'!F63=Pat!B$27,1,0)),1,0)+IF(AND(IF('wk4'!G$5=Pat!$C$25,1,0),IF('wk4'!G63=Pat!B$27,1,0)),1,0)</f>
        <v>0</v>
      </c>
      <c r="I81" s="83">
        <f>IF(AND(IF('wk4'!C$5=Pat!$C$25,1,0),IF('wk4'!C63=Pat!C$27,1,0)),1,0)+IF(AND(IF('wk4'!D$5=Pat!$C$25,1,0),IF('wk4'!D63=Pat!C$27,1,0)),1,0)+IF(AND(IF('wk4'!E$5=Pat!$C$25,1,0),IF('wk4'!E63=Pat!C$27,1,0)),1,0)+IF(AND(IF('wk4'!F$5=Pat!$C$25,1,0),IF('wk4'!F63=Pat!C$27,1,0)),1,0)+IF(AND(IF('wk4'!G$5=Pat!$C$25,1,0),IF('wk4'!G63=Pat!C$27,1,0)),1,0)+IF(AND(IF('wk4'!H$5=Pat!$C$25,1,0),IF('wk4'!H63=Pat!C$27,1,0)),1,0)+IF(AND(IF('wk4'!B$5=Pat!$C$25,1,0),IF('wk4'!B63=Pat!C$27,1,0)),1,0)</f>
        <v>0</v>
      </c>
      <c r="J81" s="84">
        <f>IF(AND(IF('wk5'!B$5=Pat!$C$25,1,0),IF('wk5'!B63=Pat!B$27,1,0)),1,0)+IF(AND(IF('wk5'!C$5=Pat!$C$25,1,0),IF('wk5'!C63=Pat!B$27,1,0)),1,0)+IF(AND(IF('wk5'!D$5=Pat!$C$25,1,0),IF('wk5'!D63=Pat!B$27,1,0)),1,0)+IF(AND(IF('wk5'!E$5=Pat!$C$25,1,0),IF('wk5'!E63=Pat!B$27,1,0)),1,0)+IF(AND(IF('wk5'!F$5=Pat!$C$25,1,0),IF('wk5'!F63=Pat!B$27,1,0)),1,0)+IF(AND(IF('wk5'!G$5=Pat!$C$25,1,0),IF('wk5'!G63=Pat!B$27,1,0)),1,0)</f>
        <v>0</v>
      </c>
      <c r="K81" s="85">
        <f>IF(AND(IF('wk5'!C$5=Pat!$C$25,1,0),IF('wk5'!C63=Pat!C$27,1,0)),1,0)+IF(AND(IF('wk5'!D$5=Pat!$C$25,1,0),IF('wk5'!D63=Pat!C$27,1,0)),1,0)+IF(AND(IF('wk5'!E$5=Pat!$C$25,1,0),IF('wk5'!E63=Pat!C$27,1,0)),1,0)+IF(AND(IF('wk5'!F$5=Pat!$C$25,1,0),IF('wk5'!F63=Pat!C$27,1,0)),1,0)+IF(AND(IF('wk5'!G$5=Pat!$C$25,1,0),IF('wk5'!G63=Pat!C$27,1,0)),1,0)+IF(AND(IF('wk5'!H$5=Pat!$C$25,1,0),IF('wk5'!H63=Pat!C$27,1,0)),1,0)+IF(AND(IF('wk5'!B$5=Pat!$C$25,1,0),IF('wk5'!B63=Pat!C$27,1,0)),1,0)</f>
        <v>0</v>
      </c>
      <c r="L81" s="79"/>
      <c r="M81" s="79">
        <f t="shared" si="2"/>
        <v>0</v>
      </c>
      <c r="N81" s="81">
        <f t="shared" si="3"/>
        <v>0</v>
      </c>
    </row>
    <row r="82" spans="1:14" ht="13.5" thickBot="1">
      <c r="A82" s="78">
        <f>'Members Data'!A56</f>
        <v>0</v>
      </c>
      <c r="B82" s="82">
        <f>IF(AND(IF('wk1'!B$5=Pat!$C$25,1,0),IF('wk1'!B64=Pat!B$27,1,0)),1,0)+IF(AND(IF('wk1'!D$5=Pat!$C$25,1,0),IF('wk1'!C64=Pat!B$27,1,0)),1,0)+IF(AND(IF('wk1'!D$5=Pat!$C$25,1,0),IF('wk1'!D64=Pat!B$27,1,0)),1,0)+IF(AND(IF('wk1'!E$5=Pat!$C$25,1,0),IF('wk1'!E64=Pat!B$27,1,0)),1,0)+IF(AND(IF('wk1'!F$5=Pat!$C$25,1,0),IF('wk1'!F64=Pat!B$27,1,0)),1,0)+IF(AND(IF('wk1'!G$5=Pat!$C$25,1,0),IF('wk1'!G64=Pat!B$27,1,0)),1,0)</f>
        <v>0</v>
      </c>
      <c r="C82" s="83">
        <f>IF(AND(IF('wk1'!D$5=Pat!$C$25,1,0),IF('wk1'!C64=Pat!C$27,1,0)),1,0)+IF(AND(IF('wk1'!D$5=Pat!$C$25,1,0),IF('wk1'!D64=Pat!C$27,1,0)),1,0)+IF(AND(IF('wk1'!E$5=Pat!$C$25,1,0),IF('wk1'!E64=Pat!C$27,1,0)),1,0)+IF(AND(IF('wk1'!F$5=Pat!$C$25,1,0),IF('wk1'!F64=Pat!C$27,1,0)),1,0)+IF(AND(IF('wk1'!G$5=Pat!$C$25,1,0),IF('wk1'!G64=Pat!C$27,1,0)),1,0)+IF(AND(IF('wk1'!H$5=Pat!$C$25,1,0),IF('wk1'!H64=Pat!C$27,1,0)),1,0)+IF(AND(IF('wk1'!B$5=Pat!$C$25,1,0),IF('wk1'!B64=Pat!C$27,1,0)),1,0)</f>
        <v>0</v>
      </c>
      <c r="D82" s="82">
        <f>IF(AND(IF('wk2'!B$5=Pat!$C$25,1,0),IF('wk2'!B64=Pat!B$27,1,0)),1,0)+IF(AND(IF('wk2'!C$5=Pat!$C$25,1,0),IF('wk2'!C64=Pat!B$27,1,0)),1,0)+IF(AND(IF('wk2'!D$5=Pat!$C$25,1,0),IF('wk2'!D64=Pat!B$27,1,0)),1,0)+IF(AND(IF('wk2'!E$5=Pat!$C$25,1,0),IF('wk2'!E64=Pat!B$27,1,0)),1,0)+IF(AND(IF('wk2'!F$5=Pat!$C$25,1,0),IF('wk2'!F64=Pat!B$27,1,0)),1,0)+IF(AND(IF('wk2'!G$5=Pat!$C$25,1,0),IF('wk2'!G64=Pat!B$27,1,0)),1,0)</f>
        <v>0</v>
      </c>
      <c r="E82" s="83">
        <f>IF(AND(IF('wk2'!C$5=Pat!$C$25,1,0),IF('wk2'!C64=Pat!C$27,1,0)),1,0)+IF(AND(IF('wk2'!D$5=Pat!$C$25,1,0),IF('wk2'!D64=Pat!C$27,1,0)),1,0)+IF(AND(IF('wk2'!E$5=Pat!$C$25,1,0),IF('wk2'!E64=Pat!C$27,1,0)),1,0)+IF(AND(IF('wk2'!F$5=Pat!$C$25,1,0),IF('wk2'!F64=Pat!C$27,1,0)),1,0)+IF(AND(IF('wk2'!G$5=Pat!$C$25,1,0),IF('wk2'!G64=Pat!C$27,1,0)),1,0)+IF(AND(IF('wk2'!H$5=Pat!$C$25,1,0),IF('wk2'!H64=Pat!C$27,1,0)),1,0)+IF(AND(IF('wk2'!B$5=Pat!$C$25,1,0),IF('wk2'!B64=Pat!C$27,1,0)),1,0)</f>
        <v>0</v>
      </c>
      <c r="F82" s="82">
        <f>IF(AND(IF('wk3'!B$5=Pat!$C$25,1,0),IF('wk3'!B64=Pat!B$27,1,0)),1,0)+IF(AND(IF('wk3'!C$5=Pat!$C$25,1,0),IF('wk3'!C64=Pat!B$27,1,0)),1,0)+IF(AND(IF('wk3'!D$5=Pat!$C$25,1,0),IF('wk3'!D64=Pat!B$27,1,0)),1,0)+IF(AND(IF('wk3'!E$5=Pat!$C$25,1,0),IF('wk3'!E64=Pat!B$27,1,0)),1,0)+IF(AND(IF('wk3'!F$5=Pat!$C$25,1,0),IF('wk3'!F64=Pat!B$27,1,0)),1,0)+IF(AND(IF('wk3'!G$5=Pat!$C$25,1,0),IF('wk3'!G64=Pat!B$27,1,0)),1,0)</f>
        <v>0</v>
      </c>
      <c r="G82" s="83">
        <f>IF(AND(IF('wk3'!C$5=Pat!$C$25,1,0),IF('wk3'!C64=Pat!C$27,1,0)),1,0)+IF(AND(IF('wk3'!D$5=Pat!$C$25,1,0),IF('wk3'!D64=Pat!C$27,1,0)),1,0)+IF(AND(IF('wk3'!E$5=Pat!$C$25,1,0),IF('wk3'!E64=Pat!C$27,1,0)),1,0)+IF(AND(IF('wk3'!F$5=Pat!$C$25,1,0),IF('wk3'!F64=Pat!C$27,1,0)),1,0)+IF(AND(IF('wk3'!G$5=Pat!$C$25,1,0),IF('wk3'!G64=Pat!C$27,1,0)),1,0)+IF(AND(IF('wk3'!H$5=Pat!$C$25,1,0),IF('wk3'!H64=Pat!C$27,1,0)),1,0)+IF(AND(IF('wk3'!B$5=Pat!$C$25,1,0),IF('wk3'!B64=Pat!C$27,1,0)),1,0)</f>
        <v>0</v>
      </c>
      <c r="H82" s="82">
        <f>IF(AND(IF('wk4'!B$5=Pat!$C$25,1,0),IF('wk4'!B64=Pat!B$27,1,0)),1,0)+IF(AND(IF('wk4'!C$5=Pat!$C$25,1,0),IF('wk4'!C64=Pat!B$27,1,0)),1,0)+IF(AND(IF('wk4'!D$5=Pat!$C$25,1,0),IF('wk4'!D64=Pat!B$27,1,0)),1,0)+IF(AND(IF('wk4'!E$5=Pat!$C$25,1,0),IF('wk4'!E64=Pat!B$27,1,0)),1,0)+IF(AND(IF('wk4'!F$5=Pat!$C$25,1,0),IF('wk4'!F64=Pat!B$27,1,0)),1,0)+IF(AND(IF('wk4'!G$5=Pat!$C$25,1,0),IF('wk4'!G64=Pat!B$27,1,0)),1,0)</f>
        <v>0</v>
      </c>
      <c r="I82" s="83">
        <f>IF(AND(IF('wk4'!C$5=Pat!$C$25,1,0),IF('wk4'!C64=Pat!C$27,1,0)),1,0)+IF(AND(IF('wk4'!D$5=Pat!$C$25,1,0),IF('wk4'!D64=Pat!C$27,1,0)),1,0)+IF(AND(IF('wk4'!E$5=Pat!$C$25,1,0),IF('wk4'!E64=Pat!C$27,1,0)),1,0)+IF(AND(IF('wk4'!F$5=Pat!$C$25,1,0),IF('wk4'!F64=Pat!C$27,1,0)),1,0)+IF(AND(IF('wk4'!G$5=Pat!$C$25,1,0),IF('wk4'!G64=Pat!C$27,1,0)),1,0)+IF(AND(IF('wk4'!H$5=Pat!$C$25,1,0),IF('wk4'!H64=Pat!C$27,1,0)),1,0)+IF(AND(IF('wk4'!B$5=Pat!$C$25,1,0),IF('wk4'!B64=Pat!C$27,1,0)),1,0)</f>
        <v>0</v>
      </c>
      <c r="J82" s="84">
        <f>IF(AND(IF('wk5'!B$5=Pat!$C$25,1,0),IF('wk5'!B64=Pat!B$27,1,0)),1,0)+IF(AND(IF('wk5'!C$5=Pat!$C$25,1,0),IF('wk5'!C64=Pat!B$27,1,0)),1,0)+IF(AND(IF('wk5'!D$5=Pat!$C$25,1,0),IF('wk5'!D64=Pat!B$27,1,0)),1,0)+IF(AND(IF('wk5'!E$5=Pat!$C$25,1,0),IF('wk5'!E64=Pat!B$27,1,0)),1,0)+IF(AND(IF('wk5'!F$5=Pat!$C$25,1,0),IF('wk5'!F64=Pat!B$27,1,0)),1,0)+IF(AND(IF('wk5'!G$5=Pat!$C$25,1,0),IF('wk5'!G64=Pat!B$27,1,0)),1,0)</f>
        <v>0</v>
      </c>
      <c r="K82" s="85">
        <f>IF(AND(IF('wk5'!C$5=Pat!$C$25,1,0),IF('wk5'!C64=Pat!C$27,1,0)),1,0)+IF(AND(IF('wk5'!D$5=Pat!$C$25,1,0),IF('wk5'!D64=Pat!C$27,1,0)),1,0)+IF(AND(IF('wk5'!E$5=Pat!$C$25,1,0),IF('wk5'!E64=Pat!C$27,1,0)),1,0)+IF(AND(IF('wk5'!F$5=Pat!$C$25,1,0),IF('wk5'!F64=Pat!C$27,1,0)),1,0)+IF(AND(IF('wk5'!G$5=Pat!$C$25,1,0),IF('wk5'!G64=Pat!C$27,1,0)),1,0)+IF(AND(IF('wk5'!H$5=Pat!$C$25,1,0),IF('wk5'!H64=Pat!C$27,1,0)),1,0)+IF(AND(IF('wk5'!B$5=Pat!$C$25,1,0),IF('wk5'!B64=Pat!C$27,1,0)),1,0)</f>
        <v>0</v>
      </c>
      <c r="L82" s="79"/>
      <c r="M82" s="79">
        <f t="shared" si="2"/>
        <v>0</v>
      </c>
      <c r="N82" s="81">
        <f t="shared" si="3"/>
        <v>0</v>
      </c>
    </row>
    <row r="83" spans="1:14" ht="13.5" thickBot="1">
      <c r="A83" s="78" t="str">
        <f>'Members Data'!A57</f>
        <v>Shinkai</v>
      </c>
      <c r="B83" s="82">
        <f>IF(AND(IF('wk1'!B$5=Pat!$C$25,1,0),IF('wk1'!B65=Pat!B$27,1,0)),1,0)+IF(AND(IF('wk1'!D$5=Pat!$C$25,1,0),IF('wk1'!C65=Pat!B$27,1,0)),1,0)+IF(AND(IF('wk1'!D$5=Pat!$C$25,1,0),IF('wk1'!D65=Pat!B$27,1,0)),1,0)+IF(AND(IF('wk1'!E$5=Pat!$C$25,1,0),IF('wk1'!E65=Pat!B$27,1,0)),1,0)+IF(AND(IF('wk1'!F$5=Pat!$C$25,1,0),IF('wk1'!F65=Pat!B$27,1,0)),1,0)+IF(AND(IF('wk1'!G$5=Pat!$C$25,1,0),IF('wk1'!G65=Pat!B$27,1,0)),1,0)</f>
        <v>0</v>
      </c>
      <c r="C83" s="83">
        <f>IF(AND(IF('wk1'!D$5=Pat!$C$25,1,0),IF('wk1'!C65=Pat!C$27,1,0)),1,0)+IF(AND(IF('wk1'!D$5=Pat!$C$25,1,0),IF('wk1'!D65=Pat!C$27,1,0)),1,0)+IF(AND(IF('wk1'!E$5=Pat!$C$25,1,0),IF('wk1'!E65=Pat!C$27,1,0)),1,0)+IF(AND(IF('wk1'!F$5=Pat!$C$25,1,0),IF('wk1'!F65=Pat!C$27,1,0)),1,0)+IF(AND(IF('wk1'!G$5=Pat!$C$25,1,0),IF('wk1'!G65=Pat!C$27,1,0)),1,0)+IF(AND(IF('wk1'!H$5=Pat!$C$25,1,0),IF('wk1'!H65=Pat!C$27,1,0)),1,0)+IF(AND(IF('wk1'!B$5=Pat!$C$25,1,0),IF('wk1'!B65=Pat!C$27,1,0)),1,0)</f>
        <v>0</v>
      </c>
      <c r="D83" s="82">
        <f>IF(AND(IF('wk2'!B$5=Pat!$C$25,1,0),IF('wk2'!B65=Pat!B$27,1,0)),1,0)+IF(AND(IF('wk2'!C$5=Pat!$C$25,1,0),IF('wk2'!C65=Pat!B$27,1,0)),1,0)+IF(AND(IF('wk2'!D$5=Pat!$C$25,1,0),IF('wk2'!D65=Pat!B$27,1,0)),1,0)+IF(AND(IF('wk2'!E$5=Pat!$C$25,1,0),IF('wk2'!E65=Pat!B$27,1,0)),1,0)+IF(AND(IF('wk2'!F$5=Pat!$C$25,1,0),IF('wk2'!F65=Pat!B$27,1,0)),1,0)+IF(AND(IF('wk2'!G$5=Pat!$C$25,1,0),IF('wk2'!G65=Pat!B$27,1,0)),1,0)</f>
        <v>0</v>
      </c>
      <c r="E83" s="83">
        <f>IF(AND(IF('wk2'!C$5=Pat!$C$25,1,0),IF('wk2'!C65=Pat!C$27,1,0)),1,0)+IF(AND(IF('wk2'!D$5=Pat!$C$25,1,0),IF('wk2'!D65=Pat!C$27,1,0)),1,0)+IF(AND(IF('wk2'!E$5=Pat!$C$25,1,0),IF('wk2'!E65=Pat!C$27,1,0)),1,0)+IF(AND(IF('wk2'!F$5=Pat!$C$25,1,0),IF('wk2'!F65=Pat!C$27,1,0)),1,0)+IF(AND(IF('wk2'!G$5=Pat!$C$25,1,0),IF('wk2'!G65=Pat!C$27,1,0)),1,0)+IF(AND(IF('wk2'!H$5=Pat!$C$25,1,0),IF('wk2'!H65=Pat!C$27,1,0)),1,0)+IF(AND(IF('wk2'!B$5=Pat!$C$25,1,0),IF('wk2'!B65=Pat!C$27,1,0)),1,0)</f>
        <v>0</v>
      </c>
      <c r="F83" s="82">
        <f>IF(AND(IF('wk3'!B$5=Pat!$C$25,1,0),IF('wk3'!B65=Pat!B$27,1,0)),1,0)+IF(AND(IF('wk3'!C$5=Pat!$C$25,1,0),IF('wk3'!C65=Pat!B$27,1,0)),1,0)+IF(AND(IF('wk3'!D$5=Pat!$C$25,1,0),IF('wk3'!D65=Pat!B$27,1,0)),1,0)+IF(AND(IF('wk3'!E$5=Pat!$C$25,1,0),IF('wk3'!E65=Pat!B$27,1,0)),1,0)+IF(AND(IF('wk3'!F$5=Pat!$C$25,1,0),IF('wk3'!F65=Pat!B$27,1,0)),1,0)+IF(AND(IF('wk3'!G$5=Pat!$C$25,1,0),IF('wk3'!G65=Pat!B$27,1,0)),1,0)</f>
        <v>0</v>
      </c>
      <c r="G83" s="83">
        <f>IF(AND(IF('wk3'!C$5=Pat!$C$25,1,0),IF('wk3'!C65=Pat!C$27,1,0)),1,0)+IF(AND(IF('wk3'!D$5=Pat!$C$25,1,0),IF('wk3'!D65=Pat!C$27,1,0)),1,0)+IF(AND(IF('wk3'!E$5=Pat!$C$25,1,0),IF('wk3'!E65=Pat!C$27,1,0)),1,0)+IF(AND(IF('wk3'!F$5=Pat!$C$25,1,0),IF('wk3'!F65=Pat!C$27,1,0)),1,0)+IF(AND(IF('wk3'!G$5=Pat!$C$25,1,0),IF('wk3'!G65=Pat!C$27,1,0)),1,0)+IF(AND(IF('wk3'!H$5=Pat!$C$25,1,0),IF('wk3'!H65=Pat!C$27,1,0)),1,0)+IF(AND(IF('wk3'!B$5=Pat!$C$25,1,0),IF('wk3'!B65=Pat!C$27,1,0)),1,0)</f>
        <v>0</v>
      </c>
      <c r="H83" s="82">
        <f>IF(AND(IF('wk4'!B$5=Pat!$C$25,1,0),IF('wk4'!B65=Pat!B$27,1,0)),1,0)+IF(AND(IF('wk4'!C$5=Pat!$C$25,1,0),IF('wk4'!C65=Pat!B$27,1,0)),1,0)+IF(AND(IF('wk4'!D$5=Pat!$C$25,1,0),IF('wk4'!D65=Pat!B$27,1,0)),1,0)+IF(AND(IF('wk4'!E$5=Pat!$C$25,1,0),IF('wk4'!E65=Pat!B$27,1,0)),1,0)+IF(AND(IF('wk4'!F$5=Pat!$C$25,1,0),IF('wk4'!F65=Pat!B$27,1,0)),1,0)+IF(AND(IF('wk4'!G$5=Pat!$C$25,1,0),IF('wk4'!G65=Pat!B$27,1,0)),1,0)</f>
        <v>0</v>
      </c>
      <c r="I83" s="83">
        <f>IF(AND(IF('wk4'!C$5=Pat!$C$25,1,0),IF('wk4'!C65=Pat!C$27,1,0)),1,0)+IF(AND(IF('wk4'!D$5=Pat!$C$25,1,0),IF('wk4'!D65=Pat!C$27,1,0)),1,0)+IF(AND(IF('wk4'!E$5=Pat!$C$25,1,0),IF('wk4'!E65=Pat!C$27,1,0)),1,0)+IF(AND(IF('wk4'!F$5=Pat!$C$25,1,0),IF('wk4'!F65=Pat!C$27,1,0)),1,0)+IF(AND(IF('wk4'!G$5=Pat!$C$25,1,0),IF('wk4'!G65=Pat!C$27,1,0)),1,0)+IF(AND(IF('wk4'!H$5=Pat!$C$25,1,0),IF('wk4'!H65=Pat!C$27,1,0)),1,0)+IF(AND(IF('wk4'!B$5=Pat!$C$25,1,0),IF('wk4'!B65=Pat!C$27,1,0)),1,0)</f>
        <v>0</v>
      </c>
      <c r="J83" s="84">
        <f>IF(AND(IF('wk5'!B$5=Pat!$C$25,1,0),IF('wk5'!B65=Pat!B$27,1,0)),1,0)+IF(AND(IF('wk5'!C$5=Pat!$C$25,1,0),IF('wk5'!C65=Pat!B$27,1,0)),1,0)+IF(AND(IF('wk5'!D$5=Pat!$C$25,1,0),IF('wk5'!D65=Pat!B$27,1,0)),1,0)+IF(AND(IF('wk5'!E$5=Pat!$C$25,1,0),IF('wk5'!E65=Pat!B$27,1,0)),1,0)+IF(AND(IF('wk5'!F$5=Pat!$C$25,1,0),IF('wk5'!F65=Pat!B$27,1,0)),1,0)+IF(AND(IF('wk5'!G$5=Pat!$C$25,1,0),IF('wk5'!G65=Pat!B$27,1,0)),1,0)</f>
        <v>0</v>
      </c>
      <c r="K83" s="85">
        <f>IF(AND(IF('wk5'!C$5=Pat!$C$25,1,0),IF('wk5'!C65=Pat!C$27,1,0)),1,0)+IF(AND(IF('wk5'!D$5=Pat!$C$25,1,0),IF('wk5'!D65=Pat!C$27,1,0)),1,0)+IF(AND(IF('wk5'!E$5=Pat!$C$25,1,0),IF('wk5'!E65=Pat!C$27,1,0)),1,0)+IF(AND(IF('wk5'!F$5=Pat!$C$25,1,0),IF('wk5'!F65=Pat!C$27,1,0)),1,0)+IF(AND(IF('wk5'!G$5=Pat!$C$25,1,0),IF('wk5'!G65=Pat!C$27,1,0)),1,0)+IF(AND(IF('wk5'!H$5=Pat!$C$25,1,0),IF('wk5'!H65=Pat!C$27,1,0)),1,0)+IF(AND(IF('wk5'!B$5=Pat!$C$25,1,0),IF('wk5'!B65=Pat!C$27,1,0)),1,0)</f>
        <v>0</v>
      </c>
      <c r="L83" s="79"/>
      <c r="M83" s="79">
        <f t="shared" si="2"/>
        <v>0</v>
      </c>
      <c r="N83" s="81">
        <f t="shared" si="3"/>
        <v>0</v>
      </c>
    </row>
    <row r="84" spans="1:14" ht="13.5" thickBot="1">
      <c r="A84" s="78" t="str">
        <f>'Members Data'!A58</f>
        <v>Sidac</v>
      </c>
      <c r="B84" s="82">
        <f>IF(AND(IF('wk1'!B$5=Pat!$C$25,1,0),IF('wk1'!B66=Pat!B$27,1,0)),1,0)+IF(AND(IF('wk1'!D$5=Pat!$C$25,1,0),IF('wk1'!C66=Pat!B$27,1,0)),1,0)+IF(AND(IF('wk1'!D$5=Pat!$C$25,1,0),IF('wk1'!D66=Pat!B$27,1,0)),1,0)+IF(AND(IF('wk1'!E$5=Pat!$C$25,1,0),IF('wk1'!E66=Pat!B$27,1,0)),1,0)+IF(AND(IF('wk1'!F$5=Pat!$C$25,1,0),IF('wk1'!F66=Pat!B$27,1,0)),1,0)+IF(AND(IF('wk1'!G$5=Pat!$C$25,1,0),IF('wk1'!G66=Pat!B$27,1,0)),1,0)</f>
        <v>0</v>
      </c>
      <c r="C84" s="83">
        <f>IF(AND(IF('wk1'!D$5=Pat!$C$25,1,0),IF('wk1'!C66=Pat!C$27,1,0)),1,0)+IF(AND(IF('wk1'!D$5=Pat!$C$25,1,0),IF('wk1'!D66=Pat!C$27,1,0)),1,0)+IF(AND(IF('wk1'!E$5=Pat!$C$25,1,0),IF('wk1'!E66=Pat!C$27,1,0)),1,0)+IF(AND(IF('wk1'!F$5=Pat!$C$25,1,0),IF('wk1'!F66=Pat!C$27,1,0)),1,0)+IF(AND(IF('wk1'!G$5=Pat!$C$25,1,0),IF('wk1'!G66=Pat!C$27,1,0)),1,0)+IF(AND(IF('wk1'!H$5=Pat!$C$25,1,0),IF('wk1'!H66=Pat!C$27,1,0)),1,0)+IF(AND(IF('wk1'!B$5=Pat!$C$25,1,0),IF('wk1'!B66=Pat!C$27,1,0)),1,0)</f>
        <v>0</v>
      </c>
      <c r="D84" s="82">
        <f>IF(AND(IF('wk2'!B$5=Pat!$C$25,1,0),IF('wk2'!B67=Pat!B$27,1,0)),1,0)+IF(AND(IF('wk2'!C$5=Pat!$C$25,1,0),IF('wk2'!C67=Pat!B$27,1,0)),1,0)+IF(AND(IF('wk2'!D$5=Pat!$C$25,1,0),IF('wk2'!D67=Pat!B$27,1,0)),1,0)+IF(AND(IF('wk2'!E$5=Pat!$C$25,1,0),IF('wk2'!E67=Pat!B$27,1,0)),1,0)+IF(AND(IF('wk2'!F$5=Pat!$C$25,1,0),IF('wk2'!F67=Pat!B$27,1,0)),1,0)+IF(AND(IF('wk2'!G$5=Pat!$C$25,1,0),IF('wk2'!G67=Pat!B$27,1,0)),1,0)</f>
        <v>0</v>
      </c>
      <c r="E84" s="83">
        <f>IF(AND(IF('wk2'!C$5=Pat!$C$25,1,0),IF('wk2'!C66=Pat!C$27,1,0)),1,0)+IF(AND(IF('wk2'!D$5=Pat!$C$25,1,0),IF('wk2'!D66=Pat!C$27,1,0)),1,0)+IF(AND(IF('wk2'!E$5=Pat!$C$25,1,0),IF('wk2'!E66=Pat!C$27,1,0)),1,0)+IF(AND(IF('wk2'!F$5=Pat!$C$25,1,0),IF('wk2'!F66=Pat!C$27,1,0)),1,0)+IF(AND(IF('wk2'!G$5=Pat!$C$25,1,0),IF('wk2'!G66=Pat!C$27,1,0)),1,0)+IF(AND(IF('wk2'!H$5=Pat!$C$25,1,0),IF('wk2'!H66=Pat!C$27,1,0)),1,0)+IF(AND(IF('wk2'!B$5=Pat!$C$25,1,0),IF('wk2'!B66=Pat!C$27,1,0)),1,0)</f>
        <v>0</v>
      </c>
      <c r="F84" s="82">
        <f>IF(AND(IF('wk3'!B$5=Pat!$C$25,1,0),IF('wk3'!B67=Pat!B$27,1,0)),1,0)+IF(AND(IF('wk3'!C$5=Pat!$C$25,1,0),IF('wk3'!C67=Pat!B$27,1,0)),1,0)+IF(AND(IF('wk3'!D$5=Pat!$C$25,1,0),IF('wk3'!D67=Pat!B$27,1,0)),1,0)+IF(AND(IF('wk3'!E$5=Pat!$C$25,1,0),IF('wk3'!E67=Pat!B$27,1,0)),1,0)+IF(AND(IF('wk3'!F$5=Pat!$C$25,1,0),IF('wk3'!F67=Pat!B$27,1,0)),1,0)+IF(AND(IF('wk3'!G$5=Pat!$C$25,1,0),IF('wk3'!G67=Pat!B$27,1,0)),1,0)</f>
        <v>0</v>
      </c>
      <c r="G84" s="83">
        <f>IF(AND(IF('wk3'!C$5=Pat!$C$25,1,0),IF('wk3'!C66=Pat!C$27,1,0)),1,0)+IF(AND(IF('wk3'!D$5=Pat!$C$25,1,0),IF('wk3'!D66=Pat!C$27,1,0)),1,0)+IF(AND(IF('wk3'!E$5=Pat!$C$25,1,0),IF('wk3'!E66=Pat!C$27,1,0)),1,0)+IF(AND(IF('wk3'!F$5=Pat!$C$25,1,0),IF('wk3'!F66=Pat!C$27,1,0)),1,0)+IF(AND(IF('wk3'!G$5=Pat!$C$25,1,0),IF('wk3'!G66=Pat!C$27,1,0)),1,0)+IF(AND(IF('wk3'!H$5=Pat!$C$25,1,0),IF('wk3'!H66=Pat!C$27,1,0)),1,0)+IF(AND(IF('wk3'!B$5=Pat!$C$25,1,0),IF('wk3'!B66=Pat!C$27,1,0)),1,0)</f>
        <v>0</v>
      </c>
      <c r="H84" s="82">
        <f>IF(AND(IF('wk4'!B$5=Pat!$C$25,1,0),IF('wk4'!B67=Pat!B$27,1,0)),1,0)+IF(AND(IF('wk4'!C$5=Pat!$C$25,1,0),IF('wk4'!C67=Pat!B$27,1,0)),1,0)+IF(AND(IF('wk4'!D$5=Pat!$C$25,1,0),IF('wk4'!D67=Pat!B$27,1,0)),1,0)+IF(AND(IF('wk4'!E$5=Pat!$C$25,1,0),IF('wk4'!E67=Pat!B$27,1,0)),1,0)+IF(AND(IF('wk4'!F$5=Pat!$C$25,1,0),IF('wk4'!F67=Pat!B$27,1,0)),1,0)+IF(AND(IF('wk4'!G$5=Pat!$C$25,1,0),IF('wk4'!G67=Pat!B$27,1,0)),1,0)</f>
        <v>0</v>
      </c>
      <c r="I84" s="83">
        <f>IF(AND(IF('wk4'!C$5=Pat!$C$25,1,0),IF('wk4'!C66=Pat!C$27,1,0)),1,0)+IF(AND(IF('wk4'!D$5=Pat!$C$25,1,0),IF('wk4'!D66=Pat!C$27,1,0)),1,0)+IF(AND(IF('wk4'!E$5=Pat!$C$25,1,0),IF('wk4'!E66=Pat!C$27,1,0)),1,0)+IF(AND(IF('wk4'!F$5=Pat!$C$25,1,0),IF('wk4'!F66=Pat!C$27,1,0)),1,0)+IF(AND(IF('wk4'!G$5=Pat!$C$25,1,0),IF('wk4'!G66=Pat!C$27,1,0)),1,0)+IF(AND(IF('wk4'!H$5=Pat!$C$25,1,0),IF('wk4'!H66=Pat!C$27,1,0)),1,0)+IF(AND(IF('wk4'!B$5=Pat!$C$25,1,0),IF('wk4'!B66=Pat!C$27,1,0)),1,0)</f>
        <v>0</v>
      </c>
      <c r="J84" s="84">
        <f>IF(AND(IF('wk5'!B$5=Pat!$C$25,1,0),IF('wk5'!B67=Pat!B$27,1,0)),1,0)+IF(AND(IF('wk5'!C$5=Pat!$C$25,1,0),IF('wk5'!C67=Pat!B$27,1,0)),1,0)+IF(AND(IF('wk5'!D$5=Pat!$C$25,1,0),IF('wk5'!D67=Pat!B$27,1,0)),1,0)+IF(AND(IF('wk5'!E$5=Pat!$C$25,1,0),IF('wk5'!E67=Pat!B$27,1,0)),1,0)+IF(AND(IF('wk5'!F$5=Pat!$C$25,1,0),IF('wk5'!F67=Pat!B$27,1,0)),1,0)+IF(AND(IF('wk5'!G$5=Pat!$C$25,1,0),IF('wk5'!G67=Pat!B$27,1,0)),1,0)</f>
        <v>0</v>
      </c>
      <c r="K84" s="85">
        <f>IF(AND(IF('wk5'!C$5=Pat!$C$25,1,0),IF('wk5'!C66=Pat!C$27,1,0)),1,0)+IF(AND(IF('wk5'!D$5=Pat!$C$25,1,0),IF('wk5'!D66=Pat!C$27,1,0)),1,0)+IF(AND(IF('wk5'!E$5=Pat!$C$25,1,0),IF('wk5'!E66=Pat!C$27,1,0)),1,0)+IF(AND(IF('wk5'!F$5=Pat!$C$25,1,0),IF('wk5'!F66=Pat!C$27,1,0)),1,0)+IF(AND(IF('wk5'!G$5=Pat!$C$25,1,0),IF('wk5'!G66=Pat!C$27,1,0)),1,0)+IF(AND(IF('wk5'!H$5=Pat!$C$25,1,0),IF('wk5'!H66=Pat!C$27,1,0)),1,0)+IF(AND(IF('wk5'!B$5=Pat!$C$25,1,0),IF('wk5'!B66=Pat!C$27,1,0)),1,0)</f>
        <v>0</v>
      </c>
      <c r="L84" s="79"/>
      <c r="M84" s="79">
        <f t="shared" si="2"/>
        <v>0</v>
      </c>
      <c r="N84" s="81">
        <f t="shared" si="3"/>
        <v>0</v>
      </c>
    </row>
    <row r="85" spans="1:14" ht="13.5" thickBot="1">
      <c r="A85" s="78" t="str">
        <f>'Members Data'!A59</f>
        <v>Snowies</v>
      </c>
      <c r="B85" s="82">
        <f>IF(AND(IF('wk1'!B$5=Pat!$C$25,1,0),IF('wk1'!B67=Pat!B$27,1,0)),1,0)+IF(AND(IF('wk1'!D$5=Pat!$C$25,1,0),IF('wk1'!C67=Pat!B$27,1,0)),1,0)+IF(AND(IF('wk1'!D$5=Pat!$C$25,1,0),IF('wk1'!D67=Pat!B$27,1,0)),1,0)+IF(AND(IF('wk1'!E$5=Pat!$C$25,1,0),IF('wk1'!E67=Pat!B$27,1,0)),1,0)+IF(AND(IF('wk1'!F$5=Pat!$C$25,1,0),IF('wk1'!F67=Pat!B$27,1,0)),1,0)+IF(AND(IF('wk1'!G$5=Pat!$C$25,1,0),IF('wk1'!G67=Pat!B$27,1,0)),1,0)</f>
        <v>0</v>
      </c>
      <c r="C85" s="83">
        <f>IF(AND(IF('wk1'!D$5=Pat!$C$25,1,0),IF('wk1'!C67=Pat!C$27,1,0)),1,0)+IF(AND(IF('wk1'!D$5=Pat!$C$25,1,0),IF('wk1'!D67=Pat!C$27,1,0)),1,0)+IF(AND(IF('wk1'!E$5=Pat!$C$25,1,0),IF('wk1'!E67=Pat!C$27,1,0)),1,0)+IF(AND(IF('wk1'!F$5=Pat!$C$25,1,0),IF('wk1'!F67=Pat!C$27,1,0)),1,0)+IF(AND(IF('wk1'!G$5=Pat!$C$25,1,0),IF('wk1'!G67=Pat!C$27,1,0)),1,0)+IF(AND(IF('wk1'!H$5=Pat!$C$25,1,0),IF('wk1'!H67=Pat!C$27,1,0)),1,0)+IF(AND(IF('wk1'!B$5=Pat!$C$25,1,0),IF('wk1'!B67=Pat!C$27,1,0)),1,0)</f>
        <v>0</v>
      </c>
      <c r="D85" s="82">
        <f>IF(AND(IF('wk2'!B$5=Pat!$C$25,1,0),IF('wk2'!B68=Pat!B$27,1,0)),1,0)+IF(AND(IF('wk2'!C$5=Pat!$C$25,1,0),IF('wk2'!C68=Pat!B$27,1,0)),1,0)+IF(AND(IF('wk2'!D$5=Pat!$C$25,1,0),IF('wk2'!D68=Pat!B$27,1,0)),1,0)+IF(AND(IF('wk2'!E$5=Pat!$C$25,1,0),IF('wk2'!E68=Pat!B$27,1,0)),1,0)+IF(AND(IF('wk2'!F$5=Pat!$C$25,1,0),IF('wk2'!F68=Pat!B$27,1,0)),1,0)+IF(AND(IF('wk2'!G$5=Pat!$C$25,1,0),IF('wk2'!G68=Pat!B$27,1,0)),1,0)</f>
        <v>0</v>
      </c>
      <c r="E85" s="83">
        <f>IF(AND(IF('wk2'!C$5=Pat!$C$25,1,0),IF('wk2'!C67=Pat!C$27,1,0)),1,0)+IF(AND(IF('wk2'!D$5=Pat!$C$25,1,0),IF('wk2'!D67=Pat!C$27,1,0)),1,0)+IF(AND(IF('wk2'!E$5=Pat!$C$25,1,0),IF('wk2'!E67=Pat!C$27,1,0)),1,0)+IF(AND(IF('wk2'!F$5=Pat!$C$25,1,0),IF('wk2'!F67=Pat!C$27,1,0)),1,0)+IF(AND(IF('wk2'!G$5=Pat!$C$25,1,0),IF('wk2'!G67=Pat!C$27,1,0)),1,0)+IF(AND(IF('wk2'!H$5=Pat!$C$25,1,0),IF('wk2'!H67=Pat!C$27,1,0)),1,0)+IF(AND(IF('wk2'!B$5=Pat!$C$25,1,0),IF('wk2'!B67=Pat!C$27,1,0)),1,0)</f>
        <v>0</v>
      </c>
      <c r="F85" s="82">
        <f>IF(AND(IF('wk3'!B$5=Pat!$C$25,1,0),IF('wk3'!B68=Pat!B$27,1,0)),1,0)+IF(AND(IF('wk3'!C$5=Pat!$C$25,1,0),IF('wk3'!C68=Pat!B$27,1,0)),1,0)+IF(AND(IF('wk3'!D$5=Pat!$C$25,1,0),IF('wk3'!D68=Pat!B$27,1,0)),1,0)+IF(AND(IF('wk3'!E$5=Pat!$C$25,1,0),IF('wk3'!E68=Pat!B$27,1,0)),1,0)+IF(AND(IF('wk3'!F$5=Pat!$C$25,1,0),IF('wk3'!F68=Pat!B$27,1,0)),1,0)+IF(AND(IF('wk3'!G$5=Pat!$C$25,1,0),IF('wk3'!G68=Pat!B$27,1,0)),1,0)</f>
        <v>0</v>
      </c>
      <c r="G85" s="83">
        <f>IF(AND(IF('wk3'!C$5=Pat!$C$25,1,0),IF('wk3'!C67=Pat!C$27,1,0)),1,0)+IF(AND(IF('wk3'!D$5=Pat!$C$25,1,0),IF('wk3'!D67=Pat!C$27,1,0)),1,0)+IF(AND(IF('wk3'!E$5=Pat!$C$25,1,0),IF('wk3'!E67=Pat!C$27,1,0)),1,0)+IF(AND(IF('wk3'!F$5=Pat!$C$25,1,0),IF('wk3'!F67=Pat!C$27,1,0)),1,0)+IF(AND(IF('wk3'!G$5=Pat!$C$25,1,0),IF('wk3'!G67=Pat!C$27,1,0)),1,0)+IF(AND(IF('wk3'!H$5=Pat!$C$25,1,0),IF('wk3'!H67=Pat!C$27,1,0)),1,0)+IF(AND(IF('wk3'!B$5=Pat!$C$25,1,0),IF('wk3'!B67=Pat!C$27,1,0)),1,0)</f>
        <v>0</v>
      </c>
      <c r="H85" s="82">
        <f>IF(AND(IF('wk4'!B$5=Pat!$C$25,1,0),IF('wk4'!B68=Pat!B$27,1,0)),1,0)+IF(AND(IF('wk4'!C$5=Pat!$C$25,1,0),IF('wk4'!C68=Pat!B$27,1,0)),1,0)+IF(AND(IF('wk4'!D$5=Pat!$C$25,1,0),IF('wk4'!D68=Pat!B$27,1,0)),1,0)+IF(AND(IF('wk4'!E$5=Pat!$C$25,1,0),IF('wk4'!E68=Pat!B$27,1,0)),1,0)+IF(AND(IF('wk4'!F$5=Pat!$C$25,1,0),IF('wk4'!F68=Pat!B$27,1,0)),1,0)+IF(AND(IF('wk4'!G$5=Pat!$C$25,1,0),IF('wk4'!G68=Pat!B$27,1,0)),1,0)</f>
        <v>0</v>
      </c>
      <c r="I85" s="83">
        <f>IF(AND(IF('wk4'!C$5=Pat!$C$25,1,0),IF('wk4'!C67=Pat!C$27,1,0)),1,0)+IF(AND(IF('wk4'!D$5=Pat!$C$25,1,0),IF('wk4'!D67=Pat!C$27,1,0)),1,0)+IF(AND(IF('wk4'!E$5=Pat!$C$25,1,0),IF('wk4'!E67=Pat!C$27,1,0)),1,0)+IF(AND(IF('wk4'!F$5=Pat!$C$25,1,0),IF('wk4'!F67=Pat!C$27,1,0)),1,0)+IF(AND(IF('wk4'!G$5=Pat!$C$25,1,0),IF('wk4'!G67=Pat!C$27,1,0)),1,0)+IF(AND(IF('wk4'!H$5=Pat!$C$25,1,0),IF('wk4'!H67=Pat!C$27,1,0)),1,0)+IF(AND(IF('wk4'!B$5=Pat!$C$25,1,0),IF('wk4'!B67=Pat!C$27,1,0)),1,0)</f>
        <v>0</v>
      </c>
      <c r="J85" s="84">
        <f>IF(AND(IF('wk5'!B$5=Pat!$C$25,1,0),IF('wk5'!B68=Pat!B$27,1,0)),1,0)+IF(AND(IF('wk5'!C$5=Pat!$C$25,1,0),IF('wk5'!C68=Pat!B$27,1,0)),1,0)+IF(AND(IF('wk5'!D$5=Pat!$C$25,1,0),IF('wk5'!D68=Pat!B$27,1,0)),1,0)+IF(AND(IF('wk5'!E$5=Pat!$C$25,1,0),IF('wk5'!E68=Pat!B$27,1,0)),1,0)+IF(AND(IF('wk5'!F$5=Pat!$C$25,1,0),IF('wk5'!F68=Pat!B$27,1,0)),1,0)+IF(AND(IF('wk5'!G$5=Pat!$C$25,1,0),IF('wk5'!G68=Pat!B$27,1,0)),1,0)</f>
        <v>0</v>
      </c>
      <c r="K85" s="85">
        <f>IF(AND(IF('wk5'!C$5=Pat!$C$25,1,0),IF('wk5'!C67=Pat!C$27,1,0)),1,0)+IF(AND(IF('wk5'!D$5=Pat!$C$25,1,0),IF('wk5'!D67=Pat!C$27,1,0)),1,0)+IF(AND(IF('wk5'!E$5=Pat!$C$25,1,0),IF('wk5'!E67=Pat!C$27,1,0)),1,0)+IF(AND(IF('wk5'!F$5=Pat!$C$25,1,0),IF('wk5'!F67=Pat!C$27,1,0)),1,0)+IF(AND(IF('wk5'!G$5=Pat!$C$25,1,0),IF('wk5'!G67=Pat!C$27,1,0)),1,0)+IF(AND(IF('wk5'!H$5=Pat!$C$25,1,0),IF('wk5'!H67=Pat!C$27,1,0)),1,0)+IF(AND(IF('wk5'!B$5=Pat!$C$25,1,0),IF('wk5'!B67=Pat!C$27,1,0)),1,0)</f>
        <v>0</v>
      </c>
      <c r="L85" s="79"/>
      <c r="M85" s="79">
        <f t="shared" si="2"/>
        <v>0</v>
      </c>
      <c r="N85" s="81">
        <f t="shared" si="3"/>
        <v>0</v>
      </c>
    </row>
    <row r="86" spans="1:14" ht="13.5" thickBot="1">
      <c r="A86" s="78" t="str">
        <f>'Members Data'!A60</f>
        <v>Spruch</v>
      </c>
      <c r="B86" s="82">
        <f>IF(AND(IF('wk1'!B$5=Pat!$C$25,1,0),IF('wk1'!B68=Pat!B$27,1,0)),1,0)+IF(AND(IF('wk1'!D$5=Pat!$C$25,1,0),IF('wk1'!C68=Pat!B$27,1,0)),1,0)+IF(AND(IF('wk1'!D$5=Pat!$C$25,1,0),IF('wk1'!D68=Pat!B$27,1,0)),1,0)+IF(AND(IF('wk1'!E$5=Pat!$C$25,1,0),IF('wk1'!E68=Pat!B$27,1,0)),1,0)+IF(AND(IF('wk1'!F$5=Pat!$C$25,1,0),IF('wk1'!F68=Pat!B$27,1,0)),1,0)+IF(AND(IF('wk1'!G$5=Pat!$C$25,1,0),IF('wk1'!G68=Pat!B$27,1,0)),1,0)</f>
        <v>0</v>
      </c>
      <c r="C86" s="83">
        <f>IF(AND(IF('wk1'!D$5=Pat!$C$25,1,0),IF('wk1'!C68=Pat!C$27,1,0)),1,0)+IF(AND(IF('wk1'!D$5=Pat!$C$25,1,0),IF('wk1'!D68=Pat!C$27,1,0)),1,0)+IF(AND(IF('wk1'!E$5=Pat!$C$25,1,0),IF('wk1'!E68=Pat!C$27,1,0)),1,0)+IF(AND(IF('wk1'!F$5=Pat!$C$25,1,0),IF('wk1'!F68=Pat!C$27,1,0)),1,0)+IF(AND(IF('wk1'!G$5=Pat!$C$25,1,0),IF('wk1'!G68=Pat!C$27,1,0)),1,0)+IF(AND(IF('wk1'!H$5=Pat!$C$25,1,0),IF('wk1'!H68=Pat!C$27,1,0)),1,0)+IF(AND(IF('wk1'!B$5=Pat!$C$25,1,0),IF('wk1'!B68=Pat!C$27,1,0)),1,0)</f>
        <v>0</v>
      </c>
      <c r="D86" s="82">
        <f>IF(AND(IF('wk2'!B$5=Pat!$C$25,1,0),IF('wk2'!B69=Pat!B$27,1,0)),1,0)+IF(AND(IF('wk2'!C$5=Pat!$C$25,1,0),IF('wk2'!C69=Pat!B$27,1,0)),1,0)+IF(AND(IF('wk2'!D$5=Pat!$C$25,1,0),IF('wk2'!D69=Pat!B$27,1,0)),1,0)+IF(AND(IF('wk2'!E$5=Pat!$C$25,1,0),IF('wk2'!E69=Pat!B$27,1,0)),1,0)+IF(AND(IF('wk2'!F$5=Pat!$C$25,1,0),IF('wk2'!F69=Pat!B$27,1,0)),1,0)+IF(AND(IF('wk2'!G$5=Pat!$C$25,1,0),IF('wk2'!G69=Pat!B$27,1,0)),1,0)</f>
        <v>0</v>
      </c>
      <c r="E86" s="83">
        <f>IF(AND(IF('wk2'!C$5=Pat!$C$25,1,0),IF('wk2'!C68=Pat!C$27,1,0)),1,0)+IF(AND(IF('wk2'!D$5=Pat!$C$25,1,0),IF('wk2'!D68=Pat!C$27,1,0)),1,0)+IF(AND(IF('wk2'!E$5=Pat!$C$25,1,0),IF('wk2'!E68=Pat!C$27,1,0)),1,0)+IF(AND(IF('wk2'!F$5=Pat!$C$25,1,0),IF('wk2'!F68=Pat!C$27,1,0)),1,0)+IF(AND(IF('wk2'!G$5=Pat!$C$25,1,0),IF('wk2'!G68=Pat!C$27,1,0)),1,0)+IF(AND(IF('wk2'!H$5=Pat!$C$25,1,0),IF('wk2'!H68=Pat!C$27,1,0)),1,0)+IF(AND(IF('wk2'!B$5=Pat!$C$25,1,0),IF('wk2'!B68=Pat!C$27,1,0)),1,0)</f>
        <v>0</v>
      </c>
      <c r="F86" s="82">
        <f>IF(AND(IF('wk3'!B$5=Pat!$C$25,1,0),IF('wk3'!B69=Pat!B$27,1,0)),1,0)+IF(AND(IF('wk3'!C$5=Pat!$C$25,1,0),IF('wk3'!C69=Pat!B$27,1,0)),1,0)+IF(AND(IF('wk3'!D$5=Pat!$C$25,1,0),IF('wk3'!D69=Pat!B$27,1,0)),1,0)+IF(AND(IF('wk3'!E$5=Pat!$C$25,1,0),IF('wk3'!E69=Pat!B$27,1,0)),1,0)+IF(AND(IF('wk3'!F$5=Pat!$C$25,1,0),IF('wk3'!F69=Pat!B$27,1,0)),1,0)+IF(AND(IF('wk3'!G$5=Pat!$C$25,1,0),IF('wk3'!G69=Pat!B$27,1,0)),1,0)</f>
        <v>0</v>
      </c>
      <c r="G86" s="83">
        <f>IF(AND(IF('wk3'!C$5=Pat!$C$25,1,0),IF('wk3'!C68=Pat!C$27,1,0)),1,0)+IF(AND(IF('wk3'!D$5=Pat!$C$25,1,0),IF('wk3'!D68=Pat!C$27,1,0)),1,0)+IF(AND(IF('wk3'!E$5=Pat!$C$25,1,0),IF('wk3'!E68=Pat!C$27,1,0)),1,0)+IF(AND(IF('wk3'!F$5=Pat!$C$25,1,0),IF('wk3'!F68=Pat!C$27,1,0)),1,0)+IF(AND(IF('wk3'!G$5=Pat!$C$25,1,0),IF('wk3'!G68=Pat!C$27,1,0)),1,0)+IF(AND(IF('wk3'!H$5=Pat!$C$25,1,0),IF('wk3'!H68=Pat!C$27,1,0)),1,0)+IF(AND(IF('wk3'!B$5=Pat!$C$25,1,0),IF('wk3'!B68=Pat!C$27,1,0)),1,0)</f>
        <v>0</v>
      </c>
      <c r="H86" s="82">
        <f>IF(AND(IF('wk4'!B$5=Pat!$C$25,1,0),IF('wk4'!B69=Pat!B$27,1,0)),1,0)+IF(AND(IF('wk4'!C$5=Pat!$C$25,1,0),IF('wk4'!C69=Pat!B$27,1,0)),1,0)+IF(AND(IF('wk4'!D$5=Pat!$C$25,1,0),IF('wk4'!D69=Pat!B$27,1,0)),1,0)+IF(AND(IF('wk4'!E$5=Pat!$C$25,1,0),IF('wk4'!E69=Pat!B$27,1,0)),1,0)+IF(AND(IF('wk4'!F$5=Pat!$C$25,1,0),IF('wk4'!F69=Pat!B$27,1,0)),1,0)+IF(AND(IF('wk4'!G$5=Pat!$C$25,1,0),IF('wk4'!G69=Pat!B$27,1,0)),1,0)</f>
        <v>0</v>
      </c>
      <c r="I86" s="83">
        <f>IF(AND(IF('wk4'!C$5=Pat!$C$25,1,0),IF('wk4'!C68=Pat!C$27,1,0)),1,0)+IF(AND(IF('wk4'!D$5=Pat!$C$25,1,0),IF('wk4'!D68=Pat!C$27,1,0)),1,0)+IF(AND(IF('wk4'!E$5=Pat!$C$25,1,0),IF('wk4'!E68=Pat!C$27,1,0)),1,0)+IF(AND(IF('wk4'!F$5=Pat!$C$25,1,0),IF('wk4'!F68=Pat!C$27,1,0)),1,0)+IF(AND(IF('wk4'!G$5=Pat!$C$25,1,0),IF('wk4'!G68=Pat!C$27,1,0)),1,0)+IF(AND(IF('wk4'!H$5=Pat!$C$25,1,0),IF('wk4'!H68=Pat!C$27,1,0)),1,0)+IF(AND(IF('wk4'!B$5=Pat!$C$25,1,0),IF('wk4'!B68=Pat!C$27,1,0)),1,0)</f>
        <v>0</v>
      </c>
      <c r="J86" s="84">
        <f>IF(AND(IF('wk5'!B$5=Pat!$C$25,1,0),IF('wk5'!B69=Pat!B$27,1,0)),1,0)+IF(AND(IF('wk5'!C$5=Pat!$C$25,1,0),IF('wk5'!C69=Pat!B$27,1,0)),1,0)+IF(AND(IF('wk5'!D$5=Pat!$C$25,1,0),IF('wk5'!D69=Pat!B$27,1,0)),1,0)+IF(AND(IF('wk5'!E$5=Pat!$C$25,1,0),IF('wk5'!E69=Pat!B$27,1,0)),1,0)+IF(AND(IF('wk5'!F$5=Pat!$C$25,1,0),IF('wk5'!F69=Pat!B$27,1,0)),1,0)+IF(AND(IF('wk5'!G$5=Pat!$C$25,1,0),IF('wk5'!G69=Pat!B$27,1,0)),1,0)</f>
        <v>0</v>
      </c>
      <c r="K86" s="85">
        <f>IF(AND(IF('wk5'!C$5=Pat!$C$25,1,0),IF('wk5'!C68=Pat!C$27,1,0)),1,0)+IF(AND(IF('wk5'!D$5=Pat!$C$25,1,0),IF('wk5'!D68=Pat!C$27,1,0)),1,0)+IF(AND(IF('wk5'!E$5=Pat!$C$25,1,0),IF('wk5'!E68=Pat!C$27,1,0)),1,0)+IF(AND(IF('wk5'!F$5=Pat!$C$25,1,0),IF('wk5'!F68=Pat!C$27,1,0)),1,0)+IF(AND(IF('wk5'!G$5=Pat!$C$25,1,0),IF('wk5'!G68=Pat!C$27,1,0)),1,0)+IF(AND(IF('wk5'!H$5=Pat!$C$25,1,0),IF('wk5'!H68=Pat!C$27,1,0)),1,0)+IF(AND(IF('wk5'!B$5=Pat!$C$25,1,0),IF('wk5'!B68=Pat!C$27,1,0)),1,0)</f>
        <v>0</v>
      </c>
      <c r="L86" s="79"/>
      <c r="M86" s="79">
        <f t="shared" si="2"/>
        <v>0</v>
      </c>
      <c r="N86" s="81">
        <f t="shared" si="3"/>
        <v>0</v>
      </c>
    </row>
    <row r="87" spans="1:14" ht="13.5" thickBot="1">
      <c r="A87" s="89" t="str">
        <f>'Members Data'!A61</f>
        <v>Svicane</v>
      </c>
      <c r="B87" s="82">
        <f>IF(AND(IF('wk1'!B$5=Pat!$C$25,1,0),IF('wk1'!B69=Pat!B$27,1,0)),1,0)+IF(AND(IF('wk1'!D$5=Pat!$C$25,1,0),IF('wk1'!C69=Pat!B$27,1,0)),1,0)+IF(AND(IF('wk1'!D$5=Pat!$C$25,1,0),IF('wk1'!D69=Pat!B$27,1,0)),1,0)+IF(AND(IF('wk1'!E$5=Pat!$C$25,1,0),IF('wk1'!E69=Pat!B$27,1,0)),1,0)+IF(AND(IF('wk1'!F$5=Pat!$C$25,1,0),IF('wk1'!F69=Pat!B$27,1,0)),1,0)+IF(AND(IF('wk1'!G$5=Pat!$C$25,1,0),IF('wk1'!G69=Pat!B$27,1,0)),1,0)</f>
        <v>0</v>
      </c>
      <c r="C87" s="83">
        <f>IF(AND(IF('wk1'!D$5=Pat!$C$25,1,0),IF('wk1'!C69=Pat!C$27,1,0)),1,0)+IF(AND(IF('wk1'!D$5=Pat!$C$25,1,0),IF('wk1'!D69=Pat!C$27,1,0)),1,0)+IF(AND(IF('wk1'!E$5=Pat!$C$25,1,0),IF('wk1'!E69=Pat!C$27,1,0)),1,0)+IF(AND(IF('wk1'!F$5=Pat!$C$25,1,0),IF('wk1'!F69=Pat!C$27,1,0)),1,0)+IF(AND(IF('wk1'!G$5=Pat!$C$25,1,0),IF('wk1'!G69=Pat!C$27,1,0)),1,0)+IF(AND(IF('wk1'!H$5=Pat!$C$25,1,0),IF('wk1'!H69=Pat!C$27,1,0)),1,0)+IF(AND(IF('wk1'!B$5=Pat!$C$25,1,0),IF('wk1'!B69=Pat!C$27,1,0)),1,0)</f>
        <v>0</v>
      </c>
      <c r="D87" s="82">
        <f>IF(AND(IF('wk2'!B$5=Pat!$C$25,1,0),IF('wk2'!B70=Pat!B$27,1,0)),1,0)+IF(AND(IF('wk2'!C$5=Pat!$C$25,1,0),IF('wk2'!C70=Pat!B$27,1,0)),1,0)+IF(AND(IF('wk2'!D$5=Pat!$C$25,1,0),IF('wk2'!D70=Pat!B$27,1,0)),1,0)+IF(AND(IF('wk2'!E$5=Pat!$C$25,1,0),IF('wk2'!E70=Pat!B$27,1,0)),1,0)+IF(AND(IF('wk2'!F$5=Pat!$C$25,1,0),IF('wk2'!F70=Pat!B$27,1,0)),1,0)+IF(AND(IF('wk2'!G$5=Pat!$C$25,1,0),IF('wk2'!G70=Pat!B$27,1,0)),1,0)</f>
        <v>0</v>
      </c>
      <c r="E87" s="83">
        <f>IF(AND(IF('wk2'!C$5=Pat!$C$25,1,0),IF('wk2'!C69=Pat!C$27,1,0)),1,0)+IF(AND(IF('wk2'!D$5=Pat!$C$25,1,0),IF('wk2'!D69=Pat!C$27,1,0)),1,0)+IF(AND(IF('wk2'!E$5=Pat!$C$25,1,0),IF('wk2'!E69=Pat!C$27,1,0)),1,0)+IF(AND(IF('wk2'!F$5=Pat!$C$25,1,0),IF('wk2'!F69=Pat!C$27,1,0)),1,0)+IF(AND(IF('wk2'!G$5=Pat!$C$25,1,0),IF('wk2'!G69=Pat!C$27,1,0)),1,0)+IF(AND(IF('wk2'!H$5=Pat!$C$25,1,0),IF('wk2'!H69=Pat!C$27,1,0)),1,0)+IF(AND(IF('wk2'!B$5=Pat!$C$25,1,0),IF('wk2'!B69=Pat!C$27,1,0)),1,0)</f>
        <v>0</v>
      </c>
      <c r="F87" s="82">
        <f>IF(AND(IF('wk3'!B$5=Pat!$C$25,1,0),IF('wk3'!B70=Pat!B$27,1,0)),1,0)+IF(AND(IF('wk3'!C$5=Pat!$C$25,1,0),IF('wk3'!C70=Pat!B$27,1,0)),1,0)+IF(AND(IF('wk3'!D$5=Pat!$C$25,1,0),IF('wk3'!D70=Pat!B$27,1,0)),1,0)+IF(AND(IF('wk3'!E$5=Pat!$C$25,1,0),IF('wk3'!E70=Pat!B$27,1,0)),1,0)+IF(AND(IF('wk3'!F$5=Pat!$C$25,1,0),IF('wk3'!F70=Pat!B$27,1,0)),1,0)+IF(AND(IF('wk3'!G$5=Pat!$C$25,1,0),IF('wk3'!G70=Pat!B$27,1,0)),1,0)</f>
        <v>0</v>
      </c>
      <c r="G87" s="83">
        <f>IF(AND(IF('wk3'!C$5=Pat!$C$25,1,0),IF('wk3'!C69=Pat!C$27,1,0)),1,0)+IF(AND(IF('wk3'!D$5=Pat!$C$25,1,0),IF('wk3'!D69=Pat!C$27,1,0)),1,0)+IF(AND(IF('wk3'!E$5=Pat!$C$25,1,0),IF('wk3'!E69=Pat!C$27,1,0)),1,0)+IF(AND(IF('wk3'!F$5=Pat!$C$25,1,0),IF('wk3'!F69=Pat!C$27,1,0)),1,0)+IF(AND(IF('wk3'!G$5=Pat!$C$25,1,0),IF('wk3'!G69=Pat!C$27,1,0)),1,0)+IF(AND(IF('wk3'!H$5=Pat!$C$25,1,0),IF('wk3'!H69=Pat!C$27,1,0)),1,0)+IF(AND(IF('wk3'!B$5=Pat!$C$25,1,0),IF('wk3'!B69=Pat!C$27,1,0)),1,0)</f>
        <v>0</v>
      </c>
      <c r="H87" s="82">
        <f>IF(AND(IF('wk4'!B$5=Pat!$C$25,1,0),IF('wk4'!B70=Pat!B$27,1,0)),1,0)+IF(AND(IF('wk4'!C$5=Pat!$C$25,1,0),IF('wk4'!C70=Pat!B$27,1,0)),1,0)+IF(AND(IF('wk4'!D$5=Pat!$C$25,1,0),IF('wk4'!D70=Pat!B$27,1,0)),1,0)+IF(AND(IF('wk4'!E$5=Pat!$C$25,1,0),IF('wk4'!E70=Pat!B$27,1,0)),1,0)+IF(AND(IF('wk4'!F$5=Pat!$C$25,1,0),IF('wk4'!F70=Pat!B$27,1,0)),1,0)+IF(AND(IF('wk4'!G$5=Pat!$C$25,1,0),IF('wk4'!G70=Pat!B$27,1,0)),1,0)</f>
        <v>0</v>
      </c>
      <c r="I87" s="83">
        <f>IF(AND(IF('wk4'!C$5=Pat!$C$25,1,0),IF('wk4'!C69=Pat!C$27,1,0)),1,0)+IF(AND(IF('wk4'!D$5=Pat!$C$25,1,0),IF('wk4'!D69=Pat!C$27,1,0)),1,0)+IF(AND(IF('wk4'!E$5=Pat!$C$25,1,0),IF('wk4'!E69=Pat!C$27,1,0)),1,0)+IF(AND(IF('wk4'!F$5=Pat!$C$25,1,0),IF('wk4'!F69=Pat!C$27,1,0)),1,0)+IF(AND(IF('wk4'!G$5=Pat!$C$25,1,0),IF('wk4'!G69=Pat!C$27,1,0)),1,0)+IF(AND(IF('wk4'!H$5=Pat!$C$25,1,0),IF('wk4'!H69=Pat!C$27,1,0)),1,0)+IF(AND(IF('wk4'!B$5=Pat!$C$25,1,0),IF('wk4'!B69=Pat!C$27,1,0)),1,0)</f>
        <v>0</v>
      </c>
      <c r="J87" s="84">
        <f>IF(AND(IF('wk5'!B$5=Pat!$C$25,1,0),IF('wk5'!B70=Pat!B$27,1,0)),1,0)+IF(AND(IF('wk5'!C$5=Pat!$C$25,1,0),IF('wk5'!C70=Pat!B$27,1,0)),1,0)+IF(AND(IF('wk5'!D$5=Pat!$C$25,1,0),IF('wk5'!D70=Pat!B$27,1,0)),1,0)+IF(AND(IF('wk5'!E$5=Pat!$C$25,1,0),IF('wk5'!E70=Pat!B$27,1,0)),1,0)+IF(AND(IF('wk5'!F$5=Pat!$C$25,1,0),IF('wk5'!F70=Pat!B$27,1,0)),1,0)+IF(AND(IF('wk5'!G$5=Pat!$C$25,1,0),IF('wk5'!G70=Pat!B$27,1,0)),1,0)</f>
        <v>0</v>
      </c>
      <c r="K87" s="85">
        <f>IF(AND(IF('wk5'!C$5=Pat!$C$25,1,0),IF('wk5'!C69=Pat!C$27,1,0)),1,0)+IF(AND(IF('wk5'!D$5=Pat!$C$25,1,0),IF('wk5'!D69=Pat!C$27,1,0)),1,0)+IF(AND(IF('wk5'!E$5=Pat!$C$25,1,0),IF('wk5'!E69=Pat!C$27,1,0)),1,0)+IF(AND(IF('wk5'!F$5=Pat!$C$25,1,0),IF('wk5'!F69=Pat!C$27,1,0)),1,0)+IF(AND(IF('wk5'!G$5=Pat!$C$25,1,0),IF('wk5'!G69=Pat!C$27,1,0)),1,0)+IF(AND(IF('wk5'!H$5=Pat!$C$25,1,0),IF('wk5'!H69=Pat!C$27,1,0)),1,0)+IF(AND(IF('wk5'!B$5=Pat!$C$25,1,0),IF('wk5'!B69=Pat!C$27,1,0)),1,0)</f>
        <v>0</v>
      </c>
      <c r="L87" s="90"/>
      <c r="M87" s="90">
        <f t="shared" si="2"/>
        <v>0</v>
      </c>
      <c r="N87" s="91">
        <f t="shared" si="3"/>
        <v>0</v>
      </c>
    </row>
    <row r="88" spans="1:14" ht="13.5" thickTop="1">
      <c r="G88" s="87"/>
      <c r="H88" s="87"/>
      <c r="I88" s="87"/>
      <c r="J88" s="87"/>
      <c r="K88" s="87"/>
    </row>
    <row r="89" spans="1:14">
      <c r="G89" s="87"/>
      <c r="H89" s="87"/>
      <c r="I89" s="87"/>
      <c r="J89" s="87"/>
      <c r="K89" s="87"/>
    </row>
    <row r="90" spans="1:14">
      <c r="G90" s="87"/>
      <c r="H90" s="87"/>
      <c r="I90" s="87"/>
      <c r="J90" s="87"/>
      <c r="K90" s="87"/>
    </row>
    <row r="91" spans="1:14">
      <c r="G91" s="87"/>
      <c r="H91" s="87"/>
      <c r="I91" s="87"/>
      <c r="J91" s="87"/>
      <c r="K91" s="87"/>
    </row>
    <row r="92" spans="1:14">
      <c r="G92" s="87"/>
      <c r="H92" s="87"/>
      <c r="I92" s="87"/>
      <c r="J92" s="87"/>
      <c r="K92" s="87"/>
    </row>
    <row r="93" spans="1:14">
      <c r="G93" s="87"/>
      <c r="H93" s="87"/>
      <c r="I93" s="87"/>
      <c r="J93" s="87"/>
      <c r="K93" s="87"/>
    </row>
    <row r="94" spans="1:14">
      <c r="G94" s="87"/>
      <c r="H94" s="87"/>
      <c r="I94" s="87"/>
      <c r="J94" s="87"/>
      <c r="K94" s="87"/>
    </row>
    <row r="95" spans="1:14">
      <c r="D95" s="87"/>
      <c r="F95" s="87"/>
      <c r="G95" s="87"/>
      <c r="H95" s="87"/>
      <c r="I95" s="87"/>
      <c r="J95" s="87"/>
      <c r="K95" s="87"/>
    </row>
    <row r="96" spans="1:14">
      <c r="D96" s="87"/>
      <c r="F96" s="87"/>
      <c r="G96" s="87"/>
      <c r="H96" s="87"/>
      <c r="I96" s="87"/>
      <c r="J96" s="87"/>
      <c r="K96" s="87"/>
    </row>
    <row r="97" spans="4:11">
      <c r="D97" s="87"/>
      <c r="F97" s="87"/>
      <c r="G97" s="87"/>
      <c r="H97" s="87"/>
      <c r="I97" s="87"/>
      <c r="J97" s="87"/>
      <c r="K97" s="87"/>
    </row>
    <row r="98" spans="4:11">
      <c r="D98" s="87"/>
      <c r="E98" s="88"/>
      <c r="F98" s="87"/>
      <c r="G98" s="87"/>
      <c r="H98" s="87"/>
      <c r="I98" s="87"/>
      <c r="J98" s="87"/>
      <c r="K98" s="87"/>
    </row>
    <row r="99" spans="4:11">
      <c r="D99" s="87"/>
      <c r="E99" s="88"/>
      <c r="H99" s="87"/>
      <c r="I99" s="87"/>
      <c r="J99" s="87"/>
      <c r="K99" s="87"/>
    </row>
    <row r="100" spans="4:11">
      <c r="D100" s="87"/>
      <c r="E100" s="88"/>
      <c r="H100" s="87"/>
      <c r="I100" s="87"/>
      <c r="J100" s="87"/>
      <c r="K100" s="87"/>
    </row>
    <row r="101" spans="4:11">
      <c r="D101" s="87"/>
      <c r="E101" s="88"/>
      <c r="H101" s="87"/>
      <c r="I101" s="87"/>
      <c r="J101" s="87"/>
      <c r="K101" s="87"/>
    </row>
    <row r="102" spans="4:11">
      <c r="D102" s="87"/>
      <c r="E102" s="88"/>
      <c r="H102" s="87"/>
      <c r="I102" s="87"/>
      <c r="J102" s="87"/>
      <c r="K102" s="87"/>
    </row>
    <row r="103" spans="4:11">
      <c r="D103" s="87"/>
      <c r="E103" s="88"/>
      <c r="H103" s="87"/>
      <c r="I103" s="87"/>
      <c r="J103" s="87"/>
      <c r="K103" s="87"/>
    </row>
    <row r="104" spans="4:11">
      <c r="D104" s="87"/>
      <c r="E104" s="88"/>
      <c r="H104" s="87"/>
      <c r="I104" s="87"/>
      <c r="J104" s="87"/>
      <c r="K104" s="87"/>
    </row>
    <row r="105" spans="4:11">
      <c r="D105" s="87"/>
      <c r="H105" s="87"/>
      <c r="I105" s="87"/>
      <c r="J105" s="87"/>
      <c r="K105" s="87"/>
    </row>
    <row r="106" spans="4:11">
      <c r="D106" s="87"/>
      <c r="H106" s="87"/>
      <c r="I106" s="87"/>
      <c r="J106" s="87"/>
      <c r="K106" s="87"/>
    </row>
    <row r="107" spans="4:11">
      <c r="D107" s="87"/>
      <c r="H107" s="87"/>
      <c r="I107" s="87"/>
      <c r="J107" s="87"/>
      <c r="K107" s="87"/>
    </row>
    <row r="108" spans="4:11">
      <c r="H108" s="87"/>
      <c r="I108" s="87"/>
      <c r="J108" s="87"/>
      <c r="K108" s="87"/>
    </row>
    <row r="109" spans="4:11">
      <c r="H109" s="87"/>
      <c r="I109" s="87"/>
      <c r="J109" s="87"/>
      <c r="K109" s="87"/>
    </row>
    <row r="110" spans="4:11">
      <c r="H110" s="87"/>
      <c r="I110" s="87"/>
      <c r="J110" s="87"/>
      <c r="K110" s="87"/>
    </row>
    <row r="111" spans="4:11">
      <c r="H111" s="87"/>
      <c r="I111" s="87"/>
      <c r="J111" s="87"/>
      <c r="K111" s="87"/>
    </row>
    <row r="112" spans="4:11">
      <c r="D112" s="87"/>
      <c r="E112" s="88"/>
      <c r="H112" s="87"/>
      <c r="I112" s="87"/>
      <c r="J112" s="87"/>
      <c r="K112" s="87"/>
    </row>
    <row r="113" spans="4:11">
      <c r="D113" s="87"/>
      <c r="E113" s="88"/>
      <c r="H113" s="87"/>
      <c r="I113" s="87"/>
      <c r="J113" s="87"/>
      <c r="K113" s="87"/>
    </row>
    <row r="114" spans="4:11">
      <c r="D114" s="87"/>
      <c r="E114" s="88"/>
      <c r="H114" s="87"/>
      <c r="I114" s="87"/>
      <c r="J114" s="87"/>
      <c r="K114" s="87"/>
    </row>
    <row r="115" spans="4:11">
      <c r="D115" s="87"/>
      <c r="E115" s="88"/>
      <c r="H115" s="87"/>
      <c r="I115" s="87"/>
      <c r="J115" s="87"/>
      <c r="K115" s="87"/>
    </row>
    <row r="116" spans="4:11">
      <c r="D116" s="87"/>
      <c r="H116" s="87"/>
      <c r="I116" s="87"/>
      <c r="J116" s="87"/>
      <c r="K116" s="87"/>
    </row>
    <row r="117" spans="4:11">
      <c r="D117" s="87"/>
      <c r="H117" s="87"/>
      <c r="I117" s="87"/>
      <c r="J117" s="87"/>
      <c r="K117" s="87"/>
    </row>
    <row r="118" spans="4:11">
      <c r="D118" s="87"/>
      <c r="H118" s="87"/>
      <c r="I118" s="87"/>
      <c r="J118" s="87"/>
      <c r="K118" s="87"/>
    </row>
    <row r="119" spans="4:11">
      <c r="D119" s="87"/>
      <c r="H119" s="87"/>
      <c r="I119" s="87"/>
      <c r="J119" s="87"/>
      <c r="K119" s="87"/>
    </row>
    <row r="120" spans="4:11">
      <c r="H120" s="87"/>
      <c r="I120" s="87"/>
      <c r="J120" s="87"/>
      <c r="K120" s="87"/>
    </row>
    <row r="121" spans="4:11">
      <c r="H121" s="87"/>
      <c r="I121" s="87"/>
      <c r="J121" s="87"/>
      <c r="K121" s="87"/>
    </row>
    <row r="122" spans="4:11">
      <c r="H122" s="87"/>
      <c r="I122" s="87"/>
      <c r="J122" s="87"/>
      <c r="K122" s="87"/>
    </row>
    <row r="123" spans="4:11">
      <c r="H123" s="87"/>
      <c r="I123" s="87"/>
      <c r="J123" s="87"/>
      <c r="K123" s="87"/>
    </row>
    <row r="124" spans="4:11">
      <c r="H124" s="87"/>
      <c r="I124" s="87"/>
      <c r="J124" s="87"/>
      <c r="K124" s="87"/>
    </row>
    <row r="125" spans="4:11">
      <c r="H125" s="87"/>
      <c r="I125" s="87"/>
      <c r="J125" s="87"/>
      <c r="K125" s="87"/>
    </row>
    <row r="126" spans="4:11">
      <c r="H126" s="87"/>
      <c r="I126" s="87"/>
      <c r="J126" s="87"/>
      <c r="K126" s="87"/>
    </row>
    <row r="127" spans="4:11">
      <c r="H127" s="87"/>
      <c r="I127" s="87"/>
      <c r="J127" s="87"/>
      <c r="K127" s="87"/>
    </row>
    <row r="128" spans="4:11">
      <c r="H128" s="87"/>
      <c r="I128" s="87"/>
      <c r="J128" s="87"/>
      <c r="K128" s="87"/>
    </row>
    <row r="129" spans="8:11">
      <c r="H129" s="87"/>
      <c r="I129" s="87"/>
      <c r="J129" s="87"/>
      <c r="K129" s="87"/>
    </row>
    <row r="130" spans="8:11">
      <c r="H130" s="87"/>
      <c r="I130" s="87"/>
      <c r="J130" s="87"/>
      <c r="K130" s="87"/>
    </row>
    <row r="131" spans="8:11">
      <c r="H131" s="87"/>
      <c r="I131" s="87"/>
      <c r="J131" s="87"/>
      <c r="K131" s="87"/>
    </row>
    <row r="132" spans="8:11">
      <c r="H132" s="87"/>
      <c r="I132" s="87"/>
      <c r="J132" s="87"/>
      <c r="K132" s="87"/>
    </row>
    <row r="133" spans="8:11">
      <c r="H133" s="87"/>
      <c r="I133" s="87"/>
      <c r="J133" s="87"/>
      <c r="K133" s="87"/>
    </row>
    <row r="134" spans="8:11">
      <c r="H134" s="87"/>
      <c r="I134" s="87"/>
      <c r="J134" s="87"/>
      <c r="K134" s="87"/>
    </row>
    <row r="135" spans="8:11">
      <c r="H135" s="87"/>
      <c r="I135" s="87"/>
      <c r="J135" s="87"/>
      <c r="K135" s="87"/>
    </row>
    <row r="136" spans="8:11">
      <c r="H136" s="87"/>
      <c r="I136" s="87"/>
      <c r="J136" s="87"/>
      <c r="K136" s="87"/>
    </row>
  </sheetData>
  <mergeCells count="7">
    <mergeCell ref="M26:N26"/>
    <mergeCell ref="C25:D25"/>
    <mergeCell ref="B26:C26"/>
    <mergeCell ref="D26:E26"/>
    <mergeCell ref="F26:G26"/>
    <mergeCell ref="H26:I26"/>
    <mergeCell ref="J26:K26"/>
  </mergeCells>
  <pageMargins left="0.78749999999999998" right="0.78749999999999998" top="1.0527777777777778" bottom="1.0527777777777778" header="0.78749999999999998" footer="0.78749999999999998"/>
  <pageSetup paperSize="9" firstPageNumber="0" orientation="portrait" horizontalDpi="300" verticalDpi="300"/>
  <headerFooter alignWithMargins="0">
    <oddHeader>&amp;C&amp;"Times New Roman,Regular"&amp;12&amp;A</oddHeader>
    <oddFooter>&amp;C&amp;"Times New Roman,Regular"&amp;12Page &amp;P</oddFooter>
  </headerFooter>
  <drawing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:AQ51"/>
  <sheetViews>
    <sheetView zoomScale="101" zoomScaleNormal="101" workbookViewId="0">
      <selection activeCell="E9" sqref="E9"/>
    </sheetView>
  </sheetViews>
  <sheetFormatPr defaultRowHeight="12.75"/>
  <cols>
    <col min="2" max="2" width="12.7109375" customWidth="1"/>
    <col min="4" max="4" width="4.85546875" customWidth="1"/>
    <col min="5" max="5" width="4.5703125" customWidth="1"/>
    <col min="6" max="8" width="4.85546875" customWidth="1"/>
    <col min="9" max="9" width="4.5703125" customWidth="1"/>
    <col min="10" max="11" width="5" customWidth="1"/>
    <col min="12" max="12" width="5.42578125" customWidth="1"/>
    <col min="13" max="13" width="4.5703125" customWidth="1"/>
    <col min="14" max="14" width="4.28515625" customWidth="1"/>
    <col min="15" max="15" width="4.5703125" customWidth="1"/>
    <col min="16" max="16" width="5" customWidth="1"/>
    <col min="17" max="17" width="4.85546875" customWidth="1"/>
    <col min="18" max="18" width="4.5703125" customWidth="1"/>
    <col min="19" max="19" width="5.5703125" customWidth="1"/>
    <col min="20" max="20" width="4.5703125" customWidth="1"/>
    <col min="21" max="21" width="5" customWidth="1"/>
    <col min="22" max="22" width="4.85546875" customWidth="1"/>
    <col min="23" max="23" width="4.5703125" customWidth="1"/>
    <col min="24" max="24" width="4.28515625" customWidth="1"/>
    <col min="25" max="25" width="4.5703125" customWidth="1"/>
    <col min="26" max="26" width="5" customWidth="1"/>
    <col min="27" max="27" width="4.85546875" customWidth="1"/>
    <col min="28" max="28" width="4.5703125" customWidth="1"/>
    <col min="29" max="29" width="4.28515625" customWidth="1"/>
    <col min="30" max="30" width="4.5703125" customWidth="1"/>
    <col min="31" max="31" width="5" customWidth="1"/>
    <col min="32" max="32" width="4.85546875" customWidth="1"/>
    <col min="33" max="33" width="5.140625" customWidth="1"/>
    <col min="34" max="34" width="4.5703125" customWidth="1"/>
    <col min="35" max="35" width="5.5703125" customWidth="1"/>
    <col min="36" max="36" width="5.42578125" customWidth="1"/>
    <col min="37" max="37" width="5.140625" customWidth="1"/>
    <col min="38" max="38" width="3.7109375" customWidth="1"/>
    <col min="39" max="39" width="4.42578125" customWidth="1"/>
    <col min="40" max="40" width="4.85546875" customWidth="1"/>
    <col min="41" max="41" width="5.140625" customWidth="1"/>
    <col min="42" max="42" width="4.5703125" customWidth="1"/>
    <col min="43" max="43" width="5.5703125" customWidth="1"/>
  </cols>
  <sheetData>
    <row r="1" spans="1:43">
      <c r="B1" s="80" t="s">
        <v>42</v>
      </c>
      <c r="D1" s="543" t="s">
        <v>37</v>
      </c>
      <c r="E1" s="543"/>
      <c r="F1" s="543"/>
      <c r="G1" s="543"/>
      <c r="H1" s="543"/>
      <c r="I1" s="543"/>
      <c r="J1" s="543"/>
      <c r="K1" s="543"/>
      <c r="L1" s="543" t="s">
        <v>38</v>
      </c>
      <c r="M1" s="543"/>
      <c r="N1" s="543"/>
      <c r="O1" s="543"/>
      <c r="P1" s="543"/>
      <c r="Q1" s="543"/>
      <c r="R1" s="543"/>
      <c r="S1" s="543"/>
      <c r="T1" s="543" t="s">
        <v>39</v>
      </c>
      <c r="U1" s="543"/>
      <c r="V1" s="543"/>
      <c r="W1" s="543"/>
      <c r="X1" s="543"/>
      <c r="Y1" s="543"/>
      <c r="Z1" s="543"/>
      <c r="AA1" s="543"/>
      <c r="AB1" s="543" t="s">
        <v>40</v>
      </c>
      <c r="AC1" s="543"/>
      <c r="AD1" s="543"/>
      <c r="AE1" s="543"/>
      <c r="AF1" s="543"/>
      <c r="AG1" s="543"/>
      <c r="AH1" s="543"/>
      <c r="AI1" s="543"/>
      <c r="AJ1" s="543" t="s">
        <v>41</v>
      </c>
      <c r="AK1" s="543"/>
      <c r="AL1" s="543"/>
      <c r="AM1" s="543"/>
      <c r="AN1" s="543"/>
      <c r="AO1" s="543"/>
      <c r="AP1" s="543"/>
      <c r="AQ1" s="543"/>
    </row>
    <row r="2" spans="1:43">
      <c r="D2" s="92" t="s">
        <v>43</v>
      </c>
      <c r="E2" s="93" t="s">
        <v>44</v>
      </c>
      <c r="F2" s="93" t="s">
        <v>45</v>
      </c>
      <c r="G2" s="93" t="s">
        <v>46</v>
      </c>
      <c r="H2" s="93" t="s">
        <v>47</v>
      </c>
      <c r="I2" s="93" t="s">
        <v>48</v>
      </c>
      <c r="J2" s="94" t="s">
        <v>49</v>
      </c>
      <c r="K2" s="80" t="s">
        <v>4</v>
      </c>
      <c r="L2" s="92" t="s">
        <v>43</v>
      </c>
      <c r="M2" s="93" t="s">
        <v>44</v>
      </c>
      <c r="N2" s="93" t="s">
        <v>45</v>
      </c>
      <c r="O2" s="93" t="s">
        <v>46</v>
      </c>
      <c r="P2" s="93" t="s">
        <v>47</v>
      </c>
      <c r="Q2" s="93" t="s">
        <v>48</v>
      </c>
      <c r="R2" s="94" t="s">
        <v>49</v>
      </c>
      <c r="S2" s="80" t="s">
        <v>4</v>
      </c>
      <c r="T2" s="92" t="s">
        <v>43</v>
      </c>
      <c r="U2" s="93" t="s">
        <v>44</v>
      </c>
      <c r="V2" s="93" t="s">
        <v>45</v>
      </c>
      <c r="W2" s="93" t="s">
        <v>46</v>
      </c>
      <c r="X2" s="93" t="s">
        <v>47</v>
      </c>
      <c r="Y2" s="93" t="s">
        <v>48</v>
      </c>
      <c r="Z2" s="94" t="s">
        <v>49</v>
      </c>
      <c r="AA2" s="80" t="s">
        <v>4</v>
      </c>
      <c r="AB2" s="92" t="s">
        <v>43</v>
      </c>
      <c r="AC2" s="93" t="s">
        <v>44</v>
      </c>
      <c r="AD2" s="93" t="s">
        <v>45</v>
      </c>
      <c r="AE2" s="93" t="s">
        <v>46</v>
      </c>
      <c r="AF2" s="93" t="s">
        <v>47</v>
      </c>
      <c r="AG2" s="93" t="s">
        <v>48</v>
      </c>
      <c r="AH2" s="94" t="s">
        <v>49</v>
      </c>
      <c r="AI2" s="80" t="s">
        <v>4</v>
      </c>
      <c r="AJ2" s="92" t="s">
        <v>43</v>
      </c>
      <c r="AK2" s="93" t="s">
        <v>44</v>
      </c>
      <c r="AL2" s="93" t="s">
        <v>45</v>
      </c>
      <c r="AM2" s="93" t="s">
        <v>46</v>
      </c>
      <c r="AN2" s="93" t="s">
        <v>47</v>
      </c>
      <c r="AO2" s="93" t="s">
        <v>48</v>
      </c>
      <c r="AP2" s="94" t="s">
        <v>49</v>
      </c>
      <c r="AQ2" s="80" t="s">
        <v>4</v>
      </c>
    </row>
    <row r="3" spans="1:43">
      <c r="D3" s="95"/>
      <c r="E3" s="95"/>
      <c r="F3" s="95"/>
      <c r="G3" s="95"/>
      <c r="H3" s="95"/>
      <c r="I3" s="95"/>
      <c r="J3" s="95"/>
      <c r="K3" s="95"/>
      <c r="L3" s="95"/>
      <c r="M3" s="95"/>
      <c r="N3" s="95"/>
      <c r="O3" s="95"/>
      <c r="P3" s="95"/>
      <c r="Q3" s="95"/>
      <c r="R3" s="95"/>
      <c r="S3" s="95"/>
      <c r="T3" s="95"/>
      <c r="U3" s="95"/>
      <c r="V3" s="95"/>
      <c r="W3" s="95"/>
      <c r="X3" s="95"/>
      <c r="Y3" s="95"/>
      <c r="Z3" s="95"/>
      <c r="AA3" s="95"/>
      <c r="AB3" s="95"/>
      <c r="AC3" s="95"/>
      <c r="AD3" s="95"/>
      <c r="AE3" s="95"/>
      <c r="AF3" s="95"/>
      <c r="AG3" s="95"/>
      <c r="AH3" s="95"/>
      <c r="AI3" s="95"/>
      <c r="AJ3" s="95"/>
      <c r="AK3" s="95"/>
      <c r="AL3" s="95"/>
      <c r="AM3" s="95"/>
      <c r="AN3" s="95"/>
      <c r="AO3" s="95"/>
      <c r="AP3" s="95"/>
      <c r="AQ3" s="95"/>
    </row>
    <row r="4" spans="1:43">
      <c r="A4" s="96" t="s">
        <v>8</v>
      </c>
      <c r="B4" s="97">
        <f>B9+B13+B30+B50+B25</f>
        <v>6</v>
      </c>
      <c r="D4" s="96">
        <f t="shared" ref="D4:AQ4" si="0">D9+D13+D30+D50</f>
        <v>3</v>
      </c>
      <c r="E4" s="98">
        <f t="shared" si="0"/>
        <v>3</v>
      </c>
      <c r="F4" s="99">
        <f t="shared" si="0"/>
        <v>0</v>
      </c>
      <c r="G4" s="99">
        <f t="shared" si="0"/>
        <v>0</v>
      </c>
      <c r="H4" s="98">
        <f t="shared" si="0"/>
        <v>0</v>
      </c>
      <c r="I4" s="98">
        <f t="shared" si="0"/>
        <v>0</v>
      </c>
      <c r="J4" s="99">
        <f t="shared" si="0"/>
        <v>0</v>
      </c>
      <c r="K4" s="100">
        <f t="shared" si="0"/>
        <v>6</v>
      </c>
      <c r="L4" s="98">
        <f t="shared" si="0"/>
        <v>0</v>
      </c>
      <c r="M4" s="98">
        <f t="shared" si="0"/>
        <v>0</v>
      </c>
      <c r="N4" s="99">
        <f t="shared" si="0"/>
        <v>0</v>
      </c>
      <c r="O4" s="99">
        <f t="shared" si="0"/>
        <v>0</v>
      </c>
      <c r="P4" s="98">
        <f t="shared" si="0"/>
        <v>0</v>
      </c>
      <c r="Q4" s="98">
        <f t="shared" si="0"/>
        <v>0</v>
      </c>
      <c r="R4" s="99">
        <f t="shared" si="0"/>
        <v>0</v>
      </c>
      <c r="S4" s="100">
        <f t="shared" si="0"/>
        <v>0</v>
      </c>
      <c r="T4" s="98">
        <f t="shared" si="0"/>
        <v>0</v>
      </c>
      <c r="U4" s="98">
        <f t="shared" si="0"/>
        <v>0</v>
      </c>
      <c r="V4" s="99">
        <f t="shared" si="0"/>
        <v>0</v>
      </c>
      <c r="W4" s="99">
        <f t="shared" si="0"/>
        <v>0</v>
      </c>
      <c r="X4" s="98">
        <f t="shared" si="0"/>
        <v>0</v>
      </c>
      <c r="Y4" s="98">
        <f t="shared" si="0"/>
        <v>0</v>
      </c>
      <c r="Z4" s="99">
        <f t="shared" si="0"/>
        <v>0</v>
      </c>
      <c r="AA4" s="100">
        <f t="shared" si="0"/>
        <v>0</v>
      </c>
      <c r="AB4" s="98">
        <f t="shared" si="0"/>
        <v>0</v>
      </c>
      <c r="AC4" s="98">
        <f t="shared" si="0"/>
        <v>0</v>
      </c>
      <c r="AD4" s="99">
        <f t="shared" si="0"/>
        <v>0</v>
      </c>
      <c r="AE4" s="99">
        <f t="shared" si="0"/>
        <v>0</v>
      </c>
      <c r="AF4" s="98">
        <f t="shared" si="0"/>
        <v>0</v>
      </c>
      <c r="AG4" s="98">
        <f t="shared" si="0"/>
        <v>0</v>
      </c>
      <c r="AH4" s="99">
        <f t="shared" si="0"/>
        <v>0</v>
      </c>
      <c r="AI4" s="100">
        <f t="shared" si="0"/>
        <v>0</v>
      </c>
      <c r="AJ4" s="98">
        <f t="shared" si="0"/>
        <v>0</v>
      </c>
      <c r="AK4" s="98">
        <f t="shared" si="0"/>
        <v>0</v>
      </c>
      <c r="AL4" s="99">
        <f t="shared" si="0"/>
        <v>0</v>
      </c>
      <c r="AM4" s="99">
        <f t="shared" si="0"/>
        <v>0</v>
      </c>
      <c r="AN4" s="98">
        <f t="shared" si="0"/>
        <v>0</v>
      </c>
      <c r="AO4" s="98">
        <f t="shared" si="0"/>
        <v>0</v>
      </c>
      <c r="AP4" s="99">
        <f t="shared" si="0"/>
        <v>0</v>
      </c>
      <c r="AQ4" s="100">
        <f t="shared" si="0"/>
        <v>0</v>
      </c>
    </row>
    <row r="5" spans="1:43">
      <c r="A5" s="101" t="s">
        <v>7</v>
      </c>
      <c r="B5" s="102">
        <f>B16+B32+B36+B44+B27</f>
        <v>14</v>
      </c>
      <c r="D5" s="101">
        <f t="shared" ref="D5:AQ5" si="1">D16+D32+D36+D44</f>
        <v>6</v>
      </c>
      <c r="E5" s="103">
        <f t="shared" si="1"/>
        <v>6</v>
      </c>
      <c r="F5" s="104">
        <f t="shared" si="1"/>
        <v>0</v>
      </c>
      <c r="G5" s="104">
        <f t="shared" si="1"/>
        <v>0</v>
      </c>
      <c r="H5" s="103">
        <f t="shared" si="1"/>
        <v>0</v>
      </c>
      <c r="I5" s="103">
        <f t="shared" si="1"/>
        <v>0</v>
      </c>
      <c r="J5" s="104">
        <f t="shared" si="1"/>
        <v>0</v>
      </c>
      <c r="K5" s="105">
        <f t="shared" si="1"/>
        <v>12</v>
      </c>
      <c r="L5" s="103">
        <f t="shared" si="1"/>
        <v>0</v>
      </c>
      <c r="M5" s="103">
        <f t="shared" si="1"/>
        <v>0</v>
      </c>
      <c r="N5" s="104">
        <f t="shared" si="1"/>
        <v>0</v>
      </c>
      <c r="O5" s="104">
        <f t="shared" si="1"/>
        <v>0</v>
      </c>
      <c r="P5" s="103">
        <f t="shared" si="1"/>
        <v>0</v>
      </c>
      <c r="Q5" s="103">
        <f t="shared" si="1"/>
        <v>0</v>
      </c>
      <c r="R5" s="104">
        <f t="shared" si="1"/>
        <v>0</v>
      </c>
      <c r="S5" s="105">
        <f t="shared" si="1"/>
        <v>0</v>
      </c>
      <c r="T5" s="103">
        <f t="shared" si="1"/>
        <v>0</v>
      </c>
      <c r="U5" s="103">
        <f t="shared" si="1"/>
        <v>0</v>
      </c>
      <c r="V5" s="104">
        <f t="shared" si="1"/>
        <v>0</v>
      </c>
      <c r="W5" s="104">
        <f t="shared" si="1"/>
        <v>0</v>
      </c>
      <c r="X5" s="103">
        <f t="shared" si="1"/>
        <v>0</v>
      </c>
      <c r="Y5" s="103">
        <f t="shared" si="1"/>
        <v>0</v>
      </c>
      <c r="Z5" s="104">
        <f t="shared" si="1"/>
        <v>0</v>
      </c>
      <c r="AA5" s="105">
        <f t="shared" si="1"/>
        <v>0</v>
      </c>
      <c r="AB5" s="103">
        <f t="shared" si="1"/>
        <v>0</v>
      </c>
      <c r="AC5" s="103">
        <f t="shared" si="1"/>
        <v>0</v>
      </c>
      <c r="AD5" s="104">
        <f t="shared" si="1"/>
        <v>0</v>
      </c>
      <c r="AE5" s="104">
        <f t="shared" si="1"/>
        <v>0</v>
      </c>
      <c r="AF5" s="103">
        <f t="shared" si="1"/>
        <v>0</v>
      </c>
      <c r="AG5" s="103">
        <f t="shared" si="1"/>
        <v>0</v>
      </c>
      <c r="AH5" s="104">
        <f t="shared" si="1"/>
        <v>0</v>
      </c>
      <c r="AI5" s="105">
        <f t="shared" si="1"/>
        <v>0</v>
      </c>
      <c r="AJ5" s="103">
        <f t="shared" si="1"/>
        <v>0</v>
      </c>
      <c r="AK5" s="103">
        <f t="shared" si="1"/>
        <v>0</v>
      </c>
      <c r="AL5" s="104">
        <f t="shared" si="1"/>
        <v>0</v>
      </c>
      <c r="AM5" s="104">
        <f t="shared" si="1"/>
        <v>0</v>
      </c>
      <c r="AN5" s="103">
        <f t="shared" si="1"/>
        <v>0</v>
      </c>
      <c r="AO5" s="103">
        <f t="shared" si="1"/>
        <v>0</v>
      </c>
      <c r="AP5" s="104">
        <f t="shared" si="1"/>
        <v>0</v>
      </c>
      <c r="AQ5" s="105">
        <f t="shared" si="1"/>
        <v>0</v>
      </c>
    </row>
    <row r="6" spans="1:43">
      <c r="A6" s="106" t="s">
        <v>2</v>
      </c>
      <c r="B6" s="107">
        <f>B10+B14+B15+B19+B22+B31+B35+B39+B42+B43+B47+B51+B26</f>
        <v>33</v>
      </c>
      <c r="D6" s="106">
        <f t="shared" ref="D6:AQ6" si="2">D10+D14+D15+D19+D22+D31+D35+D39+D42+D43+D47+D66</f>
        <v>15</v>
      </c>
      <c r="E6" s="108">
        <f t="shared" si="2"/>
        <v>14</v>
      </c>
      <c r="F6" s="109">
        <f t="shared" si="2"/>
        <v>0</v>
      </c>
      <c r="G6" s="109">
        <f t="shared" si="2"/>
        <v>0</v>
      </c>
      <c r="H6" s="108">
        <f t="shared" si="2"/>
        <v>0</v>
      </c>
      <c r="I6" s="108">
        <f t="shared" si="2"/>
        <v>0</v>
      </c>
      <c r="J6" s="109">
        <f t="shared" si="2"/>
        <v>0</v>
      </c>
      <c r="K6" s="110">
        <f t="shared" si="2"/>
        <v>29</v>
      </c>
      <c r="L6" s="108">
        <f t="shared" si="2"/>
        <v>0</v>
      </c>
      <c r="M6" s="108">
        <f t="shared" si="2"/>
        <v>0</v>
      </c>
      <c r="N6" s="109">
        <f t="shared" si="2"/>
        <v>0</v>
      </c>
      <c r="O6" s="109">
        <f t="shared" si="2"/>
        <v>0</v>
      </c>
      <c r="P6" s="108">
        <f t="shared" si="2"/>
        <v>0</v>
      </c>
      <c r="Q6" s="108">
        <f t="shared" si="2"/>
        <v>0</v>
      </c>
      <c r="R6" s="109">
        <f t="shared" si="2"/>
        <v>0</v>
      </c>
      <c r="S6" s="110">
        <f t="shared" si="2"/>
        <v>0</v>
      </c>
      <c r="T6" s="108">
        <f t="shared" si="2"/>
        <v>0</v>
      </c>
      <c r="U6" s="108">
        <f t="shared" si="2"/>
        <v>0</v>
      </c>
      <c r="V6" s="109">
        <f t="shared" si="2"/>
        <v>0</v>
      </c>
      <c r="W6" s="109">
        <f t="shared" si="2"/>
        <v>0</v>
      </c>
      <c r="X6" s="108">
        <f t="shared" si="2"/>
        <v>0</v>
      </c>
      <c r="Y6" s="108">
        <f t="shared" si="2"/>
        <v>0</v>
      </c>
      <c r="Z6" s="109">
        <f t="shared" si="2"/>
        <v>0</v>
      </c>
      <c r="AA6" s="110">
        <f t="shared" si="2"/>
        <v>0</v>
      </c>
      <c r="AB6" s="108">
        <f t="shared" si="2"/>
        <v>0</v>
      </c>
      <c r="AC6" s="108">
        <f t="shared" si="2"/>
        <v>0</v>
      </c>
      <c r="AD6" s="109">
        <f t="shared" si="2"/>
        <v>0</v>
      </c>
      <c r="AE6" s="109">
        <f t="shared" si="2"/>
        <v>0</v>
      </c>
      <c r="AF6" s="108">
        <f t="shared" si="2"/>
        <v>0</v>
      </c>
      <c r="AG6" s="108">
        <f t="shared" si="2"/>
        <v>0</v>
      </c>
      <c r="AH6" s="109">
        <f t="shared" si="2"/>
        <v>0</v>
      </c>
      <c r="AI6" s="110">
        <f t="shared" si="2"/>
        <v>0</v>
      </c>
      <c r="AJ6" s="108">
        <f t="shared" si="2"/>
        <v>0</v>
      </c>
      <c r="AK6" s="108">
        <f t="shared" si="2"/>
        <v>0</v>
      </c>
      <c r="AL6" s="109">
        <f t="shared" si="2"/>
        <v>0</v>
      </c>
      <c r="AM6" s="109">
        <f t="shared" si="2"/>
        <v>0</v>
      </c>
      <c r="AN6" s="108">
        <f t="shared" si="2"/>
        <v>0</v>
      </c>
      <c r="AO6" s="108">
        <f t="shared" si="2"/>
        <v>0</v>
      </c>
      <c r="AP6" s="109">
        <f t="shared" si="2"/>
        <v>0</v>
      </c>
      <c r="AQ6" s="110">
        <f t="shared" si="2"/>
        <v>0</v>
      </c>
    </row>
    <row r="7" spans="1:43">
      <c r="D7" s="111"/>
      <c r="E7" s="111"/>
      <c r="F7" s="111"/>
      <c r="G7" s="111"/>
      <c r="H7" s="111"/>
      <c r="I7" s="111"/>
      <c r="J7" s="111"/>
      <c r="K7" s="111"/>
      <c r="L7" s="111"/>
      <c r="M7" s="111"/>
      <c r="N7" s="111"/>
      <c r="O7" s="111"/>
      <c r="P7" s="111"/>
      <c r="Q7" s="111"/>
      <c r="R7" s="111"/>
      <c r="S7" s="111"/>
      <c r="T7" s="111"/>
      <c r="U7" s="111"/>
      <c r="V7" s="111"/>
      <c r="W7" s="111"/>
      <c r="X7" s="111"/>
      <c r="Y7" s="111"/>
      <c r="Z7" s="111"/>
      <c r="AA7" s="111"/>
      <c r="AB7" s="111"/>
      <c r="AC7" s="111"/>
      <c r="AD7" s="111"/>
      <c r="AE7" s="111"/>
      <c r="AF7" s="111"/>
      <c r="AG7" s="111"/>
      <c r="AH7" s="111"/>
      <c r="AI7" s="111"/>
      <c r="AJ7" s="111"/>
      <c r="AK7" s="111"/>
      <c r="AL7" s="111"/>
      <c r="AM7" s="111"/>
      <c r="AN7" s="111"/>
      <c r="AO7" s="111"/>
      <c r="AP7" s="111"/>
      <c r="AQ7" s="111"/>
    </row>
    <row r="8" spans="1:43">
      <c r="A8" s="96" t="s">
        <v>50</v>
      </c>
      <c r="B8" s="97"/>
      <c r="D8" s="95"/>
      <c r="E8" s="95"/>
      <c r="F8" s="95"/>
      <c r="G8" s="95"/>
      <c r="H8" s="95"/>
      <c r="I8" s="95"/>
      <c r="J8" s="95"/>
      <c r="K8" s="95"/>
      <c r="L8" s="95"/>
      <c r="M8" s="95"/>
      <c r="N8" s="95"/>
      <c r="O8" s="95"/>
      <c r="P8" s="95"/>
      <c r="Q8" s="95"/>
      <c r="R8" s="95"/>
      <c r="S8" s="95"/>
      <c r="T8" s="95"/>
      <c r="U8" s="95"/>
      <c r="V8" s="95"/>
      <c r="W8" s="95"/>
      <c r="X8" s="95"/>
      <c r="Y8" s="95"/>
      <c r="Z8" s="95"/>
      <c r="AA8" s="95"/>
      <c r="AB8" s="95"/>
      <c r="AC8" s="95"/>
      <c r="AD8" s="95"/>
      <c r="AE8" s="95"/>
      <c r="AF8" s="95"/>
      <c r="AG8" s="95"/>
      <c r="AH8" s="95"/>
      <c r="AI8" s="95"/>
      <c r="AJ8" s="95"/>
      <c r="AK8" s="95"/>
      <c r="AL8" s="95"/>
      <c r="AM8" s="95"/>
      <c r="AN8" s="95"/>
      <c r="AO8" s="95"/>
      <c r="AP8" s="95"/>
      <c r="AQ8" s="95"/>
    </row>
    <row r="9" spans="1:43" ht="15.75" thickBot="1">
      <c r="A9" s="101" t="s">
        <v>8</v>
      </c>
      <c r="B9" s="102">
        <f>K9+S9+AA9+AI9+AQ9</f>
        <v>0</v>
      </c>
      <c r="D9" s="112">
        <f>COUNTIFS('Members Data'!$C$2:$C$100, "Death Knight", 'Members Data'!$D$2:$D$100, "Tank", 'wk1'!B$10:B$108,"Confirmed")+COUNTIFS('Members Data'!$C$2:$C$100, "Death Knight", 'Members Data'!$D$2:$D$100, "Tank", 'wk1'!B$10:B$108,"Standby")</f>
        <v>0</v>
      </c>
      <c r="E9" s="112">
        <f>COUNTIFS('Members Data'!$C$2:$C$100, "Death Knight", 'Members Data'!$D$2:$D$100, "Tank", 'wk1'!C$10:C$108,"Confirmed")+COUNTIFS('Members Data'!$C$2:$C$100, "Death Knight", 'Members Data'!$D$2:$D$100, "Tank", 'wk1'!C$10:C$108,"Standby")</f>
        <v>0</v>
      </c>
      <c r="F9" s="112">
        <f>COUNTIFS('Members Data'!$C$2:$C$100, "Death Knight", 'Members Data'!$D$2:$D$100, "Tank", 'wk1'!D$10:D$108,"Confirmed")+COUNTIFS('Members Data'!$C$2:$C$100, "Death Knight", 'Members Data'!$D$2:$D$100, "Tank", 'wk1'!D$10:D$108,"Standby")</f>
        <v>0</v>
      </c>
      <c r="G9" s="112">
        <f>COUNTIFS('Members Data'!$C$2:$C$100, "Death Knight", 'Members Data'!$D$2:$D$100, "Tank", 'wk1'!E$10:E$108,"Confirmed")+COUNTIFS('Members Data'!$C$2:$C$100, "Death Knight", 'Members Data'!$D$2:$D$100, "Tank", 'wk1'!E$10:E$108,"Standby")</f>
        <v>0</v>
      </c>
      <c r="H9" s="112">
        <f>COUNTIFS('Members Data'!$C$2:$C$100, "Death Knight", 'Members Data'!$D$2:$D$100, "Tank", 'wk1'!F$10:F$108,"Confirmed")+COUNTIFS('Members Data'!$C$2:$C$100, "Death Knight", 'Members Data'!$D$2:$D$100, "Tank", 'wk1'!F$10:F$108,"Standby")</f>
        <v>0</v>
      </c>
      <c r="I9" s="112">
        <f>COUNTIFS('Members Data'!$C$2:$C$100, "Death Knight", 'Members Data'!$D$2:$D$100, "Tank", 'wk1'!G$10:G$108,"Confirmed")+COUNTIFS('Members Data'!$C$2:$C$100, "Death Knight", 'Members Data'!$D$2:$D$100, "Tank", 'wk1'!G$10:G$108,"Standby")</f>
        <v>0</v>
      </c>
      <c r="J9" s="112">
        <f>COUNTIFS('Members Data'!$C$2:$C$100, "Death Knight", 'Members Data'!$D$2:$D$100, "Tank", 'wk1'!H$10:H$108,"Confirmed")+COUNTIFS('Members Data'!$C$2:$C$100, "Death Knight", 'Members Data'!$D$2:$D$100, "Tank", 'wk1'!H$10:H$108,"Standby")</f>
        <v>0</v>
      </c>
      <c r="K9" s="100">
        <f>SUM(D9:J9)</f>
        <v>0</v>
      </c>
      <c r="L9" s="113">
        <f>COUNTIFS('Members Data'!$C$2:$C$100, "Death Knight", 'Members Data'!$D$2:$D$100, "Tank", 'wk2'!B$10:B$108,"Confirmed")+COUNTIFS('Members Data'!$C$2:$C$100, "Death Knight", 'Members Data'!$D$2:$D$100, "Tank", 'wk2'!B$10:B$108,"Standby")</f>
        <v>0</v>
      </c>
      <c r="M9" s="113">
        <f>COUNTIFS('Members Data'!$C$2:$C$100, "Death Knight", 'Members Data'!$D$2:$D$100, "Tank", 'wk2'!C$10:C$108,"Confirmed")+COUNTIFS('Members Data'!$C$2:$C$100, "Death Knight", 'Members Data'!$D$2:$D$100, "Tank", 'wk2'!C$10:C$108,"Standby")</f>
        <v>0</v>
      </c>
      <c r="N9" s="113">
        <f>COUNTIFS('Members Data'!$C$2:$C$100, "Death Knight", 'Members Data'!$D$2:$D$100, "Tank", 'wk2'!D$10:D$108,"Confirmed")+COUNTIFS('Members Data'!$C$2:$C$100, "Death Knight", 'Members Data'!$D$2:$D$100, "Tank", 'wk2'!D$10:D$108,"Standby")</f>
        <v>0</v>
      </c>
      <c r="O9" s="113">
        <f>COUNTIFS('Members Data'!$C$2:$C$100, "Death Knight", 'Members Data'!$D$2:$D$100, "Tank", 'wk2'!E$10:E$108,"Confirmed")+COUNTIFS('Members Data'!$C$2:$C$100, "Death Knight", 'Members Data'!$D$2:$D$100, "Tank", 'wk2'!E$10:E$108,"Standby")</f>
        <v>0</v>
      </c>
      <c r="P9" s="113">
        <f>COUNTIFS('Members Data'!$C$2:$C$100, "Death Knight", 'Members Data'!$D$2:$D$100, "Tank", 'wk2'!F$10:F$108,"Confirmed")+COUNTIFS('Members Data'!$C$2:$C$100, "Death Knight", 'Members Data'!$D$2:$D$100, "Tank", 'wk2'!F$10:F$108,"Standby")</f>
        <v>0</v>
      </c>
      <c r="Q9" s="113">
        <f>COUNTIFS('Members Data'!$C$2:$C$100, "Death Knight", 'Members Data'!$D$2:$D$100, "Tank", 'wk2'!G$10:G$108,"Confirmed")+COUNTIFS('Members Data'!$C$2:$C$100, "Death Knight", 'Members Data'!$D$2:$D$100, "Tank", 'wk2'!G$10:G$108,"Standby")</f>
        <v>0</v>
      </c>
      <c r="R9" s="113">
        <f>COUNTIFS('Members Data'!$C$2:$C$100, "Death Knight", 'Members Data'!$D$2:$D$100, "Tank", 'wk2'!H$10:H$108,"Confirmed")+COUNTIFS('Members Data'!$C$2:$C$100, "Death Knight", 'Members Data'!$D$2:$D$100, "Tank", 'wk2'!H$10:H$108,"Standby")</f>
        <v>0</v>
      </c>
      <c r="S9" s="100">
        <f>SUM(L9:R9)</f>
        <v>0</v>
      </c>
      <c r="T9" s="98">
        <f>COUNTIFS('Members Data'!$C$2:$C$100, "Death Knight", 'Members Data'!$D$2:$D$100, "Tank", 'wk3'!B$10:B$108,"Confirmed")+COUNTIFS('Members Data'!$C$2:$C$100, "Death Knight", 'Members Data'!$D$2:$D$100, "Tank", 'wk3'!B$10:B$108,"Standby")</f>
        <v>0</v>
      </c>
      <c r="U9" s="98">
        <f>COUNTIFS('Members Data'!$C$2:$C$100, "Death Knight", 'Members Data'!$D$2:$D$100, "Tank", 'wk3'!C$10:C$108,"Confirmed")+COUNTIFS('Members Data'!$C$2:$C$100, "Death Knight", 'Members Data'!$D$2:$D$100, "Tank", 'wk3'!C$10:C$108,"Standby")</f>
        <v>0</v>
      </c>
      <c r="V9" s="98">
        <f>COUNTIFS('Members Data'!$C$2:$C$100, "Death Knight", 'Members Data'!$D$2:$D$100, "Tank", 'wk3'!D$10:D$108,"Confirmed")+COUNTIFS('Members Data'!$C$2:$C$100, "Death Knight", 'Members Data'!$D$2:$D$100, "Tank", 'wk3'!D$10:D$108,"Standby")</f>
        <v>0</v>
      </c>
      <c r="W9" s="98">
        <f>COUNTIFS('Members Data'!$C$2:$C$100, "Death Knight", 'Members Data'!$D$2:$D$100, "Tank", 'wk3'!E$10:E$108,"Confirmed")+COUNTIFS('Members Data'!$C$2:$C$100, "Death Knight", 'Members Data'!$D$2:$D$100, "Tank", 'wk3'!E$10:E$108,"Standby")</f>
        <v>0</v>
      </c>
      <c r="X9" s="98">
        <f>COUNTIFS('Members Data'!$C$2:$C$100, "Death Knight", 'Members Data'!$D$2:$D$100, "Tank", 'wk3'!F$10:F$108,"Confirmed")+COUNTIFS('Members Data'!$C$2:$C$100, "Death Knight", 'Members Data'!$D$2:$D$100, "Tank", 'wk3'!F$10:F$108,"Standby")</f>
        <v>0</v>
      </c>
      <c r="Y9" s="98">
        <f>COUNTIFS('Members Data'!$C$2:$C$100, "Death Knight", 'Members Data'!$D$2:$D$100, "Tank", 'wk3'!G$10:G$108,"Confirmed")+COUNTIFS('Members Data'!$C$2:$C$100, "Death Knight", 'Members Data'!$D$2:$D$100, "Tank", 'wk3'!G$10:G$108,"Standby")</f>
        <v>0</v>
      </c>
      <c r="Z9" s="98">
        <f>COUNTIFS('Members Data'!$C$2:$C$100, "Death Knight", 'Members Data'!$D$2:$D$100, "Tank", 'wk3'!H$10:H$108,"Confirmed")+COUNTIFS('Members Data'!$C$2:$C$100, "Death Knight", 'Members Data'!$D$2:$D$100, "Tank", 'wk3'!H$10:H$108,"Standby")</f>
        <v>0</v>
      </c>
      <c r="AA9" s="100">
        <f>SUM(T9:Z9)</f>
        <v>0</v>
      </c>
      <c r="AB9" s="98">
        <f>COUNTIFS('Members Data'!$C$2:$C$100, "Death Knight", 'Members Data'!$D$2:$D$100, "Tank", 'wk4'!B$10:B$108,"Confirmed")+COUNTIFS('Members Data'!$C$2:$C$100, "Death Knight", 'Members Data'!$D$2:$D$100, "Tank", 'wk4'!B$10:B$108,"Standby")</f>
        <v>0</v>
      </c>
      <c r="AC9" s="98">
        <f>COUNTIFS('Members Data'!$C$2:$C$100, "Death Knight", 'Members Data'!$D$2:$D$100, "Tank", 'wk4'!C$10:C$108,"Confirmed")+COUNTIFS('Members Data'!$C$2:$C$100, "Death Knight", 'Members Data'!$D$2:$D$100, "Tank", 'wk4'!C$10:C$108,"Standby")</f>
        <v>0</v>
      </c>
      <c r="AD9" s="98">
        <f>COUNTIFS('Members Data'!$C$2:$C$100, "Death Knight", 'Members Data'!$D$2:$D$100, "Tank", 'wk4'!D$10:D$108,"Confirmed")+COUNTIFS('Members Data'!$C$2:$C$100, "Death Knight", 'Members Data'!$D$2:$D$100, "Tank", 'wk4'!D$10:D$108,"Standby")</f>
        <v>0</v>
      </c>
      <c r="AE9" s="98">
        <f>COUNTIFS('Members Data'!$C$2:$C$100, "Death Knight", 'Members Data'!$D$2:$D$100, "Tank", 'wk4'!E$10:E$108,"Confirmed")+COUNTIFS('Members Data'!$C$2:$C$100, "Death Knight", 'Members Data'!$D$2:$D$100, "Tank", 'wk4'!E$10:E$108,"Standby")</f>
        <v>0</v>
      </c>
      <c r="AF9" s="98">
        <f>COUNTIFS('Members Data'!$C$2:$C$100, "Death Knight", 'Members Data'!$D$2:$D$100, "Tank", 'wk4'!F$10:F$108,"Confirmed")+COUNTIFS('Members Data'!$C$2:$C$100, "Death Knight", 'Members Data'!$D$2:$D$100, "Tank", 'wk4'!F$10:F$108,"Standby")</f>
        <v>0</v>
      </c>
      <c r="AG9" s="98">
        <f>COUNTIFS('Members Data'!$C$2:$C$100, "Death Knight", 'Members Data'!$D$2:$D$100, "Tank", 'wk4'!G$10:G$108,"Confirmed")+COUNTIFS('Members Data'!$C$2:$C$100, "Death Knight", 'Members Data'!$D$2:$D$100, "Tank", 'wk4'!G$10:G$108,"Standby")</f>
        <v>0</v>
      </c>
      <c r="AH9" s="98">
        <f>COUNTIFS('Members Data'!$C$2:$C$100, "Death Knight", 'Members Data'!$D$2:$D$100, "Tank", 'wk4'!H$10:H$108,"Confirmed")+COUNTIFS('Members Data'!$C$2:$C$100, "Death Knight", 'Members Data'!$D$2:$D$100, "Tank", 'wk4'!H$10:H$108,"Standby")</f>
        <v>0</v>
      </c>
      <c r="AI9" s="100">
        <f>SUM(AB9:AH9)</f>
        <v>0</v>
      </c>
      <c r="AJ9" s="98">
        <f>COUNTIFS('Members Data'!$C$2:$C$100, "Death Knight", 'Members Data'!$D$2:$D$100, "Tank", 'wk5'!B$10:B$108,"Confirmed")+COUNTIFS('Members Data'!$C$2:$C$100, "Death Knight", 'Members Data'!$D$2:$D$100, "Tank", 'wk5'!B$10:B$108,"Standby")</f>
        <v>0</v>
      </c>
      <c r="AK9" s="98">
        <f>COUNTIFS('Members Data'!$C$2:$C$100, "Death Knight", 'Members Data'!$D$2:$D$100, "Tank", 'wk5'!C$10:C$108,"Confirmed")+COUNTIFS('Members Data'!$C$2:$C$100, "Death Knight", 'Members Data'!$D$2:$D$100, "Tank", 'wk5'!C$10:C$108,"Standby")</f>
        <v>0</v>
      </c>
      <c r="AL9" s="98">
        <f>COUNTIFS('Members Data'!$C$2:$C$100, "Death Knight", 'Members Data'!$D$2:$D$100, "Tank", 'wk5'!D$10:D$108,"Confirmed")+COUNTIFS('Members Data'!$C$2:$C$100, "Death Knight", 'Members Data'!$D$2:$D$100, "Tank", 'wk5'!D$10:D$108,"Standby")</f>
        <v>0</v>
      </c>
      <c r="AM9" s="98">
        <f>COUNTIFS('Members Data'!$C$2:$C$100, "Death Knight", 'Members Data'!$D$2:$D$100, "Tank", 'wk5'!E$10:E$108,"Confirmed")+COUNTIFS('Members Data'!$C$2:$C$100, "Death Knight", 'Members Data'!$D$2:$D$100, "Tank", 'wk5'!E$10:E$108,"Standby")</f>
        <v>0</v>
      </c>
      <c r="AN9" s="98">
        <f>COUNTIFS('Members Data'!$C$2:$C$100, "Death Knight", 'Members Data'!$D$2:$D$100, "Tank", 'wk5'!F$10:F$108,"Confirmed")+COUNTIFS('Members Data'!$C$2:$C$100, "Death Knight", 'Members Data'!$D$2:$D$100, "Tank", 'wk5'!F$10:F$108,"Standby")</f>
        <v>0</v>
      </c>
      <c r="AO9" s="98">
        <f>COUNTIFS('Members Data'!$C$2:$C$100, "Death Knight", 'Members Data'!$D$2:$D$100, "Tank", 'wk5'!G$10:G$108,"Confirmed")+COUNTIFS('Members Data'!$C$2:$C$100, "Death Knight", 'Members Data'!$D$2:$D$100, "Tank", 'wk5'!G$10:G$108,"Standby")</f>
        <v>0</v>
      </c>
      <c r="AP9" s="98">
        <f>COUNTIFS('Members Data'!$C$2:$C$100, "Death Knight", 'Members Data'!$D$2:$D$100, "Tank", 'wk5'!H$10:H$108,"Confirmed")+COUNTIFS('Members Data'!$C$2:$C$100, "Death Knight", 'Members Data'!$D$2:$D$100, "Tank", 'wk5'!H$10:H$108,"Standby")</f>
        <v>0</v>
      </c>
      <c r="AQ9" s="100">
        <f>SUM(AJ9:AP9)</f>
        <v>0</v>
      </c>
    </row>
    <row r="10" spans="1:43" ht="15.75" thickBot="1">
      <c r="A10" s="114" t="s">
        <v>52</v>
      </c>
      <c r="B10" s="107">
        <f>K10+S10+AA10+AI10+AQ10</f>
        <v>1</v>
      </c>
      <c r="D10" s="112">
        <f>COUNTIFS('Members Data'!$C$2:$C$100, "Death Knight", 'Members Data'!$D$2:$D$100, "MDPS", 'wk1'!B$10:B$108,"Confirmed")+COUNTIFS('Members Data'!$C$2:$C$100, "Death Knight", 'Members Data'!$D$2:$D$100, "MDPS", 'wk1'!B$10:B$108,"Standby")</f>
        <v>0</v>
      </c>
      <c r="E10" s="112">
        <f>COUNTIFS('Members Data'!$C$2:$C$100, "Death Knight", 'Members Data'!$D$2:$D$100, "MDPS", 'wk1'!C$10:C$108,"Confirmed")+COUNTIFS('Members Data'!$C$2:$C$100, "Death Knight", 'Members Data'!$D$2:$D$100, "MDPS", 'wk1'!C$10:C$108,"Standby")</f>
        <v>1</v>
      </c>
      <c r="F10" s="112">
        <f>COUNTIFS('Members Data'!$C$2:$C$100, "Death Knight", 'Members Data'!$D$2:$D$100, "MDPS", 'wk1'!D$10:D$108,"Confirmed")+COUNTIFS('Members Data'!$C$2:$C$100, "Death Knight", 'Members Data'!$D$2:$D$100, "MDPS", 'wk1'!D$10:D$108,"Standby")</f>
        <v>0</v>
      </c>
      <c r="G10" s="112">
        <f>COUNTIFS('Members Data'!$C$2:$C$100, "Death Knight", 'Members Data'!$D$2:$D$100, "MDPS", 'wk1'!E$10:E$108,"Confirmed")+COUNTIFS('Members Data'!$C$2:$C$100, "Death Knight", 'Members Data'!$D$2:$D$100, "MDPS", 'wk1'!E$10:E$108,"Standby")</f>
        <v>0</v>
      </c>
      <c r="H10" s="112">
        <f>COUNTIFS('Members Data'!$C$2:$C$100, "Death Knight", 'Members Data'!$D$2:$D$100, "MDPS", 'wk1'!F$10:F$108,"Confirmed")+COUNTIFS('Members Data'!$C$2:$C$100, "Death Knight", 'Members Data'!$D$2:$D$100, "MDPS", 'wk1'!F$10:F$108,"Standby")</f>
        <v>0</v>
      </c>
      <c r="I10" s="112">
        <f>COUNTIFS('Members Data'!$C$2:$C$100, "Death Knight", 'Members Data'!$D$2:$D$100, "MDPS", 'wk1'!G$10:G$108,"Confirmed")+COUNTIFS('Members Data'!$C$2:$C$100, "Death Knight", 'Members Data'!$D$2:$D$100, "MDPS", 'wk1'!G$10:G$108,"Standby")</f>
        <v>0</v>
      </c>
      <c r="J10" s="112">
        <f>COUNTIFS('Members Data'!$C$2:$C$100, "Death Knight", 'Members Data'!$D$2:$D$100, "MDPS", 'wk1'!H$10:H$108,"Confirmed")+COUNTIFS('Members Data'!$C$2:$C$100, "Death Knight", 'Members Data'!$D$2:$D$100, "MDPS", 'wk1'!H$10:H$108,"Standby")</f>
        <v>0</v>
      </c>
      <c r="K10" s="100">
        <f>SUM(D10:J10)</f>
        <v>1</v>
      </c>
      <c r="L10" s="113">
        <f>COUNTIFS('Members Data'!$C$2:$C$100, "Death Knight", 'Members Data'!$D$2:$D$100, "MDPS", 'wk2'!B$10:B$108,"Confirmed")+COUNTIFS('Members Data'!$C$2:$C$100, "Death Knight", 'Members Data'!$D$2:$D$100, "MDPS", 'wk2'!B$10:B$108,"Standby")</f>
        <v>0</v>
      </c>
      <c r="M10" s="113">
        <f>COUNTIFS('Members Data'!$C$2:$C$100, "Death Knight", 'Members Data'!$D$2:$D$100, "MDPS", 'wk2'!C$10:C$108,"Confirmed")+COUNTIFS('Members Data'!$C$2:$C$100, "Death Knight", 'Members Data'!$D$2:$D$100, "MDPS", 'wk2'!C$10:C$108,"Standby")</f>
        <v>0</v>
      </c>
      <c r="N10" s="113">
        <f>COUNTIFS('Members Data'!$C$2:$C$100, "Death Knight", 'Members Data'!$D$2:$D$100, "MDPS", 'wk2'!D$10:D$108,"Confirmed")+COUNTIFS('Members Data'!$C$2:$C$100, "Death Knight", 'Members Data'!$D$2:$D$100, "MDPS", 'wk2'!D$10:D$108,"Standby")</f>
        <v>0</v>
      </c>
      <c r="O10" s="113">
        <f>COUNTIFS('Members Data'!$C$2:$C$100, "Death Knight", 'Members Data'!$D$2:$D$100, "MDPS", 'wk2'!E$10:E$108,"Confirmed")+COUNTIFS('Members Data'!$C$2:$C$100, "Death Knight", 'Members Data'!$D$2:$D$100, "MDPS", 'wk2'!E$10:E$108,"Standby")</f>
        <v>0</v>
      </c>
      <c r="P10" s="113">
        <f>COUNTIFS('Members Data'!$C$2:$C$100, "Death Knight", 'Members Data'!$D$2:$D$100, "MDPS", 'wk2'!F$10:F$108,"Confirmed")+COUNTIFS('Members Data'!$C$2:$C$100, "Death Knight", 'Members Data'!$D$2:$D$100, "MDPS", 'wk2'!F$10:F$108,"Standby")</f>
        <v>0</v>
      </c>
      <c r="Q10" s="113">
        <f>COUNTIFS('Members Data'!$C$2:$C$100, "Death Knight", 'Members Data'!$D$2:$D$100, "MDPS", 'wk2'!G$10:G$108,"Confirmed")+COUNTIFS('Members Data'!$C$2:$C$100, "Death Knight", 'Members Data'!$D$2:$D$100, "MDPS", 'wk2'!G$10:G$108,"Standby")</f>
        <v>0</v>
      </c>
      <c r="R10" s="113">
        <f>COUNTIFS('Members Data'!$C$2:$C$100, "Death Knight", 'Members Data'!$D$2:$D$100, "MDPS", 'wk2'!H$10:H$108,"Confirmed")+COUNTIFS('Members Data'!$C$2:$C$100, "Death Knight", 'Members Data'!$D$2:$D$100, "MDPS", 'wk2'!H$10:H$108,"Standby")</f>
        <v>0</v>
      </c>
      <c r="S10" s="100">
        <f>SUM(L10:R10)</f>
        <v>0</v>
      </c>
      <c r="T10" s="98">
        <f>COUNTIFS('Members Data'!$C$2:$C$100, "Death Knight", 'Members Data'!$D$2:$D$100, "MDPS", 'wk3'!B$10:B$108,"Confirmed")+COUNTIFS('Members Data'!$C$2:$C$100, "Death Knight", 'Members Data'!$D$2:$D$100, "MDPS", 'wk3'!B$10:B$108,"Standby")</f>
        <v>0</v>
      </c>
      <c r="U10" s="98">
        <f>COUNTIFS('Members Data'!$C$2:$C$100, "Death Knight", 'Members Data'!$D$2:$D$100, "MDPS", 'wk3'!C$10:C$108,"Confirmed")+COUNTIFS('Members Data'!$C$2:$C$100, "Death Knight", 'Members Data'!$D$2:$D$100, "MDPS", 'wk3'!C$10:C$108,"Standby")</f>
        <v>0</v>
      </c>
      <c r="V10" s="98">
        <f>COUNTIFS('Members Data'!$C$2:$C$100, "Death Knight", 'Members Data'!$D$2:$D$100, "MDPS", 'wk3'!D$10:D$108,"Confirmed")+COUNTIFS('Members Data'!$C$2:$C$100, "Death Knight", 'Members Data'!$D$2:$D$100, "MDPS", 'wk3'!D$10:D$108,"Standby")</f>
        <v>0</v>
      </c>
      <c r="W10" s="98">
        <f>COUNTIFS('Members Data'!$C$2:$C$100, "Death Knight", 'Members Data'!$D$2:$D$100, "MDPS", 'wk3'!E$10:E$108,"Confirmed")+COUNTIFS('Members Data'!$C$2:$C$100, "Death Knight", 'Members Data'!$D$2:$D$100, "MDPS", 'wk3'!E$10:E$108,"Standby")</f>
        <v>0</v>
      </c>
      <c r="X10" s="98">
        <f>COUNTIFS('Members Data'!$C$2:$C$100, "Death Knight", 'Members Data'!$D$2:$D$100, "MDPS", 'wk3'!F$10:F$108,"Confirmed")+COUNTIFS('Members Data'!$C$2:$C$100, "Death Knight", 'Members Data'!$D$2:$D$100, "MDPS", 'wk3'!F$10:F$108,"Standby")</f>
        <v>0</v>
      </c>
      <c r="Y10" s="98">
        <f>COUNTIFS('Members Data'!$C$2:$C$100, "Death Knight", 'Members Data'!$D$2:$D$100, "MDPS", 'wk3'!G$10:G$108,"Confirmed")+COUNTIFS('Members Data'!$C$2:$C$100, "Death Knight", 'Members Data'!$D$2:$D$100, "MDPS", 'wk3'!G$10:G$108,"Standby")</f>
        <v>0</v>
      </c>
      <c r="Z10" s="98">
        <f>COUNTIFS('Members Data'!$C$2:$C$100, "Death Knight", 'Members Data'!$D$2:$D$100, "MDPS", 'wk3'!H$10:H$108,"Confirmed")+COUNTIFS('Members Data'!$C$2:$C$100, "Death Knight", 'Members Data'!$D$2:$D$100, "MDPS", 'wk3'!H$10:H$108,"Standby")</f>
        <v>0</v>
      </c>
      <c r="AA10" s="100">
        <f>SUM(T10:Z10)</f>
        <v>0</v>
      </c>
      <c r="AB10" s="98">
        <f>COUNTIFS('Members Data'!$C$2:$C$100, "Death Knight", 'Members Data'!$D$2:$D$100, "MDPS", 'wk4'!B$10:B$108,"Confirmed")+COUNTIFS('Members Data'!$C$2:$C$100, "Death Knight", 'Members Data'!$D$2:$D$100, "MDPS", 'wk4'!B$10:B$108,"Standby")</f>
        <v>0</v>
      </c>
      <c r="AC10" s="98">
        <f>COUNTIFS('Members Data'!$C$2:$C$100, "Death Knight", 'Members Data'!$D$2:$D$100, "MDPS", 'wk4'!C$10:C$108,"Confirmed")+COUNTIFS('Members Data'!$C$2:$C$100, "Death Knight", 'Members Data'!$D$2:$D$100, "MDPS", 'wk4'!C$10:C$108,"Standby")</f>
        <v>0</v>
      </c>
      <c r="AD10" s="98">
        <f>COUNTIFS('Members Data'!$C$2:$C$100, "Death Knight", 'Members Data'!$D$2:$D$100, "MDPS", 'wk4'!D$10:D$108,"Confirmed")+COUNTIFS('Members Data'!$C$2:$C$100, "Death Knight", 'Members Data'!$D$2:$D$100, "MDPS", 'wk4'!D$10:D$108,"Standby")</f>
        <v>0</v>
      </c>
      <c r="AE10" s="98">
        <f>COUNTIFS('Members Data'!$C$2:$C$100, "Death Knight", 'Members Data'!$D$2:$D$100, "MDPS", 'wk4'!E$10:E$108,"Confirmed")+COUNTIFS('Members Data'!$C$2:$C$100, "Death Knight", 'Members Data'!$D$2:$D$100, "MDPS", 'wk4'!E$10:E$108,"Standby")</f>
        <v>0</v>
      </c>
      <c r="AF10" s="98">
        <f>COUNTIFS('Members Data'!$C$2:$C$100, "Death Knight", 'Members Data'!$D$2:$D$100, "MDPS", 'wk4'!F$10:F$108,"Confirmed")+COUNTIFS('Members Data'!$C$2:$C$100, "Death Knight", 'Members Data'!$D$2:$D$100, "MDPS", 'wk4'!F$10:F$108,"Standby")</f>
        <v>0</v>
      </c>
      <c r="AG10" s="98">
        <f>COUNTIFS('Members Data'!$C$2:$C$100, "Death Knight", 'Members Data'!$D$2:$D$100, "MDPS", 'wk4'!G$10:G$108,"Confirmed")+COUNTIFS('Members Data'!$C$2:$C$100, "Death Knight", 'Members Data'!$D$2:$D$100, "MDPS", 'wk4'!G$10:G$108,"Standby")</f>
        <v>0</v>
      </c>
      <c r="AH10" s="98">
        <f>COUNTIFS('Members Data'!$C$2:$C$100, "Death Knight", 'Members Data'!$D$2:$D$100, "MDPS", 'wk4'!H$10:H$108,"Confirmed")+COUNTIFS('Members Data'!$C$2:$C$100, "Death Knight", 'Members Data'!$D$2:$D$100, "MDPS", 'wk4'!H$10:H$108,"Standby")</f>
        <v>0</v>
      </c>
      <c r="AI10" s="100">
        <f>SUM(AB10:AH10)</f>
        <v>0</v>
      </c>
      <c r="AJ10" s="98">
        <f>COUNTIFS('Members Data'!$C$2:$C$100, "Death Knight", 'Members Data'!$D$2:$D$100, "MDPS", 'wk5'!B$10:B$108,"Confirmed")+COUNTIFS('Members Data'!$C$2:$C$100, "Death Knight", 'Members Data'!$D$2:$D$100, "MDPS", 'wk5'!B$10:B$108,"Standby")</f>
        <v>0</v>
      </c>
      <c r="AK10" s="98">
        <f>COUNTIFS('Members Data'!$C$2:$C$100, "Death Knight", 'Members Data'!$D$2:$D$100, "MDPS", 'wk5'!C$10:C$108,"Confirmed")+COUNTIFS('Members Data'!$C$2:$C$100, "Death Knight", 'Members Data'!$D$2:$D$100, "MDPS", 'wk5'!C$10:C$108,"Standby")</f>
        <v>0</v>
      </c>
      <c r="AL10" s="98">
        <f>COUNTIFS('Members Data'!$C$2:$C$100, "Death Knight", 'Members Data'!$D$2:$D$100, "MDPS", 'wk5'!D$10:D$108,"Confirmed")+COUNTIFS('Members Data'!$C$2:$C$100, "Death Knight", 'Members Data'!$D$2:$D$100, "MDPS", 'wk5'!D$10:D$108,"Standby")</f>
        <v>0</v>
      </c>
      <c r="AM10" s="98">
        <f>COUNTIFS('Members Data'!$C$2:$C$100, "Death Knight", 'Members Data'!$D$2:$D$100, "MDPS", 'wk5'!E$10:E$108,"Confirmed")+COUNTIFS('Members Data'!$C$2:$C$100, "Death Knight", 'Members Data'!$D$2:$D$100, "MDPS", 'wk5'!E$10:E$108,"Standby")</f>
        <v>0</v>
      </c>
      <c r="AN10" s="98">
        <f>COUNTIFS('Members Data'!$C$2:$C$100, "Death Knight", 'Members Data'!$D$2:$D$100, "MDPS", 'wk5'!F$10:F$108,"Confirmed")+COUNTIFS('Members Data'!$C$2:$C$100, "Death Knight", 'Members Data'!$D$2:$D$100, "MDPS", 'wk5'!F$10:F$108,"Standby")</f>
        <v>0</v>
      </c>
      <c r="AO10" s="98">
        <f>COUNTIFS('Members Data'!$C$2:$C$100, "Death Knight", 'Members Data'!$D$2:$D$100, "MDPS", 'wk5'!G$10:G$108,"Confirmed")+COUNTIFS('Members Data'!$C$2:$C$100, "Death Knight", 'Members Data'!$D$2:$D$100, "MDPS", 'wk5'!G$10:G$108,"Standby")</f>
        <v>0</v>
      </c>
      <c r="AP10" s="98">
        <f>COUNTIFS('Members Data'!$C$2:$C$100, "Death Knight", 'Members Data'!$D$2:$D$100, "MDPS", 'wk5'!H$10:H$108,"Confirmed")+COUNTIFS('Members Data'!$C$2:$C$100, "Death Knight", 'Members Data'!$D$2:$D$100, "MDPS", 'wk5'!H$10:H$108,"Standby")</f>
        <v>0</v>
      </c>
      <c r="AQ10" s="100">
        <f>SUM(AJ10:AP10)</f>
        <v>0</v>
      </c>
    </row>
    <row r="11" spans="1:43" ht="13.5" thickBot="1"/>
    <row r="12" spans="1:43">
      <c r="A12" s="96" t="s">
        <v>10</v>
      </c>
      <c r="B12" s="97"/>
    </row>
    <row r="13" spans="1:43" ht="15.75" thickBot="1">
      <c r="A13" s="101" t="s">
        <v>8</v>
      </c>
      <c r="B13" s="102">
        <f>K13+S13+AA13+AI13+AQ13</f>
        <v>2</v>
      </c>
      <c r="D13" s="112">
        <f>COUNTIFS('Members Data'!$C$2:$C$100, "Druid", 'Members Data'!$D$2:$D$100, "Tank", 'wk1'!B$10:B$108,"Confirmed")+COUNTIFS('Members Data'!$C$2:$C$100, "Druid", 'Members Data'!$D$2:$D$100, "Tank", 'wk1'!B$10:B$108,"Standby")</f>
        <v>1</v>
      </c>
      <c r="E13" s="112">
        <f>COUNTIFS('Members Data'!$C$2:$C$100, "Druid", 'Members Data'!$D$2:$D$100, "Tank", 'wk1'!C$10:C$108,"Confirmed")+COUNTIFS('Members Data'!$C$2:$C$100, "Druid", 'Members Data'!$D$2:$D$100, "Tank", 'wk1'!C$10:C$108,"Standby")</f>
        <v>1</v>
      </c>
      <c r="F13" s="112">
        <f>COUNTIFS('Members Data'!$C$2:$C$100, "Druid", 'Members Data'!$D$2:$D$100, "Tank", 'wk1'!D$10:D$108,"Confirmed")+COUNTIFS('Members Data'!$C$2:$C$100, "Druid", 'Members Data'!$D$2:$D$100, "Tank", 'wk1'!D$10:D$108,"Standby")</f>
        <v>0</v>
      </c>
      <c r="G13" s="112">
        <f>COUNTIFS('Members Data'!$C$2:$C$100, "Druid", 'Members Data'!$D$2:$D$100, "Tank", 'wk1'!E$10:E$108,"Confirmed")+COUNTIFS('Members Data'!$C$2:$C$100, "Druid", 'Members Data'!$D$2:$D$100, "Tank", 'wk1'!E$10:E$108,"Standby")</f>
        <v>0</v>
      </c>
      <c r="H13" s="112">
        <f>COUNTIFS('Members Data'!$C$2:$C$100, "Druid", 'Members Data'!$D$2:$D$100, "Tank", 'wk1'!F$10:F$108,"Confirmed")+COUNTIFS('Members Data'!$C$2:$C$100, "Druid", 'Members Data'!$D$2:$D$100, "Tank", 'wk1'!F$10:F$108,"Standby")</f>
        <v>0</v>
      </c>
      <c r="I13" s="112">
        <f>COUNTIFS('Members Data'!$C$2:$C$100, "Druid", 'Members Data'!$D$2:$D$100, "Tank", 'wk1'!G$10:G$108,"Confirmed")+COUNTIFS('Members Data'!$C$2:$C$100, "Druid", 'Members Data'!$D$2:$D$100, "Tank", 'wk1'!G$10:G$108,"Standby")</f>
        <v>0</v>
      </c>
      <c r="J13" s="112">
        <f>COUNTIFS('Members Data'!$C$2:$C$100, "Druid", 'Members Data'!$D$2:$D$100, "Tank", 'wk1'!H$10:H$108,"Confirmed")+COUNTIFS('Members Data'!$C$2:$C$100, "Druid", 'Members Data'!$D$2:$D$100, "Tank", 'wk1'!H$10:H$108,"Standby")</f>
        <v>0</v>
      </c>
      <c r="K13" s="100">
        <f>SUM(D13:J13)</f>
        <v>2</v>
      </c>
      <c r="L13" s="113">
        <f>COUNTIFS('Members Data'!$C$2:$C$100, "Druid", 'Members Data'!$D$2:$D$100, "Tank", 'wk2'!B$10:B$108,"Confirmed")+COUNTIFS('Members Data'!$C$2:$C$100, "Druid", 'Members Data'!$D$2:$D$100, "Tank", 'wk2'!B$10:B$108,"Standby")</f>
        <v>0</v>
      </c>
      <c r="M13" s="113">
        <f>COUNTIFS('Members Data'!$C$2:$C$100, "Druid", 'Members Data'!$D$2:$D$100, "Tank", 'wk2'!C$10:C$108,"Confirmed")+COUNTIFS('Members Data'!$C$2:$C$100, "Druid", 'Members Data'!$D$2:$D$100, "Tank", 'wk2'!C$10:C$108,"Standby")</f>
        <v>0</v>
      </c>
      <c r="N13" s="113">
        <f>COUNTIFS('Members Data'!$C$2:$C$100, "Druid", 'Members Data'!$D$2:$D$100, "Tank", 'wk2'!D$10:D$108,"Confirmed")+COUNTIFS('Members Data'!$C$2:$C$100, "Druid", 'Members Data'!$D$2:$D$100, "Tank", 'wk2'!D$10:D$108,"Standby")</f>
        <v>0</v>
      </c>
      <c r="O13" s="113">
        <f>COUNTIFS('Members Data'!$C$2:$C$100, "Druid", 'Members Data'!$D$2:$D$100, "Tank", 'wk2'!E$10:E$108,"Confirmed")+COUNTIFS('Members Data'!$C$2:$C$100, "Druid", 'Members Data'!$D$2:$D$100, "Tank", 'wk2'!E$10:E$108,"Standby")</f>
        <v>0</v>
      </c>
      <c r="P13" s="113">
        <f>COUNTIFS('Members Data'!$C$2:$C$100, "Druid", 'Members Data'!$D$2:$D$100, "Tank", 'wk2'!F$10:F$108,"Confirmed")+COUNTIFS('Members Data'!$C$2:$C$100, "Druid", 'Members Data'!$D$2:$D$100, "Tank", 'wk2'!F$10:F$108,"Standby")</f>
        <v>0</v>
      </c>
      <c r="Q13" s="113">
        <f>COUNTIFS('Members Data'!$C$2:$C$100, "Druid", 'Members Data'!$D$2:$D$100, "Tank", 'wk2'!G$10:G$108,"Confirmed")+COUNTIFS('Members Data'!$C$2:$C$100, "Druid", 'Members Data'!$D$2:$D$100, "Tank", 'wk2'!G$10:G$108,"Standby")</f>
        <v>0</v>
      </c>
      <c r="R13" s="113">
        <f>COUNTIFS('Members Data'!$C$2:$C$100, "Druid", 'Members Data'!$D$2:$D$100, "Tank", 'wk2'!H$10:H$108,"Confirmed")+COUNTIFS('Members Data'!$C$2:$C$100, "Druid", 'Members Data'!$D$2:$D$100, "Tank", 'wk2'!H$10:H$108,"Standby")</f>
        <v>0</v>
      </c>
      <c r="S13" s="100">
        <f>SUM(L13:R13)</f>
        <v>0</v>
      </c>
      <c r="T13" s="98">
        <f>COUNTIFS('Members Data'!$C$2:$C$100, "Druid", 'Members Data'!$D$2:$D$100, "Tank", 'wk3'!B$10:B$108,"Confirmed")+COUNTIFS('Members Data'!$C$2:$C$100, "Druid", 'Members Data'!$D$2:$D$100, "Tank", 'wk3'!B$10:B$108,"Standby")</f>
        <v>0</v>
      </c>
      <c r="U13" s="98">
        <f>COUNTIFS('Members Data'!$C$2:$C$100, "Druid", 'Members Data'!$D$2:$D$100, "Tank", 'wk3'!C$10:C$108,"Confirmed")+COUNTIFS('Members Data'!$C$2:$C$100, "Druid", 'Members Data'!$D$2:$D$100, "Tank", 'wk3'!C$10:C$108,"Standby")</f>
        <v>0</v>
      </c>
      <c r="V13" s="98">
        <f>COUNTIFS('Members Data'!$C$2:$C$100, "Druid", 'Members Data'!$D$2:$D$100, "Tank", 'wk3'!D$10:D$108,"Confirmed")+COUNTIFS('Members Data'!$C$2:$C$100, "Druid", 'Members Data'!$D$2:$D$100, "Tank", 'wk3'!D$10:D$108,"Standby")</f>
        <v>0</v>
      </c>
      <c r="W13" s="98">
        <f>COUNTIFS('Members Data'!$C$2:$C$100, "Druid", 'Members Data'!$D$2:$D$100, "Tank", 'wk3'!E$10:E$108,"Confirmed")+COUNTIFS('Members Data'!$C$2:$C$100, "Druid", 'Members Data'!$D$2:$D$100, "Tank", 'wk3'!E$10:E$108,"Standby")</f>
        <v>0</v>
      </c>
      <c r="X13" s="98">
        <f>COUNTIFS('Members Data'!$C$2:$C$100, "Druid", 'Members Data'!$D$2:$D$100, "Tank", 'wk3'!F$10:F$108,"Confirmed")+COUNTIFS('Members Data'!$C$2:$C$100, "Druid", 'Members Data'!$D$2:$D$100, "Tank", 'wk3'!F$10:F$108,"Standby")</f>
        <v>0</v>
      </c>
      <c r="Y13" s="98">
        <f>COUNTIFS('Members Data'!$C$2:$C$100, "Druid", 'Members Data'!$D$2:$D$100, "Tank", 'wk3'!G$10:G$108,"Confirmed")+COUNTIFS('Members Data'!$C$2:$C$100, "Druid", 'Members Data'!$D$2:$D$100, "Tank", 'wk3'!G$10:G$108,"Standby")</f>
        <v>0</v>
      </c>
      <c r="Z13" s="98">
        <f>COUNTIFS('Members Data'!$C$2:$C$100, "Druid", 'Members Data'!$D$2:$D$100, "Tank", 'wk3'!H$10:H$108,"Confirmed")+COUNTIFS('Members Data'!$C$2:$C$100, "Druid", 'Members Data'!$D$2:$D$100, "Tank", 'wk3'!H$10:H$108,"Standby")</f>
        <v>0</v>
      </c>
      <c r="AA13" s="100">
        <f>SUM(T13:Z13)</f>
        <v>0</v>
      </c>
      <c r="AB13" s="98">
        <f>COUNTIFS('Members Data'!$C$2:$C$100, "Druid", 'Members Data'!$D$2:$D$100, "Tank", 'wk4'!B$10:B$108,"Confirmed")+COUNTIFS('Members Data'!$C$2:$C$100, "Druid", 'Members Data'!$D$2:$D$100, "Tank", 'wk4'!B$10:B$108,"Standby")</f>
        <v>0</v>
      </c>
      <c r="AC13" s="98">
        <f>COUNTIFS('Members Data'!$C$2:$C$100, "Druid", 'Members Data'!$D$2:$D$100, "Tank", 'wk4'!C$10:C$108,"Confirmed")+COUNTIFS('Members Data'!$C$2:$C$100, "Druid", 'Members Data'!$D$2:$D$100, "Tank", 'wk4'!C$10:C$108,"Standby")</f>
        <v>0</v>
      </c>
      <c r="AD13" s="98">
        <f>COUNTIFS('Members Data'!$C$2:$C$100, "Druid", 'Members Data'!$D$2:$D$100, "Tank", 'wk4'!D$10:D$108,"Confirmed")+COUNTIFS('Members Data'!$C$2:$C$100, "Druid", 'Members Data'!$D$2:$D$100, "Tank", 'wk4'!D$10:D$108,"Standby")</f>
        <v>0</v>
      </c>
      <c r="AE13" s="98">
        <f>COUNTIFS('Members Data'!$C$2:$C$100, "Druid", 'Members Data'!$D$2:$D$100, "Tank", 'wk4'!E$10:E$108,"Confirmed")+COUNTIFS('Members Data'!$C$2:$C$100, "Druid", 'Members Data'!$D$2:$D$100, "Tank", 'wk4'!E$10:E$108,"Standby")</f>
        <v>0</v>
      </c>
      <c r="AF13" s="98">
        <f>COUNTIFS('Members Data'!$C$2:$C$100, "Druid", 'Members Data'!$D$2:$D$100, "Tank", 'wk4'!F$10:F$108,"Confirmed")+COUNTIFS('Members Data'!$C$2:$C$100, "Druid", 'Members Data'!$D$2:$D$100, "Tank", 'wk4'!F$10:F$108,"Standby")</f>
        <v>0</v>
      </c>
      <c r="AG13" s="98">
        <f>COUNTIFS('Members Data'!$C$2:$C$100, "Druid", 'Members Data'!$D$2:$D$100, "Tank", 'wk4'!G$10:G$108,"Confirmed")+COUNTIFS('Members Data'!$C$2:$C$100, "Druid", 'Members Data'!$D$2:$D$100, "Tank", 'wk4'!G$10:G$108,"Standby")</f>
        <v>0</v>
      </c>
      <c r="AH13" s="98">
        <f>COUNTIFS('Members Data'!$C$2:$C$100, "Druid", 'Members Data'!$D$2:$D$100, "Tank", 'wk4'!H$10:H$108,"Confirmed")+COUNTIFS('Members Data'!$C$2:$C$100, "Druid", 'Members Data'!$D$2:$D$100, "Tank", 'wk4'!H$10:H$108,"Standby")</f>
        <v>0</v>
      </c>
      <c r="AI13" s="100">
        <f>SUM(AB13:AH13)</f>
        <v>0</v>
      </c>
      <c r="AJ13" s="98">
        <f>COUNTIFS('Members Data'!$C$2:$C$100, "Druid", 'Members Data'!$D$2:$D$100, "Tank", 'wk5'!B$10:B$108,"Confirmed")+COUNTIFS('Members Data'!$C$2:$C$100, "Druid", 'Members Data'!$D$2:$D$100, "Tank", 'wk5'!B$10:B$108,"Standby")</f>
        <v>0</v>
      </c>
      <c r="AK13" s="98">
        <f>COUNTIFS('Members Data'!$C$2:$C$100, "Druid", 'Members Data'!$D$2:$D$100, "Tank", 'wk5'!C$10:C$108,"Confirmed")+COUNTIFS('Members Data'!$C$2:$C$100, "Druid", 'Members Data'!$D$2:$D$100, "Tank", 'wk5'!C$10:C$108,"Standby")</f>
        <v>0</v>
      </c>
      <c r="AL13" s="98">
        <f>COUNTIFS('Members Data'!$C$2:$C$100, "Druid", 'Members Data'!$D$2:$D$100, "Tank", 'wk5'!D$10:D$108,"Confirmed")+COUNTIFS('Members Data'!$C$2:$C$100, "Druid", 'Members Data'!$D$2:$D$100, "Tank", 'wk5'!D$10:D$108,"Standby")</f>
        <v>0</v>
      </c>
      <c r="AM13" s="98">
        <f>COUNTIFS('Members Data'!$C$2:$C$100, "Druid", 'Members Data'!$D$2:$D$100, "Tank", 'wk5'!E$10:E$108,"Confirmed")+COUNTIFS('Members Data'!$C$2:$C$100, "Druid", 'Members Data'!$D$2:$D$100, "Tank", 'wk5'!E$10:E$108,"Standby")</f>
        <v>0</v>
      </c>
      <c r="AN13" s="98">
        <f>COUNTIFS('Members Data'!$C$2:$C$100, "Druid", 'Members Data'!$D$2:$D$100, "Tank", 'wk5'!F$10:F$108,"Confirmed")+COUNTIFS('Members Data'!$C$2:$C$100, "Druid", 'Members Data'!$D$2:$D$100, "Tank", 'wk5'!F$10:F$108,"Standby")</f>
        <v>0</v>
      </c>
      <c r="AO13" s="98">
        <f>COUNTIFS('Members Data'!$C$2:$C$100, "Druid", 'Members Data'!$D$2:$D$100, "Tank", 'wk5'!G$10:G$108,"Confirmed")+COUNTIFS('Members Data'!$C$2:$C$100, "Druid", 'Members Data'!$D$2:$D$100, "Tank", 'wk5'!G$10:G$108,"Standby")</f>
        <v>0</v>
      </c>
      <c r="AP13" s="98">
        <f>COUNTIFS('Members Data'!$C$2:$C$100, "Druid", 'Members Data'!$D$2:$D$100, "Tank", 'wk5'!H$10:H$108,"Confirmed")+COUNTIFS('Members Data'!$C$2:$C$100, "Druid", 'Members Data'!$D$2:$D$100, "Tank", 'wk5'!H$10:H$108,"Standby")</f>
        <v>0</v>
      </c>
      <c r="AQ13" s="100">
        <f>SUM(AJ13:AP13)</f>
        <v>0</v>
      </c>
    </row>
    <row r="14" spans="1:43" ht="15.75" thickBot="1">
      <c r="A14" s="101" t="s">
        <v>51</v>
      </c>
      <c r="B14" s="102">
        <f>K14+S14+AA14+AI14+AQ14</f>
        <v>2</v>
      </c>
      <c r="D14" s="112">
        <f>COUNTIFS('Members Data'!$C$2:$C$100, "Druid", 'Members Data'!$D$2:$D$100, "RDPS", 'wk1'!B$10:B$108,"Confirmed")+COUNTIFS('Members Data'!$C$2:$C$100, "Druid", 'Members Data'!$D$2:$D$100, "RDPS", 'wk1'!B$10:B$108,"Standby")</f>
        <v>1</v>
      </c>
      <c r="E14" s="112">
        <f>COUNTIFS('Members Data'!$C$2:$C$100, "Druid", 'Members Data'!$D$2:$D$100, "RDPS", 'wk1'!C$10:C$108,"Confirmed")+COUNTIFS('Members Data'!$C$2:$C$100, "Druid", 'Members Data'!$D$2:$D$100, "RDPS", 'wk1'!C$10:C$108,"Standby")</f>
        <v>1</v>
      </c>
      <c r="F14" s="112">
        <f>COUNTIFS('Members Data'!$C$2:$C$100, "Druid", 'Members Data'!$D$2:$D$100, "RDPS", 'wk1'!D$10:D$108,"Confirmed")+COUNTIFS('Members Data'!$C$2:$C$100, "Druid", 'Members Data'!$D$2:$D$100, "RDPS", 'wk1'!D$10:D$108,"Standby")</f>
        <v>0</v>
      </c>
      <c r="G14" s="112">
        <f>COUNTIFS('Members Data'!$C$2:$C$100, "Druid", 'Members Data'!$D$2:$D$100, "RDPS", 'wk1'!E$10:E$108,"Confirmed")+COUNTIFS('Members Data'!$C$2:$C$100, "Druid", 'Members Data'!$D$2:$D$100, "RDPS", 'wk1'!E$10:E$108,"Standby")</f>
        <v>0</v>
      </c>
      <c r="H14" s="112">
        <f>COUNTIFS('Members Data'!$C$2:$C$100, "Druid", 'Members Data'!$D$2:$D$100, "RDPS", 'wk1'!F$10:F$108,"Confirmed")+COUNTIFS('Members Data'!$C$2:$C$100, "Druid", 'Members Data'!$D$2:$D$100, "RDPS", 'wk1'!F$10:F$108,"Standby")</f>
        <v>0</v>
      </c>
      <c r="I14" s="112">
        <f>COUNTIFS('Members Data'!$C$2:$C$100, "Druid", 'Members Data'!$D$2:$D$100, "RDPS", 'wk1'!G$10:G$108,"Confirmed")+COUNTIFS('Members Data'!$C$2:$C$100, "Druid", 'Members Data'!$D$2:$D$100, "RDPS", 'wk1'!G$10:G$108,"Standby")</f>
        <v>0</v>
      </c>
      <c r="J14" s="112">
        <f>COUNTIFS('Members Data'!$C$2:$C$100, "Druid", 'Members Data'!$D$2:$D$100, "RDPS", 'wk1'!H$10:H$108,"Confirmed")+COUNTIFS('Members Data'!$C$2:$C$100, "Druid", 'Members Data'!$D$2:$D$100, "RDPS", 'wk1'!H$10:H$108,"Standby")</f>
        <v>0</v>
      </c>
      <c r="K14" s="100">
        <f>SUM(D14:J14)</f>
        <v>2</v>
      </c>
      <c r="L14" s="113">
        <f>COUNTIFS('Members Data'!$C$2:$C$100, "Druid", 'Members Data'!$D$2:$D$100, "RDPS", 'wk2'!B$10:B$108,"Confirmed")+COUNTIFS('Members Data'!$C$2:$C$100, "Druid", 'Members Data'!$D$2:$D$100, "RDPS", 'wk2'!B$10:B$108,"Standby")</f>
        <v>0</v>
      </c>
      <c r="M14" s="113">
        <f>COUNTIFS('Members Data'!$C$2:$C$100, "Druid", 'Members Data'!$D$2:$D$100, "RDPS", 'wk2'!C$10:C$108,"Confirmed")+COUNTIFS('Members Data'!$C$2:$C$100, "Druid", 'Members Data'!$D$2:$D$100, "RDPS", 'wk2'!C$10:C$108,"Standby")</f>
        <v>0</v>
      </c>
      <c r="N14" s="113">
        <f>COUNTIFS('Members Data'!$C$2:$C$100, "Druid", 'Members Data'!$D$2:$D$100, "RDPS", 'wk2'!D$10:D$108,"Confirmed")+COUNTIFS('Members Data'!$C$2:$C$100, "Druid", 'Members Data'!$D$2:$D$100, "RDPS", 'wk2'!D$10:D$108,"Standby")</f>
        <v>0</v>
      </c>
      <c r="O14" s="113">
        <f>COUNTIFS('Members Data'!$C$2:$C$100, "Druid", 'Members Data'!$D$2:$D$100, "RDPS", 'wk2'!E$10:E$108,"Confirmed")+COUNTIFS('Members Data'!$C$2:$C$100, "Druid", 'Members Data'!$D$2:$D$100, "RDPS", 'wk2'!E$10:E$108,"Standby")</f>
        <v>0</v>
      </c>
      <c r="P14" s="113">
        <f>COUNTIFS('Members Data'!$C$2:$C$100, "Druid", 'Members Data'!$D$2:$D$100, "RDPS", 'wk2'!F$10:F$108,"Confirmed")+COUNTIFS('Members Data'!$C$2:$C$100, "Druid", 'Members Data'!$D$2:$D$100, "RDPS", 'wk2'!F$10:F$108,"Standby")</f>
        <v>0</v>
      </c>
      <c r="Q14" s="113">
        <f>COUNTIFS('Members Data'!$C$2:$C$100, "Druid", 'Members Data'!$D$2:$D$100, "RDPS", 'wk2'!G$10:G$108,"Confirmed")+COUNTIFS('Members Data'!$C$2:$C$100, "Druid", 'Members Data'!$D$2:$D$100, "RDPS", 'wk2'!G$10:G$108,"Standby")</f>
        <v>0</v>
      </c>
      <c r="R14" s="113">
        <f>COUNTIFS('Members Data'!$C$2:$C$100, "Druid", 'Members Data'!$D$2:$D$100, "RDPS", 'wk2'!H$10:H$108,"Confirmed")+COUNTIFS('Members Data'!$C$2:$C$100, "Druid", 'Members Data'!$D$2:$D$100, "RDPS", 'wk2'!H$10:H$108,"Standby")</f>
        <v>0</v>
      </c>
      <c r="S14" s="100">
        <f>SUM(L14:R14)</f>
        <v>0</v>
      </c>
      <c r="T14" s="98">
        <f>COUNTIFS('Members Data'!$C$2:$C$100, "Druid", 'Members Data'!$D$2:$D$100, "RDPS", 'wk3'!B$10:B$108,"Confirmed")+COUNTIFS('Members Data'!$C$2:$C$100, "Druid", 'Members Data'!$D$2:$D$100, "RDPS", 'wk3'!B$10:B$108,"Standby")</f>
        <v>0</v>
      </c>
      <c r="U14" s="98">
        <f>COUNTIFS('Members Data'!$C$2:$C$100, "Druid", 'Members Data'!$D$2:$D$100, "RDPS", 'wk3'!C$10:C$108,"Confirmed")+COUNTIFS('Members Data'!$C$2:$C$100, "Druid", 'Members Data'!$D$2:$D$100, "RDPS", 'wk3'!C$10:C$108,"Standby")</f>
        <v>0</v>
      </c>
      <c r="V14" s="98">
        <f>COUNTIFS('Members Data'!$C$2:$C$100, "Druid", 'Members Data'!$D$2:$D$100, "RDPS", 'wk3'!D$10:D$108,"Confirmed")+COUNTIFS('Members Data'!$C$2:$C$100, "Druid", 'Members Data'!$D$2:$D$100, "RDPS", 'wk3'!D$10:D$108,"Standby")</f>
        <v>0</v>
      </c>
      <c r="W14" s="98">
        <f>COUNTIFS('Members Data'!$C$2:$C$100, "Druid", 'Members Data'!$D$2:$D$100, "RDPS", 'wk3'!E$10:E$108,"Confirmed")+COUNTIFS('Members Data'!$C$2:$C$100, "Druid", 'Members Data'!$D$2:$D$100, "RDPS", 'wk3'!E$10:E$108,"Standby")</f>
        <v>0</v>
      </c>
      <c r="X14" s="98">
        <f>COUNTIFS('Members Data'!$C$2:$C$100, "Druid", 'Members Data'!$D$2:$D$100, "RDPS", 'wk3'!F$10:F$108,"Confirmed")+COUNTIFS('Members Data'!$C$2:$C$100, "Druid", 'Members Data'!$D$2:$D$100, "RDPS", 'wk3'!F$10:F$108,"Standby")</f>
        <v>0</v>
      </c>
      <c r="Y14" s="98">
        <f>COUNTIFS('Members Data'!$C$2:$C$100, "Druid", 'Members Data'!$D$2:$D$100, "RDPS", 'wk3'!G$10:G$108,"Confirmed")+COUNTIFS('Members Data'!$C$2:$C$100, "Druid", 'Members Data'!$D$2:$D$100, "RDPS", 'wk3'!G$10:G$108,"Standby")</f>
        <v>0</v>
      </c>
      <c r="Z14" s="98">
        <f>COUNTIFS('Members Data'!$C$2:$C$100, "Druid", 'Members Data'!$D$2:$D$100, "RDPS", 'wk3'!H$10:H$108,"Confirmed")+COUNTIFS('Members Data'!$C$2:$C$100, "Druid", 'Members Data'!$D$2:$D$100, "RDPS", 'wk3'!H$10:H$108,"Standby")</f>
        <v>0</v>
      </c>
      <c r="AA14" s="100">
        <f>SUM(T14:Z14)</f>
        <v>0</v>
      </c>
      <c r="AB14" s="98">
        <f>COUNTIFS('Members Data'!$C$2:$C$100, "Druid", 'Members Data'!$D$2:$D$100, "RDPS", 'wk4'!B$10:B$108,"Confirmed")+COUNTIFS('Members Data'!$C$2:$C$100, "Druid", 'Members Data'!$D$2:$D$100, "RDPS", 'wk4'!B$10:B$108,"Standby")</f>
        <v>0</v>
      </c>
      <c r="AC14" s="98">
        <f>COUNTIFS('Members Data'!$C$2:$C$100, "Druid", 'Members Data'!$D$2:$D$100, "RDPS", 'wk4'!C$10:C$108,"Confirmed")+COUNTIFS('Members Data'!$C$2:$C$100, "Druid", 'Members Data'!$D$2:$D$100, "RDPS", 'wk4'!C$10:C$108,"Standby")</f>
        <v>0</v>
      </c>
      <c r="AD14" s="98">
        <f>COUNTIFS('Members Data'!$C$2:$C$100, "Druid", 'Members Data'!$D$2:$D$100, "RDPS", 'wk4'!D$10:D$108,"Confirmed")+COUNTIFS('Members Data'!$C$2:$C$100, "Druid", 'Members Data'!$D$2:$D$100, "RDPS", 'wk4'!D$10:D$108,"Standby")</f>
        <v>0</v>
      </c>
      <c r="AE14" s="98">
        <f>COUNTIFS('Members Data'!$C$2:$C$100, "Druid", 'Members Data'!$D$2:$D$100, "RDPS", 'wk4'!E$10:E$108,"Confirmed")+COUNTIFS('Members Data'!$C$2:$C$100, "Druid", 'Members Data'!$D$2:$D$100, "RDPS", 'wk4'!E$10:E$108,"Standby")</f>
        <v>0</v>
      </c>
      <c r="AF14" s="98">
        <f>COUNTIFS('Members Data'!$C$2:$C$100, "Druid", 'Members Data'!$D$2:$D$100, "RDPS", 'wk4'!F$10:F$108,"Confirmed")+COUNTIFS('Members Data'!$C$2:$C$100, "Druid", 'Members Data'!$D$2:$D$100, "RDPS", 'wk4'!F$10:F$108,"Standby")</f>
        <v>0</v>
      </c>
      <c r="AG14" s="98">
        <f>COUNTIFS('Members Data'!$C$2:$C$100, "Druid", 'Members Data'!$D$2:$D$100, "RDPS", 'wk4'!G$10:G$108,"Confirmed")+COUNTIFS('Members Data'!$C$2:$C$100, "Druid", 'Members Data'!$D$2:$D$100, "RDPS", 'wk4'!G$10:G$108,"Standby")</f>
        <v>0</v>
      </c>
      <c r="AH14" s="98">
        <f>COUNTIFS('Members Data'!$C$2:$C$100, "Druid", 'Members Data'!$D$2:$D$100, "RDPS", 'wk4'!H$10:H$108,"Confirmed")+COUNTIFS('Members Data'!$C$2:$C$100, "Druid", 'Members Data'!$D$2:$D$100, "RDPS", 'wk4'!H$10:H$108,"Standby")</f>
        <v>0</v>
      </c>
      <c r="AI14" s="100">
        <f>SUM(AB14:AH14)</f>
        <v>0</v>
      </c>
      <c r="AJ14" s="98">
        <f>COUNTIFS('Members Data'!$C$2:$C$100, "Druid", 'Members Data'!$D$2:$D$100, "RDPS", 'wk5'!B$10:B$108,"Confirmed")+COUNTIFS('Members Data'!$C$2:$C$100, "Druid", 'Members Data'!$D$2:$D$100, "RDPS", 'wk5'!B$10:B$108,"Standby")</f>
        <v>0</v>
      </c>
      <c r="AK14" s="98">
        <f>COUNTIFS('Members Data'!$C$2:$C$100, "Druid", 'Members Data'!$D$2:$D$100, "RDPS", 'wk5'!C$10:C$108,"Confirmed")+COUNTIFS('Members Data'!$C$2:$C$100, "Druid", 'Members Data'!$D$2:$D$100, "RDPS", 'wk5'!C$10:C$108,"Standby")</f>
        <v>0</v>
      </c>
      <c r="AL14" s="98">
        <f>COUNTIFS('Members Data'!$C$2:$C$100, "Druid", 'Members Data'!$D$2:$D$100, "RDPS", 'wk5'!D$10:D$108,"Confirmed")+COUNTIFS('Members Data'!$C$2:$C$100, "Druid", 'Members Data'!$D$2:$D$100, "RDPS", 'wk5'!D$10:D$108,"Standby")</f>
        <v>0</v>
      </c>
      <c r="AM14" s="98">
        <f>COUNTIFS('Members Data'!$C$2:$C$100, "Druid", 'Members Data'!$D$2:$D$100, "RDPS", 'wk5'!E$10:E$108,"Confirmed")+COUNTIFS('Members Data'!$C$2:$C$100, "Druid", 'Members Data'!$D$2:$D$100, "RDPS", 'wk5'!E$10:E$108,"Standby")</f>
        <v>0</v>
      </c>
      <c r="AN14" s="98">
        <f>COUNTIFS('Members Data'!$C$2:$C$100, "Druid", 'Members Data'!$D$2:$D$100, "RDPS", 'wk5'!F$10:F$108,"Confirmed")+COUNTIFS('Members Data'!$C$2:$C$100, "Druid", 'Members Data'!$D$2:$D$100, "RDPS", 'wk5'!F$10:F$108,"Standby")</f>
        <v>0</v>
      </c>
      <c r="AO14" s="98">
        <f>COUNTIFS('Members Data'!$C$2:$C$100, "Druid", 'Members Data'!$D$2:$D$100, "RDPS", 'wk5'!G$10:G$108,"Confirmed")+COUNTIFS('Members Data'!$C$2:$C$100, "Druid", 'Members Data'!$D$2:$D$100, "RDPS", 'wk5'!G$10:G$108,"Standby")</f>
        <v>0</v>
      </c>
      <c r="AP14" s="98">
        <f>COUNTIFS('Members Data'!$C$2:$C$100, "Druid", 'Members Data'!$D$2:$D$100, "RDPS", 'wk5'!H$10:H$108,"Confirmed")+COUNTIFS('Members Data'!$C$2:$C$100, "Druid", 'Members Data'!$D$2:$D$100, "RDPS", 'wk5'!H$10:H$108,"Standby")</f>
        <v>0</v>
      </c>
      <c r="AQ14" s="100">
        <f>SUM(AJ14:AP14)</f>
        <v>0</v>
      </c>
    </row>
    <row r="15" spans="1:43" ht="15.75" thickBot="1">
      <c r="A15" s="101" t="s">
        <v>52</v>
      </c>
      <c r="B15" s="102">
        <f>K15+S15+AA15+AI15+AQ15</f>
        <v>0</v>
      </c>
      <c r="D15" s="112">
        <f>COUNTIFS('Members Data'!$C$2:$C$100, "Druid", 'Members Data'!$D$2:$D$100, "MDPS", 'wk1'!B$10:B$108,"Confirmed")+COUNTIFS('Members Data'!$C$2:$C$100, "Druid", 'Members Data'!$D$2:$D$100, "MDPS", 'wk1'!B$10:B$108,"Standby")</f>
        <v>0</v>
      </c>
      <c r="E15" s="112">
        <f>COUNTIFS('Members Data'!$C$2:$C$100, "Druid", 'Members Data'!$D$2:$D$100, "MDPS", 'wk1'!C$10:C$108,"Confirmed")+COUNTIFS('Members Data'!$C$2:$C$100, "Druid", 'Members Data'!$D$2:$D$100, "MDPS", 'wk1'!C$10:C$108,"Standby")</f>
        <v>0</v>
      </c>
      <c r="F15" s="112">
        <f>COUNTIFS('Members Data'!$C$2:$C$100, "Druid", 'Members Data'!$D$2:$D$100, "MDPS", 'wk1'!D$10:D$108,"Confirmed")+COUNTIFS('Members Data'!$C$2:$C$100, "Druid", 'Members Data'!$D$2:$D$100, "MDPS", 'wk1'!D$10:D$108,"Standby")</f>
        <v>0</v>
      </c>
      <c r="G15" s="112">
        <f>COUNTIFS('Members Data'!$C$2:$C$100, "Druid", 'Members Data'!$D$2:$D$100, "MDPS", 'wk1'!E$10:E$108,"Confirmed")+COUNTIFS('Members Data'!$C$2:$C$100, "Druid", 'Members Data'!$D$2:$D$100, "MDPS", 'wk1'!E$10:E$108,"Standby")</f>
        <v>0</v>
      </c>
      <c r="H15" s="112">
        <f>COUNTIFS('Members Data'!$C$2:$C$100, "Druid", 'Members Data'!$D$2:$D$100, "MDPS", 'wk1'!F$10:F$108,"Confirmed")+COUNTIFS('Members Data'!$C$2:$C$100, "Druid", 'Members Data'!$D$2:$D$100, "MDPS", 'wk1'!F$10:F$108,"Standby")</f>
        <v>0</v>
      </c>
      <c r="I15" s="112">
        <f>COUNTIFS('Members Data'!$C$2:$C$100, "Druid", 'Members Data'!$D$2:$D$100, "MDPS", 'wk1'!G$10:G$108,"Confirmed")+COUNTIFS('Members Data'!$C$2:$C$100, "Druid", 'Members Data'!$D$2:$D$100, "MDPS", 'wk1'!G$10:G$108,"Standby")</f>
        <v>0</v>
      </c>
      <c r="J15" s="112">
        <f>COUNTIFS('Members Data'!$C$2:$C$100, "Druid", 'Members Data'!$D$2:$D$100, "MDPS", 'wk1'!H$10:H$108,"Confirmed")+COUNTIFS('Members Data'!$C$2:$C$100, "Druid", 'Members Data'!$D$2:$D$100, "MDPS", 'wk1'!H$10:H$108,"Standby")</f>
        <v>0</v>
      </c>
      <c r="K15" s="100">
        <f>SUM(D15:J15)</f>
        <v>0</v>
      </c>
      <c r="L15" s="113">
        <f>COUNTIFS('Members Data'!$C$2:$C$100, "Druid", 'Members Data'!$D$2:$D$100, "MDPS", 'wk2'!B$10:B$108,"Confirmed")+COUNTIFS('Members Data'!$C$2:$C$100, "Druid", 'Members Data'!$D$2:$D$100, "MDPS", 'wk2'!B$10:B$108,"Standby")</f>
        <v>0</v>
      </c>
      <c r="M15" s="113">
        <f>COUNTIFS('Members Data'!$C$2:$C$100, "Druid", 'Members Data'!$D$2:$D$100, "MDPS", 'wk2'!C$10:C$108,"Confirmed")+COUNTIFS('Members Data'!$C$2:$C$100, "Druid", 'Members Data'!$D$2:$D$100, "MDPS", 'wk2'!C$10:C$108,"Standby")</f>
        <v>0</v>
      </c>
      <c r="N15" s="113">
        <f>COUNTIFS('Members Data'!$C$2:$C$100, "Druid", 'Members Data'!$D$2:$D$100, "MDPS", 'wk2'!D$10:D$108,"Confirmed")+COUNTIFS('Members Data'!$C$2:$C$100, "Druid", 'Members Data'!$D$2:$D$100, "MDPS", 'wk2'!D$10:D$108,"Standby")</f>
        <v>0</v>
      </c>
      <c r="O15" s="113">
        <f>COUNTIFS('Members Data'!$C$2:$C$100, "Druid", 'Members Data'!$D$2:$D$100, "MDPS", 'wk2'!E$10:E$108,"Confirmed")+COUNTIFS('Members Data'!$C$2:$C$100, "Druid", 'Members Data'!$D$2:$D$100, "MDPS", 'wk2'!E$10:E$108,"Standby")</f>
        <v>0</v>
      </c>
      <c r="P15" s="113">
        <f>COUNTIFS('Members Data'!$C$2:$C$100, "Druid", 'Members Data'!$D$2:$D$100, "MDPS", 'wk2'!F$10:F$108,"Confirmed")+COUNTIFS('Members Data'!$C$2:$C$100, "Druid", 'Members Data'!$D$2:$D$100, "MDPS", 'wk2'!F$10:F$108,"Standby")</f>
        <v>0</v>
      </c>
      <c r="Q15" s="113">
        <f>COUNTIFS('Members Data'!$C$2:$C$100, "Druid", 'Members Data'!$D$2:$D$100, "MDPS", 'wk2'!G$10:G$108,"Confirmed")+COUNTIFS('Members Data'!$C$2:$C$100, "Druid", 'Members Data'!$D$2:$D$100, "MDPS", 'wk2'!G$10:G$108,"Standby")</f>
        <v>0</v>
      </c>
      <c r="R15" s="113">
        <f>COUNTIFS('Members Data'!$C$2:$C$100, "Druid", 'Members Data'!$D$2:$D$100, "MDPS", 'wk2'!H$10:H$108,"Confirmed")+COUNTIFS('Members Data'!$C$2:$C$100, "Druid", 'Members Data'!$D$2:$D$100, "MDPS", 'wk2'!H$10:H$108,"Standby")</f>
        <v>0</v>
      </c>
      <c r="S15" s="100">
        <f>SUM(L15:R15)</f>
        <v>0</v>
      </c>
      <c r="T15" s="98">
        <f>COUNTIFS('Members Data'!$C$2:$C$100, "Druid", 'Members Data'!$D$2:$D$100, "MDPS", 'wk3'!B$10:B$108,"Confirmed")+COUNTIFS('Members Data'!$C$2:$C$100, "Druid", 'Members Data'!$D$2:$D$100, "MDPS", 'wk3'!B$10:B$108,"Standby")</f>
        <v>0</v>
      </c>
      <c r="U15" s="98">
        <f>COUNTIFS('Members Data'!$C$2:$C$100, "Druid", 'Members Data'!$D$2:$D$100, "MDPS", 'wk3'!C$10:C$108,"Confirmed")+COUNTIFS('Members Data'!$C$2:$C$100, "Druid", 'Members Data'!$D$2:$D$100, "MDPS", 'wk3'!C$10:C$108,"Standby")</f>
        <v>0</v>
      </c>
      <c r="V15" s="98">
        <f>COUNTIFS('Members Data'!$C$2:$C$100, "Druid", 'Members Data'!$D$2:$D$100, "MDPS", 'wk3'!D$10:D$108,"Confirmed")+COUNTIFS('Members Data'!$C$2:$C$100, "Druid", 'Members Data'!$D$2:$D$100, "MDPS", 'wk3'!D$10:D$108,"Standby")</f>
        <v>0</v>
      </c>
      <c r="W15" s="98">
        <f>COUNTIFS('Members Data'!$C$2:$C$100, "Druid", 'Members Data'!$D$2:$D$100, "MDPS", 'wk3'!E$10:E$108,"Confirmed")+COUNTIFS('Members Data'!$C$2:$C$100, "Druid", 'Members Data'!$D$2:$D$100, "MDPS", 'wk3'!E$10:E$108,"Standby")</f>
        <v>0</v>
      </c>
      <c r="X15" s="98">
        <f>COUNTIFS('Members Data'!$C$2:$C$100, "Druid", 'Members Data'!$D$2:$D$100, "MDPS", 'wk3'!F$10:F$108,"Confirmed")+COUNTIFS('Members Data'!$C$2:$C$100, "Druid", 'Members Data'!$D$2:$D$100, "MDPS", 'wk3'!F$10:F$108,"Standby")</f>
        <v>0</v>
      </c>
      <c r="Y15" s="98">
        <f>COUNTIFS('Members Data'!$C$2:$C$100, "Druid", 'Members Data'!$D$2:$D$100, "MDPS", 'wk3'!G$10:G$108,"Confirmed")+COUNTIFS('Members Data'!$C$2:$C$100, "Druid", 'Members Data'!$D$2:$D$100, "MDPS", 'wk3'!G$10:G$108,"Standby")</f>
        <v>0</v>
      </c>
      <c r="Z15" s="98">
        <f>COUNTIFS('Members Data'!$C$2:$C$100, "Druid", 'Members Data'!$D$2:$D$100, "MDPS", 'wk3'!H$10:H$108,"Confirmed")+COUNTIFS('Members Data'!$C$2:$C$100, "Druid", 'Members Data'!$D$2:$D$100, "MDPS", 'wk3'!H$10:H$108,"Standby")</f>
        <v>0</v>
      </c>
      <c r="AA15" s="100">
        <f>SUM(T15:Z15)</f>
        <v>0</v>
      </c>
      <c r="AB15" s="98">
        <f>COUNTIFS('Members Data'!$C$2:$C$100, "Druid", 'Members Data'!$D$2:$D$100, "MDPS", 'wk4'!B$10:B$108,"Confirmed")+COUNTIFS('Members Data'!$C$2:$C$100, "Druid", 'Members Data'!$D$2:$D$100, "MDPS", 'wk4'!B$10:B$108,"Standby")</f>
        <v>0</v>
      </c>
      <c r="AC15" s="98">
        <f>COUNTIFS('Members Data'!$C$2:$C$100, "Druid", 'Members Data'!$D$2:$D$100, "MDPS", 'wk4'!C$10:C$108,"Confirmed")+COUNTIFS('Members Data'!$C$2:$C$100, "Druid", 'Members Data'!$D$2:$D$100, "MDPS", 'wk4'!C$10:C$108,"Standby")</f>
        <v>0</v>
      </c>
      <c r="AD15" s="98">
        <f>COUNTIFS('Members Data'!$C$2:$C$100, "Druid", 'Members Data'!$D$2:$D$100, "MDPS", 'wk4'!D$10:D$108,"Confirmed")+COUNTIFS('Members Data'!$C$2:$C$100, "Druid", 'Members Data'!$D$2:$D$100, "MDPS", 'wk4'!D$10:D$108,"Standby")</f>
        <v>0</v>
      </c>
      <c r="AE15" s="98">
        <f>COUNTIFS('Members Data'!$C$2:$C$100, "Druid", 'Members Data'!$D$2:$D$100, "MDPS", 'wk4'!E$10:E$108,"Confirmed")+COUNTIFS('Members Data'!$C$2:$C$100, "Druid", 'Members Data'!$D$2:$D$100, "MDPS", 'wk4'!E$10:E$108,"Standby")</f>
        <v>0</v>
      </c>
      <c r="AF15" s="98">
        <f>COUNTIFS('Members Data'!$C$2:$C$100, "Druid", 'Members Data'!$D$2:$D$100, "MDPS", 'wk4'!F$10:F$108,"Confirmed")+COUNTIFS('Members Data'!$C$2:$C$100, "Druid", 'Members Data'!$D$2:$D$100, "MDPS", 'wk4'!F$10:F$108,"Standby")</f>
        <v>0</v>
      </c>
      <c r="AG15" s="98">
        <f>COUNTIFS('Members Data'!$C$2:$C$100, "Druid", 'Members Data'!$D$2:$D$100, "MDPS", 'wk4'!G$10:G$108,"Confirmed")+COUNTIFS('Members Data'!$C$2:$C$100, "Druid", 'Members Data'!$D$2:$D$100, "MDPS", 'wk4'!G$10:G$108,"Standby")</f>
        <v>0</v>
      </c>
      <c r="AH15" s="98">
        <f>COUNTIFS('Members Data'!$C$2:$C$100, "Druid", 'Members Data'!$D$2:$D$100, "MDPS", 'wk4'!H$10:H$108,"Confirmed")+COUNTIFS('Members Data'!$C$2:$C$100, "Druid", 'Members Data'!$D$2:$D$100, "MDPS", 'wk4'!H$10:H$108,"Standby")</f>
        <v>0</v>
      </c>
      <c r="AI15" s="100">
        <f>SUM(AB15:AH15)</f>
        <v>0</v>
      </c>
      <c r="AJ15" s="98">
        <f>COUNTIFS('Members Data'!$C$2:$C$100, "Druid", 'Members Data'!$D$2:$D$100, "MDPS", 'wk5'!B$10:B$108,"Confirmed")+COUNTIFS('Members Data'!$C$2:$C$100, "Druid", 'Members Data'!$D$2:$D$100, "MDPS", 'wk5'!B$10:B$108,"Standby")</f>
        <v>0</v>
      </c>
      <c r="AK15" s="98">
        <f>COUNTIFS('Members Data'!$C$2:$C$100, "Druid", 'Members Data'!$D$2:$D$100, "MDPS", 'wk5'!C$10:C$108,"Confirmed")+COUNTIFS('Members Data'!$C$2:$C$100, "Druid", 'Members Data'!$D$2:$D$100, "MDPS", 'wk5'!C$10:C$108,"Standby")</f>
        <v>0</v>
      </c>
      <c r="AL15" s="98">
        <f>COUNTIFS('Members Data'!$C$2:$C$100, "Druid", 'Members Data'!$D$2:$D$100, "MDPS", 'wk5'!D$10:D$108,"Confirmed")+COUNTIFS('Members Data'!$C$2:$C$100, "Druid", 'Members Data'!$D$2:$D$100, "MDPS", 'wk5'!D$10:D$108,"Standby")</f>
        <v>0</v>
      </c>
      <c r="AM15" s="98">
        <f>COUNTIFS('Members Data'!$C$2:$C$100, "Druid", 'Members Data'!$D$2:$D$100, "MDPS", 'wk5'!E$10:E$108,"Confirmed")+COUNTIFS('Members Data'!$C$2:$C$100, "Druid", 'Members Data'!$D$2:$D$100, "MDPS", 'wk5'!E$10:E$108,"Standby")</f>
        <v>0</v>
      </c>
      <c r="AN15" s="98">
        <f>COUNTIFS('Members Data'!$C$2:$C$100, "Druid", 'Members Data'!$D$2:$D$100, "MDPS", 'wk5'!F$10:F$108,"Confirmed")+COUNTIFS('Members Data'!$C$2:$C$100, "Druid", 'Members Data'!$D$2:$D$100, "MDPS", 'wk5'!F$10:F$108,"Standby")</f>
        <v>0</v>
      </c>
      <c r="AO15" s="98">
        <f>COUNTIFS('Members Data'!$C$2:$C$100, "Druid", 'Members Data'!$D$2:$D$100, "MDPS", 'wk5'!G$10:G$108,"Confirmed")+COUNTIFS('Members Data'!$C$2:$C$100, "Druid", 'Members Data'!$D$2:$D$100, "MDPS", 'wk5'!G$10:G$108,"Standby")</f>
        <v>0</v>
      </c>
      <c r="AP15" s="98">
        <f>COUNTIFS('Members Data'!$C$2:$C$100, "Druid", 'Members Data'!$D$2:$D$100, "MDPS", 'wk5'!H$10:H$108,"Confirmed")+COUNTIFS('Members Data'!$C$2:$C$100, "Druid", 'Members Data'!$D$2:$D$100, "MDPS", 'wk5'!H$10:H$108,"Standby")</f>
        <v>0</v>
      </c>
      <c r="AQ15" s="100">
        <f>SUM(AJ15:AP15)</f>
        <v>0</v>
      </c>
    </row>
    <row r="16" spans="1:43" ht="15.75" thickBot="1">
      <c r="A16" s="106" t="s">
        <v>7</v>
      </c>
      <c r="B16" s="107">
        <f>K16+S16+AA16+AI16+AQ16</f>
        <v>2</v>
      </c>
      <c r="D16" s="112">
        <f>COUNTIFS('Members Data'!$C$2:$C$100, "Druid", 'Members Data'!$D$2:$D$100, "Healer", 'wk1'!B$10:B$108,"Confirmed")+COUNTIFS('Members Data'!$C$2:$C$100, "Druid", 'Members Data'!$D$2:$D$100, "Healer", 'wk1'!B$10:B$108,"Standby")</f>
        <v>1</v>
      </c>
      <c r="E16" s="112">
        <f>COUNTIFS('Members Data'!$C$2:$C$100, "Druid", 'Members Data'!$D$2:$D$100, "Healer", 'wk1'!C$10:C$108,"Confirmed")+COUNTIFS('Members Data'!$C$2:$C$100, "Druid", 'Members Data'!$D$2:$D$100, "Healer", 'wk1'!C$10:C$108,"Standby")</f>
        <v>1</v>
      </c>
      <c r="F16" s="112">
        <f>COUNTIFS('Members Data'!$C$2:$C$100, "Druid", 'Members Data'!$D$2:$D$100, "Healer", 'wk1'!D$10:D$108,"Confirmed")+COUNTIFS('Members Data'!$C$2:$C$100, "Druid", 'Members Data'!$D$2:$D$100, "Healer", 'wk1'!D$10:D$108,"Standby")</f>
        <v>0</v>
      </c>
      <c r="G16" s="112">
        <f>COUNTIFS('Members Data'!$C$2:$C$100, "Druid", 'Members Data'!$D$2:$D$100, "Healer", 'wk1'!E$10:E$108,"Confirmed")+COUNTIFS('Members Data'!$C$2:$C$100, "Druid", 'Members Data'!$D$2:$D$100, "Healer", 'wk1'!E$10:E$108,"Standby")</f>
        <v>0</v>
      </c>
      <c r="H16" s="112">
        <f>COUNTIFS('Members Data'!$C$2:$C$100, "Druid", 'Members Data'!$D$2:$D$100, "Healer", 'wk1'!F$10:F$108,"Confirmed")+COUNTIFS('Members Data'!$C$2:$C$100, "Druid", 'Members Data'!$D$2:$D$100, "Healer", 'wk1'!F$10:F$108,"Standby")</f>
        <v>0</v>
      </c>
      <c r="I16" s="112">
        <f>COUNTIFS('Members Data'!$C$2:$C$100, "Druid", 'Members Data'!$D$2:$D$100, "Healer", 'wk1'!G$10:G$108,"Confirmed")+COUNTIFS('Members Data'!$C$2:$C$100, "Druid", 'Members Data'!$D$2:$D$100, "Healer", 'wk1'!G$10:G$108,"Standby")</f>
        <v>0</v>
      </c>
      <c r="J16" s="112">
        <f>COUNTIFS('Members Data'!$C$2:$C$100, "Druid", 'Members Data'!$D$2:$D$100, "Healer", 'wk1'!H$10:H$108,"Confirmed")+COUNTIFS('Members Data'!$C$2:$C$100, "Druid", 'Members Data'!$D$2:$D$100, "Healer", 'wk1'!H$10:H$108,"Standby")</f>
        <v>0</v>
      </c>
      <c r="K16" s="100">
        <f>SUM(D16:J16)</f>
        <v>2</v>
      </c>
      <c r="L16" s="113">
        <f>COUNTIFS('Members Data'!$C$2:$C$100, "Druid", 'Members Data'!$D$2:$D$100, "Healer", 'wk2'!B$10:B$108,"Confirmed")+COUNTIFS('Members Data'!$C$2:$C$100, "Druid", 'Members Data'!$D$2:$D$100, "Healer", 'wk2'!B$10:B$108,"Standby")</f>
        <v>0</v>
      </c>
      <c r="M16" s="113">
        <f>COUNTIFS('Members Data'!$C$2:$C$100, "Druid", 'Members Data'!$D$2:$D$100, "Healer", 'wk2'!C$10:C$108,"Confirmed")+COUNTIFS('Members Data'!$C$2:$C$100, "Druid", 'Members Data'!$D$2:$D$100, "Healer", 'wk2'!C$10:C$108,"Standby")</f>
        <v>0</v>
      </c>
      <c r="N16" s="113">
        <f>COUNTIFS('Members Data'!$C$2:$C$100, "Druid", 'Members Data'!$D$2:$D$100, "Healer", 'wk2'!D$10:D$108,"Confirmed")+COUNTIFS('Members Data'!$C$2:$C$100, "Druid", 'Members Data'!$D$2:$D$100, "Healer", 'wk2'!D$10:D$108,"Standby")</f>
        <v>0</v>
      </c>
      <c r="O16" s="113">
        <f>COUNTIFS('Members Data'!$C$2:$C$100, "Druid", 'Members Data'!$D$2:$D$100, "Healer", 'wk2'!E$10:E$108,"Confirmed")+COUNTIFS('Members Data'!$C$2:$C$100, "Druid", 'Members Data'!$D$2:$D$100, "Healer", 'wk2'!E$10:E$108,"Standby")</f>
        <v>0</v>
      </c>
      <c r="P16" s="113">
        <f>COUNTIFS('Members Data'!$C$2:$C$100, "Druid", 'Members Data'!$D$2:$D$100, "Healer", 'wk2'!F$10:F$108,"Confirmed")+COUNTIFS('Members Data'!$C$2:$C$100, "Druid", 'Members Data'!$D$2:$D$100, "Healer", 'wk2'!F$10:F$108,"Standby")</f>
        <v>0</v>
      </c>
      <c r="Q16" s="113">
        <f>COUNTIFS('Members Data'!$C$2:$C$100, "Druid", 'Members Data'!$D$2:$D$100, "Healer", 'wk2'!G$10:G$108,"Confirmed")+COUNTIFS('Members Data'!$C$2:$C$100, "Druid", 'Members Data'!$D$2:$D$100, "Healer", 'wk2'!G$10:G$108,"Standby")</f>
        <v>0</v>
      </c>
      <c r="R16" s="113">
        <f>COUNTIFS('Members Data'!$C$2:$C$100, "Druid", 'Members Data'!$D$2:$D$100, "Healer", 'wk2'!H$10:H$108,"Confirmed")+COUNTIFS('Members Data'!$C$2:$C$100, "Druid", 'Members Data'!$D$2:$D$100, "Healer", 'wk2'!H$10:H$108,"Standby")</f>
        <v>0</v>
      </c>
      <c r="S16" s="100">
        <f>SUM(L16:R16)</f>
        <v>0</v>
      </c>
      <c r="T16" s="98">
        <f>COUNTIFS('Members Data'!$C$2:$C$100, "Druid", 'Members Data'!$D$2:$D$100, "Healer", 'wk3'!B$10:B$108,"Confirmed")+COUNTIFS('Members Data'!$C$2:$C$100, "Druid", 'Members Data'!$D$2:$D$100, "Healer", 'wk3'!B$10:B$108,"Standby")</f>
        <v>0</v>
      </c>
      <c r="U16" s="98">
        <f>COUNTIFS('Members Data'!$C$2:$C$100, "Druid", 'Members Data'!$D$2:$D$100, "Healer", 'wk3'!C$10:C$108,"Confirmed")+COUNTIFS('Members Data'!$C$2:$C$100, "Druid", 'Members Data'!$D$2:$D$100, "Healer", 'wk3'!C$10:C$108,"Standby")</f>
        <v>0</v>
      </c>
      <c r="V16" s="98">
        <f>COUNTIFS('Members Data'!$C$2:$C$100, "Druid", 'Members Data'!$D$2:$D$100, "Healer", 'wk3'!D$10:D$108,"Confirmed")+COUNTIFS('Members Data'!$C$2:$C$100, "Druid", 'Members Data'!$D$2:$D$100, "Healer", 'wk3'!D$10:D$108,"Standby")</f>
        <v>0</v>
      </c>
      <c r="W16" s="98">
        <f>COUNTIFS('Members Data'!$C$2:$C$100, "Druid", 'Members Data'!$D$2:$D$100, "Healer", 'wk3'!E$10:E$108,"Confirmed")+COUNTIFS('Members Data'!$C$2:$C$100, "Druid", 'Members Data'!$D$2:$D$100, "Healer", 'wk3'!E$10:E$108,"Standby")</f>
        <v>0</v>
      </c>
      <c r="X16" s="98">
        <f>COUNTIFS('Members Data'!$C$2:$C$100, "Druid", 'Members Data'!$D$2:$D$100, "Healer", 'wk3'!F$10:F$108,"Confirmed")+COUNTIFS('Members Data'!$C$2:$C$100, "Druid", 'Members Data'!$D$2:$D$100, "Healer", 'wk3'!F$10:F$108,"Standby")</f>
        <v>0</v>
      </c>
      <c r="Y16" s="98">
        <f>COUNTIFS('Members Data'!$C$2:$C$100, "Druid", 'Members Data'!$D$2:$D$100, "Healer", 'wk3'!G$10:G$108,"Confirmed")+COUNTIFS('Members Data'!$C$2:$C$100, "Druid", 'Members Data'!$D$2:$D$100, "Healer", 'wk3'!G$10:G$108,"Standby")</f>
        <v>0</v>
      </c>
      <c r="Z16" s="98">
        <f>COUNTIFS('Members Data'!$C$2:$C$100, "Druid", 'Members Data'!$D$2:$D$100, "Healer", 'wk3'!H$10:H$108,"Confirmed")+COUNTIFS('Members Data'!$C$2:$C$100, "Druid", 'Members Data'!$D$2:$D$100, "Healer", 'wk3'!H$10:H$108,"Standby")</f>
        <v>0</v>
      </c>
      <c r="AA16" s="100">
        <f>SUM(T16:Z16)</f>
        <v>0</v>
      </c>
      <c r="AB16" s="98">
        <f>COUNTIFS('Members Data'!$C$2:$C$100, "Druid", 'Members Data'!$D$2:$D$100, "Healer", 'wk4'!B$10:B$108,"Confirmed")+COUNTIFS('Members Data'!$C$2:$C$100, "Druid", 'Members Data'!$D$2:$D$100, "Healer", 'wk4'!B$10:B$108,"Standby")</f>
        <v>0</v>
      </c>
      <c r="AC16" s="98">
        <f>COUNTIFS('Members Data'!$C$2:$C$100, "Druid", 'Members Data'!$D$2:$D$100, "Healer", 'wk4'!C$10:C$108,"Confirmed")+COUNTIFS('Members Data'!$C$2:$C$100, "Druid", 'Members Data'!$D$2:$D$100, "Healer", 'wk4'!C$10:C$108,"Standby")</f>
        <v>0</v>
      </c>
      <c r="AD16" s="98">
        <f>COUNTIFS('Members Data'!$C$2:$C$100, "Druid", 'Members Data'!$D$2:$D$100, "Healer", 'wk4'!D$10:D$108,"Confirmed")+COUNTIFS('Members Data'!$C$2:$C$100, "Druid", 'Members Data'!$D$2:$D$100, "Healer", 'wk4'!D$10:D$108,"Standby")</f>
        <v>0</v>
      </c>
      <c r="AE16" s="98">
        <f>COUNTIFS('Members Data'!$C$2:$C$100, "Druid", 'Members Data'!$D$2:$D$100, "Healer", 'wk4'!E$10:E$108,"Confirmed")+COUNTIFS('Members Data'!$C$2:$C$100, "Druid", 'Members Data'!$D$2:$D$100, "Healer", 'wk4'!E$10:E$108,"Standby")</f>
        <v>0</v>
      </c>
      <c r="AF16" s="98">
        <f>COUNTIFS('Members Data'!$C$2:$C$100, "Druid", 'Members Data'!$D$2:$D$100, "Healer", 'wk4'!F$10:F$108,"Confirmed")+COUNTIFS('Members Data'!$C$2:$C$100, "Druid", 'Members Data'!$D$2:$D$100, "Healer", 'wk4'!F$10:F$108,"Standby")</f>
        <v>0</v>
      </c>
      <c r="AG16" s="98">
        <f>COUNTIFS('Members Data'!$C$2:$C$100, "Druid", 'Members Data'!$D$2:$D$100, "Healer", 'wk4'!G$10:G$108,"Confirmed")+COUNTIFS('Members Data'!$C$2:$C$100, "Druid", 'Members Data'!$D$2:$D$100, "Healer", 'wk4'!G$10:G$108,"Standby")</f>
        <v>0</v>
      </c>
      <c r="AH16" s="98">
        <f>COUNTIFS('Members Data'!$C$2:$C$100, "Druid", 'Members Data'!$D$2:$D$100, "Healer", 'wk4'!H$10:H$108,"Confirmed")+COUNTIFS('Members Data'!$C$2:$C$100, "Druid", 'Members Data'!$D$2:$D$100, "Healer", 'wk4'!H$10:H$108,"Standby")</f>
        <v>0</v>
      </c>
      <c r="AI16" s="100">
        <f>SUM(AB16:AH16)</f>
        <v>0</v>
      </c>
      <c r="AJ16" s="98">
        <f>COUNTIFS('Members Data'!$C$2:$C$100, "Druid", 'Members Data'!$D$2:$D$100, "Healer", 'wk5'!B$10:B$108,"Confirmed")+COUNTIFS('Members Data'!$C$2:$C$100, "Druid", 'Members Data'!$D$2:$D$100, "Healer", 'wk5'!B$10:B$108,"Standby")</f>
        <v>0</v>
      </c>
      <c r="AK16" s="98">
        <f>COUNTIFS('Members Data'!$C$2:$C$100, "Druid", 'Members Data'!$D$2:$D$100, "Healer", 'wk5'!C$10:C$108,"Confirmed")+COUNTIFS('Members Data'!$C$2:$C$100, "Druid", 'Members Data'!$D$2:$D$100, "Healer", 'wk5'!C$10:C$108,"Standby")</f>
        <v>0</v>
      </c>
      <c r="AL16" s="98">
        <f>COUNTIFS('Members Data'!$C$2:$C$100, "Druid", 'Members Data'!$D$2:$D$100, "Healer", 'wk5'!D$10:D$108,"Confirmed")+COUNTIFS('Members Data'!$C$2:$C$100, "Druid", 'Members Data'!$D$2:$D$100, "Healer", 'wk5'!D$10:D$108,"Standby")</f>
        <v>0</v>
      </c>
      <c r="AM16" s="98">
        <f>COUNTIFS('Members Data'!$C$2:$C$100, "Druid", 'Members Data'!$D$2:$D$100, "Healer", 'wk5'!E$10:E$108,"Confirmed")+COUNTIFS('Members Data'!$C$2:$C$100, "Druid", 'Members Data'!$D$2:$D$100, "Healer", 'wk5'!E$10:E$108,"Standby")</f>
        <v>0</v>
      </c>
      <c r="AN16" s="98">
        <f>COUNTIFS('Members Data'!$C$2:$C$100, "Druid", 'Members Data'!$D$2:$D$100, "Healer", 'wk5'!F$10:F$108,"Confirmed")+COUNTIFS('Members Data'!$C$2:$C$100, "Druid", 'Members Data'!$D$2:$D$100, "Healer", 'wk5'!F$10:F$108,"Standby")</f>
        <v>0</v>
      </c>
      <c r="AO16" s="98">
        <f>COUNTIFS('Members Data'!$C$2:$C$100, "Druid", 'Members Data'!$D$2:$D$100, "Healer", 'wk5'!G$10:G$108,"Confirmed")+COUNTIFS('Members Data'!$C$2:$C$100, "Druid", 'Members Data'!$D$2:$D$100, "Healer", 'wk5'!G$10:G$108,"Standby")</f>
        <v>0</v>
      </c>
      <c r="AP16" s="98">
        <f>COUNTIFS('Members Data'!$C$2:$C$100, "Druid", 'Members Data'!$D$2:$D$100, "Healer", 'wk5'!H$10:H$108,"Confirmed")+COUNTIFS('Members Data'!$C$2:$C$100, "Druid", 'Members Data'!$D$2:$D$100, "Healer", 'wk5'!H$10:H$108,"Standby")</f>
        <v>0</v>
      </c>
      <c r="AQ16" s="100">
        <f>SUM(AJ16:AP16)</f>
        <v>0</v>
      </c>
    </row>
    <row r="17" spans="1:43" ht="13.5" thickBot="1"/>
    <row r="18" spans="1:43" ht="13.5" thickBot="1">
      <c r="A18" s="96" t="s">
        <v>11</v>
      </c>
      <c r="B18" s="97"/>
    </row>
    <row r="19" spans="1:43" ht="15.75" thickBot="1">
      <c r="A19" s="114" t="s">
        <v>51</v>
      </c>
      <c r="B19" s="107">
        <f>K19+S19+AA19+AI19+AQ19</f>
        <v>6</v>
      </c>
      <c r="D19" s="112">
        <f>COUNTIFS('Members Data'!$C$2:$C$100, "Hunter", 'Members Data'!$D$2:$D$100, "RDPS", 'wk1'!B$10:B$108,"Confirmed")+COUNTIFS('Members Data'!$C$2:$C$100, "Hunter", 'Members Data'!$D$2:$D$100, "RDPS", 'wk1'!B$10:B$108,"Standby")</f>
        <v>3</v>
      </c>
      <c r="E19" s="112">
        <f>COUNTIFS('Members Data'!$C$2:$C$100, "Hunter", 'Members Data'!$D$2:$D$100, "RDPS", 'wk1'!C$10:C$108,"Confirmed")+COUNTIFS('Members Data'!$C$2:$C$100, "Hunter", 'Members Data'!$D$2:$D$100, "RDPS", 'wk1'!C$10:C$108,"Standby")</f>
        <v>3</v>
      </c>
      <c r="F19" s="112">
        <f>COUNTIFS('Members Data'!$C$2:$C$100, "Hunter", 'Members Data'!$D$2:$D$100, "RDPS", 'wk1'!D$10:D$108,"Confirmed")+COUNTIFS('Members Data'!$C$2:$C$100, "Hunter", 'Members Data'!$D$2:$D$100, "RDPS", 'wk1'!D$10:D$108,"Standby")</f>
        <v>0</v>
      </c>
      <c r="G19" s="112">
        <f>COUNTIFS('Members Data'!$C$2:$C$100, "Hunter", 'Members Data'!$D$2:$D$100, "RDPS", 'wk1'!E$10:E$108,"Confirmed")+COUNTIFS('Members Data'!$C$2:$C$100, "Hunter", 'Members Data'!$D$2:$D$100, "RDPS", 'wk1'!E$10:E$108,"Standby")</f>
        <v>0</v>
      </c>
      <c r="H19" s="112">
        <f>COUNTIFS('Members Data'!$C$2:$C$100, "Hunter", 'Members Data'!$D$2:$D$100, "RDPS", 'wk1'!F$10:F$108,"Confirmed")+COUNTIFS('Members Data'!$C$2:$C$100, "Hunter", 'Members Data'!$D$2:$D$100, "RDPS", 'wk1'!F$10:F$108,"Standby")</f>
        <v>0</v>
      </c>
      <c r="I19" s="112">
        <f>COUNTIFS('Members Data'!$C$2:$C$100, "Hunter", 'Members Data'!$D$2:$D$100, "RDPS", 'wk1'!G$10:G$108,"Confirmed")+COUNTIFS('Members Data'!$C$2:$C$100, "Hunter", 'Members Data'!$D$2:$D$100, "RDPS", 'wk1'!G$10:G$108,"Standby")</f>
        <v>0</v>
      </c>
      <c r="J19" s="112">
        <f>COUNTIFS('Members Data'!$C$2:$C$100, "Hunter", 'Members Data'!$D$2:$D$100, "RDPS", 'wk1'!H$10:H$108,"Confirmed")+COUNTIFS('Members Data'!$C$2:$C$100, "Hunter", 'Members Data'!$D$2:$D$100, "RDPS", 'wk1'!H$10:H$108,"Standby")</f>
        <v>0</v>
      </c>
      <c r="K19" s="100">
        <f>SUM(D19:J19)</f>
        <v>6</v>
      </c>
      <c r="L19" s="113">
        <f>COUNTIFS('Members Data'!$C$2:$C$100, "Hunter", 'Members Data'!$D$2:$D$100, "RDPS", 'wk2'!B$10:B$108,"Confirmed")+COUNTIFS('Members Data'!$C$2:$C$100, "Hunter", 'Members Data'!$D$2:$D$100, "RDPS", 'wk2'!B$10:B$108,"Standby")</f>
        <v>0</v>
      </c>
      <c r="M19" s="113">
        <f>COUNTIFS('Members Data'!$C$2:$C$100, "Hunter", 'Members Data'!$D$2:$D$100, "RDPS", 'wk2'!C$10:C$108,"Confirmed")+COUNTIFS('Members Data'!$C$2:$C$100, "Hunter", 'Members Data'!$D$2:$D$100, "RDPS", 'wk2'!C$10:C$108,"Standby")</f>
        <v>0</v>
      </c>
      <c r="N19" s="113">
        <f>COUNTIFS('Members Data'!$C$2:$C$100, "Hunter", 'Members Data'!$D$2:$D$100, "RDPS", 'wk2'!D$10:D$108,"Confirmed")+COUNTIFS('Members Data'!$C$2:$C$100, "Hunter", 'Members Data'!$D$2:$D$100, "RDPS", 'wk2'!D$10:D$108,"Standby")</f>
        <v>0</v>
      </c>
      <c r="O19" s="113">
        <f>COUNTIFS('Members Data'!$C$2:$C$100, "Hunter", 'Members Data'!$D$2:$D$100, "RDPS", 'wk2'!E$10:E$108,"Confirmed")+COUNTIFS('Members Data'!$C$2:$C$100, "Hunter", 'Members Data'!$D$2:$D$100, "RDPS", 'wk2'!E$10:E$108,"Standby")</f>
        <v>0</v>
      </c>
      <c r="P19" s="113">
        <f>COUNTIFS('Members Data'!$C$2:$C$100, "Hunter", 'Members Data'!$D$2:$D$100, "RDPS", 'wk2'!F$10:F$108,"Confirmed")+COUNTIFS('Members Data'!$C$2:$C$100, "Hunter", 'Members Data'!$D$2:$D$100, "RDPS", 'wk2'!F$10:F$108,"Standby")</f>
        <v>0</v>
      </c>
      <c r="Q19" s="113">
        <f>COUNTIFS('Members Data'!$C$2:$C$100, "Hunter", 'Members Data'!$D$2:$D$100, "RDPS", 'wk2'!G$10:G$108,"Confirmed")+COUNTIFS('Members Data'!$C$2:$C$100, "Hunter", 'Members Data'!$D$2:$D$100, "RDPS", 'wk2'!G$10:G$108,"Standby")</f>
        <v>0</v>
      </c>
      <c r="R19" s="113">
        <f>COUNTIFS('Members Data'!$C$2:$C$100, "Hunter", 'Members Data'!$D$2:$D$100, "RDPS", 'wk2'!H$10:H$108,"Confirmed")+COUNTIFS('Members Data'!$C$2:$C$100, "Hunter", 'Members Data'!$D$2:$D$100, "RDPS", 'wk2'!H$10:H$108,"Standby")</f>
        <v>0</v>
      </c>
      <c r="S19" s="100">
        <f>SUM(L19:R19)</f>
        <v>0</v>
      </c>
      <c r="T19" s="98">
        <f>COUNTIFS('Members Data'!$C$2:$C$100, "Hunter", 'Members Data'!$D$2:$D$100, "RDPS", 'wk3'!B$10:B$108,"Confirmed")+COUNTIFS('Members Data'!$C$2:$C$100, "Hunter", 'Members Data'!$D$2:$D$100, "RDPS", 'wk3'!B$10:B$108,"Standby")</f>
        <v>0</v>
      </c>
      <c r="U19" s="98">
        <f>COUNTIFS('Members Data'!$C$2:$C$100, "Hunter", 'Members Data'!$D$2:$D$100, "RDPS", 'wk3'!C$10:C$108,"Confirmed")+COUNTIFS('Members Data'!$C$2:$C$100, "Hunter", 'Members Data'!$D$2:$D$100, "RDPS", 'wk3'!C$10:C$108,"Standby")</f>
        <v>0</v>
      </c>
      <c r="V19" s="98">
        <f>COUNTIFS('Members Data'!$C$2:$C$100, "Hunter", 'Members Data'!$D$2:$D$100, "RDPS", 'wk3'!D$10:D$108,"Confirmed")+COUNTIFS('Members Data'!$C$2:$C$100, "Hunter", 'Members Data'!$D$2:$D$100, "RDPS", 'wk3'!D$10:D$108,"Standby")</f>
        <v>0</v>
      </c>
      <c r="W19" s="98">
        <f>COUNTIFS('Members Data'!$C$2:$C$100, "Hunter", 'Members Data'!$D$2:$D$100, "RDPS", 'wk3'!E$10:E$108,"Confirmed")+COUNTIFS('Members Data'!$C$2:$C$100, "Hunter", 'Members Data'!$D$2:$D$100, "RDPS", 'wk3'!E$10:E$108,"Standby")</f>
        <v>0</v>
      </c>
      <c r="X19" s="98">
        <f>COUNTIFS('Members Data'!$C$2:$C$100, "Hunter", 'Members Data'!$D$2:$D$100, "RDPS", 'wk3'!F$10:F$108,"Confirmed")+COUNTIFS('Members Data'!$C$2:$C$100, "Hunter", 'Members Data'!$D$2:$D$100, "RDPS", 'wk3'!F$10:F$108,"Standby")</f>
        <v>0</v>
      </c>
      <c r="Y19" s="98">
        <f>COUNTIFS('Members Data'!$C$2:$C$100, "Hunter", 'Members Data'!$D$2:$D$100, "RDPS", 'wk3'!G$10:G$108,"Confirmed")+COUNTIFS('Members Data'!$C$2:$C$100, "Hunter", 'Members Data'!$D$2:$D$100, "RDPS", 'wk3'!G$10:G$108,"Standby")</f>
        <v>0</v>
      </c>
      <c r="Z19" s="98">
        <f>COUNTIFS('Members Data'!$C$2:$C$100, "Hunter", 'Members Data'!$D$2:$D$100, "RDPS", 'wk3'!H$10:H$108,"Confirmed")+COUNTIFS('Members Data'!$C$2:$C$100, "Hunter", 'Members Data'!$D$2:$D$100, "RDPS", 'wk3'!H$10:H$108,"Standby")</f>
        <v>0</v>
      </c>
      <c r="AA19" s="100">
        <f>SUM(T19:Z19)</f>
        <v>0</v>
      </c>
      <c r="AB19" s="98">
        <f>COUNTIFS('Members Data'!$C$2:$C$100, "Hunter", 'Members Data'!$D$2:$D$100, "RDPS", 'wk4'!B$10:B$108,"Confirmed")+COUNTIFS('Members Data'!$C$2:$C$100, "Hunter", 'Members Data'!$D$2:$D$100, "RDPS", 'wk4'!B$10:B$108,"Standby")</f>
        <v>0</v>
      </c>
      <c r="AC19" s="98">
        <f>COUNTIFS('Members Data'!$C$2:$C$100, "Hunter", 'Members Data'!$D$2:$D$100, "RDPS", 'wk4'!C$10:C$108,"Confirmed")+COUNTIFS('Members Data'!$C$2:$C$100, "Hunter", 'Members Data'!$D$2:$D$100, "RDPS", 'wk4'!C$10:C$108,"Standby")</f>
        <v>0</v>
      </c>
      <c r="AD19" s="98">
        <f>COUNTIFS('Members Data'!$C$2:$C$100, "Hunter", 'Members Data'!$D$2:$D$100, "RDPS", 'wk4'!D$10:D$108,"Confirmed")+COUNTIFS('Members Data'!$C$2:$C$100, "Hunter", 'Members Data'!$D$2:$D$100, "RDPS", 'wk4'!D$10:D$108,"Standby")</f>
        <v>0</v>
      </c>
      <c r="AE19" s="98">
        <f>COUNTIFS('Members Data'!$C$2:$C$100, "Hunter", 'Members Data'!$D$2:$D$100, "RDPS", 'wk4'!E$10:E$108,"Confirmed")+COUNTIFS('Members Data'!$C$2:$C$100, "Hunter", 'Members Data'!$D$2:$D$100, "RDPS", 'wk4'!E$10:E$108,"Standby")</f>
        <v>0</v>
      </c>
      <c r="AF19" s="98">
        <f>COUNTIFS('Members Data'!$C$2:$C$100, "Hunter", 'Members Data'!$D$2:$D$100, "RDPS", 'wk4'!F$10:F$108,"Confirmed")+COUNTIFS('Members Data'!$C$2:$C$100, "Hunter", 'Members Data'!$D$2:$D$100, "RDPS", 'wk4'!F$10:F$108,"Standby")</f>
        <v>0</v>
      </c>
      <c r="AG19" s="98">
        <f>COUNTIFS('Members Data'!$C$2:$C$100, "Hunter", 'Members Data'!$D$2:$D$100, "RDPS", 'wk4'!G$10:G$108,"Confirmed")+COUNTIFS('Members Data'!$C$2:$C$100, "Hunter", 'Members Data'!$D$2:$D$100, "RDPS", 'wk4'!G$10:G$108,"Standby")</f>
        <v>0</v>
      </c>
      <c r="AH19" s="98">
        <f>COUNTIFS('Members Data'!$C$2:$C$100, "Hunter", 'Members Data'!$D$2:$D$100, "RDPS", 'wk4'!H$10:H$108,"Confirmed")+COUNTIFS('Members Data'!$C$2:$C$100, "Hunter", 'Members Data'!$D$2:$D$100, "RDPS", 'wk4'!H$10:H$108,"Standby")</f>
        <v>0</v>
      </c>
      <c r="AI19" s="100">
        <f>SUM(AB19:AH19)</f>
        <v>0</v>
      </c>
      <c r="AJ19" s="98">
        <f>COUNTIFS('Members Data'!$C$2:$C$100, "Hunter", 'Members Data'!$D$2:$D$100, "RDPS", 'wk5'!B$10:B$108,"Confirmed")+COUNTIFS('Members Data'!$C$2:$C$100, "Hunter", 'Members Data'!$D$2:$D$100, "RDPS", 'wk5'!B$10:B$108,"Standby")</f>
        <v>0</v>
      </c>
      <c r="AK19" s="98">
        <f>COUNTIFS('Members Data'!$C$2:$C$100, "Hunter", 'Members Data'!$D$2:$D$100, "RDPS", 'wk5'!C$10:C$108,"Confirmed")+COUNTIFS('Members Data'!$C$2:$C$100, "Hunter", 'Members Data'!$D$2:$D$100, "RDPS", 'wk5'!C$10:C$108,"Standby")</f>
        <v>0</v>
      </c>
      <c r="AL19" s="98">
        <f>COUNTIFS('Members Data'!$C$2:$C$100, "Hunter", 'Members Data'!$D$2:$D$100, "RDPS", 'wk5'!D$10:D$108,"Confirmed")+COUNTIFS('Members Data'!$C$2:$C$100, "Hunter", 'Members Data'!$D$2:$D$100, "RDPS", 'wk5'!D$10:D$108,"Standby")</f>
        <v>0</v>
      </c>
      <c r="AM19" s="98">
        <f>COUNTIFS('Members Data'!$C$2:$C$100, "Hunter", 'Members Data'!$D$2:$D$100, "RDPS", 'wk5'!E$10:E$108,"Confirmed")+COUNTIFS('Members Data'!$C$2:$C$100, "Hunter", 'Members Data'!$D$2:$D$100, "RDPS", 'wk5'!E$10:E$108,"Standby")</f>
        <v>0</v>
      </c>
      <c r="AN19" s="98">
        <f>COUNTIFS('Members Data'!$C$2:$C$100, "Hunter", 'Members Data'!$D$2:$D$100, "RDPS", 'wk5'!F$10:F$108,"Confirmed")+COUNTIFS('Members Data'!$C$2:$C$100, "Hunter", 'Members Data'!$D$2:$D$100, "RDPS", 'wk5'!F$10:F$108,"Standby")</f>
        <v>0</v>
      </c>
      <c r="AO19" s="98">
        <f>COUNTIFS('Members Data'!$C$2:$C$100, "Hunter", 'Members Data'!$D$2:$D$100, "RDPS", 'wk5'!G$10:G$108,"Confirmed")+COUNTIFS('Members Data'!$C$2:$C$100, "Hunter", 'Members Data'!$D$2:$D$100, "RDPS", 'wk5'!G$10:G$108,"Standby")</f>
        <v>0</v>
      </c>
      <c r="AP19" s="98">
        <f>COUNTIFS('Members Data'!$C$2:$C$100, "Hunter", 'Members Data'!$D$2:$D$100, "RDPS", 'wk5'!H$10:H$108,"Confirmed")+COUNTIFS('Members Data'!$C$2:$C$100, "Hunter", 'Members Data'!$D$2:$D$100, "RDPS", 'wk5'!H$10:H$108,"Standby")</f>
        <v>0</v>
      </c>
      <c r="AQ19" s="100">
        <f>SUM(AJ19:AP19)</f>
        <v>0</v>
      </c>
    </row>
    <row r="20" spans="1:43" ht="13.5" thickBot="1"/>
    <row r="21" spans="1:43" ht="13.5" thickBot="1">
      <c r="A21" s="96" t="s">
        <v>12</v>
      </c>
      <c r="B21" s="97"/>
    </row>
    <row r="22" spans="1:43" ht="15.75" thickBot="1">
      <c r="A22" s="114" t="s">
        <v>51</v>
      </c>
      <c r="B22" s="107">
        <f>K22+S22+AA22+AI22+AQ22</f>
        <v>8</v>
      </c>
      <c r="D22" s="112">
        <f>COUNTIFS('Members Data'!$C$2:$C$100, "Mage", 'Members Data'!$D$2:$D$100, "RDPS", 'wk1'!B$10:B$108,"Confirmed")+COUNTIFS('Members Data'!$C$2:$C$100, "Mage", 'Members Data'!$D$2:$D$100, "RDPS", 'wk1'!B$10:B$108,"Standby")</f>
        <v>4</v>
      </c>
      <c r="E22" s="112">
        <f>COUNTIFS('Members Data'!$C$2:$C$100, "Mage", 'Members Data'!$D$2:$D$100, "RDPS", 'wk1'!C$10:C$108,"Confirmed")+COUNTIFS('Members Data'!$C$2:$C$100, "Mage", 'Members Data'!$D$2:$D$100, "RDPS", 'wk1'!C$10:C$108,"Standby")</f>
        <v>4</v>
      </c>
      <c r="F22" s="112">
        <f>COUNTIFS('Members Data'!$C$2:$C$100, "Mage", 'Members Data'!$D$2:$D$100, "RDPS", 'wk1'!D$10:D$108,"Confirmed")+COUNTIFS('Members Data'!$C$2:$C$100, "Mage", 'Members Data'!$D$2:$D$100, "RDPS", 'wk1'!D$10:D$108,"Standby")</f>
        <v>0</v>
      </c>
      <c r="G22" s="112">
        <f>COUNTIFS('Members Data'!$C$2:$C$100, "Mage", 'Members Data'!$D$2:$D$100, "RDPS", 'wk1'!E$10:E$108,"Confirmed")+COUNTIFS('Members Data'!$C$2:$C$100, "Mage", 'Members Data'!$D$2:$D$100, "RDPS", 'wk1'!E$10:E$108,"Standby")</f>
        <v>0</v>
      </c>
      <c r="H22" s="112">
        <f>COUNTIFS('Members Data'!$C$2:$C$100, "Mage", 'Members Data'!$D$2:$D$100, "RDPS", 'wk1'!F$10:F$108,"Confirmed")+COUNTIFS('Members Data'!$C$2:$C$100, "Mage", 'Members Data'!$D$2:$D$100, "RDPS", 'wk1'!F$10:F$108,"Standby")</f>
        <v>0</v>
      </c>
      <c r="I22" s="112">
        <f>COUNTIFS('Members Data'!$C$2:$C$100, "Mage", 'Members Data'!$D$2:$D$100, "RDPS", 'wk1'!G$10:G$108,"Confirmed")+COUNTIFS('Members Data'!$C$2:$C$100, "Mage", 'Members Data'!$D$2:$D$100, "RDPS", 'wk1'!G$10:G$108,"Standby")</f>
        <v>0</v>
      </c>
      <c r="J22" s="112">
        <f>COUNTIFS('Members Data'!$C$2:$C$100, "Mage", 'Members Data'!$D$2:$D$100, "RDPS", 'wk1'!H$10:H$108,"Confirmed")+COUNTIFS('Members Data'!$C$2:$C$100, "Mage", 'Members Data'!$D$2:$D$100, "RDPS", 'wk1'!H$10:H$108,"Standby")</f>
        <v>0</v>
      </c>
      <c r="K22" s="100">
        <f>SUM(D22:J22)</f>
        <v>8</v>
      </c>
      <c r="L22" s="113">
        <f>COUNTIFS('Members Data'!$C$2:$C$100, "Mage", 'Members Data'!$D$2:$D$100, "RDPS", 'wk2'!B$10:B$108,"Confirmed")+COUNTIFS('Members Data'!$C$2:$C$100, "Mage", 'Members Data'!$D$2:$D$100, "RDPS", 'wk2'!B$10:B$108,"Standby")</f>
        <v>0</v>
      </c>
      <c r="M22" s="113">
        <f>COUNTIFS('Members Data'!$C$2:$C$100, "Mage", 'Members Data'!$D$2:$D$100, "RDPS", 'wk2'!C$10:C$108,"Confirmed")+COUNTIFS('Members Data'!$C$2:$C$100, "Mage", 'Members Data'!$D$2:$D$100, "RDPS", 'wk2'!C$10:C$108,"Standby")</f>
        <v>0</v>
      </c>
      <c r="N22" s="113">
        <f>COUNTIFS('Members Data'!$C$2:$C$100, "Mage", 'Members Data'!$D$2:$D$100, "RDPS", 'wk2'!D$10:D$108,"Confirmed")+COUNTIFS('Members Data'!$C$2:$C$100, "Mage", 'Members Data'!$D$2:$D$100, "RDPS", 'wk2'!D$10:D$108,"Standby")</f>
        <v>0</v>
      </c>
      <c r="O22" s="113">
        <f>COUNTIFS('Members Data'!$C$2:$C$100, "Mage", 'Members Data'!$D$2:$D$100, "RDPS", 'wk2'!E$10:E$108,"Confirmed")+COUNTIFS('Members Data'!$C$2:$C$100, "Mage", 'Members Data'!$D$2:$D$100, "RDPS", 'wk2'!E$10:E$108,"Standby")</f>
        <v>0</v>
      </c>
      <c r="P22" s="113">
        <f>COUNTIFS('Members Data'!$C$2:$C$100, "Mage", 'Members Data'!$D$2:$D$100, "RDPS", 'wk2'!F$10:F$108,"Confirmed")+COUNTIFS('Members Data'!$C$2:$C$100, "Mage", 'Members Data'!$D$2:$D$100, "RDPS", 'wk2'!F$10:F$108,"Standby")</f>
        <v>0</v>
      </c>
      <c r="Q22" s="113">
        <f>COUNTIFS('Members Data'!$C$2:$C$100, "Mage", 'Members Data'!$D$2:$D$100, "RDPS", 'wk2'!G$10:G$108,"Confirmed")+COUNTIFS('Members Data'!$C$2:$C$100, "Mage", 'Members Data'!$D$2:$D$100, "RDPS", 'wk2'!G$10:G$108,"Standby")</f>
        <v>0</v>
      </c>
      <c r="R22" s="113">
        <f>COUNTIFS('Members Data'!$C$2:$C$100, "Mage", 'Members Data'!$D$2:$D$100, "RDPS", 'wk2'!H$10:H$108,"Confirmed")+COUNTIFS('Members Data'!$C$2:$C$100, "Mage", 'Members Data'!$D$2:$D$100, "RDPS", 'wk2'!H$10:H$108,"Standby")</f>
        <v>0</v>
      </c>
      <c r="S22" s="100">
        <f>SUM(L22:R22)</f>
        <v>0</v>
      </c>
      <c r="T22" s="98">
        <f>COUNTIFS('Members Data'!$C$2:$C$100, "Mage", 'Members Data'!$D$2:$D$100, "RDPS", 'wk3'!B$10:B$108,"Confirmed")+COUNTIFS('Members Data'!$C$2:$C$100, "Mage", 'Members Data'!$D$2:$D$100, "RDPS", 'wk3'!B$10:B$108,"Standby")</f>
        <v>0</v>
      </c>
      <c r="U22" s="98">
        <f>COUNTIFS('Members Data'!$C$2:$C$100, "Mage", 'Members Data'!$D$2:$D$100, "RDPS", 'wk3'!C$10:C$108,"Confirmed")+COUNTIFS('Members Data'!$C$2:$C$100, "Mage", 'Members Data'!$D$2:$D$100, "RDPS", 'wk3'!C$10:C$108,"Standby")</f>
        <v>0</v>
      </c>
      <c r="V22" s="98">
        <f>COUNTIFS('Members Data'!$C$2:$C$100, "Mage", 'Members Data'!$D$2:$D$100, "RDPS", 'wk3'!D$10:D$108,"Confirmed")+COUNTIFS('Members Data'!$C$2:$C$100, "Mage", 'Members Data'!$D$2:$D$100, "RDPS", 'wk3'!D$10:D$108,"Standby")</f>
        <v>0</v>
      </c>
      <c r="W22" s="98">
        <f>COUNTIFS('Members Data'!$C$2:$C$100, "Mage", 'Members Data'!$D$2:$D$100, "RDPS", 'wk3'!E$10:E$108,"Confirmed")+COUNTIFS('Members Data'!$C$2:$C$100, "Mage", 'Members Data'!$D$2:$D$100, "RDPS", 'wk3'!E$10:E$108,"Standby")</f>
        <v>0</v>
      </c>
      <c r="X22" s="98">
        <f>COUNTIFS('Members Data'!$C$2:$C$100, "Mage", 'Members Data'!$D$2:$D$100, "RDPS", 'wk3'!F$10:F$108,"Confirmed")+COUNTIFS('Members Data'!$C$2:$C$100, "Mage", 'Members Data'!$D$2:$D$100, "RDPS", 'wk3'!F$10:F$108,"Standby")</f>
        <v>0</v>
      </c>
      <c r="Y22" s="98">
        <f>COUNTIFS('Members Data'!$C$2:$C$100, "Mage", 'Members Data'!$D$2:$D$100, "RDPS", 'wk3'!G$10:G$108,"Confirmed")+COUNTIFS('Members Data'!$C$2:$C$100, "Mage", 'Members Data'!$D$2:$D$100, "RDPS", 'wk3'!G$10:G$108,"Standby")</f>
        <v>0</v>
      </c>
      <c r="Z22" s="98">
        <f>COUNTIFS('Members Data'!$C$2:$C$100, "Mage", 'Members Data'!$D$2:$D$100, "RDPS", 'wk3'!H$10:H$108,"Confirmed")+COUNTIFS('Members Data'!$C$2:$C$100, "Mage", 'Members Data'!$D$2:$D$100, "RDPS", 'wk3'!H$10:H$108,"Standby")</f>
        <v>0</v>
      </c>
      <c r="AA22" s="100">
        <f>SUM(T22:Z22)</f>
        <v>0</v>
      </c>
      <c r="AB22" s="98">
        <f>COUNTIFS('Members Data'!$C$2:$C$100, "Mage", 'Members Data'!$D$2:$D$100, "RDPS", 'wk4'!B$10:B$108,"Confirmed")+COUNTIFS('Members Data'!$C$2:$C$100, "Mage", 'Members Data'!$D$2:$D$100, "RDPS", 'wk4'!B$10:B$108,"Standby")</f>
        <v>0</v>
      </c>
      <c r="AC22" s="98">
        <f>COUNTIFS('Members Data'!$C$2:$C$100, "Mage", 'Members Data'!$D$2:$D$100, "RDPS", 'wk4'!C$10:C$108,"Confirmed")+COUNTIFS('Members Data'!$C$2:$C$100, "Mage", 'Members Data'!$D$2:$D$100, "RDPS", 'wk4'!C$10:C$108,"Standby")</f>
        <v>0</v>
      </c>
      <c r="AD22" s="98">
        <f>COUNTIFS('Members Data'!$C$2:$C$100, "Mage", 'Members Data'!$D$2:$D$100, "RDPS", 'wk4'!D$10:D$108,"Confirmed")+COUNTIFS('Members Data'!$C$2:$C$100, "Mage", 'Members Data'!$D$2:$D$100, "RDPS", 'wk4'!D$10:D$108,"Standby")</f>
        <v>0</v>
      </c>
      <c r="AE22" s="98">
        <f>COUNTIFS('Members Data'!$C$2:$C$100, "Mage", 'Members Data'!$D$2:$D$100, "RDPS", 'wk4'!E$10:E$108,"Confirmed")+COUNTIFS('Members Data'!$C$2:$C$100, "Mage", 'Members Data'!$D$2:$D$100, "RDPS", 'wk4'!E$10:E$108,"Standby")</f>
        <v>0</v>
      </c>
      <c r="AF22" s="98">
        <f>COUNTIFS('Members Data'!$C$2:$C$100, "Mage", 'Members Data'!$D$2:$D$100, "RDPS", 'wk4'!F$10:F$108,"Confirmed")+COUNTIFS('Members Data'!$C$2:$C$100, "Mage", 'Members Data'!$D$2:$D$100, "RDPS", 'wk4'!F$10:F$108,"Standby")</f>
        <v>0</v>
      </c>
      <c r="AG22" s="98">
        <f>COUNTIFS('Members Data'!$C$2:$C$100, "Mage", 'Members Data'!$D$2:$D$100, "RDPS", 'wk4'!G$10:G$108,"Confirmed")+COUNTIFS('Members Data'!$C$2:$C$100, "Mage", 'Members Data'!$D$2:$D$100, "RDPS", 'wk4'!G$10:G$108,"Standby")</f>
        <v>0</v>
      </c>
      <c r="AH22" s="98">
        <f>COUNTIFS('Members Data'!$C$2:$C$100, "Mage", 'Members Data'!$D$2:$D$100, "RDPS", 'wk4'!H$10:H$108,"Confirmed")+COUNTIFS('Members Data'!$C$2:$C$100, "Mage", 'Members Data'!$D$2:$D$100, "RDPS", 'wk4'!H$10:H$108,"Standby")</f>
        <v>0</v>
      </c>
      <c r="AI22" s="100">
        <f>SUM(AB22:AH22)</f>
        <v>0</v>
      </c>
      <c r="AJ22" s="98">
        <f>COUNTIFS('Members Data'!$C$2:$C$100, "Mage", 'Members Data'!$D$2:$D$100, "RDPS", 'wk5'!B$10:B$108,"Confirmed")+COUNTIFS('Members Data'!$C$2:$C$100, "Mage", 'Members Data'!$D$2:$D$100, "RDPS", 'wk5'!B$10:B$108,"Standby")</f>
        <v>0</v>
      </c>
      <c r="AK22" s="98">
        <f>COUNTIFS('Members Data'!$C$2:$C$100, "Mage", 'Members Data'!$D$2:$D$100, "RDPS", 'wk5'!C$10:C$108,"Confirmed")+COUNTIFS('Members Data'!$C$2:$C$100, "Mage", 'Members Data'!$D$2:$D$100, "RDPS", 'wk5'!C$10:C$108,"Standby")</f>
        <v>0</v>
      </c>
      <c r="AL22" s="98">
        <f>COUNTIFS('Members Data'!$C$2:$C$100, "Mage", 'Members Data'!$D$2:$D$100, "RDPS", 'wk5'!D$10:D$108,"Confirmed")+COUNTIFS('Members Data'!$C$2:$C$100, "Mage", 'Members Data'!$D$2:$D$100, "RDPS", 'wk5'!D$10:D$108,"Standby")</f>
        <v>0</v>
      </c>
      <c r="AM22" s="98">
        <f>COUNTIFS('Members Data'!$C$2:$C$100, "Mage", 'Members Data'!$D$2:$D$100, "RDPS", 'wk5'!E$10:E$108,"Confirmed")+COUNTIFS('Members Data'!$C$2:$C$100, "Mage", 'Members Data'!$D$2:$D$100, "RDPS", 'wk5'!E$10:E$108,"Standby")</f>
        <v>0</v>
      </c>
      <c r="AN22" s="98">
        <f>COUNTIFS('Members Data'!$C$2:$C$100, "Mage", 'Members Data'!$D$2:$D$100, "RDPS", 'wk5'!F$10:F$108,"Confirmed")+COUNTIFS('Members Data'!$C$2:$C$100, "Mage", 'Members Data'!$D$2:$D$100, "RDPS", 'wk5'!F$10:F$108,"Standby")</f>
        <v>0</v>
      </c>
      <c r="AO22" s="98">
        <f>COUNTIFS('Members Data'!$C$2:$C$100, "Mage", 'Members Data'!$D$2:$D$100, "RDPS", 'wk5'!G$10:G$108,"Confirmed")+COUNTIFS('Members Data'!$C$2:$C$100, "Mage", 'Members Data'!$D$2:$D$100, "RDPS", 'wk5'!G$10:G$108,"Standby")</f>
        <v>0</v>
      </c>
      <c r="AP22" s="98">
        <f>COUNTIFS('Members Data'!$C$2:$C$100, "Mage", 'Members Data'!$D$2:$D$100, "RDPS", 'wk5'!H$10:H$108,"Confirmed")+COUNTIFS('Members Data'!$C$2:$C$100, "Mage", 'Members Data'!$D$2:$D$100, "RDPS", 'wk5'!H$10:H$108,"Standby")</f>
        <v>0</v>
      </c>
      <c r="AQ22" s="100">
        <f>SUM(AJ22:AP22)</f>
        <v>0</v>
      </c>
    </row>
    <row r="23" spans="1:43" ht="13.5" thickBot="1"/>
    <row r="24" spans="1:43" ht="13.5" thickBot="1">
      <c r="A24" s="332" t="s">
        <v>136</v>
      </c>
      <c r="B24" s="97"/>
    </row>
    <row r="25" spans="1:43" ht="15.75" thickBot="1">
      <c r="A25" s="101" t="s">
        <v>8</v>
      </c>
      <c r="B25" s="102">
        <f>K25+S25+AA25+AI25+AQ25</f>
        <v>0</v>
      </c>
      <c r="D25" s="112">
        <f>COUNTIFS('Members Data'!$C$2:$C$100, "Monk", 'Members Data'!$D$2:$D$100, "Tank", 'wk1'!B$10:B$108,"Confirmed")+COUNTIFS('Members Data'!$C$2:$C$100, "Monk", 'Members Data'!$D$2:$D$100, "Tank", 'wk1'!B$10:B$108,"Standby")</f>
        <v>0</v>
      </c>
      <c r="E25" s="112">
        <f>COUNTIFS('Members Data'!$C$2:$C$100, "Monk", 'Members Data'!$D$2:$D$100, "Tank", 'wk1'!C$10:C$108,"Confirmed")+COUNTIFS('Members Data'!$C$2:$C$100, "Monk", 'Members Data'!$D$2:$D$100, "Tank", 'wk1'!C$10:C$108,"Standby")</f>
        <v>0</v>
      </c>
      <c r="F25" s="112">
        <f>COUNTIFS('Members Data'!$C$2:$C$100, "Monk", 'Members Data'!$D$2:$D$100, "Tank", 'wk1'!D$10:D$108,"Confirmed")+COUNTIFS('Members Data'!$C$2:$C$100, "Monk", 'Members Data'!$D$2:$D$100, "Tank", 'wk1'!D$10:D$108,"Standby")</f>
        <v>0</v>
      </c>
      <c r="G25" s="112">
        <f>COUNTIFS('Members Data'!$C$2:$C$100, "Monk", 'Members Data'!$D$2:$D$100, "Tank", 'wk1'!E$10:E$108,"Confirmed")+COUNTIFS('Members Data'!$C$2:$C$100, "Monk", 'Members Data'!$D$2:$D$100, "Tank", 'wk1'!E$10:E$108,"Standby")</f>
        <v>0</v>
      </c>
      <c r="H25" s="112">
        <f>COUNTIFS('Members Data'!$C$2:$C$100, "Monk", 'Members Data'!$D$2:$D$100, "Tank", 'wk1'!F$10:F$108,"Confirmed")+COUNTIFS('Members Data'!$C$2:$C$100, "Monk", 'Members Data'!$D$2:$D$100, "Tank", 'wk1'!F$10:F$108,"Standby")</f>
        <v>0</v>
      </c>
      <c r="I25" s="112">
        <f>COUNTIFS('Members Data'!$C$2:$C$100, "Monk", 'Members Data'!$D$2:$D$100, "Tank", 'wk1'!G$10:G$108,"Confirmed")+COUNTIFS('Members Data'!$C$2:$C$100, "Monk", 'Members Data'!$D$2:$D$100, "Tank", 'wk1'!G$10:G$108,"Standby")</f>
        <v>0</v>
      </c>
      <c r="J25" s="112">
        <f>COUNTIFS('Members Data'!$C$2:$C$100, "Monk", 'Members Data'!$D$2:$D$100, "Tank", 'wk1'!H$10:H$108,"Confirmed")+COUNTIFS('Members Data'!$C$2:$C$100, "Monk", 'Members Data'!$D$2:$D$100, "Tank", 'wk1'!H$10:H$108,"Standby")</f>
        <v>0</v>
      </c>
      <c r="K25" s="100">
        <f>SUM(D25:J25)</f>
        <v>0</v>
      </c>
      <c r="L25" s="113">
        <f>COUNTIFS('Members Data'!$C$2:$C$100, "Monk", 'Members Data'!$D$2:$D$100, "Tank", 'wk2'!B$10:B$108,"Confirmed")+COUNTIFS('Members Data'!$C$2:$C$100, "Monk", 'Members Data'!$D$2:$D$100, "Tank", 'wk2'!B$10:B$108,"Standby")</f>
        <v>0</v>
      </c>
      <c r="M25" s="113">
        <f>COUNTIFS('Members Data'!$C$2:$C$100, "Monk", 'Members Data'!$D$2:$D$100, "Tank", 'wk2'!C$10:C$108,"Confirmed")+COUNTIFS('Members Data'!$C$2:$C$100, "Monk", 'Members Data'!$D$2:$D$100, "Tank", 'wk2'!C$10:C$108,"Standby")</f>
        <v>0</v>
      </c>
      <c r="N25" s="113">
        <f>COUNTIFS('Members Data'!$C$2:$C$100, "Monk", 'Members Data'!$D$2:$D$100, "Tank", 'wk2'!D$10:D$108,"Confirmed")+COUNTIFS('Members Data'!$C$2:$C$100, "Monk", 'Members Data'!$D$2:$D$100, "Tank", 'wk2'!D$10:D$108,"Standby")</f>
        <v>0</v>
      </c>
      <c r="O25" s="113">
        <f>COUNTIFS('Members Data'!$C$2:$C$100, "Monk", 'Members Data'!$D$2:$D$100, "Tank", 'wk2'!E$10:E$108,"Confirmed")+COUNTIFS('Members Data'!$C$2:$C$100, "Monk", 'Members Data'!$D$2:$D$100, "Tank", 'wk2'!E$10:E$108,"Standby")</f>
        <v>0</v>
      </c>
      <c r="P25" s="113">
        <f>COUNTIFS('Members Data'!$C$2:$C$100, "Monk", 'Members Data'!$D$2:$D$100, "Tank", 'wk2'!F$10:F$108,"Confirmed")+COUNTIFS('Members Data'!$C$2:$C$100, "Monk", 'Members Data'!$D$2:$D$100, "Tank", 'wk2'!F$10:F$108,"Standby")</f>
        <v>0</v>
      </c>
      <c r="Q25" s="113">
        <f>COUNTIFS('Members Data'!$C$2:$C$100, "Monk", 'Members Data'!$D$2:$D$100, "Tank", 'wk2'!G$10:G$108,"Confirmed")+COUNTIFS('Members Data'!$C$2:$C$100, "Monk", 'Members Data'!$D$2:$D$100, "Tank", 'wk2'!G$10:G$108,"Standby")</f>
        <v>0</v>
      </c>
      <c r="R25" s="113">
        <f>COUNTIFS('Members Data'!$C$2:$C$100, "Monk", 'Members Data'!$D$2:$D$100, "Tank", 'wk2'!H$10:H$108,"Confirmed")+COUNTIFS('Members Data'!$C$2:$C$100, "Monk", 'Members Data'!$D$2:$D$100, "Tank", 'wk2'!H$10:H$108,"Standby")</f>
        <v>0</v>
      </c>
      <c r="S25" s="100">
        <f>SUM(L25:R25)</f>
        <v>0</v>
      </c>
      <c r="T25" s="98">
        <f>COUNTIFS('Members Data'!$C$2:$C$100, "Monk", 'Members Data'!$D$2:$D$100, "Tank", 'wk3'!B$10:B$108,"Confirmed")+COUNTIFS('Members Data'!$C$2:$C$100, "Monk", 'Members Data'!$D$2:$D$100, "Tank", 'wk3'!B$10:B$108,"Standby")</f>
        <v>0</v>
      </c>
      <c r="U25" s="98">
        <f>COUNTIFS('Members Data'!$C$2:$C$100, "Monk", 'Members Data'!$D$2:$D$100, "Tank", 'wk3'!C$10:C$108,"Confirmed")+COUNTIFS('Members Data'!$C$2:$C$100, "Monk", 'Members Data'!$D$2:$D$100, "Tank", 'wk3'!C$10:C$108,"Standby")</f>
        <v>0</v>
      </c>
      <c r="V25" s="98">
        <f>COUNTIFS('Members Data'!$C$2:$C$100, "Monk", 'Members Data'!$D$2:$D$100, "Tank", 'wk3'!D$10:D$108,"Confirmed")+COUNTIFS('Members Data'!$C$2:$C$100, "Monk", 'Members Data'!$D$2:$D$100, "Tank", 'wk3'!D$10:D$108,"Standby")</f>
        <v>0</v>
      </c>
      <c r="W25" s="98">
        <f>COUNTIFS('Members Data'!$C$2:$C$100, "Monk", 'Members Data'!$D$2:$D$100, "Tank", 'wk3'!E$10:E$108,"Confirmed")+COUNTIFS('Members Data'!$C$2:$C$100, "Monk", 'Members Data'!$D$2:$D$100, "Tank", 'wk3'!E$10:E$108,"Standby")</f>
        <v>0</v>
      </c>
      <c r="X25" s="98">
        <f>COUNTIFS('Members Data'!$C$2:$C$100, "Monk", 'Members Data'!$D$2:$D$100, "Tank", 'wk3'!F$10:F$108,"Confirmed")+COUNTIFS('Members Data'!$C$2:$C$100, "Monk", 'Members Data'!$D$2:$D$100, "Tank", 'wk3'!F$10:F$108,"Standby")</f>
        <v>0</v>
      </c>
      <c r="Y25" s="98">
        <f>COUNTIFS('Members Data'!$C$2:$C$100, "Monk", 'Members Data'!$D$2:$D$100, "Tank", 'wk3'!G$10:G$108,"Confirmed")+COUNTIFS('Members Data'!$C$2:$C$100, "Monk", 'Members Data'!$D$2:$D$100, "Tank", 'wk3'!G$10:G$108,"Standby")</f>
        <v>0</v>
      </c>
      <c r="Z25" s="98">
        <f>COUNTIFS('Members Data'!$C$2:$C$100, "Monk", 'Members Data'!$D$2:$D$100, "Tank", 'wk3'!H$10:H$108,"Confirmed")+COUNTIFS('Members Data'!$C$2:$C$100, "Monk", 'Members Data'!$D$2:$D$100, "Tank", 'wk3'!H$10:H$108,"Standby")</f>
        <v>0</v>
      </c>
      <c r="AA25" s="100">
        <f>SUM(T25:Z25)</f>
        <v>0</v>
      </c>
      <c r="AB25" s="98">
        <f>COUNTIFS('Members Data'!$C$2:$C$100, "Monk", 'Members Data'!$D$2:$D$100, "Tank", 'wk4'!B$10:B$108,"Confirmed")+COUNTIFS('Members Data'!$C$2:$C$100, "Monk", 'Members Data'!$D$2:$D$100, "Tank", 'wk4'!B$10:B$108,"Standby")</f>
        <v>0</v>
      </c>
      <c r="AC25" s="98">
        <f>COUNTIFS('Members Data'!$C$2:$C$100, "Monk", 'Members Data'!$D$2:$D$100, "Tank", 'wk4'!C$10:C$108,"Confirmed")+COUNTIFS('Members Data'!$C$2:$C$100, "Monk", 'Members Data'!$D$2:$D$100, "Tank", 'wk4'!C$10:C$108,"Standby")</f>
        <v>0</v>
      </c>
      <c r="AD25" s="98">
        <f>COUNTIFS('Members Data'!$C$2:$C$100, "Monk", 'Members Data'!$D$2:$D$100, "Tank", 'wk4'!D$10:D$108,"Confirmed")+COUNTIFS('Members Data'!$C$2:$C$100, "Monk", 'Members Data'!$D$2:$D$100, "Tank", 'wk4'!D$10:D$108,"Standby")</f>
        <v>0</v>
      </c>
      <c r="AE25" s="98">
        <f>COUNTIFS('Members Data'!$C$2:$C$100, "Monk", 'Members Data'!$D$2:$D$100, "Tank", 'wk4'!E$10:E$108,"Confirmed")+COUNTIFS('Members Data'!$C$2:$C$100, "Monk", 'Members Data'!$D$2:$D$100, "Tank", 'wk4'!E$10:E$108,"Standby")</f>
        <v>0</v>
      </c>
      <c r="AF25" s="98">
        <f>COUNTIFS('Members Data'!$C$2:$C$100, "Monk", 'Members Data'!$D$2:$D$100, "Tank", 'wk4'!F$10:F$108,"Confirmed")+COUNTIFS('Members Data'!$C$2:$C$100, "Monk", 'Members Data'!$D$2:$D$100, "Tank", 'wk4'!F$10:F$108,"Standby")</f>
        <v>0</v>
      </c>
      <c r="AG25" s="98">
        <f>COUNTIFS('Members Data'!$C$2:$C$100, "Monk", 'Members Data'!$D$2:$D$100, "Tank", 'wk4'!G$10:G$108,"Confirmed")+COUNTIFS('Members Data'!$C$2:$C$100, "Monk", 'Members Data'!$D$2:$D$100, "Tank", 'wk4'!G$10:G$108,"Standby")</f>
        <v>0</v>
      </c>
      <c r="AH25" s="98">
        <f>COUNTIFS('Members Data'!$C$2:$C$100, "Monk", 'Members Data'!$D$2:$D$100, "Tank", 'wk4'!H$10:H$108,"Confirmed")+COUNTIFS('Members Data'!$C$2:$C$100, "Monk", 'Members Data'!$D$2:$D$100, "Tank", 'wk4'!H$10:H$108,"Standby")</f>
        <v>0</v>
      </c>
      <c r="AI25" s="100">
        <f>SUM(AB25:AH25)</f>
        <v>0</v>
      </c>
      <c r="AJ25" s="98">
        <f>COUNTIFS('Members Data'!$C$2:$C$100, "Monk", 'Members Data'!$D$2:$D$100, "Tank", 'wk5'!B$10:B$108,"Confirmed")+COUNTIFS('Members Data'!$C$2:$C$100, "Monk", 'Members Data'!$D$2:$D$100, "Tank", 'wk5'!B$10:B$108,"Standby")</f>
        <v>0</v>
      </c>
      <c r="AK25" s="98">
        <f>COUNTIFS('Members Data'!$C$2:$C$100, "Monk", 'Members Data'!$D$2:$D$100, "Tank", 'wk5'!C$10:C$108,"Confirmed")+COUNTIFS('Members Data'!$C$2:$C$100, "Monk", 'Members Data'!$D$2:$D$100, "Tank", 'wk5'!C$10:C$108,"Standby")</f>
        <v>0</v>
      </c>
      <c r="AL25" s="98">
        <f>COUNTIFS('Members Data'!$C$2:$C$100, "Monk", 'Members Data'!$D$2:$D$100, "Tank", 'wk5'!D$10:D$108,"Confirmed")+COUNTIFS('Members Data'!$C$2:$C$100, "Monk", 'Members Data'!$D$2:$D$100, "Tank", 'wk5'!D$10:D$108,"Standby")</f>
        <v>0</v>
      </c>
      <c r="AM25" s="98">
        <f>COUNTIFS('Members Data'!$C$2:$C$100, "Monk", 'Members Data'!$D$2:$D$100, "Tank", 'wk5'!E$10:E$108,"Confirmed")+COUNTIFS('Members Data'!$C$2:$C$100, "Monk", 'Members Data'!$D$2:$D$100, "Tank", 'wk5'!E$10:E$108,"Standby")</f>
        <v>0</v>
      </c>
      <c r="AN25" s="98">
        <f>COUNTIFS('Members Data'!$C$2:$C$100, "Monk", 'Members Data'!$D$2:$D$100, "Tank", 'wk5'!F$10:F$108,"Confirmed")+COUNTIFS('Members Data'!$C$2:$C$100, "Monk", 'Members Data'!$D$2:$D$100, "Tank", 'wk5'!F$10:F$108,"Standby")</f>
        <v>0</v>
      </c>
      <c r="AO25" s="98">
        <f>COUNTIFS('Members Data'!$C$2:$C$100, "Monk", 'Members Data'!$D$2:$D$100, "Tank", 'wk5'!G$10:G$108,"Confirmed")+COUNTIFS('Members Data'!$C$2:$C$100, "Monk", 'Members Data'!$D$2:$D$100, "Tank", 'wk5'!G$10:G$108,"Standby")</f>
        <v>0</v>
      </c>
      <c r="AP25" s="98">
        <f>COUNTIFS('Members Data'!$C$2:$C$100, "Monk", 'Members Data'!$D$2:$D$100, "Tank", 'wk5'!H$10:H$108,"Confirmed")+COUNTIFS('Members Data'!$C$2:$C$100, "Monk", 'Members Data'!$D$2:$D$100, "Tank", 'wk5'!H$10:H$108,"Standby")</f>
        <v>0</v>
      </c>
      <c r="AQ25" s="100">
        <f>SUM(AJ25:AP25)</f>
        <v>0</v>
      </c>
    </row>
    <row r="26" spans="1:43" ht="15.75" thickBot="1">
      <c r="A26" s="115" t="s">
        <v>52</v>
      </c>
      <c r="B26" s="102">
        <f>K26+S26+AA26+AI26+AQ26</f>
        <v>0</v>
      </c>
      <c r="D26" s="112">
        <f>COUNTIFS('Members Data'!$C$2:$C$100, "Monk", 'Members Data'!$D$2:$D$100, "MDPS", 'wk1'!B$10:B$108,"Confirmed")+COUNTIFS('Members Data'!$C$2:$C$100, "Monk", 'Members Data'!$D$2:$D$100, "MDPS", 'wk1'!B$10:B$108,"Standby")</f>
        <v>0</v>
      </c>
      <c r="E26" s="112">
        <f>COUNTIFS('Members Data'!$C$2:$C$100, "Monk", 'Members Data'!$D$2:$D$100, "MDPS", 'wk1'!C$10:C$108,"Confirmed")+COUNTIFS('Members Data'!$C$2:$C$100, "Monk", 'Members Data'!$D$2:$D$100, "MDPS", 'wk1'!C$10:C$108,"Standby")</f>
        <v>0</v>
      </c>
      <c r="F26" s="112">
        <f>COUNTIFS('Members Data'!$C$2:$C$100, "Monk", 'Members Data'!$D$2:$D$100, "MDPS", 'wk1'!D$10:D$108,"Confirmed")+COUNTIFS('Members Data'!$C$2:$C$100, "Monk", 'Members Data'!$D$2:$D$100, "MDPS", 'wk1'!D$10:D$108,"Standby")</f>
        <v>0</v>
      </c>
      <c r="G26" s="112">
        <f>COUNTIFS('Members Data'!$C$2:$C$100, "Monk", 'Members Data'!$D$2:$D$100, "MDPS", 'wk1'!E$10:E$108,"Confirmed")+COUNTIFS('Members Data'!$C$2:$C$100, "Monk", 'Members Data'!$D$2:$D$100, "MDPS", 'wk1'!E$10:E$108,"Standby")</f>
        <v>0</v>
      </c>
      <c r="H26" s="112">
        <f>COUNTIFS('Members Data'!$C$2:$C$100, "Monk", 'Members Data'!$D$2:$D$100, "MDPS", 'wk1'!F$10:F$108,"Confirmed")+COUNTIFS('Members Data'!$C$2:$C$100, "Monk", 'Members Data'!$D$2:$D$100, "MDPS", 'wk1'!F$10:F$108,"Standby")</f>
        <v>0</v>
      </c>
      <c r="I26" s="112">
        <f>COUNTIFS('Members Data'!$C$2:$C$100, "Monk", 'Members Data'!$D$2:$D$100, "MDPS", 'wk1'!G$10:G$108,"Confirmed")+COUNTIFS('Members Data'!$C$2:$C$100, "Monk", 'Members Data'!$D$2:$D$100, "MDPS", 'wk1'!G$10:G$108,"Standby")</f>
        <v>0</v>
      </c>
      <c r="J26" s="112">
        <f>COUNTIFS('Members Data'!$C$2:$C$100, "Monk", 'Members Data'!$D$2:$D$100, "MDPS", 'wk1'!H$10:H$108,"Confirmed")+COUNTIFS('Members Data'!$C$2:$C$100, "Monk", 'Members Data'!$D$2:$D$100, "MDPS", 'wk1'!H$10:H$108,"Standby")</f>
        <v>0</v>
      </c>
      <c r="K26" s="100">
        <f>SUM(D26:J26)</f>
        <v>0</v>
      </c>
      <c r="L26" s="113">
        <f>COUNTIFS('Members Data'!$C$2:$C$100, "Monk", 'Members Data'!$D$2:$D$100, "MDPS", 'wk2'!B$10:B$108,"Confirmed")+COUNTIFS('Members Data'!$C$2:$C$100, "Monk", 'Members Data'!$D$2:$D$100, "MDPS", 'wk2'!B$10:B$108,"Standby")</f>
        <v>0</v>
      </c>
      <c r="M26" s="113">
        <f>COUNTIFS('Members Data'!$C$2:$C$100, "Monk", 'Members Data'!$D$2:$D$100, "MDPS", 'wk2'!C$10:C$108,"Confirmed")+COUNTIFS('Members Data'!$C$2:$C$100, "Monk", 'Members Data'!$D$2:$D$100, "MDPS", 'wk2'!C$10:C$108,"Standby")</f>
        <v>0</v>
      </c>
      <c r="N26" s="113">
        <f>COUNTIFS('Members Data'!$C$2:$C$100, "Monk", 'Members Data'!$D$2:$D$100, "MDPS", 'wk2'!D$10:D$108,"Confirmed")+COUNTIFS('Members Data'!$C$2:$C$100, "Monk", 'Members Data'!$D$2:$D$100, "MDPS", 'wk2'!D$10:D$108,"Standby")</f>
        <v>0</v>
      </c>
      <c r="O26" s="113">
        <f>COUNTIFS('Members Data'!$C$2:$C$100, "Monk", 'Members Data'!$D$2:$D$100, "MDPS", 'wk2'!E$10:E$108,"Confirmed")+COUNTIFS('Members Data'!$C$2:$C$100, "Monk", 'Members Data'!$D$2:$D$100, "MDPS", 'wk2'!E$10:E$108,"Standby")</f>
        <v>0</v>
      </c>
      <c r="P26" s="113">
        <f>COUNTIFS('Members Data'!$C$2:$C$100, "Monk", 'Members Data'!$D$2:$D$100, "MDPS", 'wk2'!F$10:F$108,"Confirmed")+COUNTIFS('Members Data'!$C$2:$C$100, "Monk", 'Members Data'!$D$2:$D$100, "MDPS", 'wk2'!F$10:F$108,"Standby")</f>
        <v>0</v>
      </c>
      <c r="Q26" s="113">
        <f>COUNTIFS('Members Data'!$C$2:$C$100, "Monk", 'Members Data'!$D$2:$D$100, "MDPS", 'wk2'!G$10:G$108,"Confirmed")+COUNTIFS('Members Data'!$C$2:$C$100, "Monk", 'Members Data'!$D$2:$D$100, "MDPS", 'wk2'!G$10:G$108,"Standby")</f>
        <v>0</v>
      </c>
      <c r="R26" s="113">
        <f>COUNTIFS('Members Data'!$C$2:$C$100, "Monk", 'Members Data'!$D$2:$D$100, "MDPS", 'wk2'!H$10:H$108,"Confirmed")+COUNTIFS('Members Data'!$C$2:$C$100, "Monk", 'Members Data'!$D$2:$D$100, "MDPS", 'wk2'!H$10:H$108,"Standby")</f>
        <v>0</v>
      </c>
      <c r="S26" s="100">
        <f>SUM(L26:R26)</f>
        <v>0</v>
      </c>
      <c r="T26" s="98">
        <f>COUNTIFS('Members Data'!$C$2:$C$100, "Monk", 'Members Data'!$D$2:$D$100, "MDPS", 'wk3'!B$10:B$108,"Confirmed")+COUNTIFS('Members Data'!$C$2:$C$100, "Monk", 'Members Data'!$D$2:$D$100, "MDPS", 'wk3'!B$10:B$108,"Standby")</f>
        <v>0</v>
      </c>
      <c r="U26" s="98">
        <f>COUNTIFS('Members Data'!$C$2:$C$100, "Monk", 'Members Data'!$D$2:$D$100, "MDPS", 'wk3'!C$10:C$108,"Confirmed")+COUNTIFS('Members Data'!$C$2:$C$100, "Monk", 'Members Data'!$D$2:$D$100, "MDPS", 'wk3'!C$10:C$108,"Standby")</f>
        <v>0</v>
      </c>
      <c r="V26" s="98">
        <f>COUNTIFS('Members Data'!$C$2:$C$100, "Monk", 'Members Data'!$D$2:$D$100, "MDPS", 'wk3'!D$10:D$108,"Confirmed")+COUNTIFS('Members Data'!$C$2:$C$100, "Monk", 'Members Data'!$D$2:$D$100, "MDPS", 'wk3'!D$10:D$108,"Standby")</f>
        <v>0</v>
      </c>
      <c r="W26" s="98">
        <f>COUNTIFS('Members Data'!$C$2:$C$100, "Monk", 'Members Data'!$D$2:$D$100, "MDPS", 'wk3'!E$10:E$108,"Confirmed")+COUNTIFS('Members Data'!$C$2:$C$100, "Monk", 'Members Data'!$D$2:$D$100, "MDPS", 'wk3'!E$10:E$108,"Standby")</f>
        <v>0</v>
      </c>
      <c r="X26" s="98">
        <f>COUNTIFS('Members Data'!$C$2:$C$100, "Monk", 'Members Data'!$D$2:$D$100, "MDPS", 'wk3'!F$10:F$108,"Confirmed")+COUNTIFS('Members Data'!$C$2:$C$100, "Monk", 'Members Data'!$D$2:$D$100, "MDPS", 'wk3'!F$10:F$108,"Standby")</f>
        <v>0</v>
      </c>
      <c r="Y26" s="98">
        <f>COUNTIFS('Members Data'!$C$2:$C$100, "Monk", 'Members Data'!$D$2:$D$100, "MDPS", 'wk3'!G$10:G$108,"Confirmed")+COUNTIFS('Members Data'!$C$2:$C$100, "Monk", 'Members Data'!$D$2:$D$100, "MDPS", 'wk3'!G$10:G$108,"Standby")</f>
        <v>0</v>
      </c>
      <c r="Z26" s="98">
        <f>COUNTIFS('Members Data'!$C$2:$C$100, "Monk", 'Members Data'!$D$2:$D$100, "MDPS", 'wk3'!H$10:H$108,"Confirmed")+COUNTIFS('Members Data'!$C$2:$C$100, "Monk", 'Members Data'!$D$2:$D$100, "MDPS", 'wk3'!H$10:H$108,"Standby")</f>
        <v>0</v>
      </c>
      <c r="AA26" s="100">
        <f>SUM(T26:Z26)</f>
        <v>0</v>
      </c>
      <c r="AB26" s="98">
        <f>COUNTIFS('Members Data'!$C$2:$C$100, "Monk", 'Members Data'!$D$2:$D$100, "MDPS", 'wk4'!B$10:B$108,"Confirmed")+COUNTIFS('Members Data'!$C$2:$C$100, "Monk", 'Members Data'!$D$2:$D$100, "MDPS", 'wk4'!B$10:B$108,"Standby")</f>
        <v>0</v>
      </c>
      <c r="AC26" s="98">
        <f>COUNTIFS('Members Data'!$C$2:$C$100, "Monk", 'Members Data'!$D$2:$D$100, "MDPS", 'wk4'!C$10:C$108,"Confirmed")+COUNTIFS('Members Data'!$C$2:$C$100, "Monk", 'Members Data'!$D$2:$D$100, "MDPS", 'wk4'!C$10:C$108,"Standby")</f>
        <v>0</v>
      </c>
      <c r="AD26" s="98">
        <f>COUNTIFS('Members Data'!$C$2:$C$100, "Monk", 'Members Data'!$D$2:$D$100, "MDPS", 'wk4'!D$10:D$108,"Confirmed")+COUNTIFS('Members Data'!$C$2:$C$100, "Monk", 'Members Data'!$D$2:$D$100, "MDPS", 'wk4'!D$10:D$108,"Standby")</f>
        <v>0</v>
      </c>
      <c r="AE26" s="98">
        <f>COUNTIFS('Members Data'!$C$2:$C$100, "Monk", 'Members Data'!$D$2:$D$100, "MDPS", 'wk4'!E$10:E$108,"Confirmed")+COUNTIFS('Members Data'!$C$2:$C$100, "Monk", 'Members Data'!$D$2:$D$100, "MDPS", 'wk4'!E$10:E$108,"Standby")</f>
        <v>0</v>
      </c>
      <c r="AF26" s="98">
        <f>COUNTIFS('Members Data'!$C$2:$C$100, "Monk", 'Members Data'!$D$2:$D$100, "MDPS", 'wk4'!F$10:F$108,"Confirmed")+COUNTIFS('Members Data'!$C$2:$C$100, "Monk", 'Members Data'!$D$2:$D$100, "MDPS", 'wk4'!F$10:F$108,"Standby")</f>
        <v>0</v>
      </c>
      <c r="AG26" s="98">
        <f>COUNTIFS('Members Data'!$C$2:$C$100, "Monk", 'Members Data'!$D$2:$D$100, "MDPS", 'wk4'!G$10:G$108,"Confirmed")+COUNTIFS('Members Data'!$C$2:$C$100, "Monk", 'Members Data'!$D$2:$D$100, "MDPS", 'wk4'!G$10:G$108,"Standby")</f>
        <v>0</v>
      </c>
      <c r="AH26" s="98">
        <f>COUNTIFS('Members Data'!$C$2:$C$100, "Monk", 'Members Data'!$D$2:$D$100, "MDPS", 'wk4'!H$10:H$108,"Confirmed")+COUNTIFS('Members Data'!$C$2:$C$100, "Monk", 'Members Data'!$D$2:$D$100, "MDPS", 'wk4'!H$10:H$108,"Standby")</f>
        <v>0</v>
      </c>
      <c r="AI26" s="100">
        <f>SUM(AB26:AH26)</f>
        <v>0</v>
      </c>
      <c r="AJ26" s="98">
        <f>COUNTIFS('Members Data'!$C$2:$C$100, "Monk", 'Members Data'!$D$2:$D$100, "MDPS", 'wk5'!B$10:B$108,"Confirmed")+COUNTIFS('Members Data'!$C$2:$C$100, "Monk", 'Members Data'!$D$2:$D$100, "MDPS", 'wk5'!B$10:B$108,"Standby")</f>
        <v>0</v>
      </c>
      <c r="AK26" s="98">
        <f>COUNTIFS('Members Data'!$C$2:$C$100, "Monk", 'Members Data'!$D$2:$D$100, "MDPS", 'wk5'!C$10:C$108,"Confirmed")+COUNTIFS('Members Data'!$C$2:$C$100, "Monk", 'Members Data'!$D$2:$D$100, "MDPS", 'wk5'!C$10:C$108,"Standby")</f>
        <v>0</v>
      </c>
      <c r="AL26" s="98">
        <f>COUNTIFS('Members Data'!$C$2:$C$100, "Monk", 'Members Data'!$D$2:$D$100, "MDPS", 'wk5'!D$10:D$108,"Confirmed")+COUNTIFS('Members Data'!$C$2:$C$100, "Monk", 'Members Data'!$D$2:$D$100, "MDPS", 'wk5'!D$10:D$108,"Standby")</f>
        <v>0</v>
      </c>
      <c r="AM26" s="98">
        <f>COUNTIFS('Members Data'!$C$2:$C$100, "Monk", 'Members Data'!$D$2:$D$100, "MDPS", 'wk5'!E$10:E$108,"Confirmed")+COUNTIFS('Members Data'!$C$2:$C$100, "Monk", 'Members Data'!$D$2:$D$100, "MDPS", 'wk5'!E$10:E$108,"Standby")</f>
        <v>0</v>
      </c>
      <c r="AN26" s="98">
        <f>COUNTIFS('Members Data'!$C$2:$C$100, "Monk", 'Members Data'!$D$2:$D$100, "MDPS", 'wk5'!F$10:F$108,"Confirmed")+COUNTIFS('Members Data'!$C$2:$C$100, "Monk", 'Members Data'!$D$2:$D$100, "MDPS", 'wk5'!F$10:F$108,"Standby")</f>
        <v>0</v>
      </c>
      <c r="AO26" s="98">
        <f>COUNTIFS('Members Data'!$C$2:$C$100, "Monk", 'Members Data'!$D$2:$D$100, "MDPS", 'wk5'!G$10:G$108,"Confirmed")+COUNTIFS('Members Data'!$C$2:$C$100, "Monk", 'Members Data'!$D$2:$D$100, "MDPS", 'wk5'!G$10:G$108,"Standby")</f>
        <v>0</v>
      </c>
      <c r="AP26" s="98">
        <f>COUNTIFS('Members Data'!$C$2:$C$100, "Monk", 'Members Data'!$D$2:$D$100, "MDPS", 'wk5'!H$10:H$108,"Confirmed")+COUNTIFS('Members Data'!$C$2:$C$100, "Monk", 'Members Data'!$D$2:$D$100, "MDPS", 'wk5'!H$10:H$108,"Standby")</f>
        <v>0</v>
      </c>
      <c r="AQ26" s="100">
        <f>SUM(AJ26:AP26)</f>
        <v>0</v>
      </c>
    </row>
    <row r="27" spans="1:43" ht="15.75" thickBot="1">
      <c r="A27" s="106" t="s">
        <v>7</v>
      </c>
      <c r="B27" s="107">
        <f>K27+S27+AA27+AI27+AQ27</f>
        <v>2</v>
      </c>
      <c r="D27" s="112">
        <f>COUNTIFS('Members Data'!$C$2:$C$100, "Monk", 'Members Data'!$D$2:$D$100, "Healer", 'wk1'!B$10:B$108,"Confirmed")+COUNTIFS('Members Data'!$C$2:$C$100, "Monk", 'Members Data'!$D$2:$D$100, "Healer", 'wk1'!B$10:B$108,"Standby")</f>
        <v>1</v>
      </c>
      <c r="E27" s="112">
        <f>COUNTIFS('Members Data'!$C$2:$C$100, "Monk", 'Members Data'!$D$2:$D$100, "Healer", 'wk1'!C$10:C$108,"Confirmed")+COUNTIFS('Members Data'!$C$2:$C$100, "Monk", 'Members Data'!$D$2:$D$100, "Healer", 'wk1'!C$10:C$108,"Standby")</f>
        <v>1</v>
      </c>
      <c r="F27" s="112">
        <f>COUNTIFS('Members Data'!$C$2:$C$100, "Monk", 'Members Data'!$D$2:$D$100, "Healer", 'wk1'!D$10:D$108,"Confirmed")+COUNTIFS('Members Data'!$C$2:$C$100, "Monk", 'Members Data'!$D$2:$D$100, "Healer", 'wk1'!D$10:D$108,"Standby")</f>
        <v>0</v>
      </c>
      <c r="G27" s="112">
        <f>COUNTIFS('Members Data'!$C$2:$C$100, "Monk", 'Members Data'!$D$2:$D$100, "Healer", 'wk1'!E$10:E$108,"Confirmed")+COUNTIFS('Members Data'!$C$2:$C$100, "Monk", 'Members Data'!$D$2:$D$100, "Healer", 'wk1'!E$10:E$108,"Standby")</f>
        <v>0</v>
      </c>
      <c r="H27" s="112">
        <f>COUNTIFS('Members Data'!$C$2:$C$100, "Monk", 'Members Data'!$D$2:$D$100, "Healer", 'wk1'!F$10:F$108,"Confirmed")+COUNTIFS('Members Data'!$C$2:$C$100, "Monk", 'Members Data'!$D$2:$D$100, "Healer", 'wk1'!F$10:F$108,"Standby")</f>
        <v>0</v>
      </c>
      <c r="I27" s="112">
        <f>COUNTIFS('Members Data'!$C$2:$C$100, "Monk", 'Members Data'!$D$2:$D$100, "Healer", 'wk1'!G$10:G$108,"Confirmed")+COUNTIFS('Members Data'!$C$2:$C$100, "Monk", 'Members Data'!$D$2:$D$100, "Healer", 'wk1'!G$10:G$108,"Standby")</f>
        <v>0</v>
      </c>
      <c r="J27" s="112">
        <f>COUNTIFS('Members Data'!$C$2:$C$100, "Monk", 'Members Data'!$D$2:$D$100, "Healer", 'wk1'!H$10:H$108,"Confirmed")+COUNTIFS('Members Data'!$C$2:$C$100, "Monk", 'Members Data'!$D$2:$D$100, "Healer", 'wk1'!H$10:H$108,"Standby")</f>
        <v>0</v>
      </c>
      <c r="K27" s="100">
        <f>SUM(D27:J27)</f>
        <v>2</v>
      </c>
      <c r="L27" s="113">
        <f>COUNTIFS('Members Data'!$C$2:$C$100, "Monk", 'Members Data'!$D$2:$D$100, "Healer", 'wk2'!B$10:B$108,"Confirmed")+COUNTIFS('Members Data'!$C$2:$C$100, "Monk", 'Members Data'!$D$2:$D$100, "Healer", 'wk2'!B$10:B$108,"Standby")</f>
        <v>0</v>
      </c>
      <c r="M27" s="113">
        <f>COUNTIFS('Members Data'!$C$2:$C$100, "Monk", 'Members Data'!$D$2:$D$100, "Healer", 'wk2'!C$10:C$108,"Confirmed")+COUNTIFS('Members Data'!$C$2:$C$100, "Monk", 'Members Data'!$D$2:$D$100, "Healer", 'wk2'!C$10:C$108,"Standby")</f>
        <v>0</v>
      </c>
      <c r="N27" s="113">
        <f>COUNTIFS('Members Data'!$C$2:$C$100, "Monk", 'Members Data'!$D$2:$D$100, "Healer", 'wk2'!D$10:D$108,"Confirmed")+COUNTIFS('Members Data'!$C$2:$C$100, "Monk", 'Members Data'!$D$2:$D$100, "Healer", 'wk2'!D$10:D$108,"Standby")</f>
        <v>0</v>
      </c>
      <c r="O27" s="113">
        <f>COUNTIFS('Members Data'!$C$2:$C$100, "Monk", 'Members Data'!$D$2:$D$100, "Healer", 'wk2'!E$10:E$108,"Confirmed")+COUNTIFS('Members Data'!$C$2:$C$100, "Monk", 'Members Data'!$D$2:$D$100, "Healer", 'wk2'!E$10:E$108,"Standby")</f>
        <v>0</v>
      </c>
      <c r="P27" s="113">
        <f>COUNTIFS('Members Data'!$C$2:$C$100, "Monk", 'Members Data'!$D$2:$D$100, "Healer", 'wk2'!F$10:F$108,"Confirmed")+COUNTIFS('Members Data'!$C$2:$C$100, "Monk", 'Members Data'!$D$2:$D$100, "Healer", 'wk2'!F$10:F$108,"Standby")</f>
        <v>0</v>
      </c>
      <c r="Q27" s="113">
        <f>COUNTIFS('Members Data'!$C$2:$C$100, "Monk", 'Members Data'!$D$2:$D$100, "Healer", 'wk2'!G$10:G$108,"Confirmed")+COUNTIFS('Members Data'!$C$2:$C$100, "Monk", 'Members Data'!$D$2:$D$100, "Healer", 'wk2'!G$10:G$108,"Standby")</f>
        <v>0</v>
      </c>
      <c r="R27" s="113">
        <f>COUNTIFS('Members Data'!$C$2:$C$100, "Monk", 'Members Data'!$D$2:$D$100, "Healer", 'wk2'!H$10:H$108,"Confirmed")+COUNTIFS('Members Data'!$C$2:$C$100, "Monk", 'Members Data'!$D$2:$D$100, "Healer", 'wk2'!H$10:H$108,"Standby")</f>
        <v>0</v>
      </c>
      <c r="S27" s="100">
        <f>SUM(L27:R27)</f>
        <v>0</v>
      </c>
      <c r="T27" s="98">
        <f>COUNTIFS('Members Data'!$C$2:$C$100, "Monk", 'Members Data'!$D$2:$D$100, "Healer", 'wk3'!B$10:B$108,"Confirmed")+COUNTIFS('Members Data'!$C$2:$C$100, "Monk", 'Members Data'!$D$2:$D$100, "Healer", 'wk3'!B$10:B$108,"Standby")</f>
        <v>0</v>
      </c>
      <c r="U27" s="98">
        <f>COUNTIFS('Members Data'!$C$2:$C$100, "Monk", 'Members Data'!$D$2:$D$100, "Healer", 'wk3'!C$10:C$108,"Confirmed")+COUNTIFS('Members Data'!$C$2:$C$100, "Monk", 'Members Data'!$D$2:$D$100, "Healer", 'wk3'!C$10:C$108,"Standby")</f>
        <v>0</v>
      </c>
      <c r="V27" s="98">
        <f>COUNTIFS('Members Data'!$C$2:$C$100, "Monk", 'Members Data'!$D$2:$D$100, "Healer", 'wk3'!D$10:D$108,"Confirmed")+COUNTIFS('Members Data'!$C$2:$C$100, "Monk", 'Members Data'!$D$2:$D$100, "Healer", 'wk3'!D$10:D$108,"Standby")</f>
        <v>0</v>
      </c>
      <c r="W27" s="98">
        <f>COUNTIFS('Members Data'!$C$2:$C$100, "Monk", 'Members Data'!$D$2:$D$100, "Healer", 'wk3'!E$10:E$108,"Confirmed")+COUNTIFS('Members Data'!$C$2:$C$100, "Monk", 'Members Data'!$D$2:$D$100, "Healer", 'wk3'!E$10:E$108,"Standby")</f>
        <v>0</v>
      </c>
      <c r="X27" s="98">
        <f>COUNTIFS('Members Data'!$C$2:$C$100, "Monk", 'Members Data'!$D$2:$D$100, "Healer", 'wk3'!F$10:F$108,"Confirmed")+COUNTIFS('Members Data'!$C$2:$C$100, "Monk", 'Members Data'!$D$2:$D$100, "Healer", 'wk3'!F$10:F$108,"Standby")</f>
        <v>0</v>
      </c>
      <c r="Y27" s="98">
        <f>COUNTIFS('Members Data'!$C$2:$C$100, "Monk", 'Members Data'!$D$2:$D$100, "Healer", 'wk3'!G$10:G$108,"Confirmed")+COUNTIFS('Members Data'!$C$2:$C$100, "Monk", 'Members Data'!$D$2:$D$100, "Healer", 'wk3'!G$10:G$108,"Standby")</f>
        <v>0</v>
      </c>
      <c r="Z27" s="98">
        <f>COUNTIFS('Members Data'!$C$2:$C$100, "Monk", 'Members Data'!$D$2:$D$100, "Healer", 'wk3'!H$10:H$108,"Confirmed")+COUNTIFS('Members Data'!$C$2:$C$100, "Monk", 'Members Data'!$D$2:$D$100, "Healer", 'wk3'!H$10:H$108,"Standby")</f>
        <v>0</v>
      </c>
      <c r="AA27" s="100">
        <f>SUM(T27:Z27)</f>
        <v>0</v>
      </c>
      <c r="AB27" s="98">
        <f>COUNTIFS('Members Data'!$C$2:$C$100, "Monk", 'Members Data'!$D$2:$D$100, "Healer", 'wk4'!B$10:B$108,"Confirmed")+COUNTIFS('Members Data'!$C$2:$C$100, "Monk", 'Members Data'!$D$2:$D$100, "Healer", 'wk4'!B$10:B$108,"Standby")</f>
        <v>0</v>
      </c>
      <c r="AC27" s="98">
        <f>COUNTIFS('Members Data'!$C$2:$C$100, "Monk", 'Members Data'!$D$2:$D$100, "Healer", 'wk4'!C$10:C$108,"Confirmed")+COUNTIFS('Members Data'!$C$2:$C$100, "Monk", 'Members Data'!$D$2:$D$100, "Healer", 'wk4'!C$10:C$108,"Standby")</f>
        <v>0</v>
      </c>
      <c r="AD27" s="98">
        <f>COUNTIFS('Members Data'!$C$2:$C$100, "Monk", 'Members Data'!$D$2:$D$100, "Healer", 'wk4'!D$10:D$108,"Confirmed")+COUNTIFS('Members Data'!$C$2:$C$100, "Monk", 'Members Data'!$D$2:$D$100, "Healer", 'wk4'!D$10:D$108,"Standby")</f>
        <v>0</v>
      </c>
      <c r="AE27" s="98">
        <f>COUNTIFS('Members Data'!$C$2:$C$100, "Monk", 'Members Data'!$D$2:$D$100, "Healer", 'wk4'!E$10:E$108,"Confirmed")+COUNTIFS('Members Data'!$C$2:$C$100, "Monk", 'Members Data'!$D$2:$D$100, "Healer", 'wk4'!E$10:E$108,"Standby")</f>
        <v>0</v>
      </c>
      <c r="AF27" s="98">
        <f>COUNTIFS('Members Data'!$C$2:$C$100, "Monk", 'Members Data'!$D$2:$D$100, "Healer", 'wk4'!F$10:F$108,"Confirmed")+COUNTIFS('Members Data'!$C$2:$C$100, "Monk", 'Members Data'!$D$2:$D$100, "Healer", 'wk4'!F$10:F$108,"Standby")</f>
        <v>0</v>
      </c>
      <c r="AG27" s="98">
        <f>COUNTIFS('Members Data'!$C$2:$C$100, "Monk", 'Members Data'!$D$2:$D$100, "Healer", 'wk4'!G$10:G$108,"Confirmed")+COUNTIFS('Members Data'!$C$2:$C$100, "Monk", 'Members Data'!$D$2:$D$100, "Healer", 'wk4'!G$10:G$108,"Standby")</f>
        <v>0</v>
      </c>
      <c r="AH27" s="98">
        <f>COUNTIFS('Members Data'!$C$2:$C$100, "Monk", 'Members Data'!$D$2:$D$100, "Healer", 'wk4'!H$10:H$108,"Confirmed")+COUNTIFS('Members Data'!$C$2:$C$100, "Monk", 'Members Data'!$D$2:$D$100, "Healer", 'wk4'!H$10:H$108,"Standby")</f>
        <v>0</v>
      </c>
      <c r="AI27" s="100">
        <f>SUM(AB27:AH27)</f>
        <v>0</v>
      </c>
      <c r="AJ27" s="98">
        <f>COUNTIFS('Members Data'!$C$2:$C$100, "Monk", 'Members Data'!$D$2:$D$100, "Healer", 'wk5'!B$10:B$108,"Confirmed")+COUNTIFS('Members Data'!$C$2:$C$100, "Monk", 'Members Data'!$D$2:$D$100, "Healer", 'wk5'!B$10:B$108,"Standby")</f>
        <v>0</v>
      </c>
      <c r="AK27" s="98">
        <f>COUNTIFS('Members Data'!$C$2:$C$100, "Monk", 'Members Data'!$D$2:$D$100, "Healer", 'wk5'!C$10:C$108,"Confirmed")+COUNTIFS('Members Data'!$C$2:$C$100, "Monk", 'Members Data'!$D$2:$D$100, "Healer", 'wk5'!C$10:C$108,"Standby")</f>
        <v>0</v>
      </c>
      <c r="AL27" s="98">
        <f>COUNTIFS('Members Data'!$C$2:$C$100, "Monk", 'Members Data'!$D$2:$D$100, "Healer", 'wk5'!D$10:D$108,"Confirmed")+COUNTIFS('Members Data'!$C$2:$C$100, "Monk", 'Members Data'!$D$2:$D$100, "Healer", 'wk5'!D$10:D$108,"Standby")</f>
        <v>0</v>
      </c>
      <c r="AM27" s="98">
        <f>COUNTIFS('Members Data'!$C$2:$C$100, "Monk", 'Members Data'!$D$2:$D$100, "Healer", 'wk5'!E$10:E$108,"Confirmed")+COUNTIFS('Members Data'!$C$2:$C$100, "Monk", 'Members Data'!$D$2:$D$100, "Healer", 'wk5'!E$10:E$108,"Standby")</f>
        <v>0</v>
      </c>
      <c r="AN27" s="98">
        <f>COUNTIFS('Members Data'!$C$2:$C$100, "Monk", 'Members Data'!$D$2:$D$100, "Healer", 'wk5'!F$10:F$108,"Confirmed")+COUNTIFS('Members Data'!$C$2:$C$100, "Monk", 'Members Data'!$D$2:$D$100, "Healer", 'wk5'!F$10:F$108,"Standby")</f>
        <v>0</v>
      </c>
      <c r="AO27" s="98">
        <f>COUNTIFS('Members Data'!$C$2:$C$100, "Monk", 'Members Data'!$D$2:$D$100, "Healer", 'wk5'!G$10:G$108,"Confirmed")+COUNTIFS('Members Data'!$C$2:$C$100, "Monk", 'Members Data'!$D$2:$D$100, "Healer", 'wk5'!G$10:G$108,"Standby")</f>
        <v>0</v>
      </c>
      <c r="AP27" s="98">
        <f>COUNTIFS('Members Data'!$C$2:$C$100, "Paladin", 'Members Data'!$D$2:$D$100, "Healer", 'wk5'!H$10:H$108,"Confirmed")+COUNTIFS('Members Data'!$C$2:$C$100, "Paladin", 'Members Data'!$D$2:$D$100, "Healer", 'wk5'!H$10:H$108,"Standby")</f>
        <v>0</v>
      </c>
      <c r="AQ27" s="100">
        <f>SUM(AJ27:AP27)</f>
        <v>0</v>
      </c>
    </row>
    <row r="28" spans="1:43" ht="13.5" thickBot="1"/>
    <row r="29" spans="1:43" ht="13.5" thickBot="1">
      <c r="A29" s="96" t="s">
        <v>13</v>
      </c>
      <c r="B29" s="97"/>
    </row>
    <row r="30" spans="1:43" ht="15.75" thickBot="1">
      <c r="A30" s="101" t="s">
        <v>8</v>
      </c>
      <c r="B30" s="102">
        <f>K30+S30+AA30+AI30+AQ30</f>
        <v>2</v>
      </c>
      <c r="D30" s="112">
        <f>COUNTIFS('Members Data'!$C$2:$C$100, "Paladin", 'Members Data'!$D$2:$D$100, "Tank", 'wk1'!B$10:B$108,"Confirmed")+COUNTIFS('Members Data'!$C$2:$C$100, "Paladin", 'Members Data'!$D$2:$D$100, "Tank", 'wk1'!B$10:B$108,"Standby")</f>
        <v>1</v>
      </c>
      <c r="E30" s="112">
        <f>COUNTIFS('Members Data'!$C$2:$C$100, "Paladin", 'Members Data'!$D$2:$D$100, "Tank", 'wk1'!C$10:C$108,"Confirmed")+COUNTIFS('Members Data'!$C$2:$C$100, "Paladin", 'Members Data'!$D$2:$D$100, "Tank", 'wk1'!C$10:C$108,"Standby")</f>
        <v>1</v>
      </c>
      <c r="F30" s="112">
        <f>COUNTIFS('Members Data'!$C$2:$C$100, "Paladin", 'Members Data'!$D$2:$D$100, "Tank", 'wk1'!D$10:D$108,"Confirmed")+COUNTIFS('Members Data'!$C$2:$C$100, "Paladin", 'Members Data'!$D$2:$D$100, "Tank", 'wk1'!D$10:D$108,"Standby")</f>
        <v>0</v>
      </c>
      <c r="G30" s="112">
        <f>COUNTIFS('Members Data'!$C$2:$C$100, "Paladin", 'Members Data'!$D$2:$D$100, "Tank", 'wk1'!E$10:E$108,"Confirmed")+COUNTIFS('Members Data'!$C$2:$C$100, "Paladin", 'Members Data'!$D$2:$D$100, "Tank", 'wk1'!E$10:E$108,"Standby")</f>
        <v>0</v>
      </c>
      <c r="H30" s="112">
        <f>COUNTIFS('Members Data'!$C$2:$C$100, "Paladin", 'Members Data'!$D$2:$D$100, "Tank", 'wk1'!F$10:F$108,"Confirmed")+COUNTIFS('Members Data'!$C$2:$C$100, "Paladin", 'Members Data'!$D$2:$D$100, "Tank", 'wk1'!F$10:F$108,"Standby")</f>
        <v>0</v>
      </c>
      <c r="I30" s="112">
        <f>COUNTIFS('Members Data'!$C$2:$C$100, "Paladin", 'Members Data'!$D$2:$D$100, "Tank", 'wk1'!G$10:G$108,"Confirmed")+COUNTIFS('Members Data'!$C$2:$C$100, "Paladin", 'Members Data'!$D$2:$D$100, "Tank", 'wk1'!G$10:G$108,"Standby")</f>
        <v>0</v>
      </c>
      <c r="J30" s="112">
        <f>COUNTIFS('Members Data'!$C$2:$C$100, "Paladin", 'Members Data'!$D$2:$D$100, "Tank", 'wk1'!H$10:H$108,"Confirmed")+COUNTIFS('Members Data'!$C$2:$C$100, "Paladin", 'Members Data'!$D$2:$D$100, "Tank", 'wk1'!H$10:H$108,"Standby")</f>
        <v>0</v>
      </c>
      <c r="K30" s="100">
        <f>SUM(D30:J30)</f>
        <v>2</v>
      </c>
      <c r="L30" s="113">
        <f>COUNTIFS('Members Data'!$C$2:$C$100, "Paladin", 'Members Data'!$D$2:$D$100, "Tank", 'wk2'!B$10:B$108,"Confirmed")+COUNTIFS('Members Data'!$C$2:$C$100, "Paladin", 'Members Data'!$D$2:$D$100, "Tank", 'wk2'!B$10:B$108,"Standby")</f>
        <v>0</v>
      </c>
      <c r="M30" s="113">
        <f>COUNTIFS('Members Data'!$C$2:$C$100, "Paladin", 'Members Data'!$D$2:$D$100, "Tank", 'wk2'!C$10:C$108,"Confirmed")+COUNTIFS('Members Data'!$C$2:$C$100, "Paladin", 'Members Data'!$D$2:$D$100, "Tank", 'wk2'!C$10:C$108,"Standby")</f>
        <v>0</v>
      </c>
      <c r="N30" s="113">
        <f>COUNTIFS('Members Data'!$C$2:$C$100, "Paladin", 'Members Data'!$D$2:$D$100, "Tank", 'wk2'!D$10:D$108,"Confirmed")+COUNTIFS('Members Data'!$C$2:$C$100, "Paladin", 'Members Data'!$D$2:$D$100, "Tank", 'wk2'!D$10:D$108,"Standby")</f>
        <v>0</v>
      </c>
      <c r="O30" s="113">
        <f>COUNTIFS('Members Data'!$C$2:$C$100, "Paladin", 'Members Data'!$D$2:$D$100, "Tank", 'wk2'!E$10:E$108,"Confirmed")+COUNTIFS('Members Data'!$C$2:$C$100, "Paladin", 'Members Data'!$D$2:$D$100, "Tank", 'wk2'!E$10:E$108,"Standby")</f>
        <v>0</v>
      </c>
      <c r="P30" s="113">
        <f>COUNTIFS('Members Data'!$C$2:$C$100, "Paladin", 'Members Data'!$D$2:$D$100, "Tank", 'wk2'!F$10:F$108,"Confirmed")+COUNTIFS('Members Data'!$C$2:$C$100, "Paladin", 'Members Data'!$D$2:$D$100, "Tank", 'wk2'!F$10:F$108,"Standby")</f>
        <v>0</v>
      </c>
      <c r="Q30" s="113">
        <f>COUNTIFS('Members Data'!$C$2:$C$100, "Paladin", 'Members Data'!$D$2:$D$100, "Tank", 'wk2'!G$10:G$108,"Confirmed")+COUNTIFS('Members Data'!$C$2:$C$100, "Paladin", 'Members Data'!$D$2:$D$100, "Tank", 'wk2'!G$10:G$108,"Standby")</f>
        <v>0</v>
      </c>
      <c r="R30" s="113">
        <f>COUNTIFS('Members Data'!$C$2:$C$100, "Paladin", 'Members Data'!$D$2:$D$100, "Tank", 'wk2'!H$10:H$108,"Confirmed")+COUNTIFS('Members Data'!$C$2:$C$100, "Paladin", 'Members Data'!$D$2:$D$100, "Tank", 'wk2'!H$10:H$108,"Standby")</f>
        <v>0</v>
      </c>
      <c r="S30" s="100">
        <f>SUM(L30:R30)</f>
        <v>0</v>
      </c>
      <c r="T30" s="98">
        <f>COUNTIFS('Members Data'!$C$2:$C$100, "Paladin", 'Members Data'!$D$2:$D$100, "Tank", 'wk3'!B$10:B$108,"Confirmed")+COUNTIFS('Members Data'!$C$2:$C$100, "Paladin", 'Members Data'!$D$2:$D$100, "Tank", 'wk3'!B$10:B$108,"Standby")</f>
        <v>0</v>
      </c>
      <c r="U30" s="98">
        <f>COUNTIFS('Members Data'!$C$2:$C$100, "Paladin", 'Members Data'!$D$2:$D$100, "Tank", 'wk3'!C$10:C$108,"Confirmed")+COUNTIFS('Members Data'!$C$2:$C$100, "Paladin", 'Members Data'!$D$2:$D$100, "Tank", 'wk3'!C$10:C$108,"Standby")</f>
        <v>0</v>
      </c>
      <c r="V30" s="98">
        <f>COUNTIFS('Members Data'!$C$2:$C$100, "Paladin", 'Members Data'!$D$2:$D$100, "Tank", 'wk3'!D$10:D$108,"Confirmed")+COUNTIFS('Members Data'!$C$2:$C$100, "Paladin", 'Members Data'!$D$2:$D$100, "Tank", 'wk3'!D$10:D$108,"Standby")</f>
        <v>0</v>
      </c>
      <c r="W30" s="98">
        <f>COUNTIFS('Members Data'!$C$2:$C$100, "Paladin", 'Members Data'!$D$2:$D$100, "Tank", 'wk3'!E$10:E$108,"Confirmed")+COUNTIFS('Members Data'!$C$2:$C$100, "Paladin", 'Members Data'!$D$2:$D$100, "Tank", 'wk3'!E$10:E$108,"Standby")</f>
        <v>0</v>
      </c>
      <c r="X30" s="98">
        <f>COUNTIFS('Members Data'!$C$2:$C$100, "Paladin", 'Members Data'!$D$2:$D$100, "Tank", 'wk3'!F$10:F$108,"Confirmed")+COUNTIFS('Members Data'!$C$2:$C$100, "Paladin", 'Members Data'!$D$2:$D$100, "Tank", 'wk3'!F$10:F$108,"Standby")</f>
        <v>0</v>
      </c>
      <c r="Y30" s="98">
        <f>COUNTIFS('Members Data'!$C$2:$C$100, "Paladin", 'Members Data'!$D$2:$D$100, "Tank", 'wk3'!G$10:G$108,"Confirmed")+COUNTIFS('Members Data'!$C$2:$C$100, "Paladin", 'Members Data'!$D$2:$D$100, "Tank", 'wk3'!G$10:G$108,"Standby")</f>
        <v>0</v>
      </c>
      <c r="Z30" s="98">
        <f>COUNTIFS('Members Data'!$C$2:$C$100, "Paladin", 'Members Data'!$D$2:$D$100, "Tank", 'wk3'!H$10:H$108,"Confirmed")+COUNTIFS('Members Data'!$C$2:$C$100, "Paladin", 'Members Data'!$D$2:$D$100, "Tank", 'wk3'!H$10:H$108,"Standby")</f>
        <v>0</v>
      </c>
      <c r="AA30" s="100">
        <f>SUM(T30:Z30)</f>
        <v>0</v>
      </c>
      <c r="AB30" s="98">
        <f>COUNTIFS('Members Data'!$C$2:$C$100, "Paladin", 'Members Data'!$D$2:$D$100, "Tank", 'wk4'!B$10:B$108,"Confirmed")+COUNTIFS('Members Data'!$C$2:$C$100, "Paladin", 'Members Data'!$D$2:$D$100, "Tank", 'wk4'!B$10:B$108,"Standby")</f>
        <v>0</v>
      </c>
      <c r="AC30" s="98">
        <f>COUNTIFS('Members Data'!$C$2:$C$100, "Paladin", 'Members Data'!$D$2:$D$100, "Tank", 'wk4'!C$10:C$108,"Confirmed")+COUNTIFS('Members Data'!$C$2:$C$100, "Paladin", 'Members Data'!$D$2:$D$100, "Tank", 'wk4'!C$10:C$108,"Standby")</f>
        <v>0</v>
      </c>
      <c r="AD30" s="98">
        <f>COUNTIFS('Members Data'!$C$2:$C$100, "Paladin", 'Members Data'!$D$2:$D$100, "Tank", 'wk4'!D$10:D$108,"Confirmed")+COUNTIFS('Members Data'!$C$2:$C$100, "Paladin", 'Members Data'!$D$2:$D$100, "Tank", 'wk4'!D$10:D$108,"Standby")</f>
        <v>0</v>
      </c>
      <c r="AE30" s="98">
        <f>COUNTIFS('Members Data'!$C$2:$C$100, "Paladin", 'Members Data'!$D$2:$D$100, "Tank", 'wk4'!E$10:E$108,"Confirmed")+COUNTIFS('Members Data'!$C$2:$C$100, "Paladin", 'Members Data'!$D$2:$D$100, "Tank", 'wk4'!E$10:E$108,"Standby")</f>
        <v>0</v>
      </c>
      <c r="AF30" s="98">
        <f>COUNTIFS('Members Data'!$C$2:$C$100, "Paladin", 'Members Data'!$D$2:$D$100, "Tank", 'wk4'!F$10:F$108,"Confirmed")+COUNTIFS('Members Data'!$C$2:$C$100, "Paladin", 'Members Data'!$D$2:$D$100, "Tank", 'wk4'!F$10:F$108,"Standby")</f>
        <v>0</v>
      </c>
      <c r="AG30" s="98">
        <f>COUNTIFS('Members Data'!$C$2:$C$100, "Paladin", 'Members Data'!$D$2:$D$100, "Tank", 'wk4'!G$10:G$108,"Confirmed")+COUNTIFS('Members Data'!$C$2:$C$100, "Paladin", 'Members Data'!$D$2:$D$100, "Tank", 'wk4'!G$10:G$108,"Standby")</f>
        <v>0</v>
      </c>
      <c r="AH30" s="98">
        <f>COUNTIFS('Members Data'!$C$2:$C$100, "Paladin", 'Members Data'!$D$2:$D$100, "Tank", 'wk4'!H$10:H$108,"Confirmed")+COUNTIFS('Members Data'!$C$2:$C$100, "Paladin", 'Members Data'!$D$2:$D$100, "Tank", 'wk4'!H$10:H$108,"Standby")</f>
        <v>0</v>
      </c>
      <c r="AI30" s="100">
        <f>SUM(AB30:AH30)</f>
        <v>0</v>
      </c>
      <c r="AJ30" s="98">
        <f>COUNTIFS('Members Data'!$C$2:$C$100, "Paladin", 'Members Data'!$D$2:$D$100, "Tank", 'wk5'!B$10:B$108,"Confirmed")+COUNTIFS('Members Data'!$C$2:$C$100, "Paladin", 'Members Data'!$D$2:$D$100, "Tank", 'wk5'!B$10:B$108,"Standby")</f>
        <v>0</v>
      </c>
      <c r="AK30" s="98">
        <f>COUNTIFS('Members Data'!$C$2:$C$100, "Paladin", 'Members Data'!$D$2:$D$100, "Tank", 'wk5'!C$10:C$108,"Confirmed")+COUNTIFS('Members Data'!$C$2:$C$100, "Paladin", 'Members Data'!$D$2:$D$100, "Tank", 'wk5'!C$10:C$108,"Standby")</f>
        <v>0</v>
      </c>
      <c r="AL30" s="98">
        <f>COUNTIFS('Members Data'!$C$2:$C$100, "Paladin", 'Members Data'!$D$2:$D$100, "Tank", 'wk5'!D$10:D$108,"Confirmed")+COUNTIFS('Members Data'!$C$2:$C$100, "Paladin", 'Members Data'!$D$2:$D$100, "Tank", 'wk5'!D$10:D$108,"Standby")</f>
        <v>0</v>
      </c>
      <c r="AM30" s="98">
        <f>COUNTIFS('Members Data'!$C$2:$C$100, "Paladin", 'Members Data'!$D$2:$D$100, "Tank", 'wk5'!E$10:E$108,"Confirmed")+COUNTIFS('Members Data'!$C$2:$C$100, "Paladin", 'Members Data'!$D$2:$D$100, "Tank", 'wk5'!E$10:E$108,"Standby")</f>
        <v>0</v>
      </c>
      <c r="AN30" s="98">
        <f>COUNTIFS('Members Data'!$C$2:$C$100, "Paladin", 'Members Data'!$D$2:$D$100, "Tank", 'wk5'!F$10:F$108,"Confirmed")+COUNTIFS('Members Data'!$C$2:$C$100, "Paladin", 'Members Data'!$D$2:$D$100, "Tank", 'wk5'!F$10:F$108,"Standby")</f>
        <v>0</v>
      </c>
      <c r="AO30" s="98">
        <f>COUNTIFS('Members Data'!$C$2:$C$100, "Paladin", 'Members Data'!$D$2:$D$100, "Tank", 'wk5'!G$10:G$108,"Confirmed")+COUNTIFS('Members Data'!$C$2:$C$100, "Paladin", 'Members Data'!$D$2:$D$100, "Tank", 'wk5'!G$10:G$108,"Standby")</f>
        <v>0</v>
      </c>
      <c r="AP30" s="98">
        <f>COUNTIFS('Members Data'!$C$2:$C$100, "Paladin", 'Members Data'!$D$2:$D$100, "Tank", 'wk5'!H$10:H$108,"Confirmed")+COUNTIFS('Members Data'!$C$2:$C$100, "Paladin", 'Members Data'!$D$2:$D$100, "Tank", 'wk5'!H$10:H$108,"Standby")</f>
        <v>0</v>
      </c>
      <c r="AQ30" s="100">
        <f>SUM(AJ30:AP30)</f>
        <v>0</v>
      </c>
    </row>
    <row r="31" spans="1:43" ht="15.75" thickBot="1">
      <c r="A31" s="115" t="s">
        <v>52</v>
      </c>
      <c r="B31" s="102">
        <f>K31+S31+AA31+AI31+AQ31</f>
        <v>2</v>
      </c>
      <c r="D31" s="112">
        <f>COUNTIFS('Members Data'!$C$2:$C$100, "Paladin", 'Members Data'!$D$2:$D$100, "MDPS", 'wk1'!B$10:B$108,"Confirmed")+COUNTIFS('Members Data'!$C$2:$C$100, "Paladin", 'Members Data'!$D$2:$D$100, "MDPS", 'wk1'!B$10:B$108,"Standby")</f>
        <v>1</v>
      </c>
      <c r="E31" s="112">
        <f>COUNTIFS('Members Data'!$C$2:$C$100, "Paladin", 'Members Data'!$D$2:$D$100, "MDPS", 'wk1'!C$10:C$108,"Confirmed")+COUNTIFS('Members Data'!$C$2:$C$100, "Paladin", 'Members Data'!$D$2:$D$100, "MDPS", 'wk1'!C$10:C$108,"Standby")</f>
        <v>1</v>
      </c>
      <c r="F31" s="112">
        <f>COUNTIFS('Members Data'!$C$2:$C$100, "Paladin", 'Members Data'!$D$2:$D$100, "MDPS", 'wk1'!D$10:D$108,"Confirmed")+COUNTIFS('Members Data'!$C$2:$C$100, "Paladin", 'Members Data'!$D$2:$D$100, "MDPS", 'wk1'!D$10:D$108,"Standby")</f>
        <v>0</v>
      </c>
      <c r="G31" s="112">
        <f>COUNTIFS('Members Data'!$C$2:$C$100, "Paladin", 'Members Data'!$D$2:$D$100, "MDPS", 'wk1'!E$10:E$108,"Confirmed")+COUNTIFS('Members Data'!$C$2:$C$100, "Paladin", 'Members Data'!$D$2:$D$100, "MDPS", 'wk1'!E$10:E$108,"Standby")</f>
        <v>0</v>
      </c>
      <c r="H31" s="112">
        <f>COUNTIFS('Members Data'!$C$2:$C$100, "Paladin", 'Members Data'!$D$2:$D$100, "MDPS", 'wk1'!F$10:F$108,"Confirmed")+COUNTIFS('Members Data'!$C$2:$C$100, "Paladin", 'Members Data'!$D$2:$D$100, "MDPS", 'wk1'!F$10:F$108,"Standby")</f>
        <v>0</v>
      </c>
      <c r="I31" s="112">
        <f>COUNTIFS('Members Data'!$C$2:$C$100, "Paladin", 'Members Data'!$D$2:$D$100, "MDPS", 'wk1'!G$10:G$108,"Confirmed")+COUNTIFS('Members Data'!$C$2:$C$100, "Paladin", 'Members Data'!$D$2:$D$100, "MDPS", 'wk1'!G$10:G$108,"Standby")</f>
        <v>0</v>
      </c>
      <c r="J31" s="112">
        <f>COUNTIFS('Members Data'!$C$2:$C$100, "Paladin", 'Members Data'!$D$2:$D$100, "MDPS", 'wk1'!H$10:H$108,"Confirmed")+COUNTIFS('Members Data'!$C$2:$C$100, "Paladin", 'Members Data'!$D$2:$D$100, "MDPS", 'wk1'!H$10:H$108,"Standby")</f>
        <v>0</v>
      </c>
      <c r="K31" s="100">
        <f>SUM(D31:J31)</f>
        <v>2</v>
      </c>
      <c r="L31" s="113">
        <f>COUNTIFS('Members Data'!$C$2:$C$100, "Paladin", 'Members Data'!$D$2:$D$100, "MDPS", 'wk2'!B$10:B$108,"Confirmed")+COUNTIFS('Members Data'!$C$2:$C$100, "Paladin", 'Members Data'!$D$2:$D$100, "MDPS", 'wk2'!B$10:B$108,"Standby")</f>
        <v>0</v>
      </c>
      <c r="M31" s="113">
        <f>COUNTIFS('Members Data'!$C$2:$C$100, "Paladin", 'Members Data'!$D$2:$D$100, "MDPS", 'wk2'!C$10:C$108,"Confirmed")+COUNTIFS('Members Data'!$C$2:$C$100, "Paladin", 'Members Data'!$D$2:$D$100, "MDPS", 'wk2'!C$10:C$108,"Standby")</f>
        <v>0</v>
      </c>
      <c r="N31" s="113">
        <f>COUNTIFS('Members Data'!$C$2:$C$100, "Paladin", 'Members Data'!$D$2:$D$100, "MDPS", 'wk2'!D$10:D$108,"Confirmed")+COUNTIFS('Members Data'!$C$2:$C$100, "Paladin", 'Members Data'!$D$2:$D$100, "MDPS", 'wk2'!D$10:D$108,"Standby")</f>
        <v>0</v>
      </c>
      <c r="O31" s="113">
        <f>COUNTIFS('Members Data'!$C$2:$C$100, "Paladin", 'Members Data'!$D$2:$D$100, "MDPS", 'wk2'!E$10:E$108,"Confirmed")+COUNTIFS('Members Data'!$C$2:$C$100, "Paladin", 'Members Data'!$D$2:$D$100, "MDPS", 'wk2'!E$10:E$108,"Standby")</f>
        <v>0</v>
      </c>
      <c r="P31" s="113">
        <f>COUNTIFS('Members Data'!$C$2:$C$100, "Paladin", 'Members Data'!$D$2:$D$100, "MDPS", 'wk2'!F$10:F$108,"Confirmed")+COUNTIFS('Members Data'!$C$2:$C$100, "Paladin", 'Members Data'!$D$2:$D$100, "MDPS", 'wk2'!F$10:F$108,"Standby")</f>
        <v>0</v>
      </c>
      <c r="Q31" s="113">
        <f>COUNTIFS('Members Data'!$C$2:$C$100, "Paladin", 'Members Data'!$D$2:$D$100, "MDPS", 'wk2'!G$10:G$108,"Confirmed")+COUNTIFS('Members Data'!$C$2:$C$100, "Paladin", 'Members Data'!$D$2:$D$100, "MDPS", 'wk2'!G$10:G$108,"Standby")</f>
        <v>0</v>
      </c>
      <c r="R31" s="113">
        <f>COUNTIFS('Members Data'!$C$2:$C$100, "Paladin", 'Members Data'!$D$2:$D$100, "MDPS", 'wk2'!H$10:H$108,"Confirmed")+COUNTIFS('Members Data'!$C$2:$C$100, "Paladin", 'Members Data'!$D$2:$D$100, "MDPS", 'wk2'!H$10:H$108,"Standby")</f>
        <v>0</v>
      </c>
      <c r="S31" s="100">
        <f>SUM(L31:R31)</f>
        <v>0</v>
      </c>
      <c r="T31" s="98">
        <f>COUNTIFS('Members Data'!$C$2:$C$100, "Paladin", 'Members Data'!$D$2:$D$100, "MDPS", 'wk3'!B$10:B$108,"Confirmed")+COUNTIFS('Members Data'!$C$2:$C$100, "Paladin", 'Members Data'!$D$2:$D$100, "MDPS", 'wk3'!B$10:B$108,"Standby")</f>
        <v>0</v>
      </c>
      <c r="U31" s="98">
        <f>COUNTIFS('Members Data'!$C$2:$C$100, "Paladin", 'Members Data'!$D$2:$D$100, "MDPS", 'wk3'!C$10:C$108,"Confirmed")+COUNTIFS('Members Data'!$C$2:$C$100, "Paladin", 'Members Data'!$D$2:$D$100, "MDPS", 'wk3'!C$10:C$108,"Standby")</f>
        <v>0</v>
      </c>
      <c r="V31" s="98">
        <f>COUNTIFS('Members Data'!$C$2:$C$100, "Paladin", 'Members Data'!$D$2:$D$100, "MDPS", 'wk3'!D$10:D$108,"Confirmed")+COUNTIFS('Members Data'!$C$2:$C$100, "Paladin", 'Members Data'!$D$2:$D$100, "MDPS", 'wk3'!D$10:D$108,"Standby")</f>
        <v>0</v>
      </c>
      <c r="W31" s="98">
        <f>COUNTIFS('Members Data'!$C$2:$C$100, "Paladin", 'Members Data'!$D$2:$D$100, "MDPS", 'wk3'!E$10:E$108,"Confirmed")+COUNTIFS('Members Data'!$C$2:$C$100, "Paladin", 'Members Data'!$D$2:$D$100, "MDPS", 'wk3'!E$10:E$108,"Standby")</f>
        <v>0</v>
      </c>
      <c r="X31" s="98">
        <f>COUNTIFS('Members Data'!$C$2:$C$100, "Paladin", 'Members Data'!$D$2:$D$100, "MDPS", 'wk3'!F$10:F$108,"Confirmed")+COUNTIFS('Members Data'!$C$2:$C$100, "Paladin", 'Members Data'!$D$2:$D$100, "MDPS", 'wk3'!F$10:F$108,"Standby")</f>
        <v>0</v>
      </c>
      <c r="Y31" s="98">
        <f>COUNTIFS('Members Data'!$C$2:$C$100, "Paladin", 'Members Data'!$D$2:$D$100, "MDPS", 'wk3'!G$10:G$108,"Confirmed")+COUNTIFS('Members Data'!$C$2:$C$100, "Paladin", 'Members Data'!$D$2:$D$100, "MDPS", 'wk3'!G$10:G$108,"Standby")</f>
        <v>0</v>
      </c>
      <c r="Z31" s="98">
        <f>COUNTIFS('Members Data'!$C$2:$C$100, "Paladin", 'Members Data'!$D$2:$D$100, "MDPS", 'wk3'!H$10:H$108,"Confirmed")+COUNTIFS('Members Data'!$C$2:$C$100, "Paladin", 'Members Data'!$D$2:$D$100, "MDPS", 'wk3'!H$10:H$108,"Standby")</f>
        <v>0</v>
      </c>
      <c r="AA31" s="100">
        <f>SUM(T31:Z31)</f>
        <v>0</v>
      </c>
      <c r="AB31" s="98">
        <f>COUNTIFS('Members Data'!$C$2:$C$100, "Paladin", 'Members Data'!$D$2:$D$100, "MDPS", 'wk4'!B$10:B$108,"Confirmed")+COUNTIFS('Members Data'!$C$2:$C$100, "Paladin", 'Members Data'!$D$2:$D$100, "MDPS", 'wk4'!B$10:B$108,"Standby")</f>
        <v>0</v>
      </c>
      <c r="AC31" s="98">
        <f>COUNTIFS('Members Data'!$C$2:$C$100, "Paladin", 'Members Data'!$D$2:$D$100, "MDPS", 'wk4'!C$10:C$108,"Confirmed")+COUNTIFS('Members Data'!$C$2:$C$100, "Paladin", 'Members Data'!$D$2:$D$100, "MDPS", 'wk4'!C$10:C$108,"Standby")</f>
        <v>0</v>
      </c>
      <c r="AD31" s="98">
        <f>COUNTIFS('Members Data'!$C$2:$C$100, "Paladin", 'Members Data'!$D$2:$D$100, "MDPS", 'wk4'!D$10:D$108,"Confirmed")+COUNTIFS('Members Data'!$C$2:$C$100, "Paladin", 'Members Data'!$D$2:$D$100, "MDPS", 'wk4'!D$10:D$108,"Standby")</f>
        <v>0</v>
      </c>
      <c r="AE31" s="98">
        <f>COUNTIFS('Members Data'!$C$2:$C$100, "Paladin", 'Members Data'!$D$2:$D$100, "MDPS", 'wk4'!E$10:E$108,"Confirmed")+COUNTIFS('Members Data'!$C$2:$C$100, "Paladin", 'Members Data'!$D$2:$D$100, "MDPS", 'wk4'!E$10:E$108,"Standby")</f>
        <v>0</v>
      </c>
      <c r="AF31" s="98">
        <f>COUNTIFS('Members Data'!$C$2:$C$100, "Paladin", 'Members Data'!$D$2:$D$100, "MDPS", 'wk4'!F$10:F$108,"Confirmed")+COUNTIFS('Members Data'!$C$2:$C$100, "Paladin", 'Members Data'!$D$2:$D$100, "MDPS", 'wk4'!F$10:F$108,"Standby")</f>
        <v>0</v>
      </c>
      <c r="AG31" s="98">
        <f>COUNTIFS('Members Data'!$C$2:$C$100, "Paladin", 'Members Data'!$D$2:$D$100, "MDPS", 'wk4'!G$10:G$108,"Confirmed")+COUNTIFS('Members Data'!$C$2:$C$100, "Paladin", 'Members Data'!$D$2:$D$100, "MDPS", 'wk4'!G$10:G$108,"Standby")</f>
        <v>0</v>
      </c>
      <c r="AH31" s="98">
        <f>COUNTIFS('Members Data'!$C$2:$C$100, "Paladin", 'Members Data'!$D$2:$D$100, "MDPS", 'wk4'!H$10:H$108,"Confirmed")+COUNTIFS('Members Data'!$C$2:$C$100, "Paladin", 'Members Data'!$D$2:$D$100, "MDPS", 'wk4'!H$10:H$108,"Standby")</f>
        <v>0</v>
      </c>
      <c r="AI31" s="100">
        <f>SUM(AB31:AH31)</f>
        <v>0</v>
      </c>
      <c r="AJ31" s="98">
        <f>COUNTIFS('Members Data'!$C$2:$C$100, "Paladin", 'Members Data'!$D$2:$D$100, "MDPS", 'wk5'!B$10:B$108,"Confirmed")+COUNTIFS('Members Data'!$C$2:$C$100, "Paladin", 'Members Data'!$D$2:$D$100, "MDPS", 'wk5'!B$10:B$108,"Standby")</f>
        <v>0</v>
      </c>
      <c r="AK31" s="98">
        <f>COUNTIFS('Members Data'!$C$2:$C$100, "Paladin", 'Members Data'!$D$2:$D$100, "MDPS", 'wk5'!C$10:C$108,"Confirmed")+COUNTIFS('Members Data'!$C$2:$C$100, "Paladin", 'Members Data'!$D$2:$D$100, "MDPS", 'wk5'!C$10:C$108,"Standby")</f>
        <v>0</v>
      </c>
      <c r="AL31" s="98">
        <f>COUNTIFS('Members Data'!$C$2:$C$100, "Paladin", 'Members Data'!$D$2:$D$100, "MDPS", 'wk5'!D$10:D$108,"Confirmed")+COUNTIFS('Members Data'!$C$2:$C$100, "Paladin", 'Members Data'!$D$2:$D$100, "MDPS", 'wk5'!D$10:D$108,"Standby")</f>
        <v>0</v>
      </c>
      <c r="AM31" s="98">
        <f>COUNTIFS('Members Data'!$C$2:$C$100, "Paladin", 'Members Data'!$D$2:$D$100, "MDPS", 'wk5'!E$10:E$108,"Confirmed")+COUNTIFS('Members Data'!$C$2:$C$100, "Paladin", 'Members Data'!$D$2:$D$100, "MDPS", 'wk5'!E$10:E$108,"Standby")</f>
        <v>0</v>
      </c>
      <c r="AN31" s="98">
        <f>COUNTIFS('Members Data'!$C$2:$C$100, "Paladin", 'Members Data'!$D$2:$D$100, "MDPS", 'wk5'!F$10:F$108,"Confirmed")+COUNTIFS('Members Data'!$C$2:$C$100, "Paladin", 'Members Data'!$D$2:$D$100, "MDPS", 'wk5'!F$10:F$108,"Standby")</f>
        <v>0</v>
      </c>
      <c r="AO31" s="98">
        <f>COUNTIFS('Members Data'!$C$2:$C$100, "Paladin", 'Members Data'!$D$2:$D$100, "MDPS", 'wk5'!G$10:G$108,"Confirmed")+COUNTIFS('Members Data'!$C$2:$C$100, "Paladin", 'Members Data'!$D$2:$D$100, "MDPS", 'wk5'!G$10:G$108,"Standby")</f>
        <v>0</v>
      </c>
      <c r="AP31" s="98">
        <f>COUNTIFS('Members Data'!$C$2:$C$100, "Paladin", 'Members Data'!$D$2:$D$100, "MDPS", 'wk5'!H$10:H$108,"Confirmed")+COUNTIFS('Members Data'!$C$2:$C$100, "Paladin", 'Members Data'!$D$2:$D$100, "MDPS", 'wk5'!H$10:H$108,"Standby")</f>
        <v>0</v>
      </c>
      <c r="AQ31" s="100">
        <f>SUM(AJ31:AP31)</f>
        <v>0</v>
      </c>
    </row>
    <row r="32" spans="1:43" ht="15.75" thickBot="1">
      <c r="A32" s="106" t="s">
        <v>7</v>
      </c>
      <c r="B32" s="107">
        <f>K32+S32+AA32+AI32+AQ32</f>
        <v>4</v>
      </c>
      <c r="D32" s="112">
        <f>COUNTIFS('Members Data'!$C$2:$C$100, "Paladin", 'Members Data'!$D$2:$D$100, "Healer", 'wk1'!B$10:B$108,"Confirmed")+COUNTIFS('Members Data'!$C$2:$C$100, "Paladin", 'Members Data'!$D$2:$D$100, "Healer", 'wk1'!B$10:B$108,"Standby")</f>
        <v>2</v>
      </c>
      <c r="E32" s="112">
        <f>COUNTIFS('Members Data'!$C$2:$C$100, "Paladin", 'Members Data'!$D$2:$D$100, "Healer", 'wk1'!C$10:C$108,"Confirmed")+COUNTIFS('Members Data'!$C$2:$C$100, "Paladin", 'Members Data'!$D$2:$D$100, "Healer", 'wk1'!C$10:C$108,"Standby")</f>
        <v>2</v>
      </c>
      <c r="F32" s="112">
        <f>COUNTIFS('Members Data'!$C$2:$C$100, "Paladin", 'Members Data'!$D$2:$D$100, "Healer", 'wk1'!D$10:D$108,"Confirmed")+COUNTIFS('Members Data'!$C$2:$C$100, "Paladin", 'Members Data'!$D$2:$D$100, "Healer", 'wk1'!D$10:D$108,"Standby")</f>
        <v>0</v>
      </c>
      <c r="G32" s="112">
        <f>COUNTIFS('Members Data'!$C$2:$C$100, "Paladin", 'Members Data'!$D$2:$D$100, "Healer", 'wk1'!E$10:E$108,"Confirmed")+COUNTIFS('Members Data'!$C$2:$C$100, "Paladin", 'Members Data'!$D$2:$D$100, "Healer", 'wk1'!E$10:E$108,"Standby")</f>
        <v>0</v>
      </c>
      <c r="H32" s="112">
        <f>COUNTIFS('Members Data'!$C$2:$C$100, "Paladin", 'Members Data'!$D$2:$D$100, "Healer", 'wk1'!F$10:F$108,"Confirmed")+COUNTIFS('Members Data'!$C$2:$C$100, "Paladin", 'Members Data'!$D$2:$D$100, "Healer", 'wk1'!F$10:F$108,"Standby")</f>
        <v>0</v>
      </c>
      <c r="I32" s="112">
        <f>COUNTIFS('Members Data'!$C$2:$C$100, "Paladin", 'Members Data'!$D$2:$D$100, "Healer", 'wk1'!G$10:G$108,"Confirmed")+COUNTIFS('Members Data'!$C$2:$C$100, "Paladin", 'Members Data'!$D$2:$D$100, "Healer", 'wk1'!G$10:G$108,"Standby")</f>
        <v>0</v>
      </c>
      <c r="J32" s="112">
        <f>COUNTIFS('Members Data'!$C$2:$C$100, "Paladin", 'Members Data'!$D$2:$D$100, "Healer", 'wk1'!H$10:H$108,"Confirmed")+COUNTIFS('Members Data'!$C$2:$C$100, "Paladin", 'Members Data'!$D$2:$D$100, "Healer", 'wk1'!H$10:H$108,"Standby")</f>
        <v>0</v>
      </c>
      <c r="K32" s="100">
        <f>SUM(D32:J32)</f>
        <v>4</v>
      </c>
      <c r="L32" s="113">
        <f>COUNTIFS('Members Data'!$C$2:$C$100, "Paladin", 'Members Data'!$D$2:$D$100, "Healer", 'wk2'!B$10:B$108,"Confirmed")+COUNTIFS('Members Data'!$C$2:$C$100, "Paladin", 'Members Data'!$D$2:$D$100, "Healer", 'wk2'!B$10:B$108,"Standby")</f>
        <v>0</v>
      </c>
      <c r="M32" s="113">
        <f>COUNTIFS('Members Data'!$C$2:$C$100, "Paladin", 'Members Data'!$D$2:$D$100, "Healer", 'wk2'!C$10:C$108,"Confirmed")+COUNTIFS('Members Data'!$C$2:$C$100, "Paladin", 'Members Data'!$D$2:$D$100, "Healer", 'wk2'!C$10:C$108,"Standby")</f>
        <v>0</v>
      </c>
      <c r="N32" s="113">
        <f>COUNTIFS('Members Data'!$C$2:$C$100, "Paladin", 'Members Data'!$D$2:$D$100, "Healer", 'wk2'!D$10:D$108,"Confirmed")+COUNTIFS('Members Data'!$C$2:$C$100, "Paladin", 'Members Data'!$D$2:$D$100, "Healer", 'wk2'!D$10:D$108,"Standby")</f>
        <v>0</v>
      </c>
      <c r="O32" s="113">
        <f>COUNTIFS('Members Data'!$C$2:$C$100, "Paladin", 'Members Data'!$D$2:$D$100, "Healer", 'wk2'!E$10:E$108,"Confirmed")+COUNTIFS('Members Data'!$C$2:$C$100, "Paladin", 'Members Data'!$D$2:$D$100, "Healer", 'wk2'!E$10:E$108,"Standby")</f>
        <v>0</v>
      </c>
      <c r="P32" s="113">
        <f>COUNTIFS('Members Data'!$C$2:$C$100, "Paladin", 'Members Data'!$D$2:$D$100, "Healer", 'wk2'!F$10:F$108,"Confirmed")+COUNTIFS('Members Data'!$C$2:$C$100, "Paladin", 'Members Data'!$D$2:$D$100, "Healer", 'wk2'!F$10:F$108,"Standby")</f>
        <v>0</v>
      </c>
      <c r="Q32" s="113">
        <f>COUNTIFS('Members Data'!$C$2:$C$100, "Paladin", 'Members Data'!$D$2:$D$100, "Healer", 'wk2'!G$10:G$108,"Confirmed")+COUNTIFS('Members Data'!$C$2:$C$100, "Paladin", 'Members Data'!$D$2:$D$100, "Healer", 'wk2'!G$10:G$108,"Standby")</f>
        <v>0</v>
      </c>
      <c r="R32" s="113">
        <f>COUNTIFS('Members Data'!$C$2:$C$100, "Paladin", 'Members Data'!$D$2:$D$100, "Healer", 'wk2'!H$10:H$108,"Confirmed")+COUNTIFS('Members Data'!$C$2:$C$100, "Paladin", 'Members Data'!$D$2:$D$100, "Healer", 'wk2'!H$10:H$108,"Standby")</f>
        <v>0</v>
      </c>
      <c r="S32" s="100">
        <f>SUM(L32:R32)</f>
        <v>0</v>
      </c>
      <c r="T32" s="98">
        <f>COUNTIFS('Members Data'!$C$2:$C$100, "Paladin", 'Members Data'!$D$2:$D$100, "Healer", 'wk3'!B$10:B$108,"Confirmed")+COUNTIFS('Members Data'!$C$2:$C$100, "Paladin", 'Members Data'!$D$2:$D$100, "Healer", 'wk3'!B$10:B$108,"Standby")</f>
        <v>0</v>
      </c>
      <c r="U32" s="98">
        <f>COUNTIFS('Members Data'!$C$2:$C$100, "Paladin", 'Members Data'!$D$2:$D$100, "Healer", 'wk3'!C$10:C$108,"Confirmed")+COUNTIFS('Members Data'!$C$2:$C$100, "Paladin", 'Members Data'!$D$2:$D$100, "Healer", 'wk3'!C$10:C$108,"Standby")</f>
        <v>0</v>
      </c>
      <c r="V32" s="98">
        <f>COUNTIFS('Members Data'!$C$2:$C$100, "Paladin", 'Members Data'!$D$2:$D$100, "Healer", 'wk3'!D$10:D$108,"Confirmed")+COUNTIFS('Members Data'!$C$2:$C$100, "Paladin", 'Members Data'!$D$2:$D$100, "Healer", 'wk3'!D$10:D$108,"Standby")</f>
        <v>0</v>
      </c>
      <c r="W32" s="98">
        <f>COUNTIFS('Members Data'!$C$2:$C$100, "Paladin", 'Members Data'!$D$2:$D$100, "Healer", 'wk3'!E$10:E$108,"Confirmed")+COUNTIFS('Members Data'!$C$2:$C$100, "Paladin", 'Members Data'!$D$2:$D$100, "Healer", 'wk3'!E$10:E$108,"Standby")</f>
        <v>0</v>
      </c>
      <c r="X32" s="98">
        <f>COUNTIFS('Members Data'!$C$2:$C$100, "Paladin", 'Members Data'!$D$2:$D$100, "Healer", 'wk3'!F$10:F$108,"Confirmed")+COUNTIFS('Members Data'!$C$2:$C$100, "Paladin", 'Members Data'!$D$2:$D$100, "Healer", 'wk3'!F$10:F$108,"Standby")</f>
        <v>0</v>
      </c>
      <c r="Y32" s="98">
        <f>COUNTIFS('Members Data'!$C$2:$C$100, "Paladin", 'Members Data'!$D$2:$D$100, "Healer", 'wk3'!G$10:G$108,"Confirmed")+COUNTIFS('Members Data'!$C$2:$C$100, "Paladin", 'Members Data'!$D$2:$D$100, "Healer", 'wk3'!G$10:G$108,"Standby")</f>
        <v>0</v>
      </c>
      <c r="Z32" s="98">
        <f>COUNTIFS('Members Data'!$C$2:$C$100, "Paladin", 'Members Data'!$D$2:$D$100, "Healer", 'wk3'!H$10:H$108,"Confirmed")+COUNTIFS('Members Data'!$C$2:$C$100, "Paladin", 'Members Data'!$D$2:$D$100, "Healer", 'wk3'!H$10:H$108,"Standby")</f>
        <v>0</v>
      </c>
      <c r="AA32" s="100">
        <f>SUM(T32:Z32)</f>
        <v>0</v>
      </c>
      <c r="AB32" s="98">
        <f>COUNTIFS('Members Data'!$C$2:$C$100, "Paladin", 'Members Data'!$D$2:$D$100, "Healer", 'wk4'!B$10:B$108,"Confirmed")+COUNTIFS('Members Data'!$C$2:$C$100, "Paladin", 'Members Data'!$D$2:$D$100, "Healer", 'wk4'!B$10:B$108,"Standby")</f>
        <v>0</v>
      </c>
      <c r="AC32" s="98">
        <f>COUNTIFS('Members Data'!$C$2:$C$100, "Paladin", 'Members Data'!$D$2:$D$100, "Healer", 'wk4'!C$10:C$108,"Confirmed")+COUNTIFS('Members Data'!$C$2:$C$100, "Paladin", 'Members Data'!$D$2:$D$100, "Healer", 'wk4'!C$10:C$108,"Standby")</f>
        <v>0</v>
      </c>
      <c r="AD32" s="98">
        <f>COUNTIFS('Members Data'!$C$2:$C$100, "Paladin", 'Members Data'!$D$2:$D$100, "Healer", 'wk4'!D$10:D$108,"Confirmed")+COUNTIFS('Members Data'!$C$2:$C$100, "Paladin", 'Members Data'!$D$2:$D$100, "Healer", 'wk4'!D$10:D$108,"Standby")</f>
        <v>0</v>
      </c>
      <c r="AE32" s="98">
        <f>COUNTIFS('Members Data'!$C$2:$C$100, "Paladin", 'Members Data'!$D$2:$D$100, "Healer", 'wk4'!E$10:E$108,"Confirmed")+COUNTIFS('Members Data'!$C$2:$C$100, "Paladin", 'Members Data'!$D$2:$D$100, "Healer", 'wk4'!E$10:E$108,"Standby")</f>
        <v>0</v>
      </c>
      <c r="AF32" s="98">
        <f>COUNTIFS('Members Data'!$C$2:$C$100, "Paladin", 'Members Data'!$D$2:$D$100, "Healer", 'wk4'!F$10:F$108,"Confirmed")+COUNTIFS('Members Data'!$C$2:$C$100, "Paladin", 'Members Data'!$D$2:$D$100, "Healer", 'wk4'!F$10:F$108,"Standby")</f>
        <v>0</v>
      </c>
      <c r="AG32" s="98">
        <f>COUNTIFS('Members Data'!$C$2:$C$100, "Paladin", 'Members Data'!$D$2:$D$100, "Healer", 'wk4'!G$10:G$108,"Confirmed")+COUNTIFS('Members Data'!$C$2:$C$100, "Paladin", 'Members Data'!$D$2:$D$100, "Healer", 'wk4'!G$10:G$108,"Standby")</f>
        <v>0</v>
      </c>
      <c r="AH32" s="98">
        <f>COUNTIFS('Members Data'!$C$2:$C$100, "Paladin", 'Members Data'!$D$2:$D$100, "Healer", 'wk4'!H$10:H$108,"Confirmed")+COUNTIFS('Members Data'!$C$2:$C$100, "Paladin", 'Members Data'!$D$2:$D$100, "Healer", 'wk4'!H$10:H$108,"Standby")</f>
        <v>0</v>
      </c>
      <c r="AI32" s="100">
        <f>SUM(AB32:AH32)</f>
        <v>0</v>
      </c>
      <c r="AJ32" s="98">
        <f>COUNTIFS('Members Data'!$C$2:$C$100, "Paladin", 'Members Data'!$D$2:$D$100, "Healer", 'wk5'!B$10:B$108,"Confirmed")+COUNTIFS('Members Data'!$C$2:$C$100, "Paladin", 'Members Data'!$D$2:$D$100, "Healer", 'wk5'!B$10:B$108,"Standby")</f>
        <v>0</v>
      </c>
      <c r="AK32" s="98">
        <f>COUNTIFS('Members Data'!$C$2:$C$100, "Paladin", 'Members Data'!$D$2:$D$100, "Healer", 'wk5'!C$10:C$108,"Confirmed")+COUNTIFS('Members Data'!$C$2:$C$100, "Paladin", 'Members Data'!$D$2:$D$100, "Healer", 'wk5'!C$10:C$108,"Standby")</f>
        <v>0</v>
      </c>
      <c r="AL32" s="98">
        <f>COUNTIFS('Members Data'!$C$2:$C$100, "Paladin", 'Members Data'!$D$2:$D$100, "Healer", 'wk5'!D$10:D$108,"Confirmed")+COUNTIFS('Members Data'!$C$2:$C$100, "Paladin", 'Members Data'!$D$2:$D$100, "Healer", 'wk5'!D$10:D$108,"Standby")</f>
        <v>0</v>
      </c>
      <c r="AM32" s="98">
        <f>COUNTIFS('Members Data'!$C$2:$C$100, "Paladin", 'Members Data'!$D$2:$D$100, "Healer", 'wk5'!E$10:E$108,"Confirmed")+COUNTIFS('Members Data'!$C$2:$C$100, "Paladin", 'Members Data'!$D$2:$D$100, "Healer", 'wk5'!E$10:E$108,"Standby")</f>
        <v>0</v>
      </c>
      <c r="AN32" s="98">
        <f>COUNTIFS('Members Data'!$C$2:$C$100, "Paladin", 'Members Data'!$D$2:$D$100, "Healer", 'wk5'!F$10:F$108,"Confirmed")+COUNTIFS('Members Data'!$C$2:$C$100, "Paladin", 'Members Data'!$D$2:$D$100, "Healer", 'wk5'!F$10:F$108,"Standby")</f>
        <v>0</v>
      </c>
      <c r="AO32" s="98">
        <f>COUNTIFS('Members Data'!$C$2:$C$100, "Paladin", 'Members Data'!$D$2:$D$100, "Healer", 'wk5'!G$10:G$108,"Confirmed")+COUNTIFS('Members Data'!$C$2:$C$100, "Paladin", 'Members Data'!$D$2:$D$100, "Healer", 'wk5'!G$10:G$108,"Standby")</f>
        <v>0</v>
      </c>
      <c r="AP32" s="98">
        <f>COUNTIFS('Members Data'!$C$2:$C$100, "Paladin", 'Members Data'!$D$2:$D$100, "Healer", 'wk5'!H$10:H$108,"Confirmed")+COUNTIFS('Members Data'!$C$2:$C$100, "Paladin", 'Members Data'!$D$2:$D$100, "Healer", 'wk5'!H$10:H$108,"Standby")</f>
        <v>0</v>
      </c>
      <c r="AQ32" s="100">
        <f>SUM(AJ32:AP32)</f>
        <v>0</v>
      </c>
    </row>
    <row r="33" spans="1:43" ht="13.5" thickBot="1"/>
    <row r="34" spans="1:43">
      <c r="A34" s="96" t="s">
        <v>14</v>
      </c>
      <c r="B34" s="97"/>
    </row>
    <row r="35" spans="1:43" ht="15.75" thickBot="1">
      <c r="A35" s="115" t="s">
        <v>51</v>
      </c>
      <c r="B35" s="102">
        <f>K35+S35+AA35+AI35+AQ35</f>
        <v>0</v>
      </c>
      <c r="D35" s="112">
        <f>COUNTIFS('Members Data'!$C$2:$C$100, "Priest", 'Members Data'!$D$2:$D$100, "RDPS", 'wk1'!B$10:B$108,"Confirmed")+COUNTIFS('Members Data'!$C$2:$C$100, "Priest", 'Members Data'!$D$2:$D$100, "RDPS", 'wk1'!B$10:B$108,"Standby")</f>
        <v>0</v>
      </c>
      <c r="E35" s="112">
        <f>COUNTIFS('Members Data'!$C$2:$C$100, "Priest", 'Members Data'!$D$2:$D$100, "RDPS", 'wk1'!C$10:C$108,"Confirmed")+COUNTIFS('Members Data'!$C$2:$C$100, "Priest", 'Members Data'!$D$2:$D$100, "RDPS", 'wk1'!C$10:C$108,"Standby")</f>
        <v>0</v>
      </c>
      <c r="F35" s="112">
        <f>COUNTIFS('Members Data'!$C$2:$C$100, "Priest", 'Members Data'!$D$2:$D$100, "RDPS", 'wk1'!D$10:D$108,"Confirmed")+COUNTIFS('Members Data'!$C$2:$C$100, "Priest", 'Members Data'!$D$2:$D$100, "RDPS", 'wk1'!D$10:D$108,"Standby")</f>
        <v>0</v>
      </c>
      <c r="G35" s="112">
        <f>COUNTIFS('Members Data'!$C$2:$C$100, "Priest", 'Members Data'!$D$2:$D$100, "RDPS", 'wk1'!E$10:E$108,"Confirmed")+COUNTIFS('Members Data'!$C$2:$C$100, "Priest", 'Members Data'!$D$2:$D$100, "RDPS", 'wk1'!E$10:E$108,"Standby")</f>
        <v>0</v>
      </c>
      <c r="H35" s="112">
        <f>COUNTIFS('Members Data'!$C$2:$C$100, "Priest", 'Members Data'!$D$2:$D$100, "RDPS", 'wk1'!F$10:F$108,"Confirmed")+COUNTIFS('Members Data'!$C$2:$C$100, "Priest", 'Members Data'!$D$2:$D$100, "RDPS", 'wk1'!F$10:F$108,"Standby")</f>
        <v>0</v>
      </c>
      <c r="I35" s="112">
        <f>COUNTIFS('Members Data'!$C$2:$C$100, "Priest", 'Members Data'!$D$2:$D$100, "RDPS", 'wk1'!G$10:G$108,"Confirmed")+COUNTIFS('Members Data'!$C$2:$C$100, "Priest", 'Members Data'!$D$2:$D$100, "RDPS", 'wk1'!G$10:G$108,"Standby")</f>
        <v>0</v>
      </c>
      <c r="J35" s="112">
        <f>COUNTIFS('Members Data'!$C$2:$C$100, "Priest", 'Members Data'!$D$2:$D$100, "RDPS", 'wk1'!H$10:H$108,"Confirmed")+COUNTIFS('Members Data'!$C$2:$C$100, "Priest", 'Members Data'!$D$2:$D$100, "RDPS", 'wk1'!H$10:H$108,"Standby")</f>
        <v>0</v>
      </c>
      <c r="K35" s="100">
        <f>SUM(D35:J35)</f>
        <v>0</v>
      </c>
      <c r="L35" s="113">
        <f>COUNTIFS('Members Data'!$C$2:$C$100, "Priest", 'Members Data'!$D$2:$D$100, "RDPS", 'wk2'!B$10:B$108,"Confirmed")+COUNTIFS('Members Data'!$C$2:$C$100, "Priest", 'Members Data'!$D$2:$D$100, "RDPS", 'wk2'!B$10:B$108,"Standby")</f>
        <v>0</v>
      </c>
      <c r="M35" s="113">
        <f>COUNTIFS('Members Data'!$C$2:$C$100, "Priest", 'Members Data'!$D$2:$D$100, "RDPS", 'wk2'!C$10:C$108,"Confirmed")+COUNTIFS('Members Data'!$C$2:$C$100, "Priest", 'Members Data'!$D$2:$D$100, "RDPS", 'wk2'!C$10:C$108,"Standby")</f>
        <v>0</v>
      </c>
      <c r="N35" s="113">
        <f>COUNTIFS('Members Data'!$C$2:$C$100, "Priest", 'Members Data'!$D$2:$D$100, "RDPS", 'wk2'!D$10:D$108,"Confirmed")+COUNTIFS('Members Data'!$C$2:$C$100, "Priest", 'Members Data'!$D$2:$D$100, "RDPS", 'wk2'!D$10:D$108,"Standby")</f>
        <v>0</v>
      </c>
      <c r="O35" s="113">
        <f>COUNTIFS('Members Data'!$C$2:$C$100, "Priest", 'Members Data'!$D$2:$D$100, "RDPS", 'wk2'!E$10:E$108,"Confirmed")+COUNTIFS('Members Data'!$C$2:$C$100, "Priest", 'Members Data'!$D$2:$D$100, "RDPS", 'wk2'!E$10:E$108,"Standby")</f>
        <v>0</v>
      </c>
      <c r="P35" s="113">
        <f>COUNTIFS('Members Data'!$C$2:$C$100, "Priest", 'Members Data'!$D$2:$D$100, "RDPS", 'wk2'!F$10:F$108,"Confirmed")+COUNTIFS('Members Data'!$C$2:$C$100, "Priest", 'Members Data'!$D$2:$D$100, "RDPS", 'wk2'!F$10:F$108,"Standby")</f>
        <v>0</v>
      </c>
      <c r="Q35" s="113">
        <f>COUNTIFS('Members Data'!$C$2:$C$100, "Priest", 'Members Data'!$D$2:$D$100, "RDPS", 'wk2'!G$10:G$108,"Confirmed")+COUNTIFS('Members Data'!$C$2:$C$100, "Priest", 'Members Data'!$D$2:$D$100, "RDPS", 'wk2'!G$10:G$108,"Standby")</f>
        <v>0</v>
      </c>
      <c r="R35" s="113">
        <f>COUNTIFS('Members Data'!$C$2:$C$100, "Priest", 'Members Data'!$D$2:$D$100, "RDPS", 'wk2'!H$10:H$108,"Confirmed")+COUNTIFS('Members Data'!$C$2:$C$100, "Priest", 'Members Data'!$D$2:$D$100, "RDPS", 'wk2'!H$10:H$108,"Standby")</f>
        <v>0</v>
      </c>
      <c r="S35" s="100">
        <f>SUM(L35:R35)</f>
        <v>0</v>
      </c>
      <c r="T35" s="98">
        <f>COUNTIFS('Members Data'!$C$2:$C$100, "Priest", 'Members Data'!$D$2:$D$100, "RDPS", 'wk3'!B$10:B$108,"Confirmed")+COUNTIFS('Members Data'!$C$2:$C$100, "Priest", 'Members Data'!$D$2:$D$100, "RDPS", 'wk3'!B$10:B$108,"Standby")</f>
        <v>0</v>
      </c>
      <c r="U35" s="98">
        <f>COUNTIFS('Members Data'!$C$2:$C$100, "Priest", 'Members Data'!$D$2:$D$100, "RDPS", 'wk3'!C$10:C$108,"Confirmed")+COUNTIFS('Members Data'!$C$2:$C$100, "Priest", 'Members Data'!$D$2:$D$100, "RDPS", 'wk3'!C$10:C$108,"Standby")</f>
        <v>0</v>
      </c>
      <c r="V35" s="98">
        <f>COUNTIFS('Members Data'!$C$2:$C$100, "Priest", 'Members Data'!$D$2:$D$100, "RDPS", 'wk3'!D$10:D$108,"Confirmed")+COUNTIFS('Members Data'!$C$2:$C$100, "Priest", 'Members Data'!$D$2:$D$100, "RDPS", 'wk3'!D$10:D$108,"Standby")</f>
        <v>0</v>
      </c>
      <c r="W35" s="98">
        <f>COUNTIFS('Members Data'!$C$2:$C$100, "Priest", 'Members Data'!$D$2:$D$100, "RDPS", 'wk3'!E$10:E$108,"Confirmed")+COUNTIFS('Members Data'!$C$2:$C$100, "Priest", 'Members Data'!$D$2:$D$100, "RDPS", 'wk3'!E$10:E$108,"Standby")</f>
        <v>0</v>
      </c>
      <c r="X35" s="98">
        <f>COUNTIFS('Members Data'!$C$2:$C$100, "Priest", 'Members Data'!$D$2:$D$100, "RDPS", 'wk3'!F$10:F$108,"Confirmed")+COUNTIFS('Members Data'!$C$2:$C$100, "Priest", 'Members Data'!$D$2:$D$100, "RDPS", 'wk3'!F$10:F$108,"Standby")</f>
        <v>0</v>
      </c>
      <c r="Y35" s="98">
        <f>COUNTIFS('Members Data'!$C$2:$C$100, "Priest", 'Members Data'!$D$2:$D$100, "RDPS", 'wk3'!G$10:G$108,"Confirmed")+COUNTIFS('Members Data'!$C$2:$C$100, "Priest", 'Members Data'!$D$2:$D$100, "RDPS", 'wk3'!G$10:G$108,"Standby")</f>
        <v>0</v>
      </c>
      <c r="Z35" s="98">
        <f>COUNTIFS('Members Data'!$C$2:$C$100, "Priest", 'Members Data'!$D$2:$D$100, "RDPS", 'wk3'!H$10:H$108,"Confirmed")+COUNTIFS('Members Data'!$C$2:$C$100, "Priest", 'Members Data'!$D$2:$D$100, "RDPS", 'wk3'!H$10:H$108,"Standby")</f>
        <v>0</v>
      </c>
      <c r="AA35" s="100">
        <f>SUM(T35:Z35)</f>
        <v>0</v>
      </c>
      <c r="AB35" s="98">
        <f>COUNTIFS('Members Data'!$C$2:$C$100, "Priest", 'Members Data'!$D$2:$D$100, "RDPS", 'wk4'!B$10:B$108,"Confirmed")+COUNTIFS('Members Data'!$C$2:$C$100, "Priest", 'Members Data'!$D$2:$D$100, "RDPS", 'wk4'!B$10:B$108,"Standby")</f>
        <v>0</v>
      </c>
      <c r="AC35" s="98">
        <f>COUNTIFS('Members Data'!$C$2:$C$100, "Priest", 'Members Data'!$D$2:$D$100, "RDPS", 'wk4'!C$10:C$108,"Confirmed")+COUNTIFS('Members Data'!$C$2:$C$100, "Priest", 'Members Data'!$D$2:$D$100, "RDPS", 'wk4'!C$10:C$108,"Standby")</f>
        <v>0</v>
      </c>
      <c r="AD35" s="98">
        <f>COUNTIFS('Members Data'!$C$2:$C$100, "Priest", 'Members Data'!$D$2:$D$100, "RDPS", 'wk4'!D$10:D$108,"Confirmed")+COUNTIFS('Members Data'!$C$2:$C$100, "Priest", 'Members Data'!$D$2:$D$100, "RDPS", 'wk4'!D$10:D$108,"Standby")</f>
        <v>0</v>
      </c>
      <c r="AE35" s="98">
        <f>COUNTIFS('Members Data'!$C$2:$C$100, "Priest", 'Members Data'!$D$2:$D$100, "RDPS", 'wk4'!E$10:E$108,"Confirmed")+COUNTIFS('Members Data'!$C$2:$C$100, "Priest", 'Members Data'!$D$2:$D$100, "RDPS", 'wk4'!E$10:E$108,"Standby")</f>
        <v>0</v>
      </c>
      <c r="AF35" s="98">
        <f>COUNTIFS('Members Data'!$C$2:$C$100, "Priest", 'Members Data'!$D$2:$D$100, "RDPS", 'wk4'!F$10:F$108,"Confirmed")+COUNTIFS('Members Data'!$C$2:$C$100, "Priest", 'Members Data'!$D$2:$D$100, "RDPS", 'wk4'!F$10:F$108,"Standby")</f>
        <v>0</v>
      </c>
      <c r="AG35" s="98">
        <f>COUNTIFS('Members Data'!$C$2:$C$100, "Priest", 'Members Data'!$D$2:$D$100, "RDPS", 'wk4'!G$10:G$108,"Confirmed")+COUNTIFS('Members Data'!$C$2:$C$100, "Priest", 'Members Data'!$D$2:$D$100, "RDPS", 'wk4'!G$10:G$108,"Standby")</f>
        <v>0</v>
      </c>
      <c r="AH35" s="98">
        <f>COUNTIFS('Members Data'!$C$2:$C$100, "Priest", 'Members Data'!$D$2:$D$100, "RDPS", 'wk4'!H$10:H$108,"Confirmed")+COUNTIFS('Members Data'!$C$2:$C$100, "Priest", 'Members Data'!$D$2:$D$100, "RDPS", 'wk4'!H$10:H$108,"Standby")</f>
        <v>0</v>
      </c>
      <c r="AI35" s="100">
        <f>SUM(AB35:AH35)</f>
        <v>0</v>
      </c>
      <c r="AJ35" s="98">
        <f>COUNTIFS('Members Data'!$C$2:$C$100, "Priest", 'Members Data'!$D$2:$D$100, "RDPS", 'wk5'!B$10:B$108,"Confirmed")+COUNTIFS('Members Data'!$C$2:$C$100, "Priest", 'Members Data'!$D$2:$D$100, "RDPS", 'wk5'!B$10:B$108,"Standby")</f>
        <v>0</v>
      </c>
      <c r="AK35" s="98">
        <f>COUNTIFS('Members Data'!$C$2:$C$100, "Priest", 'Members Data'!$D$2:$D$100, "RDPS", 'wk5'!C$10:C$108,"Confirmed")+COUNTIFS('Members Data'!$C$2:$C$100, "Priest", 'Members Data'!$D$2:$D$100, "RDPS", 'wk5'!C$10:C$108,"Standby")</f>
        <v>0</v>
      </c>
      <c r="AL35" s="98">
        <f>COUNTIFS('Members Data'!$C$2:$C$100, "Priest", 'Members Data'!$D$2:$D$100, "RDPS", 'wk5'!D$10:D$108,"Confirmed")+COUNTIFS('Members Data'!$C$2:$C$100, "Priest", 'Members Data'!$D$2:$D$100, "RDPS", 'wk5'!D$10:D$108,"Standby")</f>
        <v>0</v>
      </c>
      <c r="AM35" s="98">
        <f>COUNTIFS('Members Data'!$C$2:$C$100, "Priest", 'Members Data'!$D$2:$D$100, "RDPS", 'wk5'!E$10:E$108,"Confirmed")+COUNTIFS('Members Data'!$C$2:$C$100, "Priest", 'Members Data'!$D$2:$D$100, "RDPS", 'wk5'!E$10:E$108,"Standby")</f>
        <v>0</v>
      </c>
      <c r="AN35" s="98">
        <f>COUNTIFS('Members Data'!$C$2:$C$100, "Priest", 'Members Data'!$D$2:$D$100, "RDPS", 'wk5'!F$10:F$108,"Confirmed")+COUNTIFS('Members Data'!$C$2:$C$100, "Priest", 'Members Data'!$D$2:$D$100, "RDPS", 'wk5'!F$10:F$108,"Standby")</f>
        <v>0</v>
      </c>
      <c r="AO35" s="98">
        <f>COUNTIFS('Members Data'!$C$2:$C$100, "Priest", 'Members Data'!$D$2:$D$100, "RDPS", 'wk5'!G$10:G$108,"Confirmed")+COUNTIFS('Members Data'!$C$2:$C$100, "Priest", 'Members Data'!$D$2:$D$100, "RDPS", 'wk5'!G$10:G$108,"Standby")</f>
        <v>0</v>
      </c>
      <c r="AP35" s="98">
        <f>COUNTIFS('Members Data'!$C$2:$C$100, "Priest", 'Members Data'!$D$2:$D$100, "RDPS", 'wk5'!H$10:H$108,"Confirmed")+COUNTIFS('Members Data'!$C$2:$C$100, "Priest", 'Members Data'!$D$2:$D$100, "RDPS", 'wk5'!H$10:H$108,"Standby")</f>
        <v>0</v>
      </c>
      <c r="AQ35" s="100">
        <f>SUM(AJ35:AP35)</f>
        <v>0</v>
      </c>
    </row>
    <row r="36" spans="1:43" ht="15.75" thickBot="1">
      <c r="A36" s="106" t="s">
        <v>7</v>
      </c>
      <c r="B36" s="107">
        <f>K36+S36+AA36+AI36+AQ36</f>
        <v>4</v>
      </c>
      <c r="D36" s="112">
        <f>COUNTIFS('Members Data'!$C$2:$C$100, "Priest", 'Members Data'!$D$2:$D$100, "Healer", 'wk1'!B$10:B$108,"Confirmed")+COUNTIFS('Members Data'!$C$2:$C$100, "Priest", 'Members Data'!$D$2:$D$100, "Healer", 'wk1'!B$10:B$108,"Standby")</f>
        <v>2</v>
      </c>
      <c r="E36" s="112">
        <f>COUNTIFS('Members Data'!$C$2:$C$100, "Priest", 'Members Data'!$D$2:$D$100, "Healer", 'wk1'!C$10:C$108,"Confirmed")+COUNTIFS('Members Data'!$C$2:$C$100, "Priest", 'Members Data'!$D$2:$D$100, "Healer", 'wk1'!C$10:C$108,"Standby")</f>
        <v>2</v>
      </c>
      <c r="F36" s="112">
        <f>COUNTIFS('Members Data'!$C$2:$C$100, "Priest", 'Members Data'!$D$2:$D$100, "Healer", 'wk1'!D$10:D$108,"Confirmed")+COUNTIFS('Members Data'!$C$2:$C$100, "Priest", 'Members Data'!$D$2:$D$100, "Healer", 'wk1'!D$10:D$108,"Standby")</f>
        <v>0</v>
      </c>
      <c r="G36" s="112">
        <f>COUNTIFS('Members Data'!$C$2:$C$100, "Priest", 'Members Data'!$D$2:$D$100, "Healer", 'wk1'!E$10:E$108,"Confirmed")+COUNTIFS('Members Data'!$C$2:$C$100, "Priest", 'Members Data'!$D$2:$D$100, "Healer", 'wk1'!E$10:E$108,"Standby")</f>
        <v>0</v>
      </c>
      <c r="H36" s="112">
        <f>COUNTIFS('Members Data'!$C$2:$C$100, "Priest", 'Members Data'!$D$2:$D$100, "Healer", 'wk1'!F$10:F$108,"Confirmed")+COUNTIFS('Members Data'!$C$2:$C$100, "Priest", 'Members Data'!$D$2:$D$100, "Healer", 'wk1'!F$10:F$108,"Standby")</f>
        <v>0</v>
      </c>
      <c r="I36" s="112">
        <f>COUNTIFS('Members Data'!$C$2:$C$100, "Priest", 'Members Data'!$D$2:$D$100, "Healer", 'wk1'!G$10:G$108,"Confirmed")+COUNTIFS('Members Data'!$C$2:$C$100, "Priest", 'Members Data'!$D$2:$D$100, "Healer", 'wk1'!G$10:G$108,"Standby")</f>
        <v>0</v>
      </c>
      <c r="J36" s="112">
        <f>COUNTIFS('Members Data'!$C$2:$C$100, "Priest", 'Members Data'!$D$2:$D$100, "Healer", 'wk1'!H$10:H$108,"Confirmed")+COUNTIFS('Members Data'!$C$2:$C$100, "Priest", 'Members Data'!$D$2:$D$100, "Healer", 'wk1'!H$10:H$108,"Standby")</f>
        <v>0</v>
      </c>
      <c r="K36" s="100">
        <f>SUM(D36:J36)</f>
        <v>4</v>
      </c>
      <c r="L36" s="113">
        <f>COUNTIFS('Members Data'!$C$2:$C$100, "Priest", 'Members Data'!$D$2:$D$100, "Healer", 'wk2'!B$10:B$108,"Confirmed")+COUNTIFS('Members Data'!$C$2:$C$100, "Priest", 'Members Data'!$D$2:$D$100, "Healer", 'wk2'!B$10:B$108,"Standby")</f>
        <v>0</v>
      </c>
      <c r="M36" s="113">
        <f>COUNTIFS('Members Data'!$C$2:$C$100, "Priest", 'Members Data'!$D$2:$D$100, "Healer", 'wk2'!C$10:C$108,"Confirmed")+COUNTIFS('Members Data'!$C$2:$C$100, "Priest", 'Members Data'!$D$2:$D$100, "Healer", 'wk2'!C$10:C$108,"Standby")</f>
        <v>0</v>
      </c>
      <c r="N36" s="113">
        <f>COUNTIFS('Members Data'!$C$2:$C$100, "Priest", 'Members Data'!$D$2:$D$100, "Healer", 'wk2'!D$10:D$108,"Confirmed")+COUNTIFS('Members Data'!$C$2:$C$100, "Priest", 'Members Data'!$D$2:$D$100, "Healer", 'wk2'!D$10:D$108,"Standby")</f>
        <v>0</v>
      </c>
      <c r="O36" s="113">
        <f>COUNTIFS('Members Data'!$C$2:$C$100, "Priest", 'Members Data'!$D$2:$D$100, "Healer", 'wk2'!E$10:E$108,"Confirmed")+COUNTIFS('Members Data'!$C$2:$C$100, "Priest", 'Members Data'!$D$2:$D$100, "Healer", 'wk2'!E$10:E$108,"Standby")</f>
        <v>0</v>
      </c>
      <c r="P36" s="113">
        <f>COUNTIFS('Members Data'!$C$2:$C$100, "Priest", 'Members Data'!$D$2:$D$100, "Healer", 'wk2'!F$10:F$108,"Confirmed")+COUNTIFS('Members Data'!$C$2:$C$100, "Priest", 'Members Data'!$D$2:$D$100, "Healer", 'wk2'!F$10:F$108,"Standby")</f>
        <v>0</v>
      </c>
      <c r="Q36" s="113">
        <f>COUNTIFS('Members Data'!$C$2:$C$100, "Priest", 'Members Data'!$D$2:$D$100, "Healer", 'wk2'!G$10:G$108,"Confirmed")+COUNTIFS('Members Data'!$C$2:$C$100, "Priest", 'Members Data'!$D$2:$D$100, "Healer", 'wk2'!G$10:G$108,"Standby")</f>
        <v>0</v>
      </c>
      <c r="R36" s="113">
        <f>COUNTIFS('Members Data'!$C$2:$C$100, "Priest", 'Members Data'!$D$2:$D$100, "Healer", 'wk2'!H$10:H$108,"Confirmed")+COUNTIFS('Members Data'!$C$2:$C$100, "Priest", 'Members Data'!$D$2:$D$100, "Healer", 'wk2'!H$10:H$108,"Standby")</f>
        <v>0</v>
      </c>
      <c r="S36" s="100">
        <f>SUM(L36:R36)</f>
        <v>0</v>
      </c>
      <c r="T36" s="98">
        <f>COUNTIFS('Members Data'!$C$2:$C$100, "Priest", 'Members Data'!$D$2:$D$100, "Healer", 'wk3'!B$10:B$108,"Confirmed")+COUNTIFS('Members Data'!$C$2:$C$100, "Priest", 'Members Data'!$D$2:$D$100, "Healer", 'wk3'!B$10:B$108,"Standby")</f>
        <v>0</v>
      </c>
      <c r="U36" s="98">
        <f>COUNTIFS('Members Data'!$C$2:$C$100, "Priest", 'Members Data'!$D$2:$D$100, "Healer", 'wk3'!C$10:C$108,"Confirmed")+COUNTIFS('Members Data'!$C$2:$C$100, "Priest", 'Members Data'!$D$2:$D$100, "Healer", 'wk3'!C$10:C$108,"Standby")</f>
        <v>0</v>
      </c>
      <c r="V36" s="98">
        <f>COUNTIFS('Members Data'!$C$2:$C$100, "Priest", 'Members Data'!$D$2:$D$100, "Healer", 'wk3'!D$10:D$108,"Confirmed")+COUNTIFS('Members Data'!$C$2:$C$100, "Priest", 'Members Data'!$D$2:$D$100, "Healer", 'wk3'!D$10:D$108,"Standby")</f>
        <v>0</v>
      </c>
      <c r="W36" s="98">
        <f>COUNTIFS('Members Data'!$C$2:$C$100, "Priest", 'Members Data'!$D$2:$D$100, "Healer", 'wk3'!E$10:E$108,"Confirmed")+COUNTIFS('Members Data'!$C$2:$C$100, "Priest", 'Members Data'!$D$2:$D$100, "Healer", 'wk3'!E$10:E$108,"Standby")</f>
        <v>0</v>
      </c>
      <c r="X36" s="98">
        <f>COUNTIFS('Members Data'!$C$2:$C$100, "Priest", 'Members Data'!$D$2:$D$100, "Healer", 'wk3'!F$10:F$108,"Confirmed")+COUNTIFS('Members Data'!$C$2:$C$100, "Priest", 'Members Data'!$D$2:$D$100, "Healer", 'wk3'!F$10:F$108,"Standby")</f>
        <v>0</v>
      </c>
      <c r="Y36" s="98">
        <f>COUNTIFS('Members Data'!$C$2:$C$100, "Priest", 'Members Data'!$D$2:$D$100, "Healer", 'wk3'!G$10:G$108,"Confirmed")+COUNTIFS('Members Data'!$C$2:$C$100, "Priest", 'Members Data'!$D$2:$D$100, "Healer", 'wk3'!G$10:G$108,"Standby")</f>
        <v>0</v>
      </c>
      <c r="Z36" s="98">
        <f>COUNTIFS('Members Data'!$C$2:$C$100, "Priest", 'Members Data'!$D$2:$D$100, "Healer", 'wk3'!H$10:H$108,"Confirmed")+COUNTIFS('Members Data'!$C$2:$C$100, "Priest", 'Members Data'!$D$2:$D$100, "Healer", 'wk3'!H$10:H$108,"Standby")</f>
        <v>0</v>
      </c>
      <c r="AA36" s="100">
        <f>SUM(T36:Z36)</f>
        <v>0</v>
      </c>
      <c r="AB36" s="98">
        <f>COUNTIFS('Members Data'!$C$2:$C$100, "Priest", 'Members Data'!$D$2:$D$100, "Healer", 'wk4'!B$10:B$108,"Confirmed")+COUNTIFS('Members Data'!$C$2:$C$100, "Priest", 'Members Data'!$D$2:$D$100, "Healer", 'wk4'!B$10:B$108,"Standby")</f>
        <v>0</v>
      </c>
      <c r="AC36" s="98">
        <f>COUNTIFS('Members Data'!$C$2:$C$100, "Priest", 'Members Data'!$D$2:$D$100, "Healer", 'wk4'!C$10:C$108,"Confirmed")+COUNTIFS('Members Data'!$C$2:$C$100, "Priest", 'Members Data'!$D$2:$D$100, "Healer", 'wk4'!C$10:C$108,"Standby")</f>
        <v>0</v>
      </c>
      <c r="AD36" s="98">
        <f>COUNTIFS('Members Data'!$C$2:$C$100, "Priest", 'Members Data'!$D$2:$D$100, "Healer", 'wk4'!D$10:D$108,"Confirmed")+COUNTIFS('Members Data'!$C$2:$C$100, "Priest", 'Members Data'!$D$2:$D$100, "Healer", 'wk4'!D$10:D$108,"Standby")</f>
        <v>0</v>
      </c>
      <c r="AE36" s="98">
        <f>COUNTIFS('Members Data'!$C$2:$C$100, "Priest", 'Members Data'!$D$2:$D$100, "Healer", 'wk4'!E$10:E$108,"Confirmed")+COUNTIFS('Members Data'!$C$2:$C$100, "Priest", 'Members Data'!$D$2:$D$100, "Healer", 'wk4'!E$10:E$108,"Standby")</f>
        <v>0</v>
      </c>
      <c r="AF36" s="98">
        <f>COUNTIFS('Members Data'!$C$2:$C$100, "Priest", 'Members Data'!$D$2:$D$100, "Healer", 'wk4'!F$10:F$108,"Confirmed")+COUNTIFS('Members Data'!$C$2:$C$100, "Priest", 'Members Data'!$D$2:$D$100, "Healer", 'wk4'!F$10:F$108,"Standby")</f>
        <v>0</v>
      </c>
      <c r="AG36" s="98">
        <f>COUNTIFS('Members Data'!$C$2:$C$100, "Priest", 'Members Data'!$D$2:$D$100, "Healer", 'wk4'!G$10:G$108,"Confirmed")+COUNTIFS('Members Data'!$C$2:$C$100, "Priest", 'Members Data'!$D$2:$D$100, "Healer", 'wk4'!G$10:G$108,"Standby")</f>
        <v>0</v>
      </c>
      <c r="AH36" s="98">
        <f>COUNTIFS('Members Data'!$C$2:$C$100, "Priest", 'Members Data'!$D$2:$D$100, "Healer", 'wk4'!H$10:H$108,"Confirmed")+COUNTIFS('Members Data'!$C$2:$C$100, "Priest", 'Members Data'!$D$2:$D$100, "Healer", 'wk4'!H$10:H$108,"Standby")</f>
        <v>0</v>
      </c>
      <c r="AI36" s="100">
        <f>SUM(AB36:AH36)</f>
        <v>0</v>
      </c>
      <c r="AJ36" s="98">
        <f>COUNTIFS('Members Data'!$C$2:$C$100, "Priest", 'Members Data'!$D$2:$D$100, "Healer", 'wk5'!B$10:B$108,"Confirmed")+COUNTIFS('Members Data'!$C$2:$C$100, "Priest", 'Members Data'!$D$2:$D$100, "Healer", 'wk5'!B$10:B$108,"Standby")</f>
        <v>0</v>
      </c>
      <c r="AK36" s="98">
        <f>COUNTIFS('Members Data'!$C$2:$C$100, "Priest", 'Members Data'!$D$2:$D$100, "Healer", 'wk5'!C$10:C$108,"Confirmed")+COUNTIFS('Members Data'!$C$2:$C$100, "Priest", 'Members Data'!$D$2:$D$100, "Healer", 'wk5'!C$10:C$108,"Standby")</f>
        <v>0</v>
      </c>
      <c r="AL36" s="98">
        <f>COUNTIFS('Members Data'!$C$2:$C$100, "Priest", 'Members Data'!$D$2:$D$100, "Healer", 'wk5'!D$10:D$108,"Confirmed")+COUNTIFS('Members Data'!$C$2:$C$100, "Priest", 'Members Data'!$D$2:$D$100, "Healer", 'wk5'!D$10:D$108,"Standby")</f>
        <v>0</v>
      </c>
      <c r="AM36" s="98">
        <f>COUNTIFS('Members Data'!$C$2:$C$100, "Priest", 'Members Data'!$D$2:$D$100, "Healer", 'wk5'!E$10:E$108,"Confirmed")+COUNTIFS('Members Data'!$C$2:$C$100, "Priest", 'Members Data'!$D$2:$D$100, "Healer", 'wk5'!E$10:E$108,"Standby")</f>
        <v>0</v>
      </c>
      <c r="AN36" s="98">
        <f>COUNTIFS('Members Data'!$C$2:$C$100, "Priest", 'Members Data'!$D$2:$D$100, "Healer", 'wk5'!F$10:F$108,"Confirmed")+COUNTIFS('Members Data'!$C$2:$C$100, "Priest", 'Members Data'!$D$2:$D$100, "Healer", 'wk5'!F$10:F$108,"Standby")</f>
        <v>0</v>
      </c>
      <c r="AO36" s="98">
        <f>COUNTIFS('Members Data'!$C$2:$C$100, "Priest", 'Members Data'!$D$2:$D$100, "Healer", 'wk5'!G$10:G$108,"Confirmed")+COUNTIFS('Members Data'!$C$2:$C$100, "Priest", 'Members Data'!$D$2:$D$100, "Healer", 'wk5'!G$10:G$108,"Standby")</f>
        <v>0</v>
      </c>
      <c r="AP36" s="98">
        <f>COUNTIFS('Members Data'!$C$2:$C$100, "Priest", 'Members Data'!$D$2:$D$100, "Healer", 'wk5'!H$10:H$108,"Confirmed")+COUNTIFS('Members Data'!$C$2:$C$100, "Priest", 'Members Data'!$D$2:$D$100, "Healer", 'wk5'!H$10:H$108,"Standby")</f>
        <v>0</v>
      </c>
      <c r="AQ36" s="100">
        <f>SUM(AJ36:AP36)</f>
        <v>0</v>
      </c>
    </row>
    <row r="37" spans="1:43" ht="13.5" thickBot="1"/>
    <row r="38" spans="1:43" ht="13.5" thickBot="1">
      <c r="A38" s="96" t="s">
        <v>15</v>
      </c>
      <c r="B38" s="97"/>
    </row>
    <row r="39" spans="1:43" ht="15.75" thickBot="1">
      <c r="A39" s="114" t="s">
        <v>52</v>
      </c>
      <c r="B39" s="107">
        <f>K39+S39+AA39+AI39+AQ39</f>
        <v>4</v>
      </c>
      <c r="D39" s="112">
        <f>COUNTIFS('Members Data'!$C$2:$C$100, "Rogue", 'Members Data'!$D$2:$D$100, "MDPS", 'wk1'!B$10:B$108,"Confirmed")+COUNTIFS('Members Data'!$C$2:$C$100, "Rogue", 'Members Data'!$D$2:$D$100, "MDPS", 'wk1'!B$10:B$108,"Standby")</f>
        <v>2</v>
      </c>
      <c r="E39" s="112">
        <f>COUNTIFS('Members Data'!$C$2:$C$100, "Rogue", 'Members Data'!$D$2:$D$100, "MDPS", 'wk1'!C$10:C$108,"Confirmed")+COUNTIFS('Members Data'!$C$2:$C$100, "Rogue", 'Members Data'!$D$2:$D$100, "MDPS", 'wk1'!C$10:C$108,"Standby")</f>
        <v>2</v>
      </c>
      <c r="F39" s="112">
        <f>COUNTIFS('Members Data'!$C$2:$C$100, "Rogue", 'Members Data'!$D$2:$D$100, "MDPS", 'wk1'!D$10:D$108,"Confirmed")+COUNTIFS('Members Data'!$C$2:$C$100, "Rogue", 'Members Data'!$D$2:$D$100, "MDPS", 'wk1'!D$10:D$108,"Standby")</f>
        <v>0</v>
      </c>
      <c r="G39" s="112">
        <f>COUNTIFS('Members Data'!$C$2:$C$100, "Rogue", 'Members Data'!$D$2:$D$100, "MDPS", 'wk1'!E$10:E$108,"Confirmed")+COUNTIFS('Members Data'!$C$2:$C$100, "Rogue", 'Members Data'!$D$2:$D$100, "MDPS", 'wk1'!E$10:E$108,"Standby")</f>
        <v>0</v>
      </c>
      <c r="H39" s="112">
        <f>COUNTIFS('Members Data'!$C$2:$C$100, "Rogue", 'Members Data'!$D$2:$D$100, "MDPS", 'wk1'!F$10:F$108,"Confirmed")+COUNTIFS('Members Data'!$C$2:$C$100, "Rogue", 'Members Data'!$D$2:$D$100, "MDPS", 'wk1'!F$10:F$108,"Standby")</f>
        <v>0</v>
      </c>
      <c r="I39" s="112">
        <f>COUNTIFS('Members Data'!$C$2:$C$100, "Rogue", 'Members Data'!$D$2:$D$100, "MDPS", 'wk1'!G$10:G$108,"Confirmed")+COUNTIFS('Members Data'!$C$2:$C$100, "Rogue", 'Members Data'!$D$2:$D$100, "MDPS", 'wk1'!G$10:G$108,"Standby")</f>
        <v>0</v>
      </c>
      <c r="J39" s="112">
        <f>COUNTIFS('Members Data'!$C$2:$C$100, "Rogue", 'Members Data'!$D$2:$D$100, "MDPS", 'wk1'!H$10:H$108,"Confirmed")+COUNTIFS('Members Data'!$C$2:$C$100, "Rogue", 'Members Data'!$D$2:$D$100, "MDPS", 'wk1'!H$10:H$108,"Standby")</f>
        <v>0</v>
      </c>
      <c r="K39" s="100">
        <f>SUM(D39:J39)</f>
        <v>4</v>
      </c>
      <c r="L39" s="113">
        <f>COUNTIFS('Members Data'!$C$2:$C$100, "Rogue", 'Members Data'!$D$2:$D$100, "MDPS", 'wk2'!B$10:B$108,"Confirmed")+COUNTIFS('Members Data'!$C$2:$C$100, "Rogue", 'Members Data'!$D$2:$D$100, "MDPS", 'wk2'!B$10:B$108,"Standby")</f>
        <v>0</v>
      </c>
      <c r="M39" s="113">
        <f>COUNTIFS('Members Data'!$C$2:$C$100, "Rogue", 'Members Data'!$D$2:$D$100, "MDPS", 'wk2'!C$10:C$108,"Confirmed")+COUNTIFS('Members Data'!$C$2:$C$100, "Rogue", 'Members Data'!$D$2:$D$100, "MDPS", 'wk2'!C$10:C$108,"Standby")</f>
        <v>0</v>
      </c>
      <c r="N39" s="113">
        <f>COUNTIFS('Members Data'!$C$2:$C$100, "Rogue", 'Members Data'!$D$2:$D$100, "MDPS", 'wk2'!D$10:D$108,"Confirmed")+COUNTIFS('Members Data'!$C$2:$C$100, "Rogue", 'Members Data'!$D$2:$D$100, "MDPS", 'wk2'!D$10:D$108,"Standby")</f>
        <v>0</v>
      </c>
      <c r="O39" s="113">
        <f>COUNTIFS('Members Data'!$C$2:$C$100, "Rogue", 'Members Data'!$D$2:$D$100, "MDPS", 'wk2'!E$10:E$108,"Confirmed")+COUNTIFS('Members Data'!$C$2:$C$100, "Rogue", 'Members Data'!$D$2:$D$100, "MDPS", 'wk2'!E$10:E$108,"Standby")</f>
        <v>0</v>
      </c>
      <c r="P39" s="113">
        <f>COUNTIFS('Members Data'!$C$2:$C$100, "Rogue", 'Members Data'!$D$2:$D$100, "MDPS", 'wk2'!F$10:F$108,"Confirmed")+COUNTIFS('Members Data'!$C$2:$C$100, "Rogue", 'Members Data'!$D$2:$D$100, "MDPS", 'wk2'!F$10:F$108,"Standby")</f>
        <v>0</v>
      </c>
      <c r="Q39" s="113">
        <f>COUNTIFS('Members Data'!$C$2:$C$100, "Rogue", 'Members Data'!$D$2:$D$100, "MDPS", 'wk2'!G$10:G$108,"Confirmed")+COUNTIFS('Members Data'!$C$2:$C$100, "Rogue", 'Members Data'!$D$2:$D$100, "MDPS", 'wk2'!G$10:G$108,"Standby")</f>
        <v>0</v>
      </c>
      <c r="R39" s="113">
        <f>COUNTIFS('Members Data'!$C$2:$C$100, "Rogue", 'Members Data'!$D$2:$D$100, "MDPS", 'wk2'!H$10:H$108,"Confirmed")+COUNTIFS('Members Data'!$C$2:$C$100, "Rogue", 'Members Data'!$D$2:$D$100, "MDPS", 'wk2'!H$10:H$108,"Standby")</f>
        <v>0</v>
      </c>
      <c r="S39" s="100">
        <f>SUM(L39:R39)</f>
        <v>0</v>
      </c>
      <c r="T39" s="98">
        <f>COUNTIFS('Members Data'!$C$2:$C$100, "Rogue", 'Members Data'!$D$2:$D$100, "MDPS", 'wk3'!B$10:B$108,"Confirmed")+COUNTIFS('Members Data'!$C$2:$C$100, "Rogue", 'Members Data'!$D$2:$D$100, "MDPS", 'wk3'!B$10:B$108,"Standby")</f>
        <v>0</v>
      </c>
      <c r="U39" s="98">
        <f>COUNTIFS('Members Data'!$C$2:$C$100, "Rogue", 'Members Data'!$D$2:$D$100, "MDPS", 'wk3'!C$10:C$108,"Confirmed")+COUNTIFS('Members Data'!$C$2:$C$100, "Rogue", 'Members Data'!$D$2:$D$100, "MDPS", 'wk3'!C$10:C$108,"Standby")</f>
        <v>0</v>
      </c>
      <c r="V39" s="98">
        <f>COUNTIFS('Members Data'!$C$2:$C$100, "Rogue", 'Members Data'!$D$2:$D$100, "MDPS", 'wk3'!D$10:D$108,"Confirmed")+COUNTIFS('Members Data'!$C$2:$C$100, "Rogue", 'Members Data'!$D$2:$D$100, "MDPS", 'wk3'!D$10:D$108,"Standby")</f>
        <v>0</v>
      </c>
      <c r="W39" s="98">
        <f>COUNTIFS('Members Data'!$C$2:$C$100, "Rogue", 'Members Data'!$D$2:$D$100, "MDPS", 'wk3'!E$10:E$108,"Confirmed")+COUNTIFS('Members Data'!$C$2:$C$100, "Rogue", 'Members Data'!$D$2:$D$100, "MDPS", 'wk3'!E$10:E$108,"Standby")</f>
        <v>0</v>
      </c>
      <c r="X39" s="98">
        <f>COUNTIFS('Members Data'!$C$2:$C$100, "Rogue", 'Members Data'!$D$2:$D$100, "MDPS", 'wk3'!F$10:F$108,"Confirmed")+COUNTIFS('Members Data'!$C$2:$C$100, "Rogue", 'Members Data'!$D$2:$D$100, "MDPS", 'wk3'!F$10:F$108,"Standby")</f>
        <v>0</v>
      </c>
      <c r="Y39" s="98">
        <f>COUNTIFS('Members Data'!$C$2:$C$100, "Rogue", 'Members Data'!$D$2:$D$100, "MDPS", 'wk3'!G$10:G$108,"Confirmed")+COUNTIFS('Members Data'!$C$2:$C$100, "Rogue", 'Members Data'!$D$2:$D$100, "MDPS", 'wk3'!G$10:G$108,"Standby")</f>
        <v>0</v>
      </c>
      <c r="Z39" s="98">
        <f>COUNTIFS('Members Data'!$C$2:$C$100, "Rogue", 'Members Data'!$D$2:$D$100, "MDPS", 'wk3'!H$10:H$108,"Confirmed")+COUNTIFS('Members Data'!$C$2:$C$100, "Rogue", 'Members Data'!$D$2:$D$100, "MDPS", 'wk3'!H$10:H$108,"Standby")</f>
        <v>0</v>
      </c>
      <c r="AA39" s="100">
        <f>SUM(T39:Z39)</f>
        <v>0</v>
      </c>
      <c r="AB39" s="98">
        <f>COUNTIFS('Members Data'!$C$2:$C$100, "Rogue", 'Members Data'!$D$2:$D$100, "MDPS", 'wk4'!B$10:B$108,"Confirmed")+COUNTIFS('Members Data'!$C$2:$C$100, "Rogue", 'Members Data'!$D$2:$D$100, "MDPS", 'wk4'!B$10:B$108,"Standby")</f>
        <v>0</v>
      </c>
      <c r="AC39" s="98">
        <f>COUNTIFS('Members Data'!$C$2:$C$100, "Rogue", 'Members Data'!$D$2:$D$100, "MDPS", 'wk4'!C$10:C$108,"Confirmed")+COUNTIFS('Members Data'!$C$2:$C$100, "Rogue", 'Members Data'!$D$2:$D$100, "MDPS", 'wk4'!C$10:C$108,"Standby")</f>
        <v>0</v>
      </c>
      <c r="AD39" s="98">
        <f>COUNTIFS('Members Data'!$C$2:$C$100, "Rogue", 'Members Data'!$D$2:$D$100, "MDPS", 'wk4'!D$10:D$108,"Confirmed")+COUNTIFS('Members Data'!$C$2:$C$100, "Rogue", 'Members Data'!$D$2:$D$100, "MDPS", 'wk4'!D$10:D$108,"Standby")</f>
        <v>0</v>
      </c>
      <c r="AE39" s="98">
        <f>COUNTIFS('Members Data'!$C$2:$C$100, "Rogue", 'Members Data'!$D$2:$D$100, "MDPS", 'wk4'!E$10:E$108,"Confirmed")+COUNTIFS('Members Data'!$C$2:$C$100, "Rogue", 'Members Data'!$D$2:$D$100, "MDPS", 'wk4'!E$10:E$108,"Standby")</f>
        <v>0</v>
      </c>
      <c r="AF39" s="98">
        <f>COUNTIFS('Members Data'!$C$2:$C$100, "Rogue", 'Members Data'!$D$2:$D$100, "MDPS", 'wk4'!F$10:F$108,"Confirmed")+COUNTIFS('Members Data'!$C$2:$C$100, "Rogue", 'Members Data'!$D$2:$D$100, "MDPS", 'wk4'!F$10:F$108,"Standby")</f>
        <v>0</v>
      </c>
      <c r="AG39" s="98">
        <f>COUNTIFS('Members Data'!$C$2:$C$100, "Rogue", 'Members Data'!$D$2:$D$100, "MDPS", 'wk4'!G$10:G$108,"Confirmed")+COUNTIFS('Members Data'!$C$2:$C$100, "Rogue", 'Members Data'!$D$2:$D$100, "MDPS", 'wk4'!G$10:G$108,"Standby")</f>
        <v>0</v>
      </c>
      <c r="AH39" s="98">
        <f>COUNTIFS('Members Data'!$C$2:$C$100, "Rogue", 'Members Data'!$D$2:$D$100, "MDPS", 'wk4'!H$10:H$108,"Confirmed")+COUNTIFS('Members Data'!$C$2:$C$100, "Rogue", 'Members Data'!$D$2:$D$100, "MDPS", 'wk4'!H$10:H$108,"Standby")</f>
        <v>0</v>
      </c>
      <c r="AI39" s="100">
        <f>SUM(AB39:AH39)</f>
        <v>0</v>
      </c>
      <c r="AJ39" s="98">
        <f>COUNTIFS('Members Data'!$C$2:$C$100, "Rogue", 'Members Data'!$D$2:$D$100, "MDPS", 'wk5'!B$10:B$108,"Confirmed")+COUNTIFS('Members Data'!$C$2:$C$100, "Rogue", 'Members Data'!$D$2:$D$100, "MDPS", 'wk5'!B$10:B$108,"Standby")</f>
        <v>0</v>
      </c>
      <c r="AK39" s="98">
        <f>COUNTIFS('Members Data'!$C$2:$C$100, "Rogue", 'Members Data'!$D$2:$D$100, "MDPS", 'wk5'!C$10:C$108,"Confirmed")+COUNTIFS('Members Data'!$C$2:$C$100, "Rogue", 'Members Data'!$D$2:$D$100, "MDPS", 'wk5'!C$10:C$108,"Standby")</f>
        <v>0</v>
      </c>
      <c r="AL39" s="98">
        <f>COUNTIFS('Members Data'!$C$2:$C$100, "Rogue", 'Members Data'!$D$2:$D$100, "MDPS", 'wk5'!D$10:D$108,"Confirmed")+COUNTIFS('Members Data'!$C$2:$C$100, "Rogue", 'Members Data'!$D$2:$D$100, "MDPS", 'wk5'!D$10:D$108,"Standby")</f>
        <v>0</v>
      </c>
      <c r="AM39" s="98">
        <f>COUNTIFS('Members Data'!$C$2:$C$100, "Rogue", 'Members Data'!$D$2:$D$100, "MDPS", 'wk5'!E$10:E$108,"Confirmed")+COUNTIFS('Members Data'!$C$2:$C$100, "Rogue", 'Members Data'!$D$2:$D$100, "MDPS", 'wk5'!E$10:E$108,"Standby")</f>
        <v>0</v>
      </c>
      <c r="AN39" s="98">
        <f>COUNTIFS('Members Data'!$C$2:$C$100, "Rogue", 'Members Data'!$D$2:$D$100, "MDPS", 'wk5'!F$10:F$108,"Confirmed")+COUNTIFS('Members Data'!$C$2:$C$100, "Rogue", 'Members Data'!$D$2:$D$100, "MDPS", 'wk5'!F$10:F$108,"Standby")</f>
        <v>0</v>
      </c>
      <c r="AO39" s="98">
        <f>COUNTIFS('Members Data'!$C$2:$C$100, "Rogue", 'Members Data'!$D$2:$D$100, "MDPS", 'wk5'!G$10:G$108,"Confirmed")+COUNTIFS('Members Data'!$C$2:$C$100, "Rogue", 'Members Data'!$D$2:$D$100, "MDPS", 'wk5'!G$10:G$108,"Standby")</f>
        <v>0</v>
      </c>
      <c r="AP39" s="98">
        <f>COUNTIFS('Members Data'!$C$2:$C$100, "Rogue", 'Members Data'!$D$2:$D$100, "MDPS", 'wk5'!H$10:H$108,"Confirmed")+COUNTIFS('Members Data'!$C$2:$C$100, "Rogue", 'Members Data'!$D$2:$D$100, "MDPS", 'wk5'!H$10:H$108,"Standby")</f>
        <v>0</v>
      </c>
      <c r="AQ39" s="100">
        <f>SUM(AJ39:AP39)</f>
        <v>0</v>
      </c>
    </row>
    <row r="40" spans="1:43" ht="13.5" thickBot="1"/>
    <row r="41" spans="1:43" ht="13.5" thickBot="1">
      <c r="A41" s="96" t="s">
        <v>16</v>
      </c>
      <c r="B41" s="97"/>
    </row>
    <row r="42" spans="1:43" ht="15.75" thickBot="1">
      <c r="A42" s="101" t="s">
        <v>51</v>
      </c>
      <c r="B42" s="102">
        <f>K42+S42+AA42+AI42+AQ42</f>
        <v>1</v>
      </c>
      <c r="D42" s="112">
        <f>COUNTIFS('Members Data'!$C$2:$C$100, "Shaman", 'Members Data'!$D$2:$D$100, "RDPS", 'wk1'!B$10:B$108,"Confirmed")+COUNTIFS('Members Data'!$C$2:$C$100, "Shaman", 'Members Data'!$D$2:$D$100, "RDPS", 'wk1'!B$10:B$108,"Standby")</f>
        <v>1</v>
      </c>
      <c r="E42" s="112">
        <f>COUNTIFS('Members Data'!$C$2:$C$100, "Shaman", 'Members Data'!$D$2:$D$100, "RDPS", 'wk1'!C$10:C$108,"Confirmed")+COUNTIFS('Members Data'!$C$2:$C$100, "Shaman", 'Members Data'!$D$2:$D$100, "RDPS", 'wk1'!C$10:C$108,"Standby")</f>
        <v>0</v>
      </c>
      <c r="F42" s="112">
        <f>COUNTIFS('Members Data'!$C$2:$C$100, "Shaman", 'Members Data'!$D$2:$D$100, "RDPS", 'wk1'!D$10:D$108,"Confirmed")+COUNTIFS('Members Data'!$C$2:$C$100, "Shaman", 'Members Data'!$D$2:$D$100, "RDPS", 'wk1'!D$10:D$108,"Standby")</f>
        <v>0</v>
      </c>
      <c r="G42" s="112">
        <f>COUNTIFS('Members Data'!$C$2:$C$100, "Shaman", 'Members Data'!$D$2:$D$100, "RDPS", 'wk1'!E$10:E$108,"Confirmed")+COUNTIFS('Members Data'!$C$2:$C$100, "Shaman", 'Members Data'!$D$2:$D$100, "RDPS", 'wk1'!E$10:E$108,"Standby")</f>
        <v>0</v>
      </c>
      <c r="H42" s="112">
        <f>COUNTIFS('Members Data'!$C$2:$C$100, "Shaman", 'Members Data'!$D$2:$D$100, "RDPS", 'wk1'!F$10:F$108,"Confirmed")+COUNTIFS('Members Data'!$C$2:$C$100, "Shaman", 'Members Data'!$D$2:$D$100, "RDPS", 'wk1'!F$10:F$108,"Standby")</f>
        <v>0</v>
      </c>
      <c r="I42" s="112">
        <f>COUNTIFS('Members Data'!$C$2:$C$100, "Shaman", 'Members Data'!$D$2:$D$100, "RDPS", 'wk1'!G$10:G$108,"Confirmed")+COUNTIFS('Members Data'!$C$2:$C$100, "Shaman", 'Members Data'!$D$2:$D$100, "RDPS", 'wk1'!G$10:G$108,"Standby")</f>
        <v>0</v>
      </c>
      <c r="J42" s="112">
        <f>COUNTIFS('Members Data'!$C$2:$C$100, "Shaman", 'Members Data'!$D$2:$D$100, "RDPS", 'wk1'!H$10:H$108,"Confirmed")+COUNTIFS('Members Data'!$C$2:$C$100, "Shaman", 'Members Data'!$D$2:$D$100, "RDPS", 'wk1'!H$10:H$108,"Standby")</f>
        <v>0</v>
      </c>
      <c r="K42" s="100">
        <f>SUM(D42:J42)</f>
        <v>1</v>
      </c>
      <c r="L42" s="113">
        <f>COUNTIFS('Members Data'!$C$2:$C$100, "Shaman", 'Members Data'!$D$2:$D$100, "RDPS", 'wk2'!B$10:B$108,"Confirmed")+COUNTIFS('Members Data'!$C$2:$C$100, "Shaman", 'Members Data'!$D$2:$D$100, "RDPS", 'wk2'!B$10:B$108,"Standby")</f>
        <v>0</v>
      </c>
      <c r="M42" s="113">
        <f>COUNTIFS('Members Data'!$C$2:$C$100, "Shaman", 'Members Data'!$D$2:$D$100, "RDPS", 'wk2'!C$10:C$108,"Confirmed")+COUNTIFS('Members Data'!$C$2:$C$100, "Shaman", 'Members Data'!$D$2:$D$100, "RDPS", 'wk2'!C$10:C$108,"Standby")</f>
        <v>0</v>
      </c>
      <c r="N42" s="113">
        <f>COUNTIFS('Members Data'!$C$2:$C$100, "Shaman", 'Members Data'!$D$2:$D$100, "RDPS", 'wk2'!D$10:D$108,"Confirmed")+COUNTIFS('Members Data'!$C$2:$C$100, "Shaman", 'Members Data'!$D$2:$D$100, "RDPS", 'wk2'!D$10:D$108,"Standby")</f>
        <v>0</v>
      </c>
      <c r="O42" s="113">
        <f>COUNTIFS('Members Data'!$C$2:$C$100, "Shaman", 'Members Data'!$D$2:$D$100, "RDPS", 'wk2'!E$10:E$108,"Confirmed")+COUNTIFS('Members Data'!$C$2:$C$100, "Shaman", 'Members Data'!$D$2:$D$100, "RDPS", 'wk2'!E$10:E$108,"Standby")</f>
        <v>0</v>
      </c>
      <c r="P42" s="113">
        <f>COUNTIFS('Members Data'!$C$2:$C$100, "Shaman", 'Members Data'!$D$2:$D$100, "RDPS", 'wk2'!F$10:F$108,"Confirmed")+COUNTIFS('Members Data'!$C$2:$C$100, "Shaman", 'Members Data'!$D$2:$D$100, "RDPS", 'wk2'!F$10:F$108,"Standby")</f>
        <v>0</v>
      </c>
      <c r="Q42" s="113">
        <f>COUNTIFS('Members Data'!$C$2:$C$100, "Shaman", 'Members Data'!$D$2:$D$100, "RDPS", 'wk2'!G$10:G$108,"Confirmed")+COUNTIFS('Members Data'!$C$2:$C$100, "Shaman", 'Members Data'!$D$2:$D$100, "RDPS", 'wk2'!G$10:G$108,"Standby")</f>
        <v>0</v>
      </c>
      <c r="R42" s="113">
        <f>COUNTIFS('Members Data'!$C$2:$C$100, "Shaman", 'Members Data'!$D$2:$D$100, "RDPS", 'wk2'!H$10:H$108,"Confirmed")+COUNTIFS('Members Data'!$C$2:$C$100, "Shaman", 'Members Data'!$D$2:$D$100, "RDPS", 'wk2'!H$10:H$108,"Standby")</f>
        <v>0</v>
      </c>
      <c r="S42" s="100">
        <f>SUM(L42:R42)</f>
        <v>0</v>
      </c>
      <c r="T42" s="98">
        <f>COUNTIFS('Members Data'!$C$2:$C$100, "Shaman", 'Members Data'!$D$2:$D$100, "RDPS", 'wk3'!B$10:B$108,"Confirmed")+COUNTIFS('Members Data'!$C$2:$C$100, "Shaman", 'Members Data'!$D$2:$D$100, "RDPS", 'wk3'!B$10:B$108,"Standby")</f>
        <v>0</v>
      </c>
      <c r="U42" s="98">
        <f>COUNTIFS('Members Data'!$C$2:$C$100, "Shaman", 'Members Data'!$D$2:$D$100, "RDPS", 'wk3'!C$10:C$108,"Confirmed")+COUNTIFS('Members Data'!$C$2:$C$100, "Shaman", 'Members Data'!$D$2:$D$100, "RDPS", 'wk3'!C$10:C$108,"Standby")</f>
        <v>0</v>
      </c>
      <c r="V42" s="98">
        <f>COUNTIFS('Members Data'!$C$2:$C$100, "Shaman", 'Members Data'!$D$2:$D$100, "RDPS", 'wk3'!D$10:D$108,"Confirmed")+COUNTIFS('Members Data'!$C$2:$C$100, "Shaman", 'Members Data'!$D$2:$D$100, "RDPS", 'wk3'!D$10:D$108,"Standby")</f>
        <v>0</v>
      </c>
      <c r="W42" s="98">
        <f>COUNTIFS('Members Data'!$C$2:$C$100, "Shaman", 'Members Data'!$D$2:$D$100, "RDPS", 'wk3'!E$10:E$108,"Confirmed")+COUNTIFS('Members Data'!$C$2:$C$100, "Shaman", 'Members Data'!$D$2:$D$100, "RDPS", 'wk3'!E$10:E$108,"Standby")</f>
        <v>0</v>
      </c>
      <c r="X42" s="98">
        <f>COUNTIFS('Members Data'!$C$2:$C$100, "Shaman", 'Members Data'!$D$2:$D$100, "RDPS", 'wk3'!F$10:F$108,"Confirmed")+COUNTIFS('Members Data'!$C$2:$C$100, "Shaman", 'Members Data'!$D$2:$D$100, "RDPS", 'wk3'!F$10:F$108,"Standby")</f>
        <v>0</v>
      </c>
      <c r="Y42" s="98">
        <f>COUNTIFS('Members Data'!$C$2:$C$100, "Shaman", 'Members Data'!$D$2:$D$100, "RDPS", 'wk3'!G$10:G$108,"Confirmed")+COUNTIFS('Members Data'!$C$2:$C$100, "Shaman", 'Members Data'!$D$2:$D$100, "RDPS", 'wk3'!G$10:G$108,"Standby")</f>
        <v>0</v>
      </c>
      <c r="Z42" s="98">
        <f>COUNTIFS('Members Data'!$C$2:$C$100, "Shaman", 'Members Data'!$D$2:$D$100, "RDPS", 'wk3'!H$10:H$108,"Confirmed")+COUNTIFS('Members Data'!$C$2:$C$100, "Shaman", 'Members Data'!$D$2:$D$100, "RDPS", 'wk3'!H$10:H$108,"Standby")</f>
        <v>0</v>
      </c>
      <c r="AA42" s="100">
        <f>SUM(T42:Z42)</f>
        <v>0</v>
      </c>
      <c r="AB42" s="98">
        <f>COUNTIFS('Members Data'!$C$2:$C$100, "Shaman", 'Members Data'!$D$2:$D$100, "RDPS", 'wk4'!B$10:B$108,"Confirmed")+COUNTIFS('Members Data'!$C$2:$C$100, "Shaman", 'Members Data'!$D$2:$D$100, "RDPS", 'wk4'!B$10:B$108,"Standby")</f>
        <v>0</v>
      </c>
      <c r="AC42" s="98">
        <f>COUNTIFS('Members Data'!$C$2:$C$100, "Shaman", 'Members Data'!$D$2:$D$100, "RDPS", 'wk4'!C$10:C$108,"Confirmed")+COUNTIFS('Members Data'!$C$2:$C$100, "Shaman", 'Members Data'!$D$2:$D$100, "RDPS", 'wk4'!C$10:C$108,"Standby")</f>
        <v>0</v>
      </c>
      <c r="AD42" s="98">
        <f>COUNTIFS('Members Data'!$C$2:$C$100, "Shaman", 'Members Data'!$D$2:$D$100, "RDPS", 'wk4'!D$10:D$108,"Confirmed")+COUNTIFS('Members Data'!$C$2:$C$100, "Shaman", 'Members Data'!$D$2:$D$100, "RDPS", 'wk4'!D$10:D$108,"Standby")</f>
        <v>0</v>
      </c>
      <c r="AE42" s="98">
        <f>COUNTIFS('Members Data'!$C$2:$C$100, "Shaman", 'Members Data'!$D$2:$D$100, "RDPS", 'wk4'!E$10:E$108,"Confirmed")+COUNTIFS('Members Data'!$C$2:$C$100, "Shaman", 'Members Data'!$D$2:$D$100, "RDPS", 'wk4'!E$10:E$108,"Standby")</f>
        <v>0</v>
      </c>
      <c r="AF42" s="98">
        <f>COUNTIFS('Members Data'!$C$2:$C$100, "Shaman", 'Members Data'!$D$2:$D$100, "RDPS", 'wk4'!F$10:F$108,"Confirmed")+COUNTIFS('Members Data'!$C$2:$C$100, "Shaman", 'Members Data'!$D$2:$D$100, "RDPS", 'wk4'!F$10:F$108,"Standby")</f>
        <v>0</v>
      </c>
      <c r="AG42" s="98">
        <f>COUNTIFS('Members Data'!$C$2:$C$100, "Shaman", 'Members Data'!$D$2:$D$100, "RDPS", 'wk4'!G$10:G$108,"Confirmed")+COUNTIFS('Members Data'!$C$2:$C$100, "Shaman", 'Members Data'!$D$2:$D$100, "RDPS", 'wk4'!G$10:G$108,"Standby")</f>
        <v>0</v>
      </c>
      <c r="AH42" s="98">
        <f>COUNTIFS('Members Data'!$C$2:$C$100, "Shaman", 'Members Data'!$D$2:$D$100, "RDPS", 'wk4'!H$10:H$108,"Confirmed")+COUNTIFS('Members Data'!$C$2:$C$100, "Shaman", 'Members Data'!$D$2:$D$100, "RDPS", 'wk4'!H$10:H$108,"Standby")</f>
        <v>0</v>
      </c>
      <c r="AI42" s="100">
        <f>SUM(AB42:AH42)</f>
        <v>0</v>
      </c>
      <c r="AJ42" s="98">
        <f>COUNTIFS('Members Data'!$C$2:$C$100, "Shaman", 'Members Data'!$D$2:$D$100, "RDPS", 'wk5'!B$10:B$108,"Confirmed")+COUNTIFS('Members Data'!$C$2:$C$100, "Shaman", 'Members Data'!$D$2:$D$100, "RDPS", 'wk5'!B$10:B$108,"Standby")</f>
        <v>0</v>
      </c>
      <c r="AK42" s="98">
        <f>COUNTIFS('Members Data'!$C$2:$C$100, "Shaman", 'Members Data'!$D$2:$D$100, "RDPS", 'wk5'!C$10:C$108,"Confirmed")+COUNTIFS('Members Data'!$C$2:$C$100, "Shaman", 'Members Data'!$D$2:$D$100, "RDPS", 'wk5'!C$10:C$108,"Standby")</f>
        <v>0</v>
      </c>
      <c r="AL42" s="98">
        <f>COUNTIFS('Members Data'!$C$2:$C$100, "Shaman", 'Members Data'!$D$2:$D$100, "RDPS", 'wk5'!D$10:D$108,"Confirmed")+COUNTIFS('Members Data'!$C$2:$C$100, "Shaman", 'Members Data'!$D$2:$D$100, "RDPS", 'wk5'!D$10:D$108,"Standby")</f>
        <v>0</v>
      </c>
      <c r="AM42" s="98">
        <f>COUNTIFS('Members Data'!$C$2:$C$100, "Shaman", 'Members Data'!$D$2:$D$100, "RDPS", 'wk5'!E$10:E$108,"Confirmed")+COUNTIFS('Members Data'!$C$2:$C$100, "Shaman", 'Members Data'!$D$2:$D$100, "RDPS", 'wk5'!E$10:E$108,"Standby")</f>
        <v>0</v>
      </c>
      <c r="AN42" s="98">
        <f>COUNTIFS('Members Data'!$C$2:$C$100, "Shaman", 'Members Data'!$D$2:$D$100, "RDPS", 'wk5'!F$10:F$108,"Confirmed")+COUNTIFS('Members Data'!$C$2:$C$100, "Shaman", 'Members Data'!$D$2:$D$100, "RDPS", 'wk5'!F$10:F$108,"Standby")</f>
        <v>0</v>
      </c>
      <c r="AO42" s="98">
        <f>COUNTIFS('Members Data'!$C$2:$C$100, "Shaman", 'Members Data'!$D$2:$D$100, "RDPS", 'wk5'!G$10:G$108,"Confirmed")+COUNTIFS('Members Data'!$C$2:$C$100, "Shaman", 'Members Data'!$D$2:$D$100, "RDPS", 'wk5'!G$10:G$108,"Standby")</f>
        <v>0</v>
      </c>
      <c r="AP42" s="98">
        <f>COUNTIFS('Members Data'!$C$2:$C$100, "Shaman", 'Members Data'!$D$2:$D$100, "RDPS", 'wk5'!H$10:H$108,"Confirmed")+COUNTIFS('Members Data'!$C$2:$C$100, "Shaman", 'Members Data'!$D$2:$D$100, "RDPS", 'wk5'!H$10:H$108,"Standby")</f>
        <v>0</v>
      </c>
      <c r="AQ42" s="100">
        <f>SUM(AJ42:AP42)</f>
        <v>0</v>
      </c>
    </row>
    <row r="43" spans="1:43" ht="15.75" thickBot="1">
      <c r="A43" s="101" t="s">
        <v>52</v>
      </c>
      <c r="B43" s="102">
        <f>K43+S43+AA43+AI43+AQ43</f>
        <v>2</v>
      </c>
      <c r="D43" s="112">
        <f>COUNTIFS('Members Data'!$C$2:$C$100, "Shaman", 'Members Data'!$D$2:$D$100, "MDPS", 'wk1'!B$10:B$108,"Confirmed")+COUNTIFS('Members Data'!$C$2:$C$100, "Shaman", 'Members Data'!$D$2:$D$100, "MDPS", 'wk1'!B$10:B$108,"Standby")</f>
        <v>1</v>
      </c>
      <c r="E43" s="112">
        <f>COUNTIFS('Members Data'!$C$2:$C$100, "Shaman", 'Members Data'!$D$2:$D$100, "MDPS", 'wk1'!C$10:C$108,"Confirmed")+COUNTIFS('Members Data'!$C$2:$C$100, "Shaman", 'Members Data'!$D$2:$D$100, "MDPS", 'wk1'!C$10:C$108,"Standby")</f>
        <v>1</v>
      </c>
      <c r="F43" s="112">
        <f>COUNTIFS('Members Data'!$C$2:$C$100, "Shaman", 'Members Data'!$D$2:$D$100, "MDPS", 'wk1'!D$10:D$108,"Confirmed")+COUNTIFS('Members Data'!$C$2:$C$100, "Shaman", 'Members Data'!$D$2:$D$100, "MDPS", 'wk1'!D$10:D$108,"Standby")</f>
        <v>0</v>
      </c>
      <c r="G43" s="112">
        <f>COUNTIFS('Members Data'!$C$2:$C$100, "Shaman", 'Members Data'!$D$2:$D$100, "MDPS", 'wk1'!E$10:E$108,"Confirmed")+COUNTIFS('Members Data'!$C$2:$C$100, "Shaman", 'Members Data'!$D$2:$D$100, "MDPS", 'wk1'!E$10:E$108,"Standby")</f>
        <v>0</v>
      </c>
      <c r="H43" s="112">
        <f>COUNTIFS('Members Data'!$C$2:$C$100, "Shaman", 'Members Data'!$D$2:$D$100, "MDPS", 'wk1'!F$10:F$108,"Confirmed")+COUNTIFS('Members Data'!$C$2:$C$100, "Shaman", 'Members Data'!$D$2:$D$100, "MDPS", 'wk1'!F$10:F$108,"Standby")</f>
        <v>0</v>
      </c>
      <c r="I43" s="112">
        <f>COUNTIFS('Members Data'!$C$2:$C$100, "Shaman", 'Members Data'!$D$2:$D$100, "MDPS", 'wk1'!G$10:G$108,"Confirmed")+COUNTIFS('Members Data'!$C$2:$C$100, "Shaman", 'Members Data'!$D$2:$D$100, "MDPS", 'wk1'!G$10:G$108,"Standby")</f>
        <v>0</v>
      </c>
      <c r="J43" s="112">
        <f>COUNTIFS('Members Data'!$C$2:$C$100, "Shaman", 'Members Data'!$D$2:$D$100, "MDPS", 'wk1'!H$10:H$108,"Confirmed")+COUNTIFS('Members Data'!$C$2:$C$100, "Shaman", 'Members Data'!$D$2:$D$100, "MDPS", 'wk1'!H$10:H$108,"Standby")</f>
        <v>0</v>
      </c>
      <c r="K43" s="100">
        <f>SUM(D43:J43)</f>
        <v>2</v>
      </c>
      <c r="L43" s="113">
        <f>COUNTIFS('Members Data'!$C$2:$C$100, "Shaman", 'Members Data'!$D$2:$D$100, "MDPS", 'wk2'!B$10:B$108,"Confirmed")+COUNTIFS('Members Data'!$C$2:$C$100, "Shaman", 'Members Data'!$D$2:$D$100, "MDPS", 'wk2'!B$10:B$108,"Standby")</f>
        <v>0</v>
      </c>
      <c r="M43" s="113">
        <f>COUNTIFS('Members Data'!$C$2:$C$100, "Shaman", 'Members Data'!$D$2:$D$100, "MDPS", 'wk2'!C$10:C$108,"Confirmed")+COUNTIFS('Members Data'!$C$2:$C$100, "Shaman", 'Members Data'!$D$2:$D$100, "MDPS", 'wk2'!C$10:C$108,"Standby")</f>
        <v>0</v>
      </c>
      <c r="N43" s="113">
        <f>COUNTIFS('Members Data'!$C$2:$C$100, "Shaman", 'Members Data'!$D$2:$D$100, "MDPS", 'wk2'!D$10:D$108,"Confirmed")+COUNTIFS('Members Data'!$C$2:$C$100, "Shaman", 'Members Data'!$D$2:$D$100, "MDPS", 'wk2'!D$10:D$108,"Standby")</f>
        <v>0</v>
      </c>
      <c r="O43" s="113">
        <f>COUNTIFS('Members Data'!$C$2:$C$100, "Shaman", 'Members Data'!$D$2:$D$100, "MDPS", 'wk2'!E$10:E$108,"Confirmed")+COUNTIFS('Members Data'!$C$2:$C$100, "Shaman", 'Members Data'!$D$2:$D$100, "MDPS", 'wk2'!E$10:E$108,"Standby")</f>
        <v>0</v>
      </c>
      <c r="P43" s="113">
        <f>COUNTIFS('Members Data'!$C$2:$C$100, "Shaman", 'Members Data'!$D$2:$D$100, "MDPS", 'wk2'!F$10:F$108,"Confirmed")+COUNTIFS('Members Data'!$C$2:$C$100, "Shaman", 'Members Data'!$D$2:$D$100, "MDPS", 'wk2'!F$10:F$108,"Standby")</f>
        <v>0</v>
      </c>
      <c r="Q43" s="113">
        <f>COUNTIFS('Members Data'!$C$2:$C$100, "Shaman", 'Members Data'!$D$2:$D$100, "MDPS", 'wk2'!G$10:G$108,"Confirmed")+COUNTIFS('Members Data'!$C$2:$C$100, "Shaman", 'Members Data'!$D$2:$D$100, "MDPS", 'wk2'!G$10:G$108,"Standby")</f>
        <v>0</v>
      </c>
      <c r="R43" s="113">
        <f>COUNTIFS('Members Data'!$C$2:$C$100, "Shaman", 'Members Data'!$D$2:$D$100, "MDPS", 'wk2'!H$10:H$108,"Confirmed")+COUNTIFS('Members Data'!$C$2:$C$100, "Shaman", 'Members Data'!$D$2:$D$100, "MDPS", 'wk2'!H$10:H$108,"Standby")</f>
        <v>0</v>
      </c>
      <c r="S43" s="100">
        <f>SUM(L43:R43)</f>
        <v>0</v>
      </c>
      <c r="T43" s="98">
        <f>COUNTIFS('Members Data'!$C$2:$C$100, "Shaman", 'Members Data'!$D$2:$D$100, "MDPS", 'wk3'!B$10:B$108,"Confirmed")+COUNTIFS('Members Data'!$C$2:$C$100, "Shaman", 'Members Data'!$D$2:$D$100, "MDPS", 'wk3'!B$10:B$108,"Standby")</f>
        <v>0</v>
      </c>
      <c r="U43" s="98">
        <f>COUNTIFS('Members Data'!$C$2:$C$100, "Shaman", 'Members Data'!$D$2:$D$100, "MDPS", 'wk3'!C$10:C$108,"Confirmed")+COUNTIFS('Members Data'!$C$2:$C$100, "Shaman", 'Members Data'!$D$2:$D$100, "MDPS", 'wk3'!C$10:C$108,"Standby")</f>
        <v>0</v>
      </c>
      <c r="V43" s="98">
        <f>COUNTIFS('Members Data'!$C$2:$C$100, "Shaman", 'Members Data'!$D$2:$D$100, "MDPS", 'wk3'!D$10:D$108,"Confirmed")+COUNTIFS('Members Data'!$C$2:$C$100, "Shaman", 'Members Data'!$D$2:$D$100, "MDPS", 'wk3'!D$10:D$108,"Standby")</f>
        <v>0</v>
      </c>
      <c r="W43" s="98">
        <f>COUNTIFS('Members Data'!$C$2:$C$100, "Shaman", 'Members Data'!$D$2:$D$100, "MDPS", 'wk3'!E$10:E$108,"Confirmed")+COUNTIFS('Members Data'!$C$2:$C$100, "Shaman", 'Members Data'!$D$2:$D$100, "MDPS", 'wk3'!E$10:E$108,"Standby")</f>
        <v>0</v>
      </c>
      <c r="X43" s="98">
        <f>COUNTIFS('Members Data'!$C$2:$C$100, "Shaman", 'Members Data'!$D$2:$D$100, "MDPS", 'wk3'!F$10:F$108,"Confirmed")+COUNTIFS('Members Data'!$C$2:$C$100, "Shaman", 'Members Data'!$D$2:$D$100, "MDPS", 'wk3'!F$10:F$108,"Standby")</f>
        <v>0</v>
      </c>
      <c r="Y43" s="98">
        <f>COUNTIFS('Members Data'!$C$2:$C$100, "Shaman", 'Members Data'!$D$2:$D$100, "MDPS", 'wk3'!G$10:G$108,"Confirmed")+COUNTIFS('Members Data'!$C$2:$C$100, "Shaman", 'Members Data'!$D$2:$D$100, "MDPS", 'wk3'!G$10:G$108,"Standby")</f>
        <v>0</v>
      </c>
      <c r="Z43" s="98">
        <f>COUNTIFS('Members Data'!$C$2:$C$100, "Shaman", 'Members Data'!$D$2:$D$100, "MDPS", 'wk3'!H$10:H$108,"Confirmed")+COUNTIFS('Members Data'!$C$2:$C$100, "Shaman", 'Members Data'!$D$2:$D$100, "MDPS", 'wk3'!H$10:H$108,"Standby")</f>
        <v>0</v>
      </c>
      <c r="AA43" s="100">
        <f>SUM(T43:Z43)</f>
        <v>0</v>
      </c>
      <c r="AB43" s="98">
        <f>COUNTIFS('Members Data'!$C$2:$C$100, "Shaman", 'Members Data'!$D$2:$D$100, "MDPS", 'wk4'!B$10:B$108,"Confirmed")+COUNTIFS('Members Data'!$C$2:$C$100, "Shaman", 'Members Data'!$D$2:$D$100, "MDPS", 'wk4'!B$10:B$108,"Standby")</f>
        <v>0</v>
      </c>
      <c r="AC43" s="98">
        <f>COUNTIFS('Members Data'!$C$2:$C$100, "Shaman", 'Members Data'!$D$2:$D$100, "MDPS", 'wk4'!C$10:C$108,"Confirmed")+COUNTIFS('Members Data'!$C$2:$C$100, "Shaman", 'Members Data'!$D$2:$D$100, "MDPS", 'wk4'!C$10:C$108,"Standby")</f>
        <v>0</v>
      </c>
      <c r="AD43" s="98">
        <f>COUNTIFS('Members Data'!$C$2:$C$100, "Shaman", 'Members Data'!$D$2:$D$100, "MDPS", 'wk4'!D$10:D$108,"Confirmed")+COUNTIFS('Members Data'!$C$2:$C$100, "Shaman", 'Members Data'!$D$2:$D$100, "MDPS", 'wk4'!D$10:D$108,"Standby")</f>
        <v>0</v>
      </c>
      <c r="AE43" s="98">
        <f>COUNTIFS('Members Data'!$C$2:$C$100, "Shaman", 'Members Data'!$D$2:$D$100, "MDPS", 'wk4'!E$10:E$108,"Confirmed")+COUNTIFS('Members Data'!$C$2:$C$100, "Shaman", 'Members Data'!$D$2:$D$100, "MDPS", 'wk4'!E$10:E$108,"Standby")</f>
        <v>0</v>
      </c>
      <c r="AF43" s="98">
        <f>COUNTIFS('Members Data'!$C$2:$C$100, "Shaman", 'Members Data'!$D$2:$D$100, "MDPS", 'wk4'!F$10:F$108,"Confirmed")+COUNTIFS('Members Data'!$C$2:$C$100, "Shaman", 'Members Data'!$D$2:$D$100, "MDPS", 'wk4'!F$10:F$108,"Standby")</f>
        <v>0</v>
      </c>
      <c r="AG43" s="98">
        <f>COUNTIFS('Members Data'!$C$2:$C$100, "Shaman", 'Members Data'!$D$2:$D$100, "MDPS", 'wk4'!G$10:G$108,"Confirmed")+COUNTIFS('Members Data'!$C$2:$C$100, "Shaman", 'Members Data'!$D$2:$D$100, "MDPS", 'wk4'!G$10:G$108,"Standby")</f>
        <v>0</v>
      </c>
      <c r="AH43" s="98">
        <f>COUNTIFS('Members Data'!$C$2:$C$100, "Shaman", 'Members Data'!$D$2:$D$100, "MDPS", 'wk4'!H$10:H$108,"Confirmed")+COUNTIFS('Members Data'!$C$2:$C$100, "Shaman", 'Members Data'!$D$2:$D$100, "MDPS", 'wk4'!H$10:H$108,"Standby")</f>
        <v>0</v>
      </c>
      <c r="AI43" s="100">
        <f>SUM(AB43:AH43)</f>
        <v>0</v>
      </c>
      <c r="AJ43" s="98">
        <f>COUNTIFS('Members Data'!$C$2:$C$100, "Shaman", 'Members Data'!$D$2:$D$100, "MDPS", 'wk5'!B$10:B$108,"Confirmed")+COUNTIFS('Members Data'!$C$2:$C$100, "Shaman", 'Members Data'!$D$2:$D$100, "MDPS", 'wk5'!B$10:B$108,"Standby")</f>
        <v>0</v>
      </c>
      <c r="AK43" s="98">
        <f>COUNTIFS('Members Data'!$C$2:$C$100, "Shaman", 'Members Data'!$D$2:$D$100, "MDPS", 'wk5'!C$10:C$108,"Confirmed")+COUNTIFS('Members Data'!$C$2:$C$100, "Shaman", 'Members Data'!$D$2:$D$100, "MDPS", 'wk5'!C$10:C$108,"Standby")</f>
        <v>0</v>
      </c>
      <c r="AL43" s="98">
        <f>COUNTIFS('Members Data'!$C$2:$C$100, "Shaman", 'Members Data'!$D$2:$D$100, "MDPS", 'wk5'!D$10:D$108,"Confirmed")+COUNTIFS('Members Data'!$C$2:$C$100, "Shaman", 'Members Data'!$D$2:$D$100, "MDPS", 'wk5'!D$10:D$108,"Standby")</f>
        <v>0</v>
      </c>
      <c r="AM43" s="98">
        <f>COUNTIFS('Members Data'!$C$2:$C$100, "Shaman", 'Members Data'!$D$2:$D$100, "MDPS", 'wk5'!E$10:E$108,"Confirmed")+COUNTIFS('Members Data'!$C$2:$C$100, "Shaman", 'Members Data'!$D$2:$D$100, "MDPS", 'wk5'!E$10:E$108,"Standby")</f>
        <v>0</v>
      </c>
      <c r="AN43" s="98">
        <f>COUNTIFS('Members Data'!$C$2:$C$100, "Shaman", 'Members Data'!$D$2:$D$100, "MDPS", 'wk5'!F$10:F$108,"Confirmed")+COUNTIFS('Members Data'!$C$2:$C$100, "Shaman", 'Members Data'!$D$2:$D$100, "MDPS", 'wk5'!F$10:F$108,"Standby")</f>
        <v>0</v>
      </c>
      <c r="AO43" s="98">
        <f>COUNTIFS('Members Data'!$C$2:$C$100, "Shaman", 'Members Data'!$D$2:$D$100, "MDPS", 'wk5'!G$10:G$108,"Confirmed")+COUNTIFS('Members Data'!$C$2:$C$100, "Shaman", 'Members Data'!$D$2:$D$100, "MDPS", 'wk5'!G$10:G$108,"Standby")</f>
        <v>0</v>
      </c>
      <c r="AP43" s="98">
        <f>COUNTIFS('Members Data'!$C$2:$C$100, "Shaman", 'Members Data'!$D$2:$D$100, "MDPS", 'wk5'!H$10:H$108,"Confirmed")+COUNTIFS('Members Data'!$C$2:$C$100, "Shaman", 'Members Data'!$D$2:$D$100, "MDPS", 'wk5'!H$10:H$108,"Standby")</f>
        <v>0</v>
      </c>
      <c r="AQ43" s="100">
        <f>SUM(AJ43:AP43)</f>
        <v>0</v>
      </c>
    </row>
    <row r="44" spans="1:43" ht="15.75" thickBot="1">
      <c r="A44" s="106" t="s">
        <v>7</v>
      </c>
      <c r="B44" s="107">
        <f>K44+S44+AA44+AI44+AQ44</f>
        <v>2</v>
      </c>
      <c r="D44" s="112">
        <f>COUNTIFS('Members Data'!$C$2:$C$100, "Shaman", 'Members Data'!$D$2:$D$100, "Healer", 'wk1'!B$10:B$108,"Confirmed")+COUNTIFS('Members Data'!$C$2:$C$100, "Shaman", 'Members Data'!$D$2:$D$100, "Healer", 'wk1'!B$10:B$108,"Standby")</f>
        <v>1</v>
      </c>
      <c r="E44" s="112">
        <f>COUNTIFS('Members Data'!$C$2:$C$100, "Shaman", 'Members Data'!$D$2:$D$100, "Healer", 'wk1'!C$10:C$108,"Confirmed")+COUNTIFS('Members Data'!$C$2:$C$100, "Shaman", 'Members Data'!$D$2:$D$100, "Healer", 'wk1'!C$10:C$108,"Standby")</f>
        <v>1</v>
      </c>
      <c r="F44" s="112">
        <f>COUNTIFS('Members Data'!$C$2:$C$100, "Shaman", 'Members Data'!$D$2:$D$100, "Healer", 'wk1'!D$10:D$108,"Confirmed")+COUNTIFS('Members Data'!$C$2:$C$100, "Shaman", 'Members Data'!$D$2:$D$100, "Healer", 'wk1'!D$10:D$108,"Standby")</f>
        <v>0</v>
      </c>
      <c r="G44" s="112">
        <f>COUNTIFS('Members Data'!$C$2:$C$100, "Shaman", 'Members Data'!$D$2:$D$100, "Healer", 'wk1'!E$10:E$108,"Confirmed")+COUNTIFS('Members Data'!$C$2:$C$100, "Shaman", 'Members Data'!$D$2:$D$100, "Healer", 'wk1'!E$10:E$108,"Standby")</f>
        <v>0</v>
      </c>
      <c r="H44" s="112">
        <f>COUNTIFS('Members Data'!$C$2:$C$100, "Shaman", 'Members Data'!$D$2:$D$100, "Healer", 'wk1'!F$10:F$108,"Confirmed")+COUNTIFS('Members Data'!$C$2:$C$100, "Shaman", 'Members Data'!$D$2:$D$100, "Healer", 'wk1'!F$10:F$108,"Standby")</f>
        <v>0</v>
      </c>
      <c r="I44" s="112">
        <f>COUNTIFS('Members Data'!$C$2:$C$100, "Shaman", 'Members Data'!$D$2:$D$100, "Healer", 'wk1'!G$10:G$108,"Confirmed")+COUNTIFS('Members Data'!$C$2:$C$100, "Shaman", 'Members Data'!$D$2:$D$100, "Healer", 'wk1'!G$10:G$108,"Standby")</f>
        <v>0</v>
      </c>
      <c r="J44" s="112">
        <f>COUNTIFS('Members Data'!$C$2:$C$100, "Shaman", 'Members Data'!$D$2:$D$100, "Healer", 'wk1'!H$10:H$108,"Confirmed")+COUNTIFS('Members Data'!$C$2:$C$100, "Shaman", 'Members Data'!$D$2:$D$100, "Healer", 'wk1'!H$10:H$108,"Standby")</f>
        <v>0</v>
      </c>
      <c r="K44" s="100">
        <f>SUM(D44:J44)</f>
        <v>2</v>
      </c>
      <c r="L44" s="113">
        <f>COUNTIFS('Members Data'!$C$2:$C$100, "Shaman", 'Members Data'!$D$2:$D$100, "Healer", 'wk2'!B$10:B$108,"Confirmed")+COUNTIFS('Members Data'!$C$2:$C$100, "Shaman", 'Members Data'!$D$2:$D$100, "Healer", 'wk2'!B$10:B$108,"Standby")</f>
        <v>0</v>
      </c>
      <c r="M44" s="113">
        <f>COUNTIFS('Members Data'!$C$2:$C$100, "Shaman", 'Members Data'!$D$2:$D$100, "Healer", 'wk2'!C$10:C$108,"Confirmed")+COUNTIFS('Members Data'!$C$2:$C$100, "Shaman", 'Members Data'!$D$2:$D$100, "Healer", 'wk2'!C$10:C$108,"Standby")</f>
        <v>0</v>
      </c>
      <c r="N44" s="113">
        <f>COUNTIFS('Members Data'!$C$2:$C$100, "Shaman", 'Members Data'!$D$2:$D$100, "Healer", 'wk2'!D$10:D$108,"Confirmed")+COUNTIFS('Members Data'!$C$2:$C$100, "Shaman", 'Members Data'!$D$2:$D$100, "Healer", 'wk2'!D$10:D$108,"Standby")</f>
        <v>0</v>
      </c>
      <c r="O44" s="113">
        <f>COUNTIFS('Members Data'!$C$2:$C$100, "Shaman", 'Members Data'!$D$2:$D$100, "Healer", 'wk2'!E$10:E$108,"Confirmed")+COUNTIFS('Members Data'!$C$2:$C$100, "Shaman", 'Members Data'!$D$2:$D$100, "Healer", 'wk2'!E$10:E$108,"Standby")</f>
        <v>0</v>
      </c>
      <c r="P44" s="113">
        <f>COUNTIFS('Members Data'!$C$2:$C$100, "Shaman", 'Members Data'!$D$2:$D$100, "Healer", 'wk2'!F$10:F$108,"Confirmed")+COUNTIFS('Members Data'!$C$2:$C$100, "Shaman", 'Members Data'!$D$2:$D$100, "Healer", 'wk2'!F$10:F$108,"Standby")</f>
        <v>0</v>
      </c>
      <c r="Q44" s="113">
        <f>COUNTIFS('Members Data'!$C$2:$C$100, "Shaman", 'Members Data'!$D$2:$D$100, "Healer", 'wk2'!G$10:G$108,"Confirmed")+COUNTIFS('Members Data'!$C$2:$C$100, "Shaman", 'Members Data'!$D$2:$D$100, "Healer", 'wk2'!G$10:G$108,"Standby")</f>
        <v>0</v>
      </c>
      <c r="R44" s="113">
        <f>COUNTIFS('Members Data'!$C$2:$C$100, "Shaman", 'Members Data'!$D$2:$D$100, "Healer", 'wk2'!H$10:H$108,"Confirmed")+COUNTIFS('Members Data'!$C$2:$C$100, "Shaman", 'Members Data'!$D$2:$D$100, "Healer", 'wk2'!H$10:H$108,"Standby")</f>
        <v>0</v>
      </c>
      <c r="S44" s="100">
        <f>SUM(L44:R44)</f>
        <v>0</v>
      </c>
      <c r="T44" s="98">
        <f>COUNTIFS('Members Data'!$C$2:$C$100, "Shaman", 'Members Data'!$D$2:$D$100, "Healer", 'wk3'!B$10:B$108,"Confirmed")+COUNTIFS('Members Data'!$C$2:$C$100, "Shaman", 'Members Data'!$D$2:$D$100, "Healer", 'wk3'!B$10:B$108,"Standby")</f>
        <v>0</v>
      </c>
      <c r="U44" s="98">
        <f>COUNTIFS('Members Data'!$C$2:$C$100, "Shaman", 'Members Data'!$D$2:$D$100, "Healer", 'wk3'!C$10:C$108,"Confirmed")+COUNTIFS('Members Data'!$C$2:$C$100, "Shaman", 'Members Data'!$D$2:$D$100, "Healer", 'wk3'!C$10:C$108,"Standby")</f>
        <v>0</v>
      </c>
      <c r="V44" s="98">
        <f>COUNTIFS('Members Data'!$C$2:$C$100, "Shaman", 'Members Data'!$D$2:$D$100, "Healer", 'wk3'!D$10:D$108,"Confirmed")+COUNTIFS('Members Data'!$C$2:$C$100, "Shaman", 'Members Data'!$D$2:$D$100, "Healer", 'wk3'!D$10:D$108,"Standby")</f>
        <v>0</v>
      </c>
      <c r="W44" s="98">
        <f>COUNTIFS('Members Data'!$C$2:$C$100, "Shaman", 'Members Data'!$D$2:$D$100, "Healer", 'wk3'!E$10:E$108,"Confirmed")+COUNTIFS('Members Data'!$C$2:$C$100, "Shaman", 'Members Data'!$D$2:$D$100, "Healer", 'wk3'!E$10:E$108,"Standby")</f>
        <v>0</v>
      </c>
      <c r="X44" s="98">
        <f>COUNTIFS('Members Data'!$C$2:$C$100, "Shaman", 'Members Data'!$D$2:$D$100, "Healer", 'wk3'!F$10:F$108,"Confirmed")+COUNTIFS('Members Data'!$C$2:$C$100, "Shaman", 'Members Data'!$D$2:$D$100, "Healer", 'wk3'!F$10:F$108,"Standby")</f>
        <v>0</v>
      </c>
      <c r="Y44" s="98">
        <f>COUNTIFS('Members Data'!$C$2:$C$100, "Shaman", 'Members Data'!$D$2:$D$100, "Healer", 'wk3'!G$10:G$108,"Confirmed")+COUNTIFS('Members Data'!$C$2:$C$100, "Shaman", 'Members Data'!$D$2:$D$100, "Healer", 'wk3'!G$10:G$108,"Standby")</f>
        <v>0</v>
      </c>
      <c r="Z44" s="98">
        <f>COUNTIFS('Members Data'!$C$2:$C$100, "Shaman", 'Members Data'!$D$2:$D$100, "Healer", 'wk3'!H$10:H$108,"Confirmed")+COUNTIFS('Members Data'!$C$2:$C$100, "Shaman", 'Members Data'!$D$2:$D$100, "Healer", 'wk3'!H$10:H$108,"Standby")</f>
        <v>0</v>
      </c>
      <c r="AA44" s="100">
        <f>SUM(T44:Z44)</f>
        <v>0</v>
      </c>
      <c r="AB44" s="98">
        <f>COUNTIFS('Members Data'!$C$2:$C$100, "Shaman", 'Members Data'!$D$2:$D$100, "Healer", 'wk4'!B$10:B$108,"Confirmed")+COUNTIFS('Members Data'!$C$2:$C$100, "Shaman", 'Members Data'!$D$2:$D$100, "Healer", 'wk4'!B$10:B$108,"Standby")</f>
        <v>0</v>
      </c>
      <c r="AC44" s="98">
        <f>COUNTIFS('Members Data'!$C$2:$C$100, "Shaman", 'Members Data'!$D$2:$D$100, "Healer", 'wk4'!C$10:C$108,"Confirmed")+COUNTIFS('Members Data'!$C$2:$C$100, "Shaman", 'Members Data'!$D$2:$D$100, "Healer", 'wk4'!C$10:C$108,"Standby")</f>
        <v>0</v>
      </c>
      <c r="AD44" s="98">
        <f>COUNTIFS('Members Data'!$C$2:$C$100, "Shaman", 'Members Data'!$D$2:$D$100, "Healer", 'wk4'!D$10:D$108,"Confirmed")+COUNTIFS('Members Data'!$C$2:$C$100, "Shaman", 'Members Data'!$D$2:$D$100, "Healer", 'wk4'!D$10:D$108,"Standby")</f>
        <v>0</v>
      </c>
      <c r="AE44" s="98">
        <f>COUNTIFS('Members Data'!$C$2:$C$100, "Shaman", 'Members Data'!$D$2:$D$100, "Healer", 'wk4'!E$10:E$108,"Confirmed")+COUNTIFS('Members Data'!$C$2:$C$100, "Shaman", 'Members Data'!$D$2:$D$100, "Healer", 'wk4'!E$10:E$108,"Standby")</f>
        <v>0</v>
      </c>
      <c r="AF44" s="98">
        <f>COUNTIFS('Members Data'!$C$2:$C$100, "Shaman", 'Members Data'!$D$2:$D$100, "Healer", 'wk4'!F$10:F$108,"Confirmed")+COUNTIFS('Members Data'!$C$2:$C$100, "Shaman", 'Members Data'!$D$2:$D$100, "Healer", 'wk4'!F$10:F$108,"Standby")</f>
        <v>0</v>
      </c>
      <c r="AG44" s="98">
        <f>COUNTIFS('Members Data'!$C$2:$C$100, "Shaman", 'Members Data'!$D$2:$D$100, "Healer", 'wk4'!G$10:G$108,"Confirmed")+COUNTIFS('Members Data'!$C$2:$C$100, "Shaman", 'Members Data'!$D$2:$D$100, "Healer", 'wk4'!G$10:G$108,"Standby")</f>
        <v>0</v>
      </c>
      <c r="AH44" s="98">
        <f>COUNTIFS('Members Data'!$C$2:$C$100, "Shaman", 'Members Data'!$D$2:$D$100, "Healer", 'wk4'!H$10:H$108,"Confirmed")+COUNTIFS('Members Data'!$C$2:$C$100, "Shaman", 'Members Data'!$D$2:$D$100, "Healer", 'wk4'!H$10:H$108,"Standby")</f>
        <v>0</v>
      </c>
      <c r="AI44" s="100">
        <f>SUM(AB44:AH44)</f>
        <v>0</v>
      </c>
      <c r="AJ44" s="98">
        <f>COUNTIFS('Members Data'!$C$2:$C$100, "Shaman", 'Members Data'!$D$2:$D$100, "Healer", 'wk5'!B$10:B$108,"Confirmed")+COUNTIFS('Members Data'!$C$2:$C$100, "Shaman", 'Members Data'!$D$2:$D$100, "Healer", 'wk5'!B$10:B$108,"Standby")</f>
        <v>0</v>
      </c>
      <c r="AK44" s="98">
        <f>COUNTIFS('Members Data'!$C$2:$C$100, "Shaman", 'Members Data'!$D$2:$D$100, "Healer", 'wk5'!C$10:C$108,"Confirmed")+COUNTIFS('Members Data'!$C$2:$C$100, "Shaman", 'Members Data'!$D$2:$D$100, "Healer", 'wk5'!C$10:C$108,"Standby")</f>
        <v>0</v>
      </c>
      <c r="AL44" s="98">
        <f>COUNTIFS('Members Data'!$C$2:$C$100, "Shaman", 'Members Data'!$D$2:$D$100, "Healer", 'wk5'!D$10:D$108,"Confirmed")+COUNTIFS('Members Data'!$C$2:$C$100, "Shaman", 'Members Data'!$D$2:$D$100, "Healer", 'wk5'!D$10:D$108,"Standby")</f>
        <v>0</v>
      </c>
      <c r="AM44" s="98">
        <f>COUNTIFS('Members Data'!$C$2:$C$100, "Shaman", 'Members Data'!$D$2:$D$100, "Healer", 'wk5'!E$10:E$108,"Confirmed")+COUNTIFS('Members Data'!$C$2:$C$100, "Shaman", 'Members Data'!$D$2:$D$100, "Healer", 'wk5'!E$10:E$108,"Standby")</f>
        <v>0</v>
      </c>
      <c r="AN44" s="98">
        <f>COUNTIFS('Members Data'!$C$2:$C$100, "Shaman", 'Members Data'!$D$2:$D$100, "Healer", 'wk5'!F$10:F$108,"Confirmed")+COUNTIFS('Members Data'!$C$2:$C$100, "Shaman", 'Members Data'!$D$2:$D$100, "Healer", 'wk5'!F$10:F$108,"Standby")</f>
        <v>0</v>
      </c>
      <c r="AO44" s="98">
        <f>COUNTIFS('Members Data'!$C$2:$C$100, "Shaman", 'Members Data'!$D$2:$D$100, "Healer", 'wk5'!G$10:G$108,"Confirmed")+COUNTIFS('Members Data'!$C$2:$C$100, "Shaman", 'Members Data'!$D$2:$D$100, "Healer", 'wk5'!G$10:G$108,"Standby")</f>
        <v>0</v>
      </c>
      <c r="AP44" s="98">
        <f>COUNTIFS('Members Data'!$C$2:$C$100, "Shaman", 'Members Data'!$D$2:$D$100, "Healer", 'wk5'!H$10:H$108,"Confirmed")+COUNTIFS('Members Data'!$C$2:$C$100, "Shaman", 'Members Data'!$D$2:$D$100, "Healer", 'wk5'!H$10:H$108,"Standby")</f>
        <v>0</v>
      </c>
      <c r="AQ44" s="100">
        <f>SUM(AJ44:AP44)</f>
        <v>0</v>
      </c>
    </row>
    <row r="45" spans="1:43" ht="13.5" thickBot="1"/>
    <row r="46" spans="1:43" ht="13.5" thickBot="1">
      <c r="A46" s="96" t="s">
        <v>22</v>
      </c>
      <c r="B46" s="97"/>
    </row>
    <row r="47" spans="1:43" ht="15.75" thickBot="1">
      <c r="A47" s="114" t="s">
        <v>51</v>
      </c>
      <c r="B47" s="107">
        <f>K47+S47+AA47+AI47+AQ47</f>
        <v>3</v>
      </c>
      <c r="D47" s="112">
        <f>COUNTIFS('Members Data'!$C$2:$C$100, "Warlock", 'Members Data'!$D$2:$D$100, "RDPS", 'wk1'!B$10:B$108,"Confirmed")+COUNTIFS('Members Data'!$C$2:$C$100, "Warlock", 'Members Data'!$D$2:$D$100, "RDPS", 'wk1'!B$10:B$108,"Standby")</f>
        <v>2</v>
      </c>
      <c r="E47" s="112">
        <f>COUNTIFS('Members Data'!$C$2:$C$100, "Warlock", 'Members Data'!$D$2:$D$100, "RDPS", 'wk1'!C$10:C$108,"Confirmed")+COUNTIFS('Members Data'!$C$2:$C$100, "Warlock", 'Members Data'!$D$2:$D$100, "RDPS", 'wk1'!C$10:C$108,"Standby")</f>
        <v>1</v>
      </c>
      <c r="F47" s="112">
        <f>COUNTIFS('Members Data'!$C$2:$C$100, "Warlock", 'Members Data'!$D$2:$D$100, "RDPS", 'wk1'!D$10:D$108,"Confirmed")+COUNTIFS('Members Data'!$C$2:$C$100, "Warlock", 'Members Data'!$D$2:$D$100, "RDPS", 'wk1'!D$10:D$108,"Standby")</f>
        <v>0</v>
      </c>
      <c r="G47" s="112">
        <f>COUNTIFS('Members Data'!$C$2:$C$100, "Warlock", 'Members Data'!$D$2:$D$100, "RDPS", 'wk1'!E$10:E$108,"Confirmed")+COUNTIFS('Members Data'!$C$2:$C$100, "Warlock", 'Members Data'!$D$2:$D$100, "RDPS", 'wk1'!E$10:E$108,"Standby")</f>
        <v>0</v>
      </c>
      <c r="H47" s="112">
        <f>COUNTIFS('Members Data'!$C$2:$C$100, "Warlock", 'Members Data'!$D$2:$D$100, "RDPS", 'wk1'!F$10:F$108,"Confirmed")+COUNTIFS('Members Data'!$C$2:$C$100, "Warlock", 'Members Data'!$D$2:$D$100, "RDPS", 'wk1'!F$10:F$108,"Standby")</f>
        <v>0</v>
      </c>
      <c r="I47" s="112">
        <f>COUNTIFS('Members Data'!$C$2:$C$100, "Warlock", 'Members Data'!$D$2:$D$100, "RDPS", 'wk1'!G$10:G$108,"Confirmed")+COUNTIFS('Members Data'!$C$2:$C$100, "Warlock", 'Members Data'!$D$2:$D$100, "RDPS", 'wk1'!G$10:G$108,"Standby")</f>
        <v>0</v>
      </c>
      <c r="J47" s="112">
        <f>COUNTIFS('Members Data'!$C$2:$C$100, "Warlock", 'Members Data'!$D$2:$D$100, "RDPS", 'wk1'!H$10:H$108,"Confirmed")+COUNTIFS('Members Data'!$C$2:$C$100, "Warlock", 'Members Data'!$D$2:$D$100, "RDPS", 'wk1'!H$10:H$108,"Standby")</f>
        <v>0</v>
      </c>
      <c r="K47" s="100">
        <f>SUM(D47:J47)</f>
        <v>3</v>
      </c>
      <c r="L47" s="113">
        <f>COUNTIFS('Members Data'!$C$2:$C$100, "Warlock", 'Members Data'!$D$2:$D$100, "RDPS", 'wk2'!B$10:B$108,"Confirmed")+COUNTIFS('Members Data'!$C$2:$C$100, "Warlock", 'Members Data'!$D$2:$D$100, "RDPS", 'wk2'!B$10:B$108,"Standby")</f>
        <v>0</v>
      </c>
      <c r="M47" s="113">
        <f>COUNTIFS('Members Data'!$C$2:$C$100, "Warlock", 'Members Data'!$D$2:$D$100, "RDPS", 'wk2'!C$10:C$108,"Confirmed")+COUNTIFS('Members Data'!$C$2:$C$100, "Warlock", 'Members Data'!$D$2:$D$100, "RDPS", 'wk2'!C$10:C$108,"Standby")</f>
        <v>0</v>
      </c>
      <c r="N47" s="113">
        <f>COUNTIFS('Members Data'!$C$2:$C$100, "Warlock", 'Members Data'!$D$2:$D$100, "RDPS", 'wk2'!D$10:D$108,"Confirmed")+COUNTIFS('Members Data'!$C$2:$C$100, "Warlock", 'Members Data'!$D$2:$D$100, "RDPS", 'wk2'!D$10:D$108,"Standby")</f>
        <v>0</v>
      </c>
      <c r="O47" s="113">
        <f>COUNTIFS('Members Data'!$C$2:$C$100, "Warlock", 'Members Data'!$D$2:$D$100, "RDPS", 'wk2'!E$10:E$108,"Confirmed")+COUNTIFS('Members Data'!$C$2:$C$100, "Warlock", 'Members Data'!$D$2:$D$100, "RDPS", 'wk2'!E$10:E$108,"Standby")</f>
        <v>0</v>
      </c>
      <c r="P47" s="113">
        <f>COUNTIFS('Members Data'!$C$2:$C$100, "Warlock", 'Members Data'!$D$2:$D$100, "RDPS", 'wk2'!F$10:F$108,"Confirmed")+COUNTIFS('Members Data'!$C$2:$C$100, "Warlock", 'Members Data'!$D$2:$D$100, "RDPS", 'wk2'!F$10:F$108,"Standby")</f>
        <v>0</v>
      </c>
      <c r="Q47" s="113">
        <f>COUNTIFS('Members Data'!$C$2:$C$100, "Warlock", 'Members Data'!$D$2:$D$100, "RDPS", 'wk2'!G$10:G$108,"Confirmed")+COUNTIFS('Members Data'!$C$2:$C$100, "Warlock", 'Members Data'!$D$2:$D$100, "RDPS", 'wk2'!G$10:G$108,"Standby")</f>
        <v>0</v>
      </c>
      <c r="R47" s="113">
        <f>COUNTIFS('Members Data'!$C$2:$C$100, "Warlock", 'Members Data'!$D$2:$D$100, "RDPS", 'wk2'!H$10:H$108,"Confirmed")+COUNTIFS('Members Data'!$C$2:$C$100, "Warlock", 'Members Data'!$D$2:$D$100, "RDPS", 'wk2'!H$10:H$108,"Standby")</f>
        <v>0</v>
      </c>
      <c r="S47" s="100">
        <f>SUM(L47:R47)</f>
        <v>0</v>
      </c>
      <c r="T47" s="98">
        <f>COUNTIFS('Members Data'!$C$2:$C$100, "Warlock", 'Members Data'!$D$2:$D$100, "RDPS", 'wk3'!B$10:B$108,"Confirmed")+COUNTIFS('Members Data'!$C$2:$C$100, "Warlock", 'Members Data'!$D$2:$D$100, "RDPS", 'wk3'!B$10:B$108,"Standby")</f>
        <v>0</v>
      </c>
      <c r="U47" s="98">
        <f>COUNTIFS('Members Data'!$C$2:$C$100, "Warlock", 'Members Data'!$D$2:$D$100, "RDPS", 'wk3'!C$10:C$108,"Confirmed")+COUNTIFS('Members Data'!$C$2:$C$100, "Warlock", 'Members Data'!$D$2:$D$100, "RDPS", 'wk3'!C$10:C$108,"Standby")</f>
        <v>0</v>
      </c>
      <c r="V47" s="98">
        <f>COUNTIFS('Members Data'!$C$2:$C$100, "Warlock", 'Members Data'!$D$2:$D$100, "RDPS", 'wk3'!D$10:D$108,"Confirmed")+COUNTIFS('Members Data'!$C$2:$C$100, "Warlock", 'Members Data'!$D$2:$D$100, "RDPS", 'wk3'!D$10:D$108,"Standby")</f>
        <v>0</v>
      </c>
      <c r="W47" s="98">
        <f>COUNTIFS('Members Data'!$C$2:$C$100, "Warlock", 'Members Data'!$D$2:$D$100, "RDPS", 'wk3'!E$10:E$108,"Confirmed")+COUNTIFS('Members Data'!$C$2:$C$100, "Warlock", 'Members Data'!$D$2:$D$100, "RDPS", 'wk3'!E$10:E$108,"Standby")</f>
        <v>0</v>
      </c>
      <c r="X47" s="98">
        <f>COUNTIFS('Members Data'!$C$2:$C$100, "Warlock", 'Members Data'!$D$2:$D$100, "RDPS", 'wk3'!F$10:F$108,"Confirmed")+COUNTIFS('Members Data'!$C$2:$C$100, "Warlock", 'Members Data'!$D$2:$D$100, "RDPS", 'wk3'!F$10:F$108,"Standby")</f>
        <v>0</v>
      </c>
      <c r="Y47" s="98">
        <f>COUNTIFS('Members Data'!$C$2:$C$100, "Warlock", 'Members Data'!$D$2:$D$100, "RDPS", 'wk3'!G$10:G$108,"Confirmed")+COUNTIFS('Members Data'!$C$2:$C$100, "Warlock", 'Members Data'!$D$2:$D$100, "RDPS", 'wk3'!G$10:G$108,"Standby")</f>
        <v>0</v>
      </c>
      <c r="Z47" s="98">
        <f>COUNTIFS('Members Data'!$C$2:$C$100, "Warlock", 'Members Data'!$D$2:$D$100, "RDPS", 'wk3'!H$10:H$108,"Confirmed")+COUNTIFS('Members Data'!$C$2:$C$100, "Warlock", 'Members Data'!$D$2:$D$100, "RDPS", 'wk3'!H$10:H$108,"Standby")</f>
        <v>0</v>
      </c>
      <c r="AA47" s="100">
        <f>SUM(T47:Z47)</f>
        <v>0</v>
      </c>
      <c r="AB47" s="98">
        <f>COUNTIFS('Members Data'!$C$2:$C$100, "Warlock", 'Members Data'!$D$2:$D$100, "RDPS", 'wk4'!B$10:B$108,"Confirmed")+COUNTIFS('Members Data'!$C$2:$C$100, "Warlock", 'Members Data'!$D$2:$D$100, "RDPS", 'wk4'!B$10:B$108,"Standby")</f>
        <v>0</v>
      </c>
      <c r="AC47" s="98">
        <f>COUNTIFS('Members Data'!$C$2:$C$100, "Warlock", 'Members Data'!$D$2:$D$100, "RDPS", 'wk4'!C$10:C$108,"Confirmed")+COUNTIFS('Members Data'!$C$2:$C$100, "Warlock", 'Members Data'!$D$2:$D$100, "RDPS", 'wk4'!C$10:C$108,"Standby")</f>
        <v>0</v>
      </c>
      <c r="AD47" s="98">
        <f>COUNTIFS('Members Data'!$C$2:$C$100, "Warlock", 'Members Data'!$D$2:$D$100, "RDPS", 'wk4'!D$10:D$108,"Confirmed")+COUNTIFS('Members Data'!$C$2:$C$100, "Warlock", 'Members Data'!$D$2:$D$100, "RDPS", 'wk4'!D$10:D$108,"Standby")</f>
        <v>0</v>
      </c>
      <c r="AE47" s="98">
        <f>COUNTIFS('Members Data'!$C$2:$C$100, "Warlock", 'Members Data'!$D$2:$D$100, "RDPS", 'wk4'!E$10:E$108,"Confirmed")+COUNTIFS('Members Data'!$C$2:$C$100, "Warlock", 'Members Data'!$D$2:$D$100, "RDPS", 'wk4'!E$10:E$108,"Standby")</f>
        <v>0</v>
      </c>
      <c r="AF47" s="98">
        <f>COUNTIFS('Members Data'!$C$2:$C$100, "Warlock", 'Members Data'!$D$2:$D$100, "RDPS", 'wk4'!F$10:F$108,"Confirmed")+COUNTIFS('Members Data'!$C$2:$C$100, "Warlock", 'Members Data'!$D$2:$D$100, "RDPS", 'wk4'!F$10:F$108,"Standby")</f>
        <v>0</v>
      </c>
      <c r="AG47" s="98">
        <f>COUNTIFS('Members Data'!$C$2:$C$100, "Warlock", 'Members Data'!$D$2:$D$100, "RDPS", 'wk4'!G$10:G$108,"Confirmed")+COUNTIFS('Members Data'!$C$2:$C$100, "Warlock", 'Members Data'!$D$2:$D$100, "RDPS", 'wk4'!G$10:G$108,"Standby")</f>
        <v>0</v>
      </c>
      <c r="AH47" s="98">
        <f>COUNTIFS('Members Data'!$C$2:$C$100, "Warlock", 'Members Data'!$D$2:$D$100, "RDPS", 'wk4'!H$10:H$108,"Confirmed")+COUNTIFS('Members Data'!$C$2:$C$100, "Warlock", 'Members Data'!$D$2:$D$100, "RDPS", 'wk4'!H$10:H$108,"Standby")</f>
        <v>0</v>
      </c>
      <c r="AI47" s="100">
        <f>SUM(AB47:AH47)</f>
        <v>0</v>
      </c>
      <c r="AJ47" s="98">
        <f>COUNTIFS('Members Data'!$C$2:$C$100, "Warlock", 'Members Data'!$D$2:$D$100, "RDPS", 'wk5'!B$10:B$108,"Confirmed")+COUNTIFS('Members Data'!$C$2:$C$100, "Warlock", 'Members Data'!$D$2:$D$100, "RDPS", 'wk5'!B$10:B$108,"Standby")</f>
        <v>0</v>
      </c>
      <c r="AK47" s="98">
        <f>COUNTIFS('Members Data'!$C$2:$C$100, "Warlock", 'Members Data'!$D$2:$D$100, "RDPS", 'wk5'!C$10:C$108,"Confirmed")+COUNTIFS('Members Data'!$C$2:$C$100, "Warlock", 'Members Data'!$D$2:$D$100, "RDPS", 'wk5'!C$10:C$108,"Standby")</f>
        <v>0</v>
      </c>
      <c r="AL47" s="98">
        <f>COUNTIFS('Members Data'!$C$2:$C$100, "Warlock", 'Members Data'!$D$2:$D$100, "RDPS", 'wk5'!D$10:D$108,"Confirmed")+COUNTIFS('Members Data'!$C$2:$C$100, "Warlock", 'Members Data'!$D$2:$D$100, "RDPS", 'wk5'!D$10:D$108,"Standby")</f>
        <v>0</v>
      </c>
      <c r="AM47" s="98">
        <f>COUNTIFS('Members Data'!$C$2:$C$100, "Warlock", 'Members Data'!$D$2:$D$100, "RDPS", 'wk5'!E$10:E$108,"Confirmed")+COUNTIFS('Members Data'!$C$2:$C$100, "Warlock", 'Members Data'!$D$2:$D$100, "RDPS", 'wk5'!E$10:E$108,"Standby")</f>
        <v>0</v>
      </c>
      <c r="AN47" s="98">
        <f>COUNTIFS('Members Data'!$C$2:$C$100, "Warlock", 'Members Data'!$D$2:$D$100, "RDPS", 'wk5'!F$10:F$108,"Confirmed")+COUNTIFS('Members Data'!$C$2:$C$100, "Warlock", 'Members Data'!$D$2:$D$100, "RDPS", 'wk5'!F$10:F$108,"Standby")</f>
        <v>0</v>
      </c>
      <c r="AO47" s="98">
        <f>COUNTIFS('Members Data'!$C$2:$C$100, "Warlock", 'Members Data'!$D$2:$D$100, "RDPS", 'wk5'!G$10:G$108,"Confirmed")+COUNTIFS('Members Data'!$C$2:$C$100, "Warlock", 'Members Data'!$D$2:$D$100, "RDPS", 'wk5'!G$10:G$108,"Standby")</f>
        <v>0</v>
      </c>
      <c r="AP47" s="98">
        <f>COUNTIFS('Members Data'!$C$2:$C$100, "Warlock", 'Members Data'!$D$2:$D$100, "RDPS", 'wk5'!H$10:H$108,"Confirmed")+COUNTIFS('Members Data'!$C$2:$C$100, "Warlock", 'Members Data'!$D$2:$D$100, "RDPS", 'wk5'!H$10:H$108,"Standby")</f>
        <v>0</v>
      </c>
      <c r="AQ47" s="100">
        <f>SUM(AJ47:AP47)</f>
        <v>0</v>
      </c>
    </row>
    <row r="48" spans="1:43" ht="13.5" thickBot="1"/>
    <row r="49" spans="1:43" ht="13.5" thickBot="1">
      <c r="A49" s="96" t="s">
        <v>17</v>
      </c>
      <c r="B49" s="97"/>
    </row>
    <row r="50" spans="1:43" ht="15.75" thickBot="1">
      <c r="A50" s="101" t="s">
        <v>8</v>
      </c>
      <c r="B50" s="102">
        <f>K50+S50+AA50+AI50+AQ50</f>
        <v>2</v>
      </c>
      <c r="D50" s="112">
        <f>COUNTIFS('Members Data'!$C$2:$C$100, "Warrior", 'Members Data'!$D$2:$D$100, "Tank", 'wk1'!B$10:B$108,"Confirmed")+COUNTIFS('Members Data'!$C$2:$C$100, "Warrior", 'Members Data'!$D$2:$D$100, "Tank", 'wk1'!B$10:B$108,"Standby")</f>
        <v>1</v>
      </c>
      <c r="E50" s="112">
        <f>COUNTIFS('Members Data'!$C$2:$C$100, "Warrior", 'Members Data'!$D$2:$D$100, "Tank", 'wk1'!C$10:C$108,"Confirmed")+COUNTIFS('Members Data'!$C$2:$C$100, "Warrior", 'Members Data'!$D$2:$D$100, "Tank", 'wk1'!C$10:C$108,"Standby")</f>
        <v>1</v>
      </c>
      <c r="F50" s="112">
        <f>COUNTIFS('Members Data'!$C$2:$C$100, "Warrior", 'Members Data'!$D$2:$D$100, "Tank", 'wk1'!D$10:D$108,"Confirmed")+COUNTIFS('Members Data'!$C$2:$C$100, "Warrior", 'Members Data'!$D$2:$D$100, "Tank", 'wk1'!D$10:D$108,"Standby")</f>
        <v>0</v>
      </c>
      <c r="G50" s="112">
        <f>COUNTIFS('Members Data'!$C$2:$C$100, "Warrior", 'Members Data'!$D$2:$D$100, "Tank", 'wk1'!E$10:E$108,"Confirmed")+COUNTIFS('Members Data'!$C$2:$C$100, "Warrior", 'Members Data'!$D$2:$D$100, "Tank", 'wk1'!E$10:E$108,"Standby")</f>
        <v>0</v>
      </c>
      <c r="H50" s="112">
        <f>COUNTIFS('Members Data'!$C$2:$C$100, "Warrior", 'Members Data'!$D$2:$D$100, "Tank", 'wk1'!F$10:F$108,"Confirmed")+COUNTIFS('Members Data'!$C$2:$C$100, "Warrior", 'Members Data'!$D$2:$D$100, "Tank", 'wk1'!F$10:F$108,"Standby")</f>
        <v>0</v>
      </c>
      <c r="I50" s="112">
        <f>COUNTIFS('Members Data'!$C$2:$C$100, "Warrior", 'Members Data'!$D$2:$D$100, "Tank", 'wk1'!G$10:G$108,"Confirmed")+COUNTIFS('Members Data'!$C$2:$C$100, "Warrior", 'Members Data'!$D$2:$D$100, "Tank", 'wk1'!G$10:G$108,"Standby")</f>
        <v>0</v>
      </c>
      <c r="J50" s="112">
        <f>COUNTIFS('Members Data'!$C$2:$C$100, "Warrior", 'Members Data'!$D$2:$D$100, "Tank", 'wk1'!H$10:H$108,"Confirmed")+COUNTIFS('Members Data'!$C$2:$C$100, "Warrior", 'Members Data'!$D$2:$D$100, "Tank", 'wk1'!H$10:H$108,"Standby")</f>
        <v>0</v>
      </c>
      <c r="K50" s="100">
        <f>SUM(D50:J50)</f>
        <v>2</v>
      </c>
      <c r="L50" s="113">
        <f>COUNTIFS('Members Data'!$C$2:$C$100, "Warrior", 'Members Data'!$D$2:$D$100, "Tank", 'wk2'!B$10:B$108,"Confirmed")+COUNTIFS('Members Data'!$C$2:$C$100, "Warrior", 'Members Data'!$D$2:$D$100, "Tank", 'wk2'!B$10:B$108,"Standby")</f>
        <v>0</v>
      </c>
      <c r="M50" s="113">
        <f>COUNTIFS('Members Data'!$C$2:$C$100, "Warrior", 'Members Data'!$D$2:$D$100, "Tank", 'wk2'!C$10:C$108,"Confirmed")+COUNTIFS('Members Data'!$C$2:$C$100, "Warrior", 'Members Data'!$D$2:$D$100, "Tank", 'wk2'!C$10:C$108,"Standby")</f>
        <v>0</v>
      </c>
      <c r="N50" s="113">
        <f>COUNTIFS('Members Data'!$C$2:$C$100, "Warrior", 'Members Data'!$D$2:$D$100, "Tank", 'wk2'!D$10:D$108,"Confirmed")+COUNTIFS('Members Data'!$C$2:$C$100, "Warrior", 'Members Data'!$D$2:$D$100, "Tank", 'wk2'!D$10:D$108,"Standby")</f>
        <v>0</v>
      </c>
      <c r="O50" s="113">
        <f>COUNTIFS('Members Data'!$C$2:$C$100, "Warrior", 'Members Data'!$D$2:$D$100, "Tank", 'wk2'!E$10:E$108,"Confirmed")+COUNTIFS('Members Data'!$C$2:$C$100, "Warrior", 'Members Data'!$D$2:$D$100, "Tank", 'wk2'!E$10:E$108,"Standby")</f>
        <v>0</v>
      </c>
      <c r="P50" s="113">
        <f>COUNTIFS('Members Data'!$C$2:$C$100, "Warrior", 'Members Data'!$D$2:$D$100, "Tank", 'wk2'!F$10:F$108,"Confirmed")+COUNTIFS('Members Data'!$C$2:$C$100, "Warrior", 'Members Data'!$D$2:$D$100, "Tank", 'wk2'!F$10:F$108,"Standby")</f>
        <v>0</v>
      </c>
      <c r="Q50" s="113">
        <f>COUNTIFS('Members Data'!$C$2:$C$100, "Warrior", 'Members Data'!$D$2:$D$100, "Tank", 'wk2'!G$10:G$108,"Confirmed")+COUNTIFS('Members Data'!$C$2:$C$100, "Warrior", 'Members Data'!$D$2:$D$100, "Tank", 'wk2'!G$10:G$108,"Standby")</f>
        <v>0</v>
      </c>
      <c r="R50" s="113">
        <f>COUNTIFS('Members Data'!$C$2:$C$100, "Warrior", 'Members Data'!$D$2:$D$100, "Tank", 'wk2'!H$10:H$108,"Confirmed")+COUNTIFS('Members Data'!$C$2:$C$100, "Warrior", 'Members Data'!$D$2:$D$100, "Tank", 'wk2'!H$10:H$108,"Standby")</f>
        <v>0</v>
      </c>
      <c r="S50" s="100">
        <f>SUM(L50:R50)</f>
        <v>0</v>
      </c>
      <c r="T50" s="98">
        <f>COUNTIFS('Members Data'!$C$2:$C$100, "Warrior", 'Members Data'!$D$2:$D$100, "Tank", 'wk3'!B$10:B$108,"Confirmed")+COUNTIFS('Members Data'!$C$2:$C$100, "Warrior", 'Members Data'!$D$2:$D$100, "Tank", 'wk3'!B$10:B$108,"Standby")</f>
        <v>0</v>
      </c>
      <c r="U50" s="98">
        <f>COUNTIFS('Members Data'!$C$2:$C$100, "Warrior", 'Members Data'!$D$2:$D$100, "Tank", 'wk3'!C$10:C$108,"Confirmed")+COUNTIFS('Members Data'!$C$2:$C$100, "Warrior", 'Members Data'!$D$2:$D$100, "Tank", 'wk3'!C$10:C$108,"Standby")</f>
        <v>0</v>
      </c>
      <c r="V50" s="98">
        <f>COUNTIFS('Members Data'!$C$2:$C$100, "Warrior", 'Members Data'!$D$2:$D$100, "Tank", 'wk3'!D$10:D$108,"Confirmed")+COUNTIFS('Members Data'!$C$2:$C$100, "Warrior", 'Members Data'!$D$2:$D$100, "Tank", 'wk3'!D$10:D$108,"Standby")</f>
        <v>0</v>
      </c>
      <c r="W50" s="98">
        <f>COUNTIFS('Members Data'!$C$2:$C$100, "Warrior", 'Members Data'!$D$2:$D$100, "Tank", 'wk3'!E$10:E$108,"Confirmed")+COUNTIFS('Members Data'!$C$2:$C$100, "Warrior", 'Members Data'!$D$2:$D$100, "Tank", 'wk3'!E$10:E$108,"Standby")</f>
        <v>0</v>
      </c>
      <c r="X50" s="98">
        <f>COUNTIFS('Members Data'!$C$2:$C$100, "Warrior", 'Members Data'!$D$2:$D$100, "Tank", 'wk3'!F$10:F$108,"Confirmed")+COUNTIFS('Members Data'!$C$2:$C$100, "Warrior", 'Members Data'!$D$2:$D$100, "Tank", 'wk3'!F$10:F$108,"Standby")</f>
        <v>0</v>
      </c>
      <c r="Y50" s="98">
        <f>COUNTIFS('Members Data'!$C$2:$C$100, "Warrior", 'Members Data'!$D$2:$D$100, "Tank", 'wk3'!G$10:G$108,"Confirmed")+COUNTIFS('Members Data'!$C$2:$C$100, "Warrior", 'Members Data'!$D$2:$D$100, "Tank", 'wk3'!G$10:G$108,"Standby")</f>
        <v>0</v>
      </c>
      <c r="Z50" s="98">
        <f>COUNTIFS('Members Data'!$C$2:$C$100, "Warrior", 'Members Data'!$D$2:$D$100, "Tank", 'wk3'!H$10:H$108,"Confirmed")+COUNTIFS('Members Data'!$C$2:$C$100, "Warrior", 'Members Data'!$D$2:$D$100, "Tank", 'wk3'!H$10:H$108,"Standby")</f>
        <v>0</v>
      </c>
      <c r="AA50" s="100">
        <f>SUM(T50:Z50)</f>
        <v>0</v>
      </c>
      <c r="AB50" s="98">
        <f>COUNTIFS('Members Data'!$C$2:$C$100, "Warrior", 'Members Data'!$D$2:$D$100, "Tank", 'wk4'!B$10:B$108,"Confirmed")+COUNTIFS('Members Data'!$C$2:$C$100, "Warrior", 'Members Data'!$D$2:$D$100, "Tank", 'wk4'!B$10:B$108,"Standby")</f>
        <v>0</v>
      </c>
      <c r="AC50" s="98">
        <f>COUNTIFS('Members Data'!$C$2:$C$100, "Warrior", 'Members Data'!$D$2:$D$100, "Tank", 'wk4'!C$10:C$108,"Confirmed")+COUNTIFS('Members Data'!$C$2:$C$100, "Warrior", 'Members Data'!$D$2:$D$100, "Tank", 'wk4'!C$10:C$108,"Standby")</f>
        <v>0</v>
      </c>
      <c r="AD50" s="98">
        <f>COUNTIFS('Members Data'!$C$2:$C$100, "Warrior", 'Members Data'!$D$2:$D$100, "Tank", 'wk4'!D$10:D$108,"Confirmed")+COUNTIFS('Members Data'!$C$2:$C$100, "Warrior", 'Members Data'!$D$2:$D$100, "Tank", 'wk4'!D$10:D$108,"Standby")</f>
        <v>0</v>
      </c>
      <c r="AE50" s="98">
        <f>COUNTIFS('Members Data'!$C$2:$C$100, "Warrior", 'Members Data'!$D$2:$D$100, "Tank", 'wk4'!E$10:E$108,"Confirmed")+COUNTIFS('Members Data'!$C$2:$C$100, "Warrior", 'Members Data'!$D$2:$D$100, "Tank", 'wk4'!E$10:E$108,"Standby")</f>
        <v>0</v>
      </c>
      <c r="AF50" s="98">
        <f>COUNTIFS('Members Data'!$C$2:$C$100, "Warrior", 'Members Data'!$D$2:$D$100, "Tank", 'wk4'!F$10:F$108,"Confirmed")+COUNTIFS('Members Data'!$C$2:$C$100, "Warrior", 'Members Data'!$D$2:$D$100, "Tank", 'wk4'!F$10:F$108,"Standby")</f>
        <v>0</v>
      </c>
      <c r="AG50" s="98">
        <f>COUNTIFS('Members Data'!$C$2:$C$100, "Warrior", 'Members Data'!$D$2:$D$100, "Tank", 'wk4'!G$10:G$108,"Confirmed")+COUNTIFS('Members Data'!$C$2:$C$100, "Warrior", 'Members Data'!$D$2:$D$100, "Tank", 'wk4'!G$10:G$108,"Standby")</f>
        <v>0</v>
      </c>
      <c r="AH50" s="98">
        <f>COUNTIFS('Members Data'!$C$2:$C$100, "Warrior", 'Members Data'!$D$2:$D$100, "Tank", 'wk4'!H$10:H$108,"Confirmed")+COUNTIFS('Members Data'!$C$2:$C$100, "Warrior", 'Members Data'!$D$2:$D$100, "Tank", 'wk4'!H$10:H$108,"Standby")</f>
        <v>0</v>
      </c>
      <c r="AI50" s="100">
        <f>SUM(AB50:AH50)</f>
        <v>0</v>
      </c>
      <c r="AJ50" s="98">
        <f>COUNTIFS('Members Data'!$C$2:$C$100, "Warrior", 'Members Data'!$D$2:$D$100, "Tank", 'wk5'!B$10:B$108,"Confirmed")+COUNTIFS('Members Data'!$C$2:$C$100, "Warrior", 'Members Data'!$D$2:$D$100, "Tank", 'wk5'!B$10:B$108,"Standby")</f>
        <v>0</v>
      </c>
      <c r="AK50" s="98">
        <f>COUNTIFS('Members Data'!$C$2:$C$100, "Warrior", 'Members Data'!$D$2:$D$100, "Tank", 'wk5'!C$10:C$108,"Confirmed")+COUNTIFS('Members Data'!$C$2:$C$100, "Warrior", 'Members Data'!$D$2:$D$100, "Tank", 'wk5'!C$10:C$108,"Standby")</f>
        <v>0</v>
      </c>
      <c r="AL50" s="98">
        <f>COUNTIFS('Members Data'!$C$2:$C$100, "Warrior", 'Members Data'!$D$2:$D$100, "Tank", 'wk5'!D$10:D$108,"Confirmed")+COUNTIFS('Members Data'!$C$2:$C$100, "Warrior", 'Members Data'!$D$2:$D$100, "Tank", 'wk5'!D$10:D$108,"Standby")</f>
        <v>0</v>
      </c>
      <c r="AM50" s="98">
        <f>COUNTIFS('Members Data'!$C$2:$C$100, "Warrior", 'Members Data'!$D$2:$D$100, "Tank", 'wk5'!E$10:E$108,"Confirmed")+COUNTIFS('Members Data'!$C$2:$C$100, "Warrior", 'Members Data'!$D$2:$D$100, "Tank", 'wk5'!E$10:E$108,"Standby")</f>
        <v>0</v>
      </c>
      <c r="AN50" s="98">
        <f>COUNTIFS('Members Data'!$C$2:$C$100, "Warrior", 'Members Data'!$D$2:$D$100, "Tank", 'wk5'!F$10:F$108,"Confirmed")+COUNTIFS('Members Data'!$C$2:$C$100, "Warrior", 'Members Data'!$D$2:$D$100, "Tank", 'wk5'!F$10:F$108,"Standby")</f>
        <v>0</v>
      </c>
      <c r="AO50" s="98">
        <f>COUNTIFS('Members Data'!$C$2:$C$100, "Warrior", 'Members Data'!$D$2:$D$100, "Tank", 'wk5'!G$10:G$108,"Confirmed")+COUNTIFS('Members Data'!$C$2:$C$100, "Warrior", 'Members Data'!$D$2:$D$100, "Tank", 'wk5'!G$10:G$108,"Standby")</f>
        <v>0</v>
      </c>
      <c r="AP50" s="98">
        <f>COUNTIFS('Members Data'!$C$2:$C$100, "Warrior", 'Members Data'!$D$2:$D$100, "Tank", 'wk5'!H$10:H$108,"Confirmed")+COUNTIFS('Members Data'!$C$2:$C$100, "Warrior", 'Members Data'!$D$2:$D$100, "Tank", 'wk5'!H$10:H$108,"Standby")</f>
        <v>0</v>
      </c>
      <c r="AQ50" s="100">
        <f>SUM(AJ50:AP50)</f>
        <v>0</v>
      </c>
    </row>
    <row r="51" spans="1:43" ht="15.75" thickBot="1">
      <c r="A51" s="114" t="s">
        <v>52</v>
      </c>
      <c r="B51" s="107">
        <f>K51+S51+AA51+AI51+AQ51</f>
        <v>4</v>
      </c>
      <c r="D51" s="112">
        <f>COUNTIFS('Members Data'!$C$2:$C$100, "Warrior", 'Members Data'!$D$2:$D$100, "MDPS", 'wk1'!B$10:B$108,"Confirmed")+COUNTIFS('Members Data'!$C$2:$C$100, "Warrior", 'Members Data'!$D$2:$D$100, "MDPS", 'wk1'!B$10:B$108,"Standby")</f>
        <v>2</v>
      </c>
      <c r="E51" s="112">
        <f>COUNTIFS('Members Data'!$C$2:$C$100, "Warrior", 'Members Data'!$D$2:$D$100, "MDPS", 'wk1'!C$10:C$108,"Confirmed")+COUNTIFS('Members Data'!$C$2:$C$100, "Warrior", 'Members Data'!$D$2:$D$100, "MDPS", 'wk1'!C$10:C$108,"Standby")</f>
        <v>2</v>
      </c>
      <c r="F51" s="112">
        <f>COUNTIFS('Members Data'!$C$2:$C$100, "Warrior", 'Members Data'!$D$2:$D$100, "MDPS", 'wk1'!D$10:D$108,"Confirmed")+COUNTIFS('Members Data'!$C$2:$C$100, "Warrior", 'Members Data'!$D$2:$D$100, "MDPS", 'wk1'!D$10:D$108,"Standby")</f>
        <v>0</v>
      </c>
      <c r="G51" s="112">
        <f>COUNTIFS('Members Data'!$C$2:$C$100, "Warrior", 'Members Data'!$D$2:$D$100, "MDPS", 'wk1'!E$10:E$108,"Confirmed")+COUNTIFS('Members Data'!$C$2:$C$100, "Warrior", 'Members Data'!$D$2:$D$100, "MDPS", 'wk1'!E$10:E$108,"Standby")</f>
        <v>0</v>
      </c>
      <c r="H51" s="112">
        <f>COUNTIFS('Members Data'!$C$2:$C$100, "Warrior", 'Members Data'!$D$2:$D$100, "MDPS", 'wk1'!F$10:F$108,"Confirmed")+COUNTIFS('Members Data'!$C$2:$C$100, "Warrior", 'Members Data'!$D$2:$D$100, "MDPS", 'wk1'!F$10:F$108,"Standby")</f>
        <v>0</v>
      </c>
      <c r="I51" s="112">
        <f>COUNTIFS('Members Data'!$C$2:$C$100, "Warrior", 'Members Data'!$D$2:$D$100, "MDPS", 'wk1'!G$10:G$108,"Confirmed")+COUNTIFS('Members Data'!$C$2:$C$100, "Warrior", 'Members Data'!$D$2:$D$100, "MDPS", 'wk1'!G$10:G$108,"Standby")</f>
        <v>0</v>
      </c>
      <c r="J51" s="112">
        <f>COUNTIFS('Members Data'!$C$2:$C$100, "Warrior", 'Members Data'!$D$2:$D$100, "MDPS", 'wk1'!H$10:H$108,"Confirmed")+COUNTIFS('Members Data'!$C$2:$C$100, "Warrior", 'Members Data'!$D$2:$D$100, "MDPS", 'wk1'!H$10:H$108,"Standby")</f>
        <v>0</v>
      </c>
      <c r="K51" s="100">
        <f>SUM(D51:J51)</f>
        <v>4</v>
      </c>
      <c r="L51" s="113">
        <f>COUNTIFS('Members Data'!$C$2:$C$100, "Warrior", 'Members Data'!$D$2:$D$100, "MDPS", 'wk2'!B$10:B$108,"Confirmed")+COUNTIFS('Members Data'!$C$2:$C$100, "Warrior", 'Members Data'!$D$2:$D$100, "MDPS", 'wk2'!B$10:B$108,"Standby")</f>
        <v>0</v>
      </c>
      <c r="M51" s="113">
        <f>COUNTIFS('Members Data'!$C$2:$C$100, "Warrior", 'Members Data'!$D$2:$D$100, "MDPS", 'wk2'!C$10:C$108,"Confirmed")+COUNTIFS('Members Data'!$C$2:$C$100, "Warrior", 'Members Data'!$D$2:$D$100, "MDPS", 'wk2'!C$10:C$108,"Standby")</f>
        <v>0</v>
      </c>
      <c r="N51" s="113">
        <f>COUNTIFS('Members Data'!$C$2:$C$100, "Warrior", 'Members Data'!$D$2:$D$100, "MDPS", 'wk2'!D$10:D$108,"Confirmed")+COUNTIFS('Members Data'!$C$2:$C$100, "Warrior", 'Members Data'!$D$2:$D$100, "MDPS", 'wk2'!D$10:D$108,"Standby")</f>
        <v>0</v>
      </c>
      <c r="O51" s="113">
        <f>COUNTIFS('Members Data'!$C$2:$C$100, "Warrior", 'Members Data'!$D$2:$D$100, "MDPS", 'wk2'!E$10:E$108,"Confirmed")+COUNTIFS('Members Data'!$C$2:$C$100, "Warrior", 'Members Data'!$D$2:$D$100, "MDPS", 'wk2'!E$10:E$108,"Standby")</f>
        <v>0</v>
      </c>
      <c r="P51" s="113">
        <f>COUNTIFS('Members Data'!$C$2:$C$100, "Warrior", 'Members Data'!$D$2:$D$100, "MDPS", 'wk2'!F$10:F$108,"Confirmed")+COUNTIFS('Members Data'!$C$2:$C$100, "Warrior", 'Members Data'!$D$2:$D$100, "MDPS", 'wk2'!F$10:F$108,"Standby")</f>
        <v>0</v>
      </c>
      <c r="Q51" s="113">
        <f>COUNTIFS('Members Data'!$C$2:$C$100, "Warrior", 'Members Data'!$D$2:$D$100, "MDPS", 'wk2'!G$10:G$108,"Confirmed")+COUNTIFS('Members Data'!$C$2:$C$100, "Warrior", 'Members Data'!$D$2:$D$100, "MDPS", 'wk2'!G$10:G$108,"Standby")</f>
        <v>0</v>
      </c>
      <c r="R51" s="113">
        <f>COUNTIFS('Members Data'!$C$2:$C$100, "Warrior", 'Members Data'!$D$2:$D$100, "MDPS", 'wk2'!H$10:H$108,"Confirmed")+COUNTIFS('Members Data'!$C$2:$C$100, "Warrior", 'Members Data'!$D$2:$D$100, "MDPS", 'wk2'!H$10:H$108,"Standby")</f>
        <v>0</v>
      </c>
      <c r="S51" s="100">
        <f>SUM(L51:R51)</f>
        <v>0</v>
      </c>
      <c r="T51" s="98">
        <f>COUNTIFS('Members Data'!$C$2:$C$100, "Warrior", 'Members Data'!$D$2:$D$100, "MDPS", 'wk3'!B$10:B$108,"Confirmed")+COUNTIFS('Members Data'!$C$2:$C$100, "Warrior", 'Members Data'!$D$2:$D$100, "MDPS", 'wk3'!B$10:B$108,"Standby")</f>
        <v>0</v>
      </c>
      <c r="U51" s="98">
        <f>COUNTIFS('Members Data'!$C$2:$C$100, "Warrior", 'Members Data'!$D$2:$D$100, "MDPS", 'wk3'!C$10:C$108,"Confirmed")+COUNTIFS('Members Data'!$C$2:$C$100, "Warrior", 'Members Data'!$D$2:$D$100, "MDPS", 'wk3'!C$10:C$108,"Standby")</f>
        <v>0</v>
      </c>
      <c r="V51" s="98">
        <f>COUNTIFS('Members Data'!$C$2:$C$100, "Warrior", 'Members Data'!$D$2:$D$100, "MDPS", 'wk3'!D$10:D$108,"Confirmed")+COUNTIFS('Members Data'!$C$2:$C$100, "Warrior", 'Members Data'!$D$2:$D$100, "MDPS", 'wk3'!D$10:D$108,"Standby")</f>
        <v>0</v>
      </c>
      <c r="W51" s="98">
        <f>COUNTIFS('Members Data'!$C$2:$C$100, "Warrior", 'Members Data'!$D$2:$D$100, "MDPS", 'wk3'!E$10:E$108,"Confirmed")+COUNTIFS('Members Data'!$C$2:$C$100, "Warrior", 'Members Data'!$D$2:$D$100, "MDPS", 'wk3'!E$10:E$108,"Standby")</f>
        <v>0</v>
      </c>
      <c r="X51" s="98">
        <f>COUNTIFS('Members Data'!$C$2:$C$100, "Warrior", 'Members Data'!$D$2:$D$100, "MDPS", 'wk3'!F$10:F$108,"Confirmed")+COUNTIFS('Members Data'!$C$2:$C$100, "Warrior", 'Members Data'!$D$2:$D$100, "MDPS", 'wk3'!F$10:F$108,"Standby")</f>
        <v>0</v>
      </c>
      <c r="Y51" s="98">
        <f>COUNTIFS('Members Data'!$C$2:$C$100, "Warrior", 'Members Data'!$D$2:$D$100, "MDPS", 'wk3'!G$10:G$108,"Confirmed")+COUNTIFS('Members Data'!$C$2:$C$100, "Warrior", 'Members Data'!$D$2:$D$100, "MDPS", 'wk3'!G$10:G$108,"Standby")</f>
        <v>0</v>
      </c>
      <c r="Z51" s="98">
        <f>COUNTIFS('Members Data'!$C$2:$C$100, "Warrior", 'Members Data'!$D$2:$D$100, "MDPS", 'wk3'!H$10:H$108,"Confirmed")+COUNTIFS('Members Data'!$C$2:$C$100, "Warrior", 'Members Data'!$D$2:$D$100, "MDPS", 'wk3'!H$10:H$108,"Standby")</f>
        <v>0</v>
      </c>
      <c r="AA51" s="100">
        <f>SUM(T51:Z51)</f>
        <v>0</v>
      </c>
      <c r="AB51" s="98">
        <f>COUNTIFS('Members Data'!$C$2:$C$100, "Warrior", 'Members Data'!$D$2:$D$100, "MDPS", 'wk4'!B$10:B$108,"Confirmed")+COUNTIFS('Members Data'!$C$2:$C$100, "Warrior", 'Members Data'!$D$2:$D$100, "MDPS", 'wk4'!B$10:B$108,"Standby")</f>
        <v>0</v>
      </c>
      <c r="AC51" s="98">
        <f>COUNTIFS('Members Data'!$C$2:$C$100, "Warrior", 'Members Data'!$D$2:$D$100, "MDPS", 'wk4'!C$10:C$108,"Confirmed")+COUNTIFS('Members Data'!$C$2:$C$100, "Warrior", 'Members Data'!$D$2:$D$100, "MDPS", 'wk4'!C$10:C$108,"Standby")</f>
        <v>0</v>
      </c>
      <c r="AD51" s="98">
        <f>COUNTIFS('Members Data'!$C$2:$C$100, "Warrior", 'Members Data'!$D$2:$D$100, "MDPS", 'wk4'!D$10:D$108,"Confirmed")+COUNTIFS('Members Data'!$C$2:$C$100, "Warrior", 'Members Data'!$D$2:$D$100, "MDPS", 'wk4'!D$10:D$108,"Standby")</f>
        <v>0</v>
      </c>
      <c r="AE51" s="98">
        <f>COUNTIFS('Members Data'!$C$2:$C$100, "Warrior", 'Members Data'!$D$2:$D$100, "MDPS", 'wk4'!E$10:E$108,"Confirmed")+COUNTIFS('Members Data'!$C$2:$C$100, "Warrior", 'Members Data'!$D$2:$D$100, "MDPS", 'wk4'!E$10:E$108,"Standby")</f>
        <v>0</v>
      </c>
      <c r="AF51" s="98">
        <f>COUNTIFS('Members Data'!$C$2:$C$100, "Warrior", 'Members Data'!$D$2:$D$100, "MDPS", 'wk4'!F$10:F$108,"Confirmed")+COUNTIFS('Members Data'!$C$2:$C$100, "Warrior", 'Members Data'!$D$2:$D$100, "MDPS", 'wk4'!F$10:F$108,"Standby")</f>
        <v>0</v>
      </c>
      <c r="AG51" s="98">
        <f>COUNTIFS('Members Data'!$C$2:$C$100, "Warrior", 'Members Data'!$D$2:$D$100, "MDPS", 'wk4'!G$10:G$108,"Confirmed")+COUNTIFS('Members Data'!$C$2:$C$100, "Warrior", 'Members Data'!$D$2:$D$100, "MDPS", 'wk4'!G$10:G$108,"Standby")</f>
        <v>0</v>
      </c>
      <c r="AH51" s="98">
        <f>COUNTIFS('Members Data'!$C$2:$C$100, "Warrior", 'Members Data'!$D$2:$D$100, "MDPS", 'wk4'!H$10:H$108,"Confirmed")+COUNTIFS('Members Data'!$C$2:$C$100, "Warrior", 'Members Data'!$D$2:$D$100, "MDPS", 'wk4'!H$10:H$108,"Standby")</f>
        <v>0</v>
      </c>
      <c r="AI51" s="100">
        <f>SUM(AB51:AH51)</f>
        <v>0</v>
      </c>
      <c r="AJ51" s="98">
        <f>COUNTIFS('Members Data'!$C$2:$C$100, "Warrior", 'Members Data'!$D$2:$D$100, "MDPS", 'wk5'!B$10:B$108,"Confirmed")+COUNTIFS('Members Data'!$C$2:$C$100, "Warrior", 'Members Data'!$D$2:$D$100, "MDPS", 'wk5'!B$10:B$108,"Standby")</f>
        <v>0</v>
      </c>
      <c r="AK51" s="98">
        <f>COUNTIFS('Members Data'!$C$2:$C$100, "Warrior", 'Members Data'!$D$2:$D$100, "MDPS", 'wk5'!C$10:C$108,"Confirmed")+COUNTIFS('Members Data'!$C$2:$C$100, "Warrior", 'Members Data'!$D$2:$D$100, "MDPS", 'wk5'!C$10:C$108,"Standby")</f>
        <v>0</v>
      </c>
      <c r="AL51" s="98">
        <f>COUNTIFS('Members Data'!$C$2:$C$100, "Warrior", 'Members Data'!$D$2:$D$100, "MDPS", 'wk5'!D$10:D$108,"Confirmed")+COUNTIFS('Members Data'!$C$2:$C$100, "Warrior", 'Members Data'!$D$2:$D$100, "MDPS", 'wk5'!D$10:D$108,"Standby")</f>
        <v>0</v>
      </c>
      <c r="AM51" s="98">
        <f>COUNTIFS('Members Data'!$C$2:$C$100, "Warrior", 'Members Data'!$D$2:$D$100, "MDPS", 'wk5'!E$10:E$108,"Confirmed")+COUNTIFS('Members Data'!$C$2:$C$100, "Warrior", 'Members Data'!$D$2:$D$100, "MDPS", 'wk5'!E$10:E$108,"Standby")</f>
        <v>0</v>
      </c>
      <c r="AN51" s="98">
        <f>COUNTIFS('Members Data'!$C$2:$C$100, "Warrior", 'Members Data'!$D$2:$D$100, "MDPS", 'wk5'!F$10:F$108,"Confirmed")+COUNTIFS('Members Data'!$C$2:$C$100, "Warrior", 'Members Data'!$D$2:$D$100, "MDPS", 'wk5'!F$10:F$108,"Standby")</f>
        <v>0</v>
      </c>
      <c r="AO51" s="98">
        <f>COUNTIFS('Members Data'!$C$2:$C$100, "Warrior", 'Members Data'!$D$2:$D$100, "MDPS", 'wk5'!G$10:G$108,"Confirmed")+COUNTIFS('Members Data'!$C$2:$C$100, "Warrior", 'Members Data'!$D$2:$D$100, "MDPS", 'wk5'!G$10:G$108,"Standby")</f>
        <v>0</v>
      </c>
      <c r="AP51" s="98">
        <f>COUNTIFS('Members Data'!$C$2:$C$100, "Warrior", 'Members Data'!$D$2:$D$100, "MDPS", 'wk5'!H$10:H$108,"Confirmed")+COUNTIFS('Members Data'!$C$2:$C$100, "Warrior", 'Members Data'!$D$2:$D$100, "MDPS", 'wk5'!H$10:H$108,"Standby")</f>
        <v>0</v>
      </c>
      <c r="AQ51" s="100">
        <f>SUM(AJ51:AP51)</f>
        <v>0</v>
      </c>
    </row>
  </sheetData>
  <mergeCells count="5">
    <mergeCell ref="D1:K1"/>
    <mergeCell ref="L1:S1"/>
    <mergeCell ref="T1:AA1"/>
    <mergeCell ref="AB1:AI1"/>
    <mergeCell ref="AJ1:AQ1"/>
  </mergeCells>
  <pageMargins left="0.78749999999999998" right="0.78749999999999998" top="1.0527777777777778" bottom="1.0527777777777778" header="0.78749999999999998" footer="0.78749999999999998"/>
  <pageSetup paperSize="9" firstPageNumber="0" orientation="portrait" horizontalDpi="300" verticalDpi="300"/>
  <headerFooter alignWithMargins="0">
    <oddHeader>&amp;C&amp;"Times New Roman,Regular"&amp;12&amp;A</oddHeader>
    <oddFooter>&amp;C&amp;"Times New Roman,Regular"&amp;12Page 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>
  <dimension ref="A1:K156"/>
  <sheetViews>
    <sheetView topLeftCell="A58" workbookViewId="0">
      <selection activeCell="A81" sqref="A81"/>
    </sheetView>
  </sheetViews>
  <sheetFormatPr defaultRowHeight="12.75"/>
  <cols>
    <col min="1" max="1" width="12.85546875" style="243" bestFit="1" customWidth="1"/>
    <col min="2" max="2" width="9.140625" style="245"/>
    <col min="3" max="3" width="13.28515625" bestFit="1" customWidth="1"/>
    <col min="5" max="5" width="12.5703125" style="246" bestFit="1" customWidth="1"/>
    <col min="6" max="6" width="17.28515625" style="245" bestFit="1" customWidth="1"/>
    <col min="7" max="7" width="9.140625" style="223"/>
    <col min="8" max="8" width="9.140625" style="224"/>
    <col min="10" max="10" width="16" style="223" customWidth="1"/>
    <col min="11" max="11" width="19" style="224" customWidth="1"/>
  </cols>
  <sheetData>
    <row r="1" spans="1:11" ht="14.25" thickTop="1" thickBot="1">
      <c r="A1" s="544" t="s">
        <v>98</v>
      </c>
      <c r="B1" s="545"/>
      <c r="E1" s="546" t="s">
        <v>99</v>
      </c>
      <c r="F1" s="547"/>
      <c r="G1" s="547"/>
      <c r="H1" s="548"/>
      <c r="J1" s="549" t="s">
        <v>341</v>
      </c>
      <c r="K1" s="550"/>
    </row>
    <row r="2" spans="1:11" ht="13.5" thickTop="1">
      <c r="A2" s="243" t="s">
        <v>19</v>
      </c>
      <c r="B2" s="245" t="s">
        <v>156</v>
      </c>
      <c r="E2" s="246" t="s">
        <v>19</v>
      </c>
      <c r="F2" s="245" t="s">
        <v>25</v>
      </c>
      <c r="G2" s="234" t="s">
        <v>35</v>
      </c>
      <c r="H2" s="236" t="s">
        <v>34</v>
      </c>
      <c r="J2" s="223" t="s">
        <v>19</v>
      </c>
      <c r="K2" s="224" t="s">
        <v>342</v>
      </c>
    </row>
    <row r="3" spans="1:11">
      <c r="A3" s="243">
        <v>0</v>
      </c>
      <c r="B3" s="245">
        <v>0</v>
      </c>
      <c r="G3" s="296"/>
      <c r="H3" s="245"/>
    </row>
    <row r="4" spans="1:11">
      <c r="A4" s="243" t="s">
        <v>209</v>
      </c>
      <c r="B4" s="245">
        <v>635</v>
      </c>
      <c r="C4" t="s">
        <v>322</v>
      </c>
      <c r="G4" s="296"/>
      <c r="H4" s="245"/>
      <c r="J4" s="486" t="s">
        <v>209</v>
      </c>
      <c r="K4" s="487" t="s">
        <v>322</v>
      </c>
    </row>
    <row r="5" spans="1:11">
      <c r="A5" s="243" t="s">
        <v>239</v>
      </c>
      <c r="B5" s="245">
        <v>622</v>
      </c>
      <c r="C5" t="s">
        <v>311</v>
      </c>
      <c r="G5" s="296"/>
      <c r="H5" s="245"/>
      <c r="J5" s="486" t="s">
        <v>255</v>
      </c>
      <c r="K5" s="487" t="s">
        <v>320</v>
      </c>
    </row>
    <row r="6" spans="1:11">
      <c r="A6" s="243" t="s">
        <v>146</v>
      </c>
      <c r="B6" s="245">
        <v>634</v>
      </c>
      <c r="C6" t="s">
        <v>317</v>
      </c>
      <c r="G6" s="296"/>
      <c r="H6" s="245"/>
      <c r="J6" s="486" t="s">
        <v>239</v>
      </c>
      <c r="K6" s="487" t="s">
        <v>328</v>
      </c>
    </row>
    <row r="7" spans="1:11">
      <c r="A7" s="243" t="s">
        <v>248</v>
      </c>
      <c r="B7" s="245">
        <v>519</v>
      </c>
      <c r="C7" t="s">
        <v>311</v>
      </c>
      <c r="G7" s="296"/>
      <c r="H7" s="245"/>
      <c r="J7" s="486" t="s">
        <v>204</v>
      </c>
      <c r="K7" s="487" t="s">
        <v>312</v>
      </c>
    </row>
    <row r="8" spans="1:11">
      <c r="A8" s="243" t="s">
        <v>345</v>
      </c>
      <c r="B8" s="245">
        <v>600</v>
      </c>
      <c r="C8" t="s">
        <v>321</v>
      </c>
      <c r="G8" s="296"/>
      <c r="H8" s="245"/>
      <c r="J8" s="486" t="s">
        <v>290</v>
      </c>
      <c r="K8" s="487" t="s">
        <v>312</v>
      </c>
    </row>
    <row r="9" spans="1:11">
      <c r="A9" s="243" t="s">
        <v>347</v>
      </c>
      <c r="B9" s="245">
        <v>581</v>
      </c>
      <c r="C9" t="s">
        <v>320</v>
      </c>
      <c r="G9" s="296"/>
      <c r="H9" s="245"/>
      <c r="J9" s="486" t="s">
        <v>146</v>
      </c>
      <c r="K9" s="487" t="s">
        <v>317</v>
      </c>
    </row>
    <row r="10" spans="1:11">
      <c r="A10" s="243" t="s">
        <v>222</v>
      </c>
      <c r="B10" s="245">
        <v>617</v>
      </c>
      <c r="C10" t="s">
        <v>324</v>
      </c>
      <c r="G10" s="296"/>
      <c r="H10" s="245"/>
      <c r="J10" s="486" t="s">
        <v>248</v>
      </c>
      <c r="K10" s="487" t="s">
        <v>311</v>
      </c>
    </row>
    <row r="11" spans="1:11">
      <c r="A11" s="243" t="s">
        <v>348</v>
      </c>
      <c r="B11" s="245">
        <v>628</v>
      </c>
      <c r="C11" t="s">
        <v>336</v>
      </c>
      <c r="G11" s="296"/>
      <c r="H11" s="245"/>
      <c r="J11" s="486" t="s">
        <v>187</v>
      </c>
      <c r="K11" s="487" t="s">
        <v>316</v>
      </c>
    </row>
    <row r="12" spans="1:11">
      <c r="A12" s="243" t="s">
        <v>349</v>
      </c>
      <c r="B12" s="245">
        <v>622</v>
      </c>
      <c r="C12" t="s">
        <v>330</v>
      </c>
      <c r="G12" s="296"/>
      <c r="H12" s="245"/>
      <c r="J12" s="486" t="s">
        <v>210</v>
      </c>
      <c r="K12" s="487" t="s">
        <v>322</v>
      </c>
    </row>
    <row r="13" spans="1:11">
      <c r="A13" s="243" t="s">
        <v>249</v>
      </c>
      <c r="B13" s="245">
        <v>635</v>
      </c>
      <c r="C13" t="s">
        <v>311</v>
      </c>
      <c r="G13" s="296"/>
      <c r="H13" s="245"/>
      <c r="J13" s="486" t="s">
        <v>237</v>
      </c>
      <c r="K13" s="487" t="s">
        <v>333</v>
      </c>
    </row>
    <row r="14" spans="1:11">
      <c r="A14" s="243" t="s">
        <v>391</v>
      </c>
      <c r="B14" s="245">
        <v>520</v>
      </c>
      <c r="C14" t="s">
        <v>333</v>
      </c>
      <c r="G14" s="296"/>
      <c r="H14" s="245"/>
      <c r="J14" s="486" t="s">
        <v>291</v>
      </c>
      <c r="K14" s="487" t="s">
        <v>313</v>
      </c>
    </row>
    <row r="15" spans="1:11">
      <c r="A15" s="243" t="s">
        <v>387</v>
      </c>
      <c r="B15" s="245">
        <v>517</v>
      </c>
      <c r="C15" t="s">
        <v>330</v>
      </c>
      <c r="G15" s="296"/>
      <c r="H15" s="245"/>
      <c r="J15" s="486" t="s">
        <v>222</v>
      </c>
      <c r="K15" s="487" t="s">
        <v>324</v>
      </c>
    </row>
    <row r="16" spans="1:11">
      <c r="A16" s="243" t="s">
        <v>261</v>
      </c>
      <c r="B16" s="245">
        <v>635</v>
      </c>
      <c r="C16" t="s">
        <v>323</v>
      </c>
      <c r="G16" s="296"/>
      <c r="H16" s="245"/>
      <c r="J16" s="486" t="s">
        <v>177</v>
      </c>
      <c r="K16" s="487" t="s">
        <v>318</v>
      </c>
    </row>
    <row r="17" spans="1:11">
      <c r="A17" s="243" t="s">
        <v>292</v>
      </c>
      <c r="B17" s="245">
        <v>567</v>
      </c>
      <c r="C17" t="s">
        <v>313</v>
      </c>
      <c r="G17" s="296"/>
      <c r="H17" s="245"/>
      <c r="J17" s="486" t="s">
        <v>169</v>
      </c>
      <c r="K17" s="487" t="s">
        <v>318</v>
      </c>
    </row>
    <row r="18" spans="1:11">
      <c r="A18" s="243" t="s">
        <v>268</v>
      </c>
      <c r="B18" s="245">
        <v>548</v>
      </c>
      <c r="C18" t="s">
        <v>336</v>
      </c>
      <c r="G18" s="296"/>
      <c r="H18" s="245"/>
      <c r="J18" s="486" t="s">
        <v>201</v>
      </c>
      <c r="K18" s="487" t="s">
        <v>314</v>
      </c>
    </row>
    <row r="19" spans="1:11">
      <c r="A19" s="243" t="s">
        <v>350</v>
      </c>
      <c r="B19" s="245">
        <v>615</v>
      </c>
      <c r="C19" t="s">
        <v>332</v>
      </c>
      <c r="G19" s="296"/>
      <c r="H19" s="245"/>
      <c r="J19" s="486" t="s">
        <v>249</v>
      </c>
      <c r="K19" s="487" t="s">
        <v>311</v>
      </c>
    </row>
    <row r="20" spans="1:11">
      <c r="A20" s="243" t="s">
        <v>258</v>
      </c>
      <c r="B20" s="245">
        <v>524</v>
      </c>
      <c r="C20" t="s">
        <v>320</v>
      </c>
      <c r="G20" s="296"/>
      <c r="H20" s="245"/>
      <c r="J20" s="486" t="s">
        <v>281</v>
      </c>
      <c r="K20" s="487" t="s">
        <v>331</v>
      </c>
    </row>
    <row r="21" spans="1:11">
      <c r="A21" s="243" t="s">
        <v>218</v>
      </c>
      <c r="B21" s="245">
        <v>486</v>
      </c>
      <c r="C21" t="s">
        <v>322</v>
      </c>
      <c r="G21" s="296"/>
      <c r="H21" s="245"/>
      <c r="J21" s="486" t="s">
        <v>179</v>
      </c>
      <c r="K21" s="487" t="s">
        <v>318</v>
      </c>
    </row>
    <row r="22" spans="1:11">
      <c r="A22" s="243" t="s">
        <v>221</v>
      </c>
      <c r="B22" s="245">
        <v>637</v>
      </c>
      <c r="C22" t="s">
        <v>321</v>
      </c>
      <c r="G22" s="296"/>
      <c r="H22" s="245"/>
      <c r="J22" s="486" t="s">
        <v>191</v>
      </c>
      <c r="K22" s="487" t="s">
        <v>329</v>
      </c>
    </row>
    <row r="23" spans="1:11">
      <c r="A23" s="243" t="s">
        <v>173</v>
      </c>
      <c r="B23" s="245">
        <v>625</v>
      </c>
      <c r="C23" t="s">
        <v>330</v>
      </c>
      <c r="G23" s="296"/>
      <c r="H23" s="245"/>
      <c r="J23" s="486" t="s">
        <v>300</v>
      </c>
      <c r="K23" s="487" t="s">
        <v>311</v>
      </c>
    </row>
    <row r="24" spans="1:11">
      <c r="A24" s="243" t="s">
        <v>278</v>
      </c>
      <c r="B24" s="245">
        <v>510</v>
      </c>
      <c r="C24" t="s">
        <v>336</v>
      </c>
      <c r="G24" s="296"/>
      <c r="H24" s="245"/>
      <c r="J24" s="488" t="s">
        <v>271</v>
      </c>
      <c r="K24" s="489" t="s">
        <v>332</v>
      </c>
    </row>
    <row r="25" spans="1:11">
      <c r="A25" s="243" t="s">
        <v>351</v>
      </c>
      <c r="B25" s="245">
        <v>574</v>
      </c>
      <c r="C25" t="s">
        <v>317</v>
      </c>
      <c r="G25" s="296"/>
      <c r="H25" s="245"/>
      <c r="J25" s="486" t="s">
        <v>261</v>
      </c>
      <c r="K25" s="487" t="s">
        <v>323</v>
      </c>
    </row>
    <row r="26" spans="1:11">
      <c r="A26" s="243" t="s">
        <v>97</v>
      </c>
      <c r="B26" s="245">
        <v>636</v>
      </c>
      <c r="C26" t="s">
        <v>330</v>
      </c>
      <c r="G26" s="296"/>
      <c r="H26" s="245"/>
      <c r="J26" s="486" t="s">
        <v>235</v>
      </c>
      <c r="K26" s="487" t="s">
        <v>333</v>
      </c>
    </row>
    <row r="27" spans="1:11">
      <c r="A27" s="243" t="s">
        <v>352</v>
      </c>
      <c r="B27" s="245">
        <v>606</v>
      </c>
      <c r="C27" t="s">
        <v>319</v>
      </c>
      <c r="G27" s="296"/>
      <c r="H27" s="245"/>
      <c r="J27" s="486" t="s">
        <v>292</v>
      </c>
      <c r="K27" s="487" t="s">
        <v>313</v>
      </c>
    </row>
    <row r="28" spans="1:11">
      <c r="A28" s="243" t="s">
        <v>217</v>
      </c>
      <c r="B28" s="245">
        <v>544</v>
      </c>
      <c r="C28" t="s">
        <v>322</v>
      </c>
      <c r="G28" s="296"/>
      <c r="H28" s="245"/>
      <c r="J28" s="486" t="s">
        <v>268</v>
      </c>
      <c r="K28" s="487" t="s">
        <v>314</v>
      </c>
    </row>
    <row r="29" spans="1:11">
      <c r="A29" s="243" t="s">
        <v>353</v>
      </c>
      <c r="B29" s="245">
        <v>648</v>
      </c>
      <c r="C29" t="s">
        <v>311</v>
      </c>
      <c r="G29" s="296"/>
      <c r="H29" s="245"/>
      <c r="J29" s="486" t="s">
        <v>241</v>
      </c>
      <c r="K29" s="487" t="s">
        <v>311</v>
      </c>
    </row>
    <row r="30" spans="1:11">
      <c r="A30" s="243" t="s">
        <v>354</v>
      </c>
      <c r="B30" s="245">
        <v>619</v>
      </c>
      <c r="C30" t="s">
        <v>331</v>
      </c>
      <c r="G30" s="296"/>
      <c r="H30" s="245"/>
      <c r="J30" s="486" t="s">
        <v>199</v>
      </c>
      <c r="K30" s="487" t="s">
        <v>317</v>
      </c>
    </row>
    <row r="31" spans="1:11">
      <c r="A31" s="243" t="s">
        <v>202</v>
      </c>
      <c r="B31" s="245">
        <v>637</v>
      </c>
      <c r="C31" t="s">
        <v>312</v>
      </c>
      <c r="G31" s="296"/>
      <c r="H31" s="245"/>
      <c r="J31" s="486" t="s">
        <v>277</v>
      </c>
      <c r="K31" s="487" t="s">
        <v>332</v>
      </c>
    </row>
    <row r="32" spans="1:11">
      <c r="A32" s="243" t="s">
        <v>355</v>
      </c>
      <c r="B32" s="245">
        <v>602</v>
      </c>
      <c r="C32" t="s">
        <v>316</v>
      </c>
      <c r="G32" s="296"/>
      <c r="H32" s="245"/>
      <c r="J32" s="486" t="s">
        <v>159</v>
      </c>
      <c r="K32" s="487" t="s">
        <v>325</v>
      </c>
    </row>
    <row r="33" spans="1:11">
      <c r="A33" s="243" t="s">
        <v>392</v>
      </c>
      <c r="B33" s="245">
        <v>628</v>
      </c>
      <c r="C33" t="s">
        <v>325</v>
      </c>
      <c r="G33" s="296"/>
      <c r="H33" s="245"/>
      <c r="J33" s="486" t="s">
        <v>258</v>
      </c>
      <c r="K33" s="487" t="s">
        <v>320</v>
      </c>
    </row>
    <row r="34" spans="1:11">
      <c r="A34" s="243" t="s">
        <v>269</v>
      </c>
      <c r="B34" s="245">
        <v>630</v>
      </c>
      <c r="C34" t="s">
        <v>332</v>
      </c>
      <c r="G34" s="296"/>
      <c r="H34" s="245"/>
      <c r="J34" s="486" t="s">
        <v>218</v>
      </c>
      <c r="K34" s="487" t="s">
        <v>322</v>
      </c>
    </row>
    <row r="35" spans="1:11">
      <c r="A35" s="243" t="s">
        <v>182</v>
      </c>
      <c r="B35" s="245">
        <v>637</v>
      </c>
      <c r="C35" t="s">
        <v>316</v>
      </c>
      <c r="G35" s="296"/>
      <c r="H35" s="245"/>
      <c r="J35" s="486" t="s">
        <v>157</v>
      </c>
      <c r="K35" s="487" t="s">
        <v>311</v>
      </c>
    </row>
    <row r="36" spans="1:11">
      <c r="A36" s="243" t="s">
        <v>203</v>
      </c>
      <c r="B36" s="245">
        <v>637</v>
      </c>
      <c r="C36" t="s">
        <v>312</v>
      </c>
      <c r="G36" s="296"/>
      <c r="H36" s="245"/>
      <c r="J36" s="486" t="s">
        <v>272</v>
      </c>
      <c r="K36" s="487" t="s">
        <v>336</v>
      </c>
    </row>
    <row r="37" spans="1:11">
      <c r="A37" s="243" t="s">
        <v>356</v>
      </c>
      <c r="B37" s="245">
        <v>617</v>
      </c>
      <c r="C37" t="s">
        <v>318</v>
      </c>
      <c r="G37" s="296"/>
      <c r="H37" s="245"/>
      <c r="J37" s="486" t="s">
        <v>289</v>
      </c>
      <c r="K37" s="487" t="s">
        <v>314</v>
      </c>
    </row>
    <row r="38" spans="1:11">
      <c r="A38" s="243" t="s">
        <v>158</v>
      </c>
      <c r="B38" s="245">
        <v>635</v>
      </c>
      <c r="C38" t="s">
        <v>324</v>
      </c>
      <c r="G38" s="296"/>
      <c r="H38" s="245"/>
      <c r="J38" s="486" t="s">
        <v>221</v>
      </c>
      <c r="K38" s="487" t="s">
        <v>321</v>
      </c>
    </row>
    <row r="39" spans="1:11">
      <c r="A39" s="243" t="s">
        <v>335</v>
      </c>
      <c r="B39" s="245">
        <v>569</v>
      </c>
      <c r="C39" t="s">
        <v>316</v>
      </c>
      <c r="G39" s="296"/>
      <c r="H39" s="245"/>
      <c r="J39" s="486" t="s">
        <v>173</v>
      </c>
      <c r="K39" s="487" t="s">
        <v>334</v>
      </c>
    </row>
    <row r="40" spans="1:11">
      <c r="A40" s="243" t="s">
        <v>263</v>
      </c>
      <c r="B40" s="245">
        <v>615</v>
      </c>
      <c r="C40" t="s">
        <v>314</v>
      </c>
      <c r="G40" s="296"/>
      <c r="H40" s="245"/>
      <c r="J40" s="486" t="s">
        <v>278</v>
      </c>
      <c r="K40" s="487" t="s">
        <v>323</v>
      </c>
    </row>
    <row r="41" spans="1:11">
      <c r="A41" s="243" t="s">
        <v>149</v>
      </c>
      <c r="B41" s="245">
        <v>633</v>
      </c>
      <c r="C41" t="s">
        <v>322</v>
      </c>
      <c r="G41" s="296"/>
      <c r="H41" s="245"/>
      <c r="J41" s="486" t="s">
        <v>97</v>
      </c>
      <c r="K41" s="487" t="s">
        <v>324</v>
      </c>
    </row>
    <row r="42" spans="1:11">
      <c r="A42" s="243" t="s">
        <v>299</v>
      </c>
      <c r="B42" s="245">
        <v>643</v>
      </c>
      <c r="C42" t="s">
        <v>346</v>
      </c>
      <c r="G42" s="296"/>
      <c r="H42" s="245"/>
      <c r="J42" s="486" t="s">
        <v>147</v>
      </c>
      <c r="K42" s="487" t="s">
        <v>316</v>
      </c>
    </row>
    <row r="43" spans="1:11">
      <c r="A43" s="243" t="s">
        <v>358</v>
      </c>
      <c r="B43" s="245">
        <v>644</v>
      </c>
      <c r="C43" t="s">
        <v>324</v>
      </c>
      <c r="G43" s="296"/>
      <c r="H43" s="245"/>
      <c r="J43" s="486" t="s">
        <v>293</v>
      </c>
      <c r="K43" s="487" t="s">
        <v>324</v>
      </c>
    </row>
    <row r="44" spans="1:11">
      <c r="A44" s="243" t="s">
        <v>359</v>
      </c>
      <c r="B44" s="245">
        <v>532</v>
      </c>
      <c r="C44" t="s">
        <v>357</v>
      </c>
      <c r="G44" s="296"/>
      <c r="H44" s="245"/>
      <c r="J44" s="486" t="s">
        <v>217</v>
      </c>
      <c r="K44" s="487" t="s">
        <v>321</v>
      </c>
    </row>
    <row r="45" spans="1:11">
      <c r="A45" s="243" t="s">
        <v>360</v>
      </c>
      <c r="B45" s="245">
        <v>636</v>
      </c>
      <c r="C45" t="s">
        <v>319</v>
      </c>
      <c r="G45" s="296"/>
      <c r="H45" s="245"/>
      <c r="J45" s="486" t="s">
        <v>213</v>
      </c>
      <c r="K45" s="487" t="s">
        <v>322</v>
      </c>
    </row>
    <row r="46" spans="1:11">
      <c r="A46" s="243" t="s">
        <v>361</v>
      </c>
      <c r="B46" s="245">
        <v>601</v>
      </c>
      <c r="C46" t="s">
        <v>330</v>
      </c>
      <c r="G46" s="296"/>
      <c r="H46" s="245"/>
      <c r="J46" s="486" t="s">
        <v>202</v>
      </c>
      <c r="K46" s="487" t="s">
        <v>312</v>
      </c>
    </row>
    <row r="47" spans="1:11">
      <c r="A47" s="243" t="s">
        <v>393</v>
      </c>
      <c r="B47" s="245">
        <v>512</v>
      </c>
      <c r="C47" t="s">
        <v>316</v>
      </c>
      <c r="G47" s="296"/>
      <c r="H47" s="245"/>
      <c r="J47" s="486" t="s">
        <v>305</v>
      </c>
      <c r="K47" s="487" t="s">
        <v>313</v>
      </c>
    </row>
    <row r="48" spans="1:11">
      <c r="A48" s="243" t="s">
        <v>362</v>
      </c>
      <c r="B48" s="245">
        <v>634</v>
      </c>
      <c r="C48" t="s">
        <v>324</v>
      </c>
      <c r="G48" s="296"/>
      <c r="H48" s="245"/>
      <c r="J48" s="486" t="s">
        <v>194</v>
      </c>
      <c r="K48" s="487" t="s">
        <v>314</v>
      </c>
    </row>
    <row r="49" spans="1:11">
      <c r="A49" s="243" t="s">
        <v>184</v>
      </c>
      <c r="B49" s="245">
        <v>566</v>
      </c>
      <c r="C49" t="s">
        <v>316</v>
      </c>
      <c r="G49" s="296"/>
      <c r="H49" s="245"/>
      <c r="J49" s="486" t="s">
        <v>286</v>
      </c>
      <c r="K49" s="487" t="s">
        <v>311</v>
      </c>
    </row>
    <row r="50" spans="1:11">
      <c r="A50" s="243" t="s">
        <v>363</v>
      </c>
      <c r="B50" s="245">
        <v>623</v>
      </c>
      <c r="C50" t="s">
        <v>314</v>
      </c>
      <c r="G50" s="296"/>
      <c r="H50" s="245"/>
      <c r="J50" s="486" t="s">
        <v>196</v>
      </c>
      <c r="K50" s="487" t="s">
        <v>317</v>
      </c>
    </row>
    <row r="51" spans="1:11">
      <c r="A51" s="243" t="s">
        <v>186</v>
      </c>
      <c r="B51" s="245">
        <v>512</v>
      </c>
      <c r="C51" t="s">
        <v>339</v>
      </c>
      <c r="G51" s="296"/>
      <c r="H51" s="245"/>
      <c r="J51" s="486" t="s">
        <v>338</v>
      </c>
      <c r="K51" s="487" t="s">
        <v>314</v>
      </c>
    </row>
    <row r="52" spans="1:11">
      <c r="A52" s="243" t="s">
        <v>394</v>
      </c>
      <c r="B52" s="245">
        <v>480</v>
      </c>
      <c r="C52" t="s">
        <v>316</v>
      </c>
      <c r="G52" s="296"/>
      <c r="H52" s="245"/>
      <c r="J52" s="486" t="s">
        <v>264</v>
      </c>
      <c r="K52" s="487" t="s">
        <v>332</v>
      </c>
    </row>
    <row r="53" spans="1:11">
      <c r="A53" s="243" t="s">
        <v>388</v>
      </c>
      <c r="B53" s="245">
        <v>622</v>
      </c>
      <c r="C53" t="s">
        <v>316</v>
      </c>
      <c r="G53" s="296"/>
      <c r="H53" s="245"/>
      <c r="J53" s="486" t="s">
        <v>226</v>
      </c>
      <c r="K53" s="487" t="s">
        <v>330</v>
      </c>
    </row>
    <row r="54" spans="1:11">
      <c r="A54" s="243" t="s">
        <v>364</v>
      </c>
      <c r="B54" s="245">
        <v>635</v>
      </c>
      <c r="C54" t="s">
        <v>317</v>
      </c>
      <c r="G54" s="296"/>
      <c r="H54" s="245"/>
      <c r="J54" s="486" t="s">
        <v>285</v>
      </c>
      <c r="K54" s="487" t="s">
        <v>311</v>
      </c>
    </row>
    <row r="55" spans="1:11">
      <c r="A55" s="243" t="s">
        <v>180</v>
      </c>
      <c r="B55" s="245">
        <v>621</v>
      </c>
      <c r="C55" t="s">
        <v>318</v>
      </c>
      <c r="G55" s="296"/>
      <c r="H55" s="245"/>
      <c r="J55" s="486" t="s">
        <v>279</v>
      </c>
      <c r="K55" s="487" t="s">
        <v>311</v>
      </c>
    </row>
    <row r="56" spans="1:11">
      <c r="A56" s="243" t="s">
        <v>365</v>
      </c>
      <c r="B56" s="245">
        <v>511</v>
      </c>
      <c r="C56" t="s">
        <v>311</v>
      </c>
      <c r="G56" s="296"/>
      <c r="H56" s="245"/>
      <c r="J56" s="486" t="s">
        <v>245</v>
      </c>
      <c r="K56" s="487" t="s">
        <v>311</v>
      </c>
    </row>
    <row r="57" spans="1:11">
      <c r="A57" s="243" t="s">
        <v>395</v>
      </c>
      <c r="B57" s="245">
        <v>604</v>
      </c>
      <c r="C57" t="s">
        <v>324</v>
      </c>
      <c r="G57" s="296"/>
      <c r="H57" s="245"/>
      <c r="J57" s="486" t="s">
        <v>275</v>
      </c>
      <c r="K57" s="487" t="s">
        <v>332</v>
      </c>
    </row>
    <row r="58" spans="1:11">
      <c r="A58" s="243" t="s">
        <v>366</v>
      </c>
      <c r="B58" s="245">
        <v>615</v>
      </c>
      <c r="C58" t="s">
        <v>334</v>
      </c>
      <c r="G58" s="296"/>
      <c r="H58" s="245"/>
      <c r="J58" s="486" t="s">
        <v>148</v>
      </c>
      <c r="K58" s="487" t="s">
        <v>331</v>
      </c>
    </row>
    <row r="59" spans="1:11">
      <c r="A59" s="243" t="s">
        <v>396</v>
      </c>
      <c r="B59" s="245">
        <v>500</v>
      </c>
      <c r="C59" t="s">
        <v>311</v>
      </c>
      <c r="G59" s="296"/>
      <c r="H59" s="245"/>
      <c r="J59" s="486" t="s">
        <v>269</v>
      </c>
      <c r="K59" s="487" t="s">
        <v>314</v>
      </c>
    </row>
    <row r="60" spans="1:11">
      <c r="A60" s="243" t="s">
        <v>367</v>
      </c>
      <c r="B60" s="245">
        <v>542</v>
      </c>
      <c r="C60" t="s">
        <v>316</v>
      </c>
      <c r="G60" s="296"/>
      <c r="H60" s="245"/>
      <c r="J60" s="486" t="s">
        <v>236</v>
      </c>
      <c r="K60" s="487" t="s">
        <v>333</v>
      </c>
    </row>
    <row r="61" spans="1:11">
      <c r="A61" s="243" t="s">
        <v>368</v>
      </c>
      <c r="B61" s="245">
        <v>634</v>
      </c>
      <c r="C61" t="s">
        <v>316</v>
      </c>
      <c r="G61" s="296"/>
      <c r="H61" s="245"/>
      <c r="J61" s="486" t="s">
        <v>254</v>
      </c>
      <c r="K61" s="487" t="s">
        <v>319</v>
      </c>
    </row>
    <row r="62" spans="1:11">
      <c r="A62" s="243" t="s">
        <v>283</v>
      </c>
      <c r="B62" s="245">
        <v>589</v>
      </c>
      <c r="C62" t="s">
        <v>311</v>
      </c>
      <c r="G62" s="296"/>
      <c r="H62" s="245"/>
      <c r="J62" s="486" t="s">
        <v>175</v>
      </c>
      <c r="K62" s="487" t="s">
        <v>334</v>
      </c>
    </row>
    <row r="63" spans="1:11">
      <c r="A63" s="243" t="s">
        <v>178</v>
      </c>
      <c r="B63" s="245">
        <v>529</v>
      </c>
      <c r="C63" t="s">
        <v>318</v>
      </c>
      <c r="G63" s="296"/>
      <c r="H63" s="245"/>
      <c r="J63" s="486" t="s">
        <v>182</v>
      </c>
      <c r="K63" s="487" t="s">
        <v>316</v>
      </c>
    </row>
    <row r="64" spans="1:11">
      <c r="A64" s="243" t="s">
        <v>397</v>
      </c>
      <c r="B64" s="245">
        <v>579</v>
      </c>
      <c r="C64" t="s">
        <v>336</v>
      </c>
      <c r="G64" s="296"/>
      <c r="H64" s="245"/>
      <c r="J64" s="486" t="s">
        <v>234</v>
      </c>
      <c r="K64" s="487" t="s">
        <v>337</v>
      </c>
    </row>
    <row r="65" spans="1:11">
      <c r="A65" s="243" t="s">
        <v>369</v>
      </c>
      <c r="B65" s="245">
        <v>619</v>
      </c>
      <c r="C65" t="s">
        <v>333</v>
      </c>
      <c r="G65" s="296"/>
      <c r="H65" s="245"/>
      <c r="J65" s="486" t="s">
        <v>216</v>
      </c>
      <c r="K65" s="487" t="s">
        <v>322</v>
      </c>
    </row>
    <row r="66" spans="1:11">
      <c r="A66" s="243" t="s">
        <v>172</v>
      </c>
      <c r="B66" s="245">
        <v>635</v>
      </c>
      <c r="C66" t="s">
        <v>318</v>
      </c>
      <c r="G66" s="296"/>
      <c r="H66" s="245"/>
      <c r="J66" s="486" t="s">
        <v>203</v>
      </c>
      <c r="K66" s="487" t="s">
        <v>327</v>
      </c>
    </row>
    <row r="67" spans="1:11">
      <c r="A67" s="243" t="s">
        <v>386</v>
      </c>
      <c r="B67" s="245">
        <v>648</v>
      </c>
      <c r="C67" t="s">
        <v>346</v>
      </c>
      <c r="G67" s="243"/>
      <c r="H67" s="244"/>
      <c r="J67" s="486" t="s">
        <v>225</v>
      </c>
      <c r="K67" s="487" t="s">
        <v>324</v>
      </c>
    </row>
    <row r="68" spans="1:11">
      <c r="A68" s="243" t="s">
        <v>170</v>
      </c>
      <c r="B68" s="245">
        <v>607</v>
      </c>
      <c r="C68" t="s">
        <v>330</v>
      </c>
      <c r="G68" s="243"/>
      <c r="H68" s="244"/>
      <c r="J68" s="486" t="s">
        <v>263</v>
      </c>
      <c r="K68" s="487" t="s">
        <v>332</v>
      </c>
    </row>
    <row r="69" spans="1:11">
      <c r="A69" s="243" t="s">
        <v>252</v>
      </c>
      <c r="B69" s="245">
        <v>623</v>
      </c>
      <c r="C69" t="s">
        <v>346</v>
      </c>
      <c r="G69" s="243"/>
      <c r="H69" s="244"/>
      <c r="J69" s="486" t="s">
        <v>229</v>
      </c>
      <c r="K69" s="487" t="s">
        <v>325</v>
      </c>
    </row>
    <row r="70" spans="1:11">
      <c r="A70" s="243" t="s">
        <v>370</v>
      </c>
      <c r="B70" s="245">
        <v>635</v>
      </c>
      <c r="C70" t="s">
        <v>318</v>
      </c>
      <c r="G70" s="243"/>
      <c r="H70" s="244"/>
      <c r="J70" s="486" t="s">
        <v>158</v>
      </c>
      <c r="K70" s="487" t="s">
        <v>324</v>
      </c>
    </row>
    <row r="71" spans="1:11">
      <c r="A71" s="243" t="s">
        <v>371</v>
      </c>
      <c r="B71" s="245">
        <v>595</v>
      </c>
      <c r="C71" t="s">
        <v>337</v>
      </c>
      <c r="G71" s="243"/>
      <c r="H71" s="244"/>
      <c r="J71" s="486" t="s">
        <v>335</v>
      </c>
      <c r="K71" s="487" t="s">
        <v>316</v>
      </c>
    </row>
    <row r="72" spans="1:11">
      <c r="A72" s="243" t="s">
        <v>266</v>
      </c>
      <c r="B72" s="245">
        <v>560</v>
      </c>
      <c r="C72" t="s">
        <v>332</v>
      </c>
      <c r="G72" s="243"/>
      <c r="H72" s="244"/>
      <c r="J72" s="486" t="s">
        <v>242</v>
      </c>
      <c r="K72" s="487" t="s">
        <v>311</v>
      </c>
    </row>
    <row r="73" spans="1:11">
      <c r="A73" s="243" t="s">
        <v>372</v>
      </c>
      <c r="B73" s="245">
        <v>638</v>
      </c>
      <c r="C73" t="s">
        <v>321</v>
      </c>
      <c r="G73" s="243"/>
      <c r="H73" s="244"/>
      <c r="J73" s="486" t="s">
        <v>149</v>
      </c>
      <c r="K73" s="487" t="s">
        <v>313</v>
      </c>
    </row>
    <row r="74" spans="1:11">
      <c r="A74" s="243" t="s">
        <v>297</v>
      </c>
      <c r="B74" s="245">
        <v>637</v>
      </c>
      <c r="C74" t="s">
        <v>311</v>
      </c>
      <c r="G74" s="243"/>
      <c r="H74" s="244"/>
      <c r="J74" s="486" t="s">
        <v>299</v>
      </c>
      <c r="K74" s="487" t="s">
        <v>319</v>
      </c>
    </row>
    <row r="75" spans="1:11">
      <c r="A75" s="243" t="s">
        <v>257</v>
      </c>
      <c r="B75" s="245">
        <v>565</v>
      </c>
      <c r="C75" t="s">
        <v>319</v>
      </c>
      <c r="G75" s="243"/>
      <c r="H75" s="244"/>
      <c r="J75" s="486" t="s">
        <v>256</v>
      </c>
      <c r="K75" s="487" t="s">
        <v>319</v>
      </c>
    </row>
    <row r="76" spans="1:11">
      <c r="A76" s="243" t="s">
        <v>398</v>
      </c>
      <c r="B76" s="245">
        <v>529</v>
      </c>
      <c r="C76" t="s">
        <v>311</v>
      </c>
      <c r="G76" s="243"/>
      <c r="H76" s="244"/>
      <c r="J76" s="486" t="s">
        <v>184</v>
      </c>
      <c r="K76" s="487" t="s">
        <v>316</v>
      </c>
    </row>
    <row r="77" spans="1:11">
      <c r="A77" s="243" t="s">
        <v>306</v>
      </c>
      <c r="B77" s="245">
        <v>599</v>
      </c>
      <c r="C77" t="s">
        <v>311</v>
      </c>
      <c r="G77" s="243"/>
      <c r="H77" s="244"/>
      <c r="J77" s="486" t="s">
        <v>214</v>
      </c>
      <c r="K77" s="487" t="s">
        <v>321</v>
      </c>
    </row>
    <row r="78" spans="1:11">
      <c r="A78" s="243" t="s">
        <v>193</v>
      </c>
      <c r="B78" s="245">
        <v>570</v>
      </c>
      <c r="C78" t="s">
        <v>317</v>
      </c>
      <c r="G78" s="243"/>
      <c r="H78" s="244"/>
      <c r="J78" s="486" t="s">
        <v>183</v>
      </c>
      <c r="K78" s="487" t="s">
        <v>316</v>
      </c>
    </row>
    <row r="79" spans="1:11">
      <c r="A79" s="243" t="s">
        <v>294</v>
      </c>
      <c r="B79" s="245">
        <v>574</v>
      </c>
      <c r="C79" t="s">
        <v>330</v>
      </c>
      <c r="G79" s="243"/>
      <c r="H79" s="244"/>
      <c r="J79" s="486" t="s">
        <v>262</v>
      </c>
      <c r="K79" s="487" t="s">
        <v>323</v>
      </c>
    </row>
    <row r="80" spans="1:11">
      <c r="A80" s="243" t="s">
        <v>373</v>
      </c>
      <c r="B80" s="245">
        <v>648</v>
      </c>
      <c r="C80" t="s">
        <v>316</v>
      </c>
      <c r="G80" s="243"/>
      <c r="H80" s="244"/>
      <c r="J80" s="486" t="s">
        <v>166</v>
      </c>
      <c r="K80" s="487" t="s">
        <v>321</v>
      </c>
    </row>
    <row r="81" spans="1:11">
      <c r="A81" s="243" t="s">
        <v>389</v>
      </c>
      <c r="B81" s="245">
        <v>640</v>
      </c>
      <c r="C81" t="s">
        <v>399</v>
      </c>
      <c r="G81" s="243"/>
      <c r="H81" s="244"/>
      <c r="J81" s="486" t="s">
        <v>198</v>
      </c>
      <c r="K81" s="487" t="s">
        <v>317</v>
      </c>
    </row>
    <row r="82" spans="1:11">
      <c r="A82" s="243" t="s">
        <v>400</v>
      </c>
      <c r="B82" s="245">
        <v>516</v>
      </c>
      <c r="C82" t="s">
        <v>315</v>
      </c>
      <c r="G82" s="243"/>
      <c r="H82" s="244"/>
      <c r="J82" s="486" t="s">
        <v>176</v>
      </c>
      <c r="K82" s="487" t="s">
        <v>330</v>
      </c>
    </row>
    <row r="83" spans="1:11">
      <c r="A83" s="243" t="s">
        <v>390</v>
      </c>
      <c r="B83" s="245">
        <v>524</v>
      </c>
      <c r="C83" t="s">
        <v>325</v>
      </c>
      <c r="G83" s="243"/>
      <c r="H83" s="244"/>
      <c r="J83" s="486" t="s">
        <v>186</v>
      </c>
      <c r="K83" s="487" t="s">
        <v>339</v>
      </c>
    </row>
    <row r="84" spans="1:11">
      <c r="A84" s="243" t="s">
        <v>288</v>
      </c>
      <c r="B84" s="245">
        <v>538</v>
      </c>
      <c r="C84" t="s">
        <v>311</v>
      </c>
      <c r="G84" s="243"/>
      <c r="H84" s="244"/>
      <c r="J84" s="486" t="s">
        <v>259</v>
      </c>
      <c r="K84" s="487" t="s">
        <v>320</v>
      </c>
    </row>
    <row r="85" spans="1:11">
      <c r="A85" s="243" t="s">
        <v>151</v>
      </c>
      <c r="B85" s="245">
        <v>634</v>
      </c>
      <c r="C85" t="s">
        <v>318</v>
      </c>
      <c r="G85" s="243"/>
      <c r="H85" s="244"/>
      <c r="J85" s="486" t="s">
        <v>190</v>
      </c>
      <c r="K85" s="487" t="s">
        <v>316</v>
      </c>
    </row>
    <row r="86" spans="1:11">
      <c r="A86" s="243" t="s">
        <v>374</v>
      </c>
      <c r="B86" s="245">
        <v>619</v>
      </c>
      <c r="C86" t="s">
        <v>324</v>
      </c>
      <c r="G86" s="243"/>
      <c r="H86" s="244"/>
      <c r="J86" s="486" t="s">
        <v>276</v>
      </c>
      <c r="K86" s="487" t="s">
        <v>332</v>
      </c>
    </row>
    <row r="87" spans="1:11">
      <c r="A87" s="243" t="s">
        <v>208</v>
      </c>
      <c r="B87" s="245">
        <v>644</v>
      </c>
      <c r="C87" t="s">
        <v>313</v>
      </c>
      <c r="G87" s="243"/>
      <c r="H87" s="244"/>
      <c r="J87" s="486" t="s">
        <v>220</v>
      </c>
      <c r="K87" s="487" t="s">
        <v>324</v>
      </c>
    </row>
    <row r="88" spans="1:11">
      <c r="A88" s="243" t="s">
        <v>240</v>
      </c>
      <c r="B88" s="245">
        <v>634</v>
      </c>
      <c r="C88" t="s">
        <v>311</v>
      </c>
      <c r="G88" s="243"/>
      <c r="H88" s="244"/>
      <c r="J88" s="486" t="s">
        <v>174</v>
      </c>
      <c r="K88" s="487" t="s">
        <v>334</v>
      </c>
    </row>
    <row r="89" spans="1:11">
      <c r="A89" s="243" t="s">
        <v>401</v>
      </c>
      <c r="B89" s="245">
        <v>614</v>
      </c>
      <c r="C89" t="s">
        <v>311</v>
      </c>
      <c r="G89" s="243"/>
      <c r="H89" s="244"/>
      <c r="J89" s="486" t="s">
        <v>224</v>
      </c>
      <c r="K89" s="487" t="s">
        <v>330</v>
      </c>
    </row>
    <row r="90" spans="1:11">
      <c r="A90" s="243" t="s">
        <v>195</v>
      </c>
      <c r="B90" s="245">
        <v>644</v>
      </c>
      <c r="C90" t="s">
        <v>317</v>
      </c>
      <c r="G90" s="243"/>
      <c r="H90" s="244"/>
      <c r="J90" s="486" t="s">
        <v>243</v>
      </c>
      <c r="K90" s="487" t="s">
        <v>311</v>
      </c>
    </row>
    <row r="91" spans="1:11">
      <c r="A91" s="243" t="s">
        <v>375</v>
      </c>
      <c r="B91" s="245">
        <v>554</v>
      </c>
      <c r="C91" t="s">
        <v>311</v>
      </c>
      <c r="G91" s="243"/>
      <c r="H91" s="244"/>
      <c r="J91" s="486" t="s">
        <v>180</v>
      </c>
      <c r="K91" s="487" t="s">
        <v>334</v>
      </c>
    </row>
    <row r="92" spans="1:11">
      <c r="A92" s="243" t="s">
        <v>376</v>
      </c>
      <c r="B92" s="245">
        <v>519</v>
      </c>
      <c r="C92" t="s">
        <v>329</v>
      </c>
      <c r="G92" s="243"/>
      <c r="H92" s="244"/>
      <c r="J92" s="486" t="s">
        <v>298</v>
      </c>
      <c r="K92" s="487" t="s">
        <v>315</v>
      </c>
    </row>
    <row r="93" spans="1:11">
      <c r="A93" s="243" t="s">
        <v>402</v>
      </c>
      <c r="B93" s="245">
        <v>505</v>
      </c>
      <c r="C93" t="s">
        <v>330</v>
      </c>
      <c r="G93" s="243"/>
      <c r="H93" s="244"/>
      <c r="J93" s="486" t="s">
        <v>247</v>
      </c>
      <c r="K93" s="487" t="s">
        <v>311</v>
      </c>
    </row>
    <row r="94" spans="1:11">
      <c r="A94" s="243" t="s">
        <v>280</v>
      </c>
      <c r="B94" s="245">
        <v>610</v>
      </c>
      <c r="C94" t="s">
        <v>311</v>
      </c>
      <c r="G94" s="243"/>
      <c r="H94" s="244"/>
      <c r="J94" s="486" t="s">
        <v>200</v>
      </c>
      <c r="K94" s="487" t="s">
        <v>317</v>
      </c>
    </row>
    <row r="95" spans="1:11">
      <c r="A95" s="243" t="s">
        <v>377</v>
      </c>
      <c r="B95" s="245">
        <v>634</v>
      </c>
      <c r="C95" t="s">
        <v>329</v>
      </c>
      <c r="G95" s="243"/>
      <c r="H95" s="244"/>
      <c r="J95" s="486" t="s">
        <v>267</v>
      </c>
      <c r="K95" s="487" t="s">
        <v>314</v>
      </c>
    </row>
    <row r="96" spans="1:11">
      <c r="A96" s="243" t="s">
        <v>181</v>
      </c>
      <c r="B96" s="245">
        <v>612</v>
      </c>
      <c r="C96" t="s">
        <v>330</v>
      </c>
      <c r="G96" s="243"/>
      <c r="H96" s="244"/>
      <c r="J96" s="486" t="s">
        <v>283</v>
      </c>
      <c r="K96" s="487" t="s">
        <v>311</v>
      </c>
    </row>
    <row r="97" spans="1:11">
      <c r="A97" s="243" t="s">
        <v>265</v>
      </c>
      <c r="B97" s="245">
        <v>641</v>
      </c>
      <c r="C97" t="s">
        <v>332</v>
      </c>
      <c r="G97" s="243"/>
      <c r="H97" s="244"/>
      <c r="J97" s="486" t="s">
        <v>96</v>
      </c>
      <c r="K97" s="487" t="s">
        <v>311</v>
      </c>
    </row>
    <row r="98" spans="1:11">
      <c r="A98" s="243" t="s">
        <v>403</v>
      </c>
      <c r="B98" s="245">
        <v>606</v>
      </c>
      <c r="C98" t="s">
        <v>331</v>
      </c>
      <c r="G98" s="243"/>
      <c r="H98" s="244"/>
      <c r="J98" s="486" t="s">
        <v>178</v>
      </c>
      <c r="K98" s="487" t="s">
        <v>318</v>
      </c>
    </row>
    <row r="99" spans="1:11">
      <c r="A99" s="243" t="s">
        <v>378</v>
      </c>
      <c r="B99" s="245">
        <v>641</v>
      </c>
      <c r="C99" t="s">
        <v>330</v>
      </c>
      <c r="G99" s="243"/>
      <c r="H99" s="244"/>
      <c r="J99" s="486" t="s">
        <v>172</v>
      </c>
      <c r="K99" s="487" t="s">
        <v>318</v>
      </c>
    </row>
    <row r="100" spans="1:11">
      <c r="A100" s="243" t="s">
        <v>379</v>
      </c>
      <c r="B100" s="245">
        <v>619</v>
      </c>
      <c r="C100" t="s">
        <v>340</v>
      </c>
      <c r="G100" s="243"/>
      <c r="H100" s="244"/>
      <c r="J100" s="486" t="s">
        <v>287</v>
      </c>
      <c r="K100" s="487" t="s">
        <v>311</v>
      </c>
    </row>
    <row r="101" spans="1:11">
      <c r="A101" s="243" t="s">
        <v>380</v>
      </c>
      <c r="B101" s="245">
        <v>626</v>
      </c>
      <c r="C101" t="s">
        <v>332</v>
      </c>
      <c r="G101" s="243"/>
      <c r="H101" s="244"/>
      <c r="J101" s="486" t="s">
        <v>170</v>
      </c>
      <c r="K101" s="487" t="s">
        <v>334</v>
      </c>
    </row>
    <row r="102" spans="1:11">
      <c r="A102" s="243" t="s">
        <v>381</v>
      </c>
      <c r="B102" s="245">
        <v>638</v>
      </c>
      <c r="C102" t="s">
        <v>316</v>
      </c>
      <c r="G102" s="243"/>
      <c r="H102" s="244"/>
      <c r="J102" s="486" t="s">
        <v>252</v>
      </c>
      <c r="K102" s="487" t="s">
        <v>320</v>
      </c>
    </row>
    <row r="103" spans="1:11">
      <c r="A103" s="243" t="s">
        <v>404</v>
      </c>
      <c r="B103" s="245">
        <v>527</v>
      </c>
      <c r="C103" t="s">
        <v>357</v>
      </c>
      <c r="G103" s="243"/>
      <c r="H103" s="244"/>
      <c r="J103" s="486" t="s">
        <v>185</v>
      </c>
      <c r="K103" s="487" t="s">
        <v>316</v>
      </c>
    </row>
    <row r="104" spans="1:11">
      <c r="A104" s="243" t="s">
        <v>189</v>
      </c>
      <c r="B104" s="245">
        <v>537</v>
      </c>
      <c r="C104" t="s">
        <v>357</v>
      </c>
      <c r="G104" s="243"/>
      <c r="H104" s="244"/>
      <c r="J104" s="486" t="s">
        <v>297</v>
      </c>
      <c r="K104" s="487" t="s">
        <v>315</v>
      </c>
    </row>
    <row r="105" spans="1:11">
      <c r="A105" s="243" t="s">
        <v>405</v>
      </c>
      <c r="B105" s="245">
        <v>518</v>
      </c>
      <c r="C105" t="s">
        <v>323</v>
      </c>
      <c r="G105" s="243"/>
      <c r="H105" s="244"/>
      <c r="J105" s="486" t="s">
        <v>227</v>
      </c>
      <c r="K105" s="487" t="s">
        <v>321</v>
      </c>
    </row>
    <row r="106" spans="1:11">
      <c r="A106" s="243" t="s">
        <v>233</v>
      </c>
      <c r="B106" s="245">
        <v>635</v>
      </c>
      <c r="C106" t="s">
        <v>333</v>
      </c>
      <c r="G106" s="243"/>
      <c r="H106" s="244"/>
      <c r="J106" s="486" t="s">
        <v>266</v>
      </c>
      <c r="K106" s="487" t="s">
        <v>314</v>
      </c>
    </row>
    <row r="107" spans="1:11">
      <c r="A107" s="243" t="s">
        <v>295</v>
      </c>
      <c r="B107" s="245">
        <v>491</v>
      </c>
      <c r="C107" t="s">
        <v>324</v>
      </c>
      <c r="G107" s="243"/>
      <c r="H107" s="244"/>
      <c r="J107" s="486" t="s">
        <v>211</v>
      </c>
      <c r="K107" s="487" t="s">
        <v>321</v>
      </c>
    </row>
    <row r="108" spans="1:11">
      <c r="A108" s="243" t="s">
        <v>260</v>
      </c>
      <c r="B108" s="245">
        <v>580</v>
      </c>
      <c r="C108" t="s">
        <v>319</v>
      </c>
      <c r="G108" s="243"/>
      <c r="H108" s="244"/>
      <c r="J108" s="486" t="s">
        <v>257</v>
      </c>
      <c r="K108" s="487" t="s">
        <v>319</v>
      </c>
    </row>
    <row r="109" spans="1:11">
      <c r="A109" s="243" t="s">
        <v>382</v>
      </c>
      <c r="B109" s="245">
        <v>603</v>
      </c>
      <c r="C109" t="s">
        <v>317</v>
      </c>
      <c r="G109" s="243"/>
      <c r="H109" s="244"/>
      <c r="J109" s="486" t="s">
        <v>238</v>
      </c>
      <c r="K109" s="487" t="s">
        <v>315</v>
      </c>
    </row>
    <row r="110" spans="1:11">
      <c r="A110" s="243" t="s">
        <v>301</v>
      </c>
      <c r="B110" s="245">
        <v>608</v>
      </c>
      <c r="C110" t="s">
        <v>311</v>
      </c>
      <c r="G110" s="243"/>
      <c r="H110" s="244"/>
      <c r="J110" s="486" t="s">
        <v>207</v>
      </c>
      <c r="K110" s="487" t="s">
        <v>312</v>
      </c>
    </row>
    <row r="111" spans="1:11">
      <c r="A111" s="243" t="s">
        <v>165</v>
      </c>
      <c r="B111" s="245">
        <v>637</v>
      </c>
      <c r="C111" t="s">
        <v>314</v>
      </c>
      <c r="G111" s="243"/>
      <c r="H111" s="244"/>
      <c r="J111" s="488" t="s">
        <v>150</v>
      </c>
      <c r="K111" s="489" t="s">
        <v>318</v>
      </c>
    </row>
    <row r="112" spans="1:11">
      <c r="A112" s="243" t="s">
        <v>383</v>
      </c>
      <c r="B112" s="245">
        <v>620</v>
      </c>
      <c r="C112" t="s">
        <v>311</v>
      </c>
      <c r="G112" s="243"/>
      <c r="H112" s="244"/>
      <c r="J112" s="486" t="s">
        <v>274</v>
      </c>
      <c r="K112" s="487" t="s">
        <v>332</v>
      </c>
    </row>
    <row r="113" spans="1:11">
      <c r="A113" s="243" t="s">
        <v>192</v>
      </c>
      <c r="B113" s="245">
        <v>610</v>
      </c>
      <c r="C113" t="s">
        <v>317</v>
      </c>
      <c r="G113" s="243"/>
      <c r="H113" s="244"/>
      <c r="J113" s="486" t="s">
        <v>326</v>
      </c>
      <c r="K113" s="487" t="s">
        <v>314</v>
      </c>
    </row>
    <row r="114" spans="1:11">
      <c r="A114" s="243" t="s">
        <v>384</v>
      </c>
      <c r="B114" s="245">
        <v>631</v>
      </c>
      <c r="C114" t="s">
        <v>311</v>
      </c>
      <c r="G114" s="243"/>
      <c r="H114" s="244"/>
      <c r="J114" s="486" t="s">
        <v>306</v>
      </c>
      <c r="K114" s="487" t="s">
        <v>311</v>
      </c>
    </row>
    <row r="115" spans="1:11">
      <c r="A115" s="243" t="s">
        <v>385</v>
      </c>
      <c r="B115" s="245">
        <v>496</v>
      </c>
      <c r="C115" t="s">
        <v>327</v>
      </c>
      <c r="G115" s="243"/>
      <c r="H115" s="244"/>
      <c r="J115" s="486" t="s">
        <v>193</v>
      </c>
      <c r="K115" s="487" t="s">
        <v>317</v>
      </c>
    </row>
    <row r="116" spans="1:11">
      <c r="A116" s="243" t="s">
        <v>284</v>
      </c>
      <c r="B116" s="245">
        <v>514</v>
      </c>
      <c r="C116" t="s">
        <v>311</v>
      </c>
      <c r="G116" s="243"/>
      <c r="H116" s="244"/>
      <c r="J116" s="486" t="s">
        <v>296</v>
      </c>
      <c r="K116" s="487" t="s">
        <v>333</v>
      </c>
    </row>
    <row r="117" spans="1:11">
      <c r="A117" s="243" t="s">
        <v>210</v>
      </c>
      <c r="B117" s="245">
        <v>640</v>
      </c>
      <c r="C117" t="s">
        <v>313</v>
      </c>
      <c r="G117" s="243"/>
      <c r="H117" s="244"/>
      <c r="J117" s="486" t="s">
        <v>294</v>
      </c>
      <c r="K117" s="487" t="s">
        <v>330</v>
      </c>
    </row>
    <row r="118" spans="1:11">
      <c r="G118" s="243"/>
      <c r="H118" s="244"/>
      <c r="J118" s="486" t="s">
        <v>168</v>
      </c>
      <c r="K118" s="487" t="s">
        <v>330</v>
      </c>
    </row>
    <row r="119" spans="1:11">
      <c r="G119" s="243"/>
      <c r="H119" s="244"/>
      <c r="J119" s="486" t="s">
        <v>219</v>
      </c>
      <c r="K119" s="487" t="s">
        <v>321</v>
      </c>
    </row>
    <row r="120" spans="1:11">
      <c r="G120" s="243"/>
      <c r="H120" s="244"/>
      <c r="J120" s="486" t="s">
        <v>223</v>
      </c>
      <c r="K120" s="487" t="s">
        <v>321</v>
      </c>
    </row>
    <row r="121" spans="1:11">
      <c r="G121" s="243"/>
      <c r="H121" s="244"/>
      <c r="J121" s="486" t="s">
        <v>232</v>
      </c>
      <c r="K121" s="487" t="s">
        <v>333</v>
      </c>
    </row>
    <row r="122" spans="1:11">
      <c r="G122" s="243"/>
      <c r="H122" s="244"/>
      <c r="J122" s="486" t="s">
        <v>205</v>
      </c>
      <c r="K122" s="487" t="s">
        <v>327</v>
      </c>
    </row>
    <row r="123" spans="1:11">
      <c r="G123" s="243"/>
      <c r="H123" s="244"/>
      <c r="J123" s="486" t="s">
        <v>253</v>
      </c>
      <c r="K123" s="487" t="s">
        <v>320</v>
      </c>
    </row>
    <row r="124" spans="1:11">
      <c r="G124" s="243"/>
      <c r="H124" s="244"/>
      <c r="J124" s="486" t="s">
        <v>231</v>
      </c>
      <c r="K124" s="487" t="s">
        <v>325</v>
      </c>
    </row>
    <row r="125" spans="1:11">
      <c r="J125" s="486" t="s">
        <v>288</v>
      </c>
      <c r="K125" s="487" t="s">
        <v>311</v>
      </c>
    </row>
    <row r="126" spans="1:11">
      <c r="J126" s="486" t="s">
        <v>151</v>
      </c>
      <c r="K126" s="487" t="s">
        <v>318</v>
      </c>
    </row>
    <row r="127" spans="1:11">
      <c r="J127" s="486" t="s">
        <v>215</v>
      </c>
      <c r="K127" s="487" t="s">
        <v>313</v>
      </c>
    </row>
    <row r="128" spans="1:11">
      <c r="J128" s="486" t="s">
        <v>208</v>
      </c>
      <c r="K128" s="487" t="s">
        <v>322</v>
      </c>
    </row>
    <row r="129" spans="10:11">
      <c r="J129" s="486" t="s">
        <v>230</v>
      </c>
      <c r="K129" s="487" t="s">
        <v>333</v>
      </c>
    </row>
    <row r="130" spans="10:11">
      <c r="J130" s="486" t="s">
        <v>244</v>
      </c>
      <c r="K130" s="487" t="s">
        <v>311</v>
      </c>
    </row>
    <row r="131" spans="10:11">
      <c r="J131" s="486" t="s">
        <v>240</v>
      </c>
      <c r="K131" s="487" t="s">
        <v>311</v>
      </c>
    </row>
    <row r="132" spans="10:11">
      <c r="J132" s="486" t="s">
        <v>206</v>
      </c>
      <c r="K132" s="487" t="s">
        <v>340</v>
      </c>
    </row>
    <row r="133" spans="10:11">
      <c r="J133" s="486" t="s">
        <v>195</v>
      </c>
      <c r="K133" s="487" t="s">
        <v>317</v>
      </c>
    </row>
    <row r="134" spans="10:11">
      <c r="J134" s="486" t="s">
        <v>270</v>
      </c>
      <c r="K134" s="487" t="s">
        <v>314</v>
      </c>
    </row>
    <row r="135" spans="10:11">
      <c r="J135" s="486" t="s">
        <v>228</v>
      </c>
      <c r="K135" s="487" t="s">
        <v>324</v>
      </c>
    </row>
    <row r="136" spans="10:11">
      <c r="J136" s="486" t="s">
        <v>171</v>
      </c>
      <c r="K136" s="487" t="s">
        <v>334</v>
      </c>
    </row>
    <row r="137" spans="10:11">
      <c r="J137" s="486" t="s">
        <v>280</v>
      </c>
      <c r="K137" s="487" t="s">
        <v>311</v>
      </c>
    </row>
    <row r="138" spans="10:11">
      <c r="J138" s="486" t="s">
        <v>181</v>
      </c>
      <c r="K138" s="487" t="s">
        <v>334</v>
      </c>
    </row>
    <row r="139" spans="10:11">
      <c r="J139" s="486" t="s">
        <v>265</v>
      </c>
      <c r="K139" s="487" t="s">
        <v>314</v>
      </c>
    </row>
    <row r="140" spans="10:11">
      <c r="J140" s="486" t="s">
        <v>273</v>
      </c>
      <c r="K140" s="487" t="s">
        <v>332</v>
      </c>
    </row>
    <row r="141" spans="10:11">
      <c r="J141" s="486" t="s">
        <v>282</v>
      </c>
      <c r="K141" s="487" t="s">
        <v>331</v>
      </c>
    </row>
    <row r="142" spans="10:11">
      <c r="J142" s="486" t="s">
        <v>189</v>
      </c>
      <c r="K142" s="487" t="s">
        <v>316</v>
      </c>
    </row>
    <row r="143" spans="10:11">
      <c r="J143" s="486" t="s">
        <v>188</v>
      </c>
      <c r="K143" s="487" t="s">
        <v>316</v>
      </c>
    </row>
    <row r="144" spans="10:11">
      <c r="J144" s="486" t="s">
        <v>250</v>
      </c>
      <c r="K144" s="487" t="s">
        <v>320</v>
      </c>
    </row>
    <row r="145" spans="10:11">
      <c r="J145" s="486" t="s">
        <v>251</v>
      </c>
      <c r="K145" s="487" t="s">
        <v>320</v>
      </c>
    </row>
    <row r="146" spans="10:11">
      <c r="J146" s="486" t="s">
        <v>197</v>
      </c>
      <c r="K146" s="487" t="s">
        <v>317</v>
      </c>
    </row>
    <row r="147" spans="10:11">
      <c r="J147" s="486" t="s">
        <v>246</v>
      </c>
      <c r="K147" s="487" t="s">
        <v>311</v>
      </c>
    </row>
    <row r="148" spans="10:11">
      <c r="J148" s="486" t="s">
        <v>233</v>
      </c>
      <c r="K148" s="487" t="s">
        <v>333</v>
      </c>
    </row>
    <row r="149" spans="10:11">
      <c r="J149" s="486" t="s">
        <v>295</v>
      </c>
      <c r="K149" s="487" t="s">
        <v>324</v>
      </c>
    </row>
    <row r="150" spans="10:11">
      <c r="J150" s="486" t="s">
        <v>260</v>
      </c>
      <c r="K150" s="487" t="s">
        <v>319</v>
      </c>
    </row>
    <row r="151" spans="10:11">
      <c r="J151" s="486" t="s">
        <v>212</v>
      </c>
      <c r="K151" s="487" t="s">
        <v>321</v>
      </c>
    </row>
    <row r="152" spans="10:11">
      <c r="J152" s="486" t="s">
        <v>301</v>
      </c>
      <c r="K152" s="487" t="s">
        <v>311</v>
      </c>
    </row>
    <row r="153" spans="10:11">
      <c r="J153" s="486" t="s">
        <v>165</v>
      </c>
      <c r="K153" s="487" t="s">
        <v>314</v>
      </c>
    </row>
    <row r="154" spans="10:11">
      <c r="J154" s="486" t="s">
        <v>192</v>
      </c>
      <c r="K154" s="487" t="s">
        <v>314</v>
      </c>
    </row>
    <row r="155" spans="10:11">
      <c r="J155" s="486" t="s">
        <v>284</v>
      </c>
      <c r="K155" s="487" t="s">
        <v>311</v>
      </c>
    </row>
    <row r="156" spans="10:11">
      <c r="J156" s="490"/>
      <c r="K156" s="491"/>
    </row>
  </sheetData>
  <sortState ref="A4:B152">
    <sortCondition ref="A4"/>
  </sortState>
  <mergeCells count="3">
    <mergeCell ref="A1:B1"/>
    <mergeCell ref="E1:H1"/>
    <mergeCell ref="J1:K1"/>
  </mergeCells>
  <hyperlinks>
    <hyperlink ref="J23" r:id="rId1" display="javascript:;"/>
    <hyperlink ref="J46" r:id="rId2" display="javascript:;"/>
    <hyperlink ref="J73" r:id="rId3" display="javascript:;"/>
    <hyperlink ref="J153" r:id="rId4" display="javascript:;"/>
    <hyperlink ref="J104" r:id="rId5" display="javascript:;"/>
    <hyperlink ref="J63" r:id="rId6" display="javascript:;"/>
    <hyperlink ref="J9" r:id="rId7" display="javascript:;"/>
    <hyperlink ref="J126" r:id="rId8" display="javascript:;"/>
    <hyperlink ref="J74" r:id="rId9" display="javascript:;"/>
    <hyperlink ref="J144" r:id="rId10" display="javascript:;"/>
    <hyperlink ref="J80" r:id="rId11" display="javascript:;"/>
    <hyperlink ref="J55" r:id="rId12" display="javascript:;"/>
    <hyperlink ref="J92" r:id="rId13" display="javascript:;"/>
    <hyperlink ref="J78" r:id="rId14" display="javascript:;"/>
    <hyperlink ref="J109" r:id="rId15" display="javascript:;"/>
    <hyperlink ref="J4" r:id="rId16" display="javascript:;"/>
    <hyperlink ref="J128" r:id="rId17" display="javascript:;"/>
    <hyperlink ref="J152" r:id="rId18" display="javascript:;"/>
    <hyperlink ref="J79" r:id="rId19" display="javascript:;"/>
    <hyperlink ref="J43" r:id="rId20" display="javascript:;"/>
    <hyperlink ref="J32" r:id="rId21" display="javascript:;"/>
    <hyperlink ref="J25" r:id="rId22" display="javascript:;"/>
    <hyperlink ref="J123" r:id="rId23" display="javascript:;"/>
    <hyperlink ref="J131" r:id="rId24" display="javascript:;"/>
    <hyperlink ref="J113" r:id="rId25" display="javascript:;"/>
    <hyperlink ref="J102" r:id="rId26" display="javascript:;"/>
    <hyperlink ref="J114" r:id="rId27" display="javascript:;"/>
    <hyperlink ref="J76" r:id="rId28" display="javascript:;"/>
    <hyperlink ref="J145" r:id="rId29" display="javascript:;"/>
    <hyperlink ref="J66" r:id="rId30" display="javascript:;"/>
    <hyperlink ref="J6" r:id="rId31" display="javascript:;"/>
    <hyperlink ref="J22" r:id="rId32" display="javascript:;"/>
    <hyperlink ref="J97" r:id="rId33" display="javascript:;"/>
    <hyperlink ref="J37" r:id="rId34" display="javascript:;"/>
    <hyperlink ref="J118" r:id="rId35" display="javascript:;"/>
    <hyperlink ref="J119" r:id="rId36" display="javascript:;"/>
    <hyperlink ref="J47" r:id="rId37" display="javascript:;"/>
    <hyperlink ref="J14" r:id="rId38" display="javascript:;"/>
    <hyperlink ref="J117" r:id="rId39" display="javascript:;"/>
    <hyperlink ref="J99" r:id="rId40" display="javascript:;"/>
    <hyperlink ref="J58" r:id="rId41" display="javascript:;"/>
    <hyperlink ref="J68" r:id="rId42" display="javascript:;"/>
    <hyperlink ref="J129" r:id="rId43" display="javascript:;"/>
    <hyperlink ref="J106" r:id="rId44" display="javascript:;"/>
    <hyperlink ref="J139" r:id="rId45" display="javascript:;"/>
    <hyperlink ref="J115" r:id="rId46" display="javascript:;"/>
    <hyperlink ref="J87" r:id="rId47" display="javascript:;"/>
    <hyperlink ref="J154" r:id="rId48" display="javascript:;"/>
    <hyperlink ref="J101" r:id="rId49" display="javascript:;"/>
    <hyperlink ref="J65" r:id="rId50" display="javascript:;"/>
    <hyperlink ref="J39" r:id="rId51" display="javascript:;"/>
    <hyperlink ref="J52" r:id="rId52" display="javascript:;"/>
    <hyperlink ref="J136" r:id="rId53" display="javascript:;"/>
    <hyperlink ref="J108" r:id="rId54" display="javascript:;"/>
    <hyperlink ref="J15" r:id="rId55" display="javascript:;"/>
    <hyperlink ref="J29" r:id="rId56" display="javascript:;"/>
    <hyperlink ref="J12" r:id="rId57" display="javascript:;"/>
    <hyperlink ref="J103" r:id="rId58" display="javascript:;"/>
    <hyperlink ref="J81" r:id="rId59" display="javascript:;"/>
    <hyperlink ref="J93" r:id="rId60" display="javascript:;"/>
    <hyperlink ref="J31" r:id="rId61" display="javascript:;"/>
    <hyperlink ref="J20" r:id="rId62" display="javascript:;"/>
    <hyperlink ref="J120" r:id="rId63" display="javascript:;"/>
    <hyperlink ref="J50" r:id="rId64" display="javascript:;"/>
    <hyperlink ref="J105" r:id="rId65" display="javascript:;"/>
    <hyperlink ref="J70" r:id="rId66" display="javascript:;"/>
    <hyperlink ref="J48" r:id="rId67" display="javascript:;"/>
    <hyperlink ref="J28" r:id="rId68" display="javascript:;"/>
    <hyperlink ref="J38" r:id="rId69" display="javascript:;"/>
    <hyperlink ref="J17" r:id="rId70" display="javascript:;"/>
    <hyperlink ref="J71" r:id="rId71" display="javascript:;"/>
    <hyperlink ref="J112" r:id="rId72" display="javascript:;"/>
    <hyperlink ref="J95" r:id="rId73" display="javascript:;"/>
    <hyperlink ref="J134" r:id="rId74" display="javascript:;"/>
    <hyperlink ref="J143" r:id="rId75" display="javascript:;"/>
    <hyperlink ref="J69" r:id="rId76" display="javascript:;"/>
    <hyperlink ref="J16" r:id="rId77" display="javascript:;"/>
    <hyperlink ref="J89" r:id="rId78" display="javascript:;"/>
    <hyperlink ref="J107" r:id="rId79" display="javascript:;"/>
    <hyperlink ref="J88" r:id="rId80" display="javascript:;"/>
    <hyperlink ref="J19" r:id="rId81" display="javascript:;"/>
    <hyperlink ref="J36" r:id="rId82" display="javascript:;"/>
    <hyperlink ref="J59" r:id="rId83" display="javascript:;"/>
    <hyperlink ref="J110" r:id="rId84" display="javascript:;"/>
    <hyperlink ref="J94" r:id="rId85" display="javascript:;"/>
    <hyperlink ref="J142" r:id="rId86" display="javascript:;"/>
    <hyperlink ref="J18" r:id="rId87" display="javascript:;"/>
    <hyperlink ref="J26" r:id="rId88" display="javascript:;"/>
    <hyperlink ref="J137" r:id="rId89" display="javascript:;"/>
    <hyperlink ref="J96" r:id="rId90" display="javascript:;"/>
    <hyperlink ref="J27" r:id="rId91" display="javascript:;"/>
    <hyperlink ref="J91" r:id="rId92" display="javascript:;"/>
    <hyperlink ref="J7" r:id="rId93" display="javascript:;"/>
    <hyperlink ref="J111" r:id="rId94" display="javascript:;"/>
    <hyperlink ref="J54" r:id="rId95" display="javascript:;"/>
    <hyperlink ref="J138" r:id="rId96" display="javascript:;"/>
    <hyperlink ref="J84" r:id="rId97" display="javascript:;"/>
    <hyperlink ref="J33" r:id="rId98" display="javascript:;"/>
    <hyperlink ref="J13" r:id="rId99" display="javascript:;"/>
    <hyperlink ref="J116" r:id="rId100" display="javascript:;"/>
    <hyperlink ref="J125" r:id="rId101" display="javascript:;"/>
    <hyperlink ref="J64" r:id="rId102" display="javascript:;"/>
    <hyperlink ref="J51" r:id="rId103" display="javascript:;"/>
    <hyperlink ref="J77" r:id="rId104" display="javascript:;"/>
    <hyperlink ref="J148" r:id="rId105" display="javascript:;"/>
    <hyperlink ref="J41" r:id="rId106" display="javascript:;"/>
    <hyperlink ref="J45" r:id="rId107" display="javascript:;"/>
    <hyperlink ref="J5" r:id="rId108" display="javascript:;"/>
    <hyperlink ref="J141" r:id="rId109" display="javascript:;"/>
    <hyperlink ref="J127" r:id="rId110" display="javascript:;"/>
    <hyperlink ref="J75" r:id="rId111" display="javascript:;"/>
    <hyperlink ref="J21" r:id="rId112" display="javascript:;"/>
    <hyperlink ref="J53" r:id="rId113" display="javascript:;"/>
    <hyperlink ref="J35" r:id="rId114" display="javascript:;"/>
    <hyperlink ref="J82" r:id="rId115" display="javascript:;"/>
    <hyperlink ref="J85" r:id="rId116" display="javascript:;"/>
    <hyperlink ref="J135" r:id="rId117" display="javascript:;"/>
    <hyperlink ref="J100" r:id="rId118" display="javascript:;"/>
    <hyperlink ref="J130" r:id="rId119" display="javascript:;"/>
    <hyperlink ref="J62" r:id="rId120" display="javascript:;"/>
    <hyperlink ref="J49" r:id="rId121" display="javascript:;"/>
    <hyperlink ref="J98" r:id="rId122" display="javascript:;"/>
    <hyperlink ref="J67" r:id="rId123" display="javascript:;"/>
    <hyperlink ref="J90" r:id="rId124" display="javascript:;"/>
    <hyperlink ref="J140" r:id="rId125" display="javascript:;"/>
    <hyperlink ref="J72" r:id="rId126" display="javascript:;"/>
    <hyperlink ref="J11" r:id="rId127" display="javascript:;"/>
    <hyperlink ref="J86" r:id="rId128" display="javascript:;"/>
    <hyperlink ref="J151" r:id="rId129" display="javascript:;"/>
    <hyperlink ref="J44" r:id="rId130" display="javascript:;"/>
    <hyperlink ref="J121" r:id="rId131" display="javascript:;"/>
    <hyperlink ref="J8" r:id="rId132" display="javascript:;"/>
    <hyperlink ref="J10" r:id="rId133" display="javascript:;"/>
    <hyperlink ref="J60" r:id="rId134" display="javascript:;"/>
    <hyperlink ref="J147" r:id="rId135" display="javascript:;"/>
    <hyperlink ref="J61" r:id="rId136" display="javascript:;"/>
    <hyperlink ref="J150" r:id="rId137" display="javascript:;"/>
    <hyperlink ref="J42" r:id="rId138" display="javascript:;"/>
    <hyperlink ref="J155" r:id="rId139" display="javascript:;"/>
    <hyperlink ref="J124" r:id="rId140" display="javascript:;"/>
    <hyperlink ref="J56" r:id="rId141" display="javascript:;"/>
    <hyperlink ref="J57" r:id="rId142" display="javascript:;"/>
    <hyperlink ref="J83" r:id="rId143" display="javascript:;"/>
    <hyperlink ref="J133" r:id="rId144" display="javascript:;"/>
    <hyperlink ref="J34" r:id="rId145" display="javascript:;"/>
    <hyperlink ref="J146" r:id="rId146" display="javascript:;"/>
    <hyperlink ref="J30" r:id="rId147" display="javascript:;"/>
    <hyperlink ref="J149" r:id="rId148" display="javascript:;"/>
    <hyperlink ref="J40" r:id="rId149" display="javascript:;"/>
    <hyperlink ref="J132" r:id="rId150" display="javascript:;"/>
    <hyperlink ref="J122" r:id="rId151" display="javascript:;"/>
    <hyperlink ref="J24" r:id="rId152" display="javascript:;"/>
  </hyperlinks>
  <pageMargins left="0.7" right="0.7" top="0.75" bottom="0.75" header="0.3" footer="0.3"/>
  <pageSetup paperSize="9" orientation="portrait" r:id="rId153"/>
</worksheet>
</file>

<file path=xl/worksheets/sheet19.xml><?xml version="1.0" encoding="utf-8"?>
<worksheet xmlns="http://schemas.openxmlformats.org/spreadsheetml/2006/main" xmlns:r="http://schemas.openxmlformats.org/officeDocument/2006/relationships">
  <dimension ref="A1:I101"/>
  <sheetViews>
    <sheetView workbookViewId="0">
      <selection activeCell="I1" sqref="I1"/>
    </sheetView>
  </sheetViews>
  <sheetFormatPr defaultRowHeight="12.75"/>
  <cols>
    <col min="3" max="3" width="15" bestFit="1" customWidth="1"/>
    <col min="5" max="5" width="5" bestFit="1" customWidth="1"/>
    <col min="6" max="6" width="1.7109375" customWidth="1"/>
    <col min="7" max="7" width="5.140625" bestFit="1" customWidth="1"/>
  </cols>
  <sheetData>
    <row r="1" spans="1:9">
      <c r="I1" t="s">
        <v>100</v>
      </c>
    </row>
    <row r="2" spans="1:9">
      <c r="A2" t="s">
        <v>101</v>
      </c>
      <c r="B2" t="str">
        <f>Output!A2</f>
        <v>Ablon</v>
      </c>
      <c r="C2" t="s">
        <v>102</v>
      </c>
      <c r="D2" t="str">
        <f>'Members Data'!D2</f>
        <v>RDPS</v>
      </c>
      <c r="E2" t="str">
        <f>IF(D2="MDPS","D",IF(D2="RDPS","D",IF(D2="Healer","H",IF(D2="Tank","T","Error"))))</f>
        <v>D</v>
      </c>
      <c r="F2" t="s">
        <v>103</v>
      </c>
      <c r="G2" t="e">
        <f>Output!#REF!</f>
        <v>#REF!</v>
      </c>
      <c r="H2" t="s">
        <v>104</v>
      </c>
      <c r="I2" t="e">
        <f t="shared" ref="I2:I48" si="0">IF(B2=0,"",A2&amp;B2&amp;C2&amp;E2&amp;F2&amp;G2&amp;H2)</f>
        <v>#REF!</v>
      </c>
    </row>
    <row r="3" spans="1:9">
      <c r="A3" t="s">
        <v>105</v>
      </c>
      <c r="B3">
        <f>Output!A3</f>
        <v>0</v>
      </c>
      <c r="C3" t="s">
        <v>102</v>
      </c>
      <c r="D3">
        <f>'Members Data'!D3</f>
        <v>0</v>
      </c>
      <c r="E3" t="str">
        <f t="shared" ref="E3:E66" si="1">IF(D3="MDPS","D",IF(D3="RDPS","D",IF(D3="Healer","H",IF(D3="Tank","T","Error"))))</f>
        <v>Error</v>
      </c>
      <c r="F3" t="s">
        <v>103</v>
      </c>
      <c r="G3" t="e">
        <f>Output!#REF!</f>
        <v>#REF!</v>
      </c>
      <c r="H3" t="s">
        <v>104</v>
      </c>
      <c r="I3" t="str">
        <f t="shared" si="0"/>
        <v/>
      </c>
    </row>
    <row r="4" spans="1:9">
      <c r="A4" t="s">
        <v>105</v>
      </c>
      <c r="B4" t="str">
        <f>Output!A4</f>
        <v>Akilta</v>
      </c>
      <c r="C4" t="s">
        <v>102</v>
      </c>
      <c r="D4" t="str">
        <f>'Members Data'!D4</f>
        <v>RDPS</v>
      </c>
      <c r="E4" t="str">
        <f t="shared" si="1"/>
        <v>D</v>
      </c>
      <c r="F4" t="s">
        <v>103</v>
      </c>
      <c r="G4" t="e">
        <f>Output!#REF!</f>
        <v>#REF!</v>
      </c>
      <c r="H4" t="s">
        <v>104</v>
      </c>
      <c r="I4" t="e">
        <f t="shared" si="0"/>
        <v>#REF!</v>
      </c>
    </row>
    <row r="5" spans="1:9">
      <c r="A5" t="s">
        <v>105</v>
      </c>
      <c r="B5" t="str">
        <f>Output!A5</f>
        <v>Altrezza</v>
      </c>
      <c r="C5" t="s">
        <v>102</v>
      </c>
      <c r="D5" t="str">
        <f>'Members Data'!D5</f>
        <v>RDPS</v>
      </c>
      <c r="E5" t="str">
        <f t="shared" si="1"/>
        <v>D</v>
      </c>
      <c r="F5" t="s">
        <v>103</v>
      </c>
      <c r="G5" t="e">
        <f>Output!#REF!</f>
        <v>#REF!</v>
      </c>
      <c r="H5" t="s">
        <v>104</v>
      </c>
      <c r="I5" t="e">
        <f t="shared" si="0"/>
        <v>#REF!</v>
      </c>
    </row>
    <row r="6" spans="1:9">
      <c r="A6" t="s">
        <v>105</v>
      </c>
      <c r="B6" t="str">
        <f>Output!A6</f>
        <v>Amaras</v>
      </c>
      <c r="C6" t="s">
        <v>102</v>
      </c>
      <c r="D6" t="str">
        <f>'Members Data'!D6</f>
        <v>RDPS</v>
      </c>
      <c r="E6" t="str">
        <f t="shared" si="1"/>
        <v>D</v>
      </c>
      <c r="F6" t="s">
        <v>103</v>
      </c>
      <c r="G6" t="e">
        <f>Output!#REF!</f>
        <v>#REF!</v>
      </c>
      <c r="H6" t="s">
        <v>104</v>
      </c>
      <c r="I6" t="e">
        <f t="shared" si="0"/>
        <v>#REF!</v>
      </c>
    </row>
    <row r="7" spans="1:9">
      <c r="A7" t="s">
        <v>105</v>
      </c>
      <c r="B7" t="str">
        <f>Output!A7</f>
        <v>Angelhoof</v>
      </c>
      <c r="C7" t="s">
        <v>102</v>
      </c>
      <c r="D7" t="str">
        <f>'Members Data'!D7</f>
        <v>Healer</v>
      </c>
      <c r="E7" t="str">
        <f t="shared" si="1"/>
        <v>H</v>
      </c>
      <c r="F7" t="s">
        <v>103</v>
      </c>
      <c r="G7" t="e">
        <f>Output!#REF!</f>
        <v>#REF!</v>
      </c>
      <c r="H7" t="s">
        <v>104</v>
      </c>
      <c r="I7" t="e">
        <f t="shared" si="0"/>
        <v>#REF!</v>
      </c>
    </row>
    <row r="8" spans="1:9">
      <c r="A8" t="s">
        <v>105</v>
      </c>
      <c r="B8" t="str">
        <f>Output!A8</f>
        <v>Ánja</v>
      </c>
      <c r="C8" t="s">
        <v>102</v>
      </c>
      <c r="D8" t="str">
        <f>'Members Data'!D8</f>
        <v>Healer</v>
      </c>
      <c r="E8" t="str">
        <f t="shared" si="1"/>
        <v>H</v>
      </c>
      <c r="F8" t="s">
        <v>103</v>
      </c>
      <c r="G8" t="e">
        <f>Output!#REF!</f>
        <v>#REF!</v>
      </c>
      <c r="H8" t="s">
        <v>104</v>
      </c>
      <c r="I8" t="e">
        <f t="shared" si="0"/>
        <v>#REF!</v>
      </c>
    </row>
    <row r="9" spans="1:9">
      <c r="A9" t="s">
        <v>105</v>
      </c>
      <c r="B9" t="str">
        <f>Output!A9</f>
        <v>Asch</v>
      </c>
      <c r="C9" t="s">
        <v>102</v>
      </c>
      <c r="D9" t="str">
        <f>'Members Data'!D9</f>
        <v>RDPS</v>
      </c>
      <c r="E9" t="str">
        <f t="shared" si="1"/>
        <v>D</v>
      </c>
      <c r="F9" t="s">
        <v>103</v>
      </c>
      <c r="G9" t="e">
        <f>Output!#REF!</f>
        <v>#REF!</v>
      </c>
      <c r="H9" t="s">
        <v>104</v>
      </c>
      <c r="I9" t="e">
        <f t="shared" si="0"/>
        <v>#REF!</v>
      </c>
    </row>
    <row r="10" spans="1:9">
      <c r="A10" t="s">
        <v>105</v>
      </c>
      <c r="B10" t="str">
        <f>Output!A10</f>
        <v>Avane</v>
      </c>
      <c r="C10" t="s">
        <v>102</v>
      </c>
      <c r="D10" t="str">
        <f>'Members Data'!D10</f>
        <v>Tank</v>
      </c>
      <c r="E10" t="str">
        <f t="shared" si="1"/>
        <v>T</v>
      </c>
      <c r="F10" t="s">
        <v>103</v>
      </c>
      <c r="G10" t="e">
        <f>Output!#REF!</f>
        <v>#REF!</v>
      </c>
      <c r="H10" t="s">
        <v>104</v>
      </c>
      <c r="I10" t="e">
        <f t="shared" si="0"/>
        <v>#REF!</v>
      </c>
    </row>
    <row r="11" spans="1:9">
      <c r="A11" t="s">
        <v>105</v>
      </c>
      <c r="B11" t="str">
        <f>Output!A11</f>
        <v>Beargrels</v>
      </c>
      <c r="C11" t="s">
        <v>102</v>
      </c>
      <c r="D11" t="str">
        <f>'Members Data'!D11</f>
        <v>MDPS</v>
      </c>
      <c r="E11" t="str">
        <f t="shared" si="1"/>
        <v>D</v>
      </c>
      <c r="F11" t="s">
        <v>103</v>
      </c>
      <c r="G11" t="e">
        <f>Output!#REF!</f>
        <v>#REF!</v>
      </c>
      <c r="H11" t="s">
        <v>104</v>
      </c>
      <c r="I11" t="e">
        <f t="shared" si="0"/>
        <v>#REF!</v>
      </c>
    </row>
    <row r="12" spans="1:9">
      <c r="A12" t="s">
        <v>105</v>
      </c>
      <c r="B12" t="str">
        <f>Output!A12</f>
        <v>Blackcheeta</v>
      </c>
      <c r="C12" t="s">
        <v>102</v>
      </c>
      <c r="D12" t="str">
        <f>'Members Data'!D12</f>
        <v>RDPS</v>
      </c>
      <c r="E12" t="str">
        <f t="shared" si="1"/>
        <v>D</v>
      </c>
      <c r="F12" t="s">
        <v>103</v>
      </c>
      <c r="G12" t="e">
        <f>Output!#REF!</f>
        <v>#REF!</v>
      </c>
      <c r="H12" t="s">
        <v>104</v>
      </c>
      <c r="I12" t="e">
        <f t="shared" si="0"/>
        <v>#REF!</v>
      </c>
    </row>
    <row r="13" spans="1:9">
      <c r="A13" t="s">
        <v>105</v>
      </c>
      <c r="B13">
        <f>Output!A13</f>
        <v>0</v>
      </c>
      <c r="C13" t="s">
        <v>102</v>
      </c>
      <c r="D13">
        <f>'Members Data'!D13</f>
        <v>0</v>
      </c>
      <c r="E13" t="str">
        <f t="shared" si="1"/>
        <v>Error</v>
      </c>
      <c r="F13" t="s">
        <v>103</v>
      </c>
      <c r="G13" t="e">
        <f>Output!#REF!</f>
        <v>#REF!</v>
      </c>
      <c r="H13" t="s">
        <v>104</v>
      </c>
      <c r="I13" t="str">
        <f t="shared" si="0"/>
        <v/>
      </c>
    </row>
    <row r="14" spans="1:9">
      <c r="A14" t="s">
        <v>105</v>
      </c>
      <c r="B14" t="str">
        <f>Output!A14</f>
        <v>Brownale</v>
      </c>
      <c r="C14" t="s">
        <v>102</v>
      </c>
      <c r="D14" t="str">
        <f>'Members Data'!D14</f>
        <v>Tank</v>
      </c>
      <c r="E14" t="str">
        <f t="shared" si="1"/>
        <v>T</v>
      </c>
      <c r="F14" t="s">
        <v>103</v>
      </c>
      <c r="G14" t="e">
        <f>Output!#REF!</f>
        <v>#REF!</v>
      </c>
      <c r="H14" t="s">
        <v>104</v>
      </c>
      <c r="I14" t="e">
        <f t="shared" si="0"/>
        <v>#REF!</v>
      </c>
    </row>
    <row r="15" spans="1:9">
      <c r="A15" t="s">
        <v>105</v>
      </c>
      <c r="B15">
        <f>Output!A15</f>
        <v>0</v>
      </c>
      <c r="C15" t="s">
        <v>102</v>
      </c>
      <c r="D15">
        <f>'Members Data'!D15</f>
        <v>0</v>
      </c>
      <c r="E15" t="str">
        <f t="shared" si="1"/>
        <v>Error</v>
      </c>
      <c r="F15" t="s">
        <v>103</v>
      </c>
      <c r="G15" t="e">
        <f>Output!#REF!</f>
        <v>#REF!</v>
      </c>
      <c r="H15" t="s">
        <v>104</v>
      </c>
      <c r="I15" t="str">
        <f t="shared" si="0"/>
        <v/>
      </c>
    </row>
    <row r="16" spans="1:9">
      <c r="A16" t="s">
        <v>105</v>
      </c>
      <c r="B16" t="str">
        <f>Output!A16</f>
        <v>Masher</v>
      </c>
      <c r="C16" t="s">
        <v>102</v>
      </c>
      <c r="D16" t="str">
        <f>'Members Data'!D16</f>
        <v>MDPS</v>
      </c>
      <c r="E16" t="str">
        <f t="shared" si="1"/>
        <v>D</v>
      </c>
      <c r="F16" t="s">
        <v>103</v>
      </c>
      <c r="G16" t="e">
        <f>Output!#REF!</f>
        <v>#REF!</v>
      </c>
      <c r="H16" t="s">
        <v>104</v>
      </c>
      <c r="I16" t="e">
        <f t="shared" si="0"/>
        <v>#REF!</v>
      </c>
    </row>
    <row r="17" spans="1:9">
      <c r="A17" t="s">
        <v>105</v>
      </c>
      <c r="B17" t="str">
        <f>Output!A17</f>
        <v>Dottiee</v>
      </c>
      <c r="C17" t="s">
        <v>102</v>
      </c>
      <c r="D17" t="str">
        <f>'Members Data'!D17</f>
        <v>Healer</v>
      </c>
      <c r="E17" t="str">
        <f t="shared" si="1"/>
        <v>H</v>
      </c>
      <c r="F17" t="s">
        <v>103</v>
      </c>
      <c r="G17" t="e">
        <f>Output!#REF!</f>
        <v>#REF!</v>
      </c>
      <c r="H17" t="s">
        <v>104</v>
      </c>
      <c r="I17" t="e">
        <f t="shared" si="0"/>
        <v>#REF!</v>
      </c>
    </row>
    <row r="18" spans="1:9">
      <c r="A18" t="s">
        <v>105</v>
      </c>
      <c r="B18" t="str">
        <f>Output!A18</f>
        <v>Dracoar</v>
      </c>
      <c r="C18" t="s">
        <v>102</v>
      </c>
      <c r="D18" t="str">
        <f>'Members Data'!D18</f>
        <v>MDPS</v>
      </c>
      <c r="E18" t="str">
        <f t="shared" si="1"/>
        <v>D</v>
      </c>
      <c r="F18" t="s">
        <v>103</v>
      </c>
      <c r="G18" t="e">
        <f>Output!#REF!</f>
        <v>#REF!</v>
      </c>
      <c r="H18" t="s">
        <v>104</v>
      </c>
      <c r="I18" t="e">
        <f t="shared" si="0"/>
        <v>#REF!</v>
      </c>
    </row>
    <row r="19" spans="1:9">
      <c r="A19" t="s">
        <v>105</v>
      </c>
      <c r="B19" t="str">
        <f>Output!A19</f>
        <v>Drakodin</v>
      </c>
      <c r="C19" t="s">
        <v>102</v>
      </c>
      <c r="D19" t="str">
        <f>'Members Data'!D19</f>
        <v>Tank</v>
      </c>
      <c r="E19" t="str">
        <f t="shared" si="1"/>
        <v>T</v>
      </c>
      <c r="F19" t="s">
        <v>103</v>
      </c>
      <c r="G19" t="e">
        <f>Output!#REF!</f>
        <v>#REF!</v>
      </c>
      <c r="H19" t="s">
        <v>104</v>
      </c>
      <c r="I19" t="e">
        <f t="shared" si="0"/>
        <v>#REF!</v>
      </c>
    </row>
    <row r="20" spans="1:9">
      <c r="A20" t="s">
        <v>105</v>
      </c>
      <c r="B20" t="str">
        <f>Output!A20</f>
        <v>Drugged</v>
      </c>
      <c r="C20" t="s">
        <v>102</v>
      </c>
      <c r="D20" t="str">
        <f>'Members Data'!D20</f>
        <v>RDPS</v>
      </c>
      <c r="E20" t="str">
        <f t="shared" si="1"/>
        <v>D</v>
      </c>
      <c r="F20" t="s">
        <v>103</v>
      </c>
      <c r="G20" t="e">
        <f>Output!#REF!</f>
        <v>#REF!</v>
      </c>
      <c r="H20" t="s">
        <v>104</v>
      </c>
      <c r="I20" t="e">
        <f t="shared" si="0"/>
        <v>#REF!</v>
      </c>
    </row>
    <row r="21" spans="1:9">
      <c r="A21" t="s">
        <v>105</v>
      </c>
      <c r="B21" t="str">
        <f>Output!A21</f>
        <v>Eárendíl</v>
      </c>
      <c r="C21" t="s">
        <v>102</v>
      </c>
      <c r="D21" t="str">
        <f>'Members Data'!D21</f>
        <v>MDPS</v>
      </c>
      <c r="E21" t="str">
        <f t="shared" si="1"/>
        <v>D</v>
      </c>
      <c r="F21" t="s">
        <v>103</v>
      </c>
      <c r="G21" t="e">
        <f>Output!#REF!</f>
        <v>#REF!</v>
      </c>
      <c r="H21" t="s">
        <v>104</v>
      </c>
      <c r="I21" t="e">
        <f t="shared" si="0"/>
        <v>#REF!</v>
      </c>
    </row>
    <row r="22" spans="1:9">
      <c r="A22" t="s">
        <v>105</v>
      </c>
      <c r="B22" t="str">
        <f>Output!A22</f>
        <v>Emril</v>
      </c>
      <c r="C22" t="s">
        <v>102</v>
      </c>
      <c r="D22" t="str">
        <f>'Members Data'!D22</f>
        <v>Tank</v>
      </c>
      <c r="E22" t="str">
        <f t="shared" si="1"/>
        <v>T</v>
      </c>
      <c r="F22" t="s">
        <v>103</v>
      </c>
      <c r="G22" t="e">
        <f>Output!#REF!</f>
        <v>#REF!</v>
      </c>
      <c r="H22" t="s">
        <v>104</v>
      </c>
      <c r="I22" t="e">
        <f t="shared" si="0"/>
        <v>#REF!</v>
      </c>
    </row>
    <row r="23" spans="1:9">
      <c r="A23" t="s">
        <v>105</v>
      </c>
      <c r="B23" t="str">
        <f>Output!A23</f>
        <v>Halfthings</v>
      </c>
      <c r="C23" t="s">
        <v>102</v>
      </c>
      <c r="D23" t="str">
        <f>'Members Data'!D23</f>
        <v>Healer</v>
      </c>
      <c r="E23" t="str">
        <f t="shared" si="1"/>
        <v>H</v>
      </c>
      <c r="F23" t="s">
        <v>103</v>
      </c>
      <c r="G23" t="e">
        <f>Output!#REF!</f>
        <v>#REF!</v>
      </c>
      <c r="H23" t="s">
        <v>104</v>
      </c>
      <c r="I23" t="e">
        <f t="shared" si="0"/>
        <v>#REF!</v>
      </c>
    </row>
    <row r="24" spans="1:9">
      <c r="A24" t="s">
        <v>105</v>
      </c>
      <c r="B24" t="str">
        <f>Output!A24</f>
        <v>Harkar</v>
      </c>
      <c r="C24" t="s">
        <v>102</v>
      </c>
      <c r="D24" t="str">
        <f>'Members Data'!D24</f>
        <v>RDPS</v>
      </c>
      <c r="E24" t="str">
        <f t="shared" si="1"/>
        <v>D</v>
      </c>
      <c r="F24" t="s">
        <v>103</v>
      </c>
      <c r="G24" t="e">
        <f>Output!#REF!</f>
        <v>#REF!</v>
      </c>
      <c r="H24" t="s">
        <v>104</v>
      </c>
      <c r="I24" t="e">
        <f t="shared" si="0"/>
        <v>#REF!</v>
      </c>
    </row>
    <row r="25" spans="1:9">
      <c r="A25" t="s">
        <v>105</v>
      </c>
      <c r="B25" t="str">
        <f>Output!A25</f>
        <v>Hlianna</v>
      </c>
      <c r="C25" t="s">
        <v>102</v>
      </c>
      <c r="D25" t="str">
        <f>'Members Data'!D25</f>
        <v>MDPS</v>
      </c>
      <c r="E25" t="str">
        <f t="shared" si="1"/>
        <v>D</v>
      </c>
      <c r="F25" t="s">
        <v>103</v>
      </c>
      <c r="G25" t="e">
        <f>Output!#REF!</f>
        <v>#REF!</v>
      </c>
      <c r="H25" t="s">
        <v>104</v>
      </c>
      <c r="I25" t="e">
        <f t="shared" si="0"/>
        <v>#REF!</v>
      </c>
    </row>
    <row r="26" spans="1:9">
      <c r="A26" t="s">
        <v>105</v>
      </c>
      <c r="B26" t="str">
        <f>Output!A26</f>
        <v>Hormones</v>
      </c>
      <c r="C26" t="s">
        <v>102</v>
      </c>
      <c r="D26" t="str">
        <f>'Members Data'!D26</f>
        <v>MDPS</v>
      </c>
      <c r="E26" t="str">
        <f t="shared" si="1"/>
        <v>D</v>
      </c>
      <c r="F26" t="s">
        <v>103</v>
      </c>
      <c r="G26" t="e">
        <f>Output!#REF!</f>
        <v>#REF!</v>
      </c>
      <c r="H26" t="s">
        <v>104</v>
      </c>
      <c r="I26" t="e">
        <f t="shared" si="0"/>
        <v>#REF!</v>
      </c>
    </row>
    <row r="27" spans="1:9">
      <c r="A27" t="s">
        <v>105</v>
      </c>
      <c r="B27" t="str">
        <f>Output!A27</f>
        <v>Hyperïon</v>
      </c>
      <c r="C27" t="s">
        <v>102</v>
      </c>
      <c r="D27" t="str">
        <f>'Members Data'!D27</f>
        <v>MDPS</v>
      </c>
      <c r="E27" t="str">
        <f t="shared" si="1"/>
        <v>D</v>
      </c>
      <c r="F27" t="s">
        <v>103</v>
      </c>
      <c r="G27" t="e">
        <f>Output!#REF!</f>
        <v>#REF!</v>
      </c>
      <c r="H27" t="s">
        <v>104</v>
      </c>
      <c r="I27" t="e">
        <f t="shared" si="0"/>
        <v>#REF!</v>
      </c>
    </row>
    <row r="28" spans="1:9">
      <c r="A28" t="s">
        <v>105</v>
      </c>
      <c r="B28" t="str">
        <f>Output!A28</f>
        <v>Hyunâ</v>
      </c>
      <c r="C28" t="s">
        <v>102</v>
      </c>
      <c r="D28" t="str">
        <f>'Members Data'!D28</f>
        <v>RDPS</v>
      </c>
      <c r="E28" t="str">
        <f t="shared" si="1"/>
        <v>D</v>
      </c>
      <c r="F28" t="s">
        <v>103</v>
      </c>
      <c r="G28" t="e">
        <f>Output!#REF!</f>
        <v>#REF!</v>
      </c>
      <c r="H28" t="s">
        <v>104</v>
      </c>
      <c r="I28" t="e">
        <f t="shared" si="0"/>
        <v>#REF!</v>
      </c>
    </row>
    <row r="29" spans="1:9">
      <c r="A29" t="s">
        <v>105</v>
      </c>
      <c r="B29" t="str">
        <f>Output!A29</f>
        <v>Izzabelle</v>
      </c>
      <c r="C29" t="s">
        <v>102</v>
      </c>
      <c r="D29" t="str">
        <f>'Members Data'!D29</f>
        <v>Healer</v>
      </c>
      <c r="E29" t="str">
        <f t="shared" si="1"/>
        <v>H</v>
      </c>
      <c r="F29" t="s">
        <v>103</v>
      </c>
      <c r="G29" t="e">
        <f>Output!#REF!</f>
        <v>#REF!</v>
      </c>
      <c r="H29" t="s">
        <v>104</v>
      </c>
      <c r="I29" t="e">
        <f t="shared" si="0"/>
        <v>#REF!</v>
      </c>
    </row>
    <row r="30" spans="1:9">
      <c r="A30" t="s">
        <v>105</v>
      </c>
      <c r="B30" t="str">
        <f>Output!A30</f>
        <v>Jimentoez</v>
      </c>
      <c r="C30" t="s">
        <v>102</v>
      </c>
      <c r="D30" t="str">
        <f>'Members Data'!D30</f>
        <v>RDPS</v>
      </c>
      <c r="E30" t="str">
        <f t="shared" si="1"/>
        <v>D</v>
      </c>
      <c r="F30" t="s">
        <v>103</v>
      </c>
      <c r="G30" t="e">
        <f>Output!#REF!</f>
        <v>#REF!</v>
      </c>
      <c r="H30" t="s">
        <v>104</v>
      </c>
      <c r="I30" t="e">
        <f t="shared" si="0"/>
        <v>#REF!</v>
      </c>
    </row>
    <row r="31" spans="1:9">
      <c r="A31" t="s">
        <v>105</v>
      </c>
      <c r="B31" t="str">
        <f>Output!A31</f>
        <v>Judge</v>
      </c>
      <c r="C31" t="s">
        <v>102</v>
      </c>
      <c r="D31" t="str">
        <f>'Members Data'!D31</f>
        <v>MDPS</v>
      </c>
      <c r="E31" t="str">
        <f t="shared" si="1"/>
        <v>D</v>
      </c>
      <c r="F31" t="s">
        <v>103</v>
      </c>
      <c r="G31" t="e">
        <f>Output!#REF!</f>
        <v>#REF!</v>
      </c>
      <c r="H31" t="s">
        <v>104</v>
      </c>
      <c r="I31" t="e">
        <f t="shared" si="0"/>
        <v>#REF!</v>
      </c>
    </row>
    <row r="32" spans="1:9">
      <c r="A32" t="s">
        <v>105</v>
      </c>
      <c r="B32" t="str">
        <f>Output!A32</f>
        <v>Kádiz</v>
      </c>
      <c r="C32" t="s">
        <v>102</v>
      </c>
      <c r="D32" t="str">
        <f>'Members Data'!D32</f>
        <v>RDPS</v>
      </c>
      <c r="E32" t="str">
        <f t="shared" si="1"/>
        <v>D</v>
      </c>
      <c r="F32" t="s">
        <v>103</v>
      </c>
      <c r="G32" t="e">
        <f>Output!#REF!</f>
        <v>#REF!</v>
      </c>
      <c r="H32" t="s">
        <v>104</v>
      </c>
      <c r="I32" t="e">
        <f t="shared" si="0"/>
        <v>#REF!</v>
      </c>
    </row>
    <row r="33" spans="1:9">
      <c r="A33" t="s">
        <v>105</v>
      </c>
      <c r="B33" t="str">
        <f>Output!A33</f>
        <v>Kanoni</v>
      </c>
      <c r="C33" t="s">
        <v>102</v>
      </c>
      <c r="D33" t="str">
        <f>'Members Data'!D33</f>
        <v>RDPS</v>
      </c>
      <c r="E33" t="str">
        <f t="shared" si="1"/>
        <v>D</v>
      </c>
      <c r="F33" t="s">
        <v>103</v>
      </c>
      <c r="G33" t="e">
        <f>Output!#REF!</f>
        <v>#REF!</v>
      </c>
      <c r="H33" t="s">
        <v>104</v>
      </c>
      <c r="I33" t="e">
        <f t="shared" si="0"/>
        <v>#REF!</v>
      </c>
    </row>
    <row r="34" spans="1:9">
      <c r="A34" t="s">
        <v>105</v>
      </c>
      <c r="B34" t="str">
        <f>Output!A34</f>
        <v>Kristofix</v>
      </c>
      <c r="C34" t="s">
        <v>102</v>
      </c>
      <c r="D34" t="str">
        <f>'Members Data'!D34</f>
        <v>MDPS</v>
      </c>
      <c r="E34" t="str">
        <f t="shared" si="1"/>
        <v>D</v>
      </c>
      <c r="F34" t="s">
        <v>103</v>
      </c>
      <c r="G34" t="e">
        <f>Output!#REF!</f>
        <v>#REF!</v>
      </c>
      <c r="H34" t="s">
        <v>104</v>
      </c>
      <c r="I34" t="e">
        <f t="shared" si="0"/>
        <v>#REF!</v>
      </c>
    </row>
    <row r="35" spans="1:9">
      <c r="A35" t="s">
        <v>105</v>
      </c>
      <c r="B35">
        <f>Output!A35</f>
        <v>0</v>
      </c>
      <c r="C35" t="s">
        <v>102</v>
      </c>
      <c r="D35">
        <f>'Members Data'!D35</f>
        <v>0</v>
      </c>
      <c r="E35" t="str">
        <f t="shared" si="1"/>
        <v>Error</v>
      </c>
      <c r="F35" t="s">
        <v>103</v>
      </c>
      <c r="G35" t="e">
        <f>Output!#REF!</f>
        <v>#REF!</v>
      </c>
      <c r="H35" t="s">
        <v>104</v>
      </c>
      <c r="I35" t="str">
        <f t="shared" si="0"/>
        <v/>
      </c>
    </row>
    <row r="36" spans="1:9">
      <c r="A36" t="s">
        <v>105</v>
      </c>
      <c r="B36">
        <f>Output!A36</f>
        <v>0</v>
      </c>
      <c r="C36" t="s">
        <v>102</v>
      </c>
      <c r="D36">
        <f>'Members Data'!D36</f>
        <v>0</v>
      </c>
      <c r="E36" t="str">
        <f t="shared" si="1"/>
        <v>Error</v>
      </c>
      <c r="F36" t="s">
        <v>103</v>
      </c>
      <c r="G36" t="e">
        <f>Output!#REF!</f>
        <v>#REF!</v>
      </c>
      <c r="H36" t="s">
        <v>104</v>
      </c>
      <c r="I36" t="str">
        <f t="shared" si="0"/>
        <v/>
      </c>
    </row>
    <row r="37" spans="1:9">
      <c r="A37" t="s">
        <v>105</v>
      </c>
      <c r="B37">
        <f>Output!A37</f>
        <v>0</v>
      </c>
      <c r="C37" t="s">
        <v>102</v>
      </c>
      <c r="D37">
        <f>'Members Data'!D37</f>
        <v>0</v>
      </c>
      <c r="E37" t="str">
        <f t="shared" si="1"/>
        <v>Error</v>
      </c>
      <c r="F37" t="s">
        <v>103</v>
      </c>
      <c r="G37" t="e">
        <f>Output!#REF!</f>
        <v>#REF!</v>
      </c>
      <c r="H37" t="s">
        <v>104</v>
      </c>
      <c r="I37" t="str">
        <f t="shared" si="0"/>
        <v/>
      </c>
    </row>
    <row r="38" spans="1:9">
      <c r="A38" t="s">
        <v>105</v>
      </c>
      <c r="B38">
        <f>Output!A38</f>
        <v>0</v>
      </c>
      <c r="C38" t="s">
        <v>102</v>
      </c>
      <c r="D38">
        <f>'Members Data'!D38</f>
        <v>0</v>
      </c>
      <c r="E38" t="str">
        <f t="shared" si="1"/>
        <v>Error</v>
      </c>
      <c r="F38" t="s">
        <v>103</v>
      </c>
      <c r="G38" t="e">
        <f>Output!#REF!</f>
        <v>#REF!</v>
      </c>
      <c r="H38" t="s">
        <v>104</v>
      </c>
      <c r="I38" t="str">
        <f t="shared" si="0"/>
        <v/>
      </c>
    </row>
    <row r="39" spans="1:9">
      <c r="A39" t="s">
        <v>105</v>
      </c>
      <c r="B39" t="str">
        <f>Output!A39</f>
        <v>Mardazur</v>
      </c>
      <c r="C39" t="s">
        <v>102</v>
      </c>
      <c r="D39" t="str">
        <f>'Members Data'!D39</f>
        <v>RDPS</v>
      </c>
      <c r="E39" t="str">
        <f t="shared" si="1"/>
        <v>D</v>
      </c>
      <c r="F39" t="s">
        <v>103</v>
      </c>
      <c r="G39" t="e">
        <f>Output!#REF!</f>
        <v>#REF!</v>
      </c>
      <c r="H39" t="s">
        <v>104</v>
      </c>
      <c r="I39" t="e">
        <f t="shared" si="0"/>
        <v>#REF!</v>
      </c>
    </row>
    <row r="40" spans="1:9">
      <c r="A40" t="s">
        <v>105</v>
      </c>
      <c r="B40" t="str">
        <f>Output!A40</f>
        <v>Mezzolina</v>
      </c>
      <c r="C40" t="s">
        <v>102</v>
      </c>
      <c r="D40" t="str">
        <f>'Members Data'!D40</f>
        <v>MDPS</v>
      </c>
      <c r="E40" t="str">
        <f t="shared" si="1"/>
        <v>D</v>
      </c>
      <c r="F40" t="s">
        <v>103</v>
      </c>
      <c r="G40" t="e">
        <f>Output!#REF!</f>
        <v>#REF!</v>
      </c>
      <c r="H40" t="s">
        <v>104</v>
      </c>
      <c r="I40" t="e">
        <f t="shared" si="0"/>
        <v>#REF!</v>
      </c>
    </row>
    <row r="41" spans="1:9">
      <c r="A41" t="s">
        <v>105</v>
      </c>
      <c r="B41">
        <f>Output!A41</f>
        <v>0</v>
      </c>
      <c r="C41" t="s">
        <v>102</v>
      </c>
      <c r="D41">
        <f>'Members Data'!D41</f>
        <v>0</v>
      </c>
      <c r="E41" t="str">
        <f t="shared" si="1"/>
        <v>Error</v>
      </c>
      <c r="F41" t="s">
        <v>103</v>
      </c>
      <c r="G41" t="e">
        <f>Output!#REF!</f>
        <v>#REF!</v>
      </c>
      <c r="H41" t="s">
        <v>104</v>
      </c>
      <c r="I41" t="str">
        <f t="shared" si="0"/>
        <v/>
      </c>
    </row>
    <row r="42" spans="1:9">
      <c r="A42" t="s">
        <v>105</v>
      </c>
      <c r="B42" t="str">
        <f>Output!A42</f>
        <v>Morenna</v>
      </c>
      <c r="C42" t="s">
        <v>102</v>
      </c>
      <c r="D42" t="str">
        <f>'Members Data'!D42</f>
        <v>RDPS</v>
      </c>
      <c r="E42" t="str">
        <f t="shared" si="1"/>
        <v>D</v>
      </c>
      <c r="F42" t="s">
        <v>103</v>
      </c>
      <c r="G42" t="e">
        <f>Output!#REF!</f>
        <v>#REF!</v>
      </c>
      <c r="H42" t="s">
        <v>104</v>
      </c>
      <c r="I42" t="e">
        <f t="shared" si="0"/>
        <v>#REF!</v>
      </c>
    </row>
    <row r="43" spans="1:9">
      <c r="A43" t="s">
        <v>105</v>
      </c>
      <c r="B43" t="str">
        <f>Output!A43</f>
        <v>Naliyas</v>
      </c>
      <c r="C43" t="s">
        <v>102</v>
      </c>
      <c r="D43" t="str">
        <f>'Members Data'!D43</f>
        <v>MDPS</v>
      </c>
      <c r="E43" t="str">
        <f t="shared" si="1"/>
        <v>D</v>
      </c>
      <c r="F43" t="s">
        <v>103</v>
      </c>
      <c r="G43" t="e">
        <f>Output!#REF!</f>
        <v>#REF!</v>
      </c>
      <c r="H43" t="s">
        <v>104</v>
      </c>
      <c r="I43" t="e">
        <f t="shared" si="0"/>
        <v>#REF!</v>
      </c>
    </row>
    <row r="44" spans="1:9">
      <c r="A44" t="s">
        <v>105</v>
      </c>
      <c r="B44">
        <f>Output!A44</f>
        <v>0</v>
      </c>
      <c r="C44" t="s">
        <v>102</v>
      </c>
      <c r="D44">
        <f>'Members Data'!D44</f>
        <v>0</v>
      </c>
      <c r="E44" t="str">
        <f t="shared" si="1"/>
        <v>Error</v>
      </c>
      <c r="F44" t="s">
        <v>103</v>
      </c>
      <c r="G44" t="e">
        <f>Output!#REF!</f>
        <v>#REF!</v>
      </c>
      <c r="H44" t="s">
        <v>104</v>
      </c>
      <c r="I44" t="str">
        <f t="shared" si="0"/>
        <v/>
      </c>
    </row>
    <row r="45" spans="1:9">
      <c r="A45" t="s">
        <v>105</v>
      </c>
      <c r="B45" t="str">
        <f>Output!A45</f>
        <v>Nazgol</v>
      </c>
      <c r="C45" t="s">
        <v>102</v>
      </c>
      <c r="D45" t="str">
        <f>'Members Data'!D45</f>
        <v>RDPS</v>
      </c>
      <c r="E45" t="str">
        <f t="shared" si="1"/>
        <v>D</v>
      </c>
      <c r="F45" t="s">
        <v>103</v>
      </c>
      <c r="G45" t="e">
        <f>Output!#REF!</f>
        <v>#REF!</v>
      </c>
      <c r="H45" t="s">
        <v>104</v>
      </c>
      <c r="I45" t="e">
        <f t="shared" si="0"/>
        <v>#REF!</v>
      </c>
    </row>
    <row r="46" spans="1:9">
      <c r="A46" t="s">
        <v>105</v>
      </c>
      <c r="B46" t="str">
        <f>Output!A46</f>
        <v>Niiwa</v>
      </c>
      <c r="C46" t="s">
        <v>102</v>
      </c>
      <c r="D46" t="str">
        <f>'Members Data'!D46</f>
        <v>RDPS</v>
      </c>
      <c r="E46" t="str">
        <f t="shared" si="1"/>
        <v>D</v>
      </c>
      <c r="F46" t="s">
        <v>103</v>
      </c>
      <c r="G46" t="e">
        <f>Output!#REF!</f>
        <v>#REF!</v>
      </c>
      <c r="H46" t="s">
        <v>104</v>
      </c>
      <c r="I46" t="e">
        <f t="shared" si="0"/>
        <v>#REF!</v>
      </c>
    </row>
    <row r="47" spans="1:9">
      <c r="A47" t="s">
        <v>105</v>
      </c>
      <c r="B47" t="str">
        <f>Output!A47</f>
        <v>Octavìus</v>
      </c>
      <c r="C47" t="s">
        <v>102</v>
      </c>
      <c r="D47" t="str">
        <f>'Members Data'!D47</f>
        <v>MDPS</v>
      </c>
      <c r="E47" t="str">
        <f t="shared" si="1"/>
        <v>D</v>
      </c>
      <c r="F47" t="s">
        <v>103</v>
      </c>
      <c r="G47" t="e">
        <f>Output!#REF!</f>
        <v>#REF!</v>
      </c>
      <c r="H47" t="s">
        <v>104</v>
      </c>
      <c r="I47" t="e">
        <f t="shared" si="0"/>
        <v>#REF!</v>
      </c>
    </row>
    <row r="48" spans="1:9">
      <c r="A48" t="s">
        <v>105</v>
      </c>
      <c r="B48" t="str">
        <f>Output!A48</f>
        <v>Overtake</v>
      </c>
      <c r="C48" t="s">
        <v>102</v>
      </c>
      <c r="D48" t="str">
        <f>'Members Data'!D48</f>
        <v>MDPS</v>
      </c>
      <c r="E48" t="str">
        <f t="shared" si="1"/>
        <v>D</v>
      </c>
      <c r="F48" t="s">
        <v>103</v>
      </c>
      <c r="G48" t="e">
        <f>Output!#REF!</f>
        <v>#REF!</v>
      </c>
      <c r="H48" t="s">
        <v>104</v>
      </c>
      <c r="I48" t="e">
        <f t="shared" si="0"/>
        <v>#REF!</v>
      </c>
    </row>
    <row r="49" spans="1:9">
      <c r="A49" t="s">
        <v>105</v>
      </c>
      <c r="B49" t="str">
        <f>Output!A49</f>
        <v>Paolin</v>
      </c>
      <c r="C49" t="s">
        <v>102</v>
      </c>
      <c r="D49" t="str">
        <f>'Members Data'!D49</f>
        <v>MDPS</v>
      </c>
      <c r="E49" t="str">
        <f t="shared" si="1"/>
        <v>D</v>
      </c>
      <c r="F49" t="s">
        <v>103</v>
      </c>
      <c r="G49" t="e">
        <f>Output!#REF!</f>
        <v>#REF!</v>
      </c>
      <c r="H49" t="s">
        <v>104</v>
      </c>
      <c r="I49" t="e">
        <f>IF(B49=0,"",A49&amp;B49&amp;C49&amp;E49&amp;F49&amp;G49&amp;H49)</f>
        <v>#REF!</v>
      </c>
    </row>
    <row r="50" spans="1:9">
      <c r="A50" t="s">
        <v>105</v>
      </c>
      <c r="B50" t="str">
        <f>Output!A50</f>
        <v>Páula</v>
      </c>
      <c r="C50" t="s">
        <v>102</v>
      </c>
      <c r="D50" t="str">
        <f>'Members Data'!D50</f>
        <v>RDPS</v>
      </c>
      <c r="E50" t="str">
        <f t="shared" si="1"/>
        <v>D</v>
      </c>
      <c r="F50" t="s">
        <v>103</v>
      </c>
      <c r="G50" t="e">
        <f>Output!#REF!</f>
        <v>#REF!</v>
      </c>
      <c r="H50" t="s">
        <v>104</v>
      </c>
      <c r="I50" t="e">
        <f t="shared" ref="I50:I100" si="2">IF(B50=0,"",A50&amp;B50&amp;C50&amp;E50&amp;F50&amp;G50&amp;H50)</f>
        <v>#REF!</v>
      </c>
    </row>
    <row r="51" spans="1:9">
      <c r="A51" t="s">
        <v>105</v>
      </c>
      <c r="B51" t="str">
        <f>Output!A51</f>
        <v>Predictable</v>
      </c>
      <c r="C51" t="s">
        <v>102</v>
      </c>
      <c r="D51" t="str">
        <f>'Members Data'!D51</f>
        <v>Healer</v>
      </c>
      <c r="E51" t="str">
        <f t="shared" si="1"/>
        <v>H</v>
      </c>
      <c r="F51" t="s">
        <v>103</v>
      </c>
      <c r="G51" t="e">
        <f>Output!#REF!</f>
        <v>#REF!</v>
      </c>
      <c r="H51" t="s">
        <v>104</v>
      </c>
      <c r="I51" t="e">
        <f t="shared" si="2"/>
        <v>#REF!</v>
      </c>
    </row>
    <row r="52" spans="1:9">
      <c r="A52" t="s">
        <v>105</v>
      </c>
      <c r="B52" t="str">
        <f>Output!A52</f>
        <v>Rhinoru</v>
      </c>
      <c r="C52" t="s">
        <v>102</v>
      </c>
      <c r="D52" t="str">
        <f>'Members Data'!D52</f>
        <v>RDPS</v>
      </c>
      <c r="E52" t="str">
        <f t="shared" si="1"/>
        <v>D</v>
      </c>
      <c r="F52" t="s">
        <v>103</v>
      </c>
      <c r="G52" t="e">
        <f>Output!#REF!</f>
        <v>#REF!</v>
      </c>
      <c r="H52" t="s">
        <v>104</v>
      </c>
      <c r="I52" t="e">
        <f t="shared" si="2"/>
        <v>#REF!</v>
      </c>
    </row>
    <row r="53" spans="1:9">
      <c r="A53" t="s">
        <v>105</v>
      </c>
      <c r="B53">
        <f>Output!A53</f>
        <v>0</v>
      </c>
      <c r="C53" t="s">
        <v>102</v>
      </c>
      <c r="D53">
        <f>'Members Data'!D53</f>
        <v>0</v>
      </c>
      <c r="E53" t="str">
        <f t="shared" si="1"/>
        <v>Error</v>
      </c>
      <c r="F53" t="s">
        <v>103</v>
      </c>
      <c r="G53" t="e">
        <f>Output!#REF!</f>
        <v>#REF!</v>
      </c>
      <c r="H53" t="s">
        <v>104</v>
      </c>
      <c r="I53" t="str">
        <f t="shared" si="2"/>
        <v/>
      </c>
    </row>
    <row r="54" spans="1:9">
      <c r="A54" t="s">
        <v>105</v>
      </c>
      <c r="B54" t="str">
        <f>Output!A54</f>
        <v>Saltycream</v>
      </c>
      <c r="C54" t="s">
        <v>102</v>
      </c>
      <c r="D54" t="str">
        <f>'Members Data'!D54</f>
        <v>RDPS</v>
      </c>
      <c r="E54" t="str">
        <f t="shared" si="1"/>
        <v>D</v>
      </c>
      <c r="F54" t="s">
        <v>103</v>
      </c>
      <c r="G54" t="e">
        <f>Output!#REF!</f>
        <v>#REF!</v>
      </c>
      <c r="H54" t="s">
        <v>104</v>
      </c>
      <c r="I54" t="e">
        <f t="shared" si="2"/>
        <v>#REF!</v>
      </c>
    </row>
    <row r="55" spans="1:9">
      <c r="A55" t="s">
        <v>105</v>
      </c>
      <c r="B55" t="str">
        <f>Output!A55</f>
        <v>Sarjezzar</v>
      </c>
      <c r="C55" t="s">
        <v>102</v>
      </c>
      <c r="D55" t="str">
        <f>'Members Data'!D55</f>
        <v>MDPS</v>
      </c>
      <c r="E55" t="str">
        <f t="shared" si="1"/>
        <v>D</v>
      </c>
      <c r="F55" t="s">
        <v>103</v>
      </c>
      <c r="G55" t="e">
        <f>Output!#REF!</f>
        <v>#REF!</v>
      </c>
      <c r="H55" t="s">
        <v>104</v>
      </c>
      <c r="I55" t="e">
        <f t="shared" si="2"/>
        <v>#REF!</v>
      </c>
    </row>
    <row r="56" spans="1:9">
      <c r="A56" t="s">
        <v>105</v>
      </c>
      <c r="B56">
        <f>Output!A56</f>
        <v>0</v>
      </c>
      <c r="C56" t="s">
        <v>102</v>
      </c>
      <c r="D56">
        <f>'Members Data'!D56</f>
        <v>0</v>
      </c>
      <c r="E56" t="str">
        <f t="shared" si="1"/>
        <v>Error</v>
      </c>
      <c r="F56" t="s">
        <v>103</v>
      </c>
      <c r="G56" t="e">
        <f>Output!#REF!</f>
        <v>#REF!</v>
      </c>
      <c r="H56" t="s">
        <v>104</v>
      </c>
      <c r="I56" t="str">
        <f t="shared" si="2"/>
        <v/>
      </c>
    </row>
    <row r="57" spans="1:9">
      <c r="A57" t="s">
        <v>105</v>
      </c>
      <c r="B57" t="str">
        <f>Output!A57</f>
        <v>Shinkai</v>
      </c>
      <c r="C57" t="s">
        <v>102</v>
      </c>
      <c r="D57" t="str">
        <f>'Members Data'!D57</f>
        <v>MDPS</v>
      </c>
      <c r="E57" t="str">
        <f t="shared" si="1"/>
        <v>D</v>
      </c>
      <c r="F57" t="s">
        <v>103</v>
      </c>
      <c r="G57" t="e">
        <f>Output!#REF!</f>
        <v>#REF!</v>
      </c>
      <c r="H57" t="s">
        <v>104</v>
      </c>
      <c r="I57" t="e">
        <f t="shared" si="2"/>
        <v>#REF!</v>
      </c>
    </row>
    <row r="58" spans="1:9">
      <c r="A58" t="s">
        <v>105</v>
      </c>
      <c r="B58" t="str">
        <f>Output!A58</f>
        <v>Sidac</v>
      </c>
      <c r="C58" t="s">
        <v>102</v>
      </c>
      <c r="D58" t="str">
        <f>'Members Data'!D58</f>
        <v>RDPS</v>
      </c>
      <c r="E58" t="str">
        <f t="shared" si="1"/>
        <v>D</v>
      </c>
      <c r="F58" t="s">
        <v>103</v>
      </c>
      <c r="G58" t="e">
        <f>Output!#REF!</f>
        <v>#REF!</v>
      </c>
      <c r="H58" t="s">
        <v>104</v>
      </c>
      <c r="I58" t="e">
        <f t="shared" si="2"/>
        <v>#REF!</v>
      </c>
    </row>
    <row r="59" spans="1:9">
      <c r="A59" t="s">
        <v>105</v>
      </c>
      <c r="B59" t="str">
        <f>Output!A59</f>
        <v>Snowies</v>
      </c>
      <c r="C59" t="s">
        <v>102</v>
      </c>
      <c r="D59" t="str">
        <f>'Members Data'!D59</f>
        <v>Healer</v>
      </c>
      <c r="E59" t="str">
        <f t="shared" si="1"/>
        <v>H</v>
      </c>
      <c r="F59" t="s">
        <v>103</v>
      </c>
      <c r="G59" t="e">
        <f>Output!#REF!</f>
        <v>#REF!</v>
      </c>
      <c r="H59" t="s">
        <v>104</v>
      </c>
      <c r="I59" t="e">
        <f t="shared" si="2"/>
        <v>#REF!</v>
      </c>
    </row>
    <row r="60" spans="1:9">
      <c r="A60" t="s">
        <v>105</v>
      </c>
      <c r="B60" t="str">
        <f>Output!A60</f>
        <v>Spruch</v>
      </c>
      <c r="C60" t="s">
        <v>102</v>
      </c>
      <c r="D60" t="str">
        <f>'Members Data'!D60</f>
        <v>RDPS</v>
      </c>
      <c r="E60" t="str">
        <f t="shared" si="1"/>
        <v>D</v>
      </c>
      <c r="F60" t="s">
        <v>103</v>
      </c>
      <c r="G60" t="e">
        <f>Output!#REF!</f>
        <v>#REF!</v>
      </c>
      <c r="H60" t="s">
        <v>104</v>
      </c>
      <c r="I60" t="e">
        <f t="shared" si="2"/>
        <v>#REF!</v>
      </c>
    </row>
    <row r="61" spans="1:9">
      <c r="A61" t="s">
        <v>105</v>
      </c>
      <c r="B61" t="str">
        <f>Output!A61</f>
        <v>Svicane</v>
      </c>
      <c r="C61" t="s">
        <v>102</v>
      </c>
      <c r="D61" t="str">
        <f>'Members Data'!D61</f>
        <v>Healer</v>
      </c>
      <c r="E61" t="str">
        <f t="shared" si="1"/>
        <v>H</v>
      </c>
      <c r="F61" t="s">
        <v>103</v>
      </c>
      <c r="G61" t="e">
        <f>Output!#REF!</f>
        <v>#REF!</v>
      </c>
      <c r="H61" t="s">
        <v>104</v>
      </c>
      <c r="I61" t="e">
        <f t="shared" si="2"/>
        <v>#REF!</v>
      </c>
    </row>
    <row r="62" spans="1:9">
      <c r="A62" t="s">
        <v>105</v>
      </c>
      <c r="B62" t="str">
        <f>Output!A62</f>
        <v>Téasey</v>
      </c>
      <c r="C62" t="s">
        <v>102</v>
      </c>
      <c r="D62" t="str">
        <f>'Members Data'!D62</f>
        <v>Tank</v>
      </c>
      <c r="E62" t="str">
        <f t="shared" si="1"/>
        <v>T</v>
      </c>
      <c r="F62" t="s">
        <v>103</v>
      </c>
      <c r="G62" t="e">
        <f>Output!#REF!</f>
        <v>#REF!</v>
      </c>
      <c r="H62" t="s">
        <v>104</v>
      </c>
      <c r="I62" t="e">
        <f t="shared" si="2"/>
        <v>#REF!</v>
      </c>
    </row>
    <row r="63" spans="1:9">
      <c r="A63" t="s">
        <v>105</v>
      </c>
      <c r="B63" t="str">
        <f>Output!A63</f>
        <v>Tomrexx</v>
      </c>
      <c r="C63" t="s">
        <v>102</v>
      </c>
      <c r="D63" t="str">
        <f>'Members Data'!D63</f>
        <v>MDPS</v>
      </c>
      <c r="E63" t="str">
        <f t="shared" si="1"/>
        <v>D</v>
      </c>
      <c r="F63" t="s">
        <v>103</v>
      </c>
      <c r="G63" t="e">
        <f>Output!#REF!</f>
        <v>#REF!</v>
      </c>
      <c r="H63" t="s">
        <v>104</v>
      </c>
      <c r="I63" t="e">
        <f t="shared" si="2"/>
        <v>#REF!</v>
      </c>
    </row>
    <row r="64" spans="1:9">
      <c r="A64" t="s">
        <v>105</v>
      </c>
      <c r="B64" t="str">
        <f>Output!A64</f>
        <v>Tonitrum</v>
      </c>
      <c r="C64" t="s">
        <v>102</v>
      </c>
      <c r="D64" t="str">
        <f>'Members Data'!D64</f>
        <v>MDPS</v>
      </c>
      <c r="E64" t="str">
        <f t="shared" si="1"/>
        <v>D</v>
      </c>
      <c r="F64" t="s">
        <v>103</v>
      </c>
      <c r="G64" t="e">
        <f>Output!#REF!</f>
        <v>#REF!</v>
      </c>
      <c r="H64" t="s">
        <v>104</v>
      </c>
      <c r="I64" t="e">
        <f t="shared" si="2"/>
        <v>#REF!</v>
      </c>
    </row>
    <row r="65" spans="1:9">
      <c r="A65" t="s">
        <v>105</v>
      </c>
      <c r="B65" t="str">
        <f>Output!A65</f>
        <v>Tsali</v>
      </c>
      <c r="C65" t="s">
        <v>102</v>
      </c>
      <c r="D65" t="str">
        <f>'Members Data'!D65</f>
        <v>Tank</v>
      </c>
      <c r="E65" t="str">
        <f t="shared" si="1"/>
        <v>T</v>
      </c>
      <c r="F65" t="s">
        <v>103</v>
      </c>
      <c r="G65" t="e">
        <f>Output!#REF!</f>
        <v>#REF!</v>
      </c>
      <c r="H65" t="s">
        <v>104</v>
      </c>
      <c r="I65" t="e">
        <f t="shared" si="2"/>
        <v>#REF!</v>
      </c>
    </row>
    <row r="66" spans="1:9">
      <c r="A66" t="s">
        <v>105</v>
      </c>
      <c r="B66" t="str">
        <f>Output!A66</f>
        <v>Twicemore</v>
      </c>
      <c r="C66" t="s">
        <v>102</v>
      </c>
      <c r="D66" t="str">
        <f>'Members Data'!D66</f>
        <v>RDPS</v>
      </c>
      <c r="E66" t="str">
        <f t="shared" si="1"/>
        <v>D</v>
      </c>
      <c r="F66" t="s">
        <v>103</v>
      </c>
      <c r="G66" t="e">
        <f>Output!#REF!</f>
        <v>#REF!</v>
      </c>
      <c r="H66" t="s">
        <v>104</v>
      </c>
      <c r="I66" t="e">
        <f t="shared" si="2"/>
        <v>#REF!</v>
      </c>
    </row>
    <row r="67" spans="1:9">
      <c r="A67" t="s">
        <v>105</v>
      </c>
      <c r="B67" t="str">
        <f>Output!A67</f>
        <v>Vereen</v>
      </c>
      <c r="C67" t="s">
        <v>102</v>
      </c>
      <c r="D67" t="str">
        <f>'Members Data'!D67</f>
        <v>RDPS</v>
      </c>
      <c r="E67" t="str">
        <f t="shared" ref="E67:E100" si="3">IF(D67="MDPS","D",IF(D67="RDPS","D",IF(D67="Healer","H",IF(D67="Tank","T","Error"))))</f>
        <v>D</v>
      </c>
      <c r="F67" t="s">
        <v>103</v>
      </c>
      <c r="G67" t="e">
        <f>Output!#REF!</f>
        <v>#REF!</v>
      </c>
      <c r="H67" t="s">
        <v>104</v>
      </c>
      <c r="I67" t="e">
        <f t="shared" si="2"/>
        <v>#REF!</v>
      </c>
    </row>
    <row r="68" spans="1:9">
      <c r="A68" t="s">
        <v>105</v>
      </c>
      <c r="B68" t="str">
        <f>Output!A68</f>
        <v>Xanadaria</v>
      </c>
      <c r="C68" t="s">
        <v>102</v>
      </c>
      <c r="D68" t="str">
        <f>'Members Data'!D68</f>
        <v>Healer</v>
      </c>
      <c r="E68" t="str">
        <f t="shared" si="3"/>
        <v>H</v>
      </c>
      <c r="F68" t="s">
        <v>103</v>
      </c>
      <c r="G68" t="e">
        <f>Output!#REF!</f>
        <v>#REF!</v>
      </c>
      <c r="H68" t="s">
        <v>104</v>
      </c>
      <c r="I68" t="e">
        <f t="shared" si="2"/>
        <v>#REF!</v>
      </c>
    </row>
    <row r="69" spans="1:9">
      <c r="A69" t="s">
        <v>105</v>
      </c>
      <c r="B69" t="str">
        <f>Output!A69</f>
        <v>Xian</v>
      </c>
      <c r="C69" t="s">
        <v>102</v>
      </c>
      <c r="D69" t="str">
        <f>'Members Data'!D69</f>
        <v>MDPS</v>
      </c>
      <c r="E69" t="str">
        <f t="shared" si="3"/>
        <v>D</v>
      </c>
      <c r="F69" t="s">
        <v>103</v>
      </c>
      <c r="G69" t="e">
        <f>Output!#REF!</f>
        <v>#REF!</v>
      </c>
      <c r="H69" t="s">
        <v>104</v>
      </c>
      <c r="I69" t="e">
        <f t="shared" si="2"/>
        <v>#REF!</v>
      </c>
    </row>
    <row r="70" spans="1:9">
      <c r="A70" t="s">
        <v>105</v>
      </c>
      <c r="B70" t="str">
        <f>Output!A70</f>
        <v>Xytree</v>
      </c>
      <c r="C70" t="s">
        <v>102</v>
      </c>
      <c r="D70" t="str">
        <f>'Members Data'!D70</f>
        <v>Healer</v>
      </c>
      <c r="E70" t="str">
        <f t="shared" si="3"/>
        <v>H</v>
      </c>
      <c r="F70" t="s">
        <v>103</v>
      </c>
      <c r="G70" t="e">
        <f>Output!#REF!</f>
        <v>#REF!</v>
      </c>
      <c r="H70" t="s">
        <v>104</v>
      </c>
      <c r="I70" t="e">
        <f t="shared" si="2"/>
        <v>#REF!</v>
      </c>
    </row>
    <row r="71" spans="1:9">
      <c r="A71" t="s">
        <v>105</v>
      </c>
      <c r="B71" t="str">
        <f>Output!A71</f>
        <v>Yardk</v>
      </c>
      <c r="C71" t="s">
        <v>102</v>
      </c>
      <c r="D71" t="str">
        <f>'Members Data'!D71</f>
        <v>MDPS</v>
      </c>
      <c r="E71" t="str">
        <f t="shared" si="3"/>
        <v>D</v>
      </c>
      <c r="F71" t="s">
        <v>103</v>
      </c>
      <c r="G71" t="e">
        <f>Output!#REF!</f>
        <v>#REF!</v>
      </c>
      <c r="H71" t="s">
        <v>104</v>
      </c>
      <c r="I71" t="e">
        <f t="shared" si="2"/>
        <v>#REF!</v>
      </c>
    </row>
    <row r="72" spans="1:9">
      <c r="A72" t="s">
        <v>105</v>
      </c>
      <c r="B72" t="str">
        <f>Output!A72</f>
        <v>Yse</v>
      </c>
      <c r="C72" t="s">
        <v>102</v>
      </c>
      <c r="D72" t="str">
        <f>'Members Data'!D72</f>
        <v>RDPS</v>
      </c>
      <c r="E72" t="str">
        <f t="shared" si="3"/>
        <v>D</v>
      </c>
      <c r="F72" t="s">
        <v>103</v>
      </c>
      <c r="G72" t="e">
        <f>Output!#REF!</f>
        <v>#REF!</v>
      </c>
      <c r="H72" t="s">
        <v>104</v>
      </c>
      <c r="I72" t="e">
        <f t="shared" si="2"/>
        <v>#REF!</v>
      </c>
    </row>
    <row r="73" spans="1:9">
      <c r="A73" t="s">
        <v>105</v>
      </c>
      <c r="B73" t="str">
        <f>Output!A73</f>
        <v>Zantias</v>
      </c>
      <c r="C73" t="s">
        <v>102</v>
      </c>
      <c r="D73" t="str">
        <f>'Members Data'!D73</f>
        <v>RDPS</v>
      </c>
      <c r="E73" t="str">
        <f t="shared" si="3"/>
        <v>D</v>
      </c>
      <c r="F73" t="s">
        <v>103</v>
      </c>
      <c r="G73" t="e">
        <f>Output!#REF!</f>
        <v>#REF!</v>
      </c>
      <c r="H73" t="s">
        <v>104</v>
      </c>
      <c r="I73" t="e">
        <f t="shared" si="2"/>
        <v>#REF!</v>
      </c>
    </row>
    <row r="74" spans="1:9">
      <c r="A74" t="s">
        <v>105</v>
      </c>
      <c r="B74">
        <f>Output!A74</f>
        <v>0</v>
      </c>
      <c r="C74" t="s">
        <v>102</v>
      </c>
      <c r="D74">
        <f>'Members Data'!D74</f>
        <v>0</v>
      </c>
      <c r="E74" t="str">
        <f t="shared" si="3"/>
        <v>Error</v>
      </c>
      <c r="F74" t="s">
        <v>103</v>
      </c>
      <c r="G74" t="e">
        <f>Output!#REF!</f>
        <v>#REF!</v>
      </c>
      <c r="H74" t="s">
        <v>104</v>
      </c>
      <c r="I74" t="str">
        <f t="shared" si="2"/>
        <v/>
      </c>
    </row>
    <row r="75" spans="1:9">
      <c r="A75" t="s">
        <v>105</v>
      </c>
      <c r="B75">
        <f>Output!A75</f>
        <v>0</v>
      </c>
      <c r="C75" t="s">
        <v>102</v>
      </c>
      <c r="D75">
        <f>'Members Data'!D75</f>
        <v>0</v>
      </c>
      <c r="E75" t="str">
        <f t="shared" si="3"/>
        <v>Error</v>
      </c>
      <c r="F75" t="s">
        <v>103</v>
      </c>
      <c r="G75" t="e">
        <f>Output!#REF!</f>
        <v>#REF!</v>
      </c>
      <c r="H75" t="s">
        <v>104</v>
      </c>
      <c r="I75" t="str">
        <f t="shared" si="2"/>
        <v/>
      </c>
    </row>
    <row r="76" spans="1:9">
      <c r="A76" t="s">
        <v>105</v>
      </c>
      <c r="B76">
        <f>Output!A76</f>
        <v>0</v>
      </c>
      <c r="C76" t="s">
        <v>102</v>
      </c>
      <c r="D76">
        <f>'Members Data'!D76</f>
        <v>0</v>
      </c>
      <c r="E76" t="str">
        <f t="shared" si="3"/>
        <v>Error</v>
      </c>
      <c r="F76" t="s">
        <v>103</v>
      </c>
      <c r="G76" t="e">
        <f>Output!#REF!</f>
        <v>#REF!</v>
      </c>
      <c r="H76" t="s">
        <v>104</v>
      </c>
      <c r="I76" t="str">
        <f t="shared" si="2"/>
        <v/>
      </c>
    </row>
    <row r="77" spans="1:9">
      <c r="A77" t="s">
        <v>105</v>
      </c>
      <c r="B77">
        <f>Output!A77</f>
        <v>0</v>
      </c>
      <c r="C77" t="s">
        <v>102</v>
      </c>
      <c r="D77">
        <f>'Members Data'!D77</f>
        <v>0</v>
      </c>
      <c r="E77" t="str">
        <f t="shared" si="3"/>
        <v>Error</v>
      </c>
      <c r="F77" t="s">
        <v>103</v>
      </c>
      <c r="G77" t="e">
        <f>Output!#REF!</f>
        <v>#REF!</v>
      </c>
      <c r="H77" t="s">
        <v>104</v>
      </c>
      <c r="I77" t="str">
        <f t="shared" si="2"/>
        <v/>
      </c>
    </row>
    <row r="78" spans="1:9">
      <c r="A78" t="s">
        <v>105</v>
      </c>
      <c r="B78">
        <f>Output!A78</f>
        <v>0</v>
      </c>
      <c r="C78" t="s">
        <v>102</v>
      </c>
      <c r="D78">
        <f>'Members Data'!D78</f>
        <v>0</v>
      </c>
      <c r="E78" t="str">
        <f t="shared" si="3"/>
        <v>Error</v>
      </c>
      <c r="F78" t="s">
        <v>103</v>
      </c>
      <c r="G78" t="e">
        <f>Output!#REF!</f>
        <v>#REF!</v>
      </c>
      <c r="H78" t="s">
        <v>104</v>
      </c>
      <c r="I78" t="str">
        <f t="shared" si="2"/>
        <v/>
      </c>
    </row>
    <row r="79" spans="1:9">
      <c r="A79" t="s">
        <v>105</v>
      </c>
      <c r="B79">
        <f>Output!A79</f>
        <v>0</v>
      </c>
      <c r="C79" t="s">
        <v>102</v>
      </c>
      <c r="D79">
        <f>'Members Data'!D79</f>
        <v>0</v>
      </c>
      <c r="E79" t="str">
        <f t="shared" si="3"/>
        <v>Error</v>
      </c>
      <c r="F79" t="s">
        <v>103</v>
      </c>
      <c r="G79" t="e">
        <f>Output!#REF!</f>
        <v>#REF!</v>
      </c>
      <c r="H79" t="s">
        <v>104</v>
      </c>
      <c r="I79" t="str">
        <f t="shared" si="2"/>
        <v/>
      </c>
    </row>
    <row r="80" spans="1:9">
      <c r="A80" t="s">
        <v>105</v>
      </c>
      <c r="B80">
        <f>Output!A80</f>
        <v>0</v>
      </c>
      <c r="C80" t="s">
        <v>102</v>
      </c>
      <c r="D80">
        <f>'Members Data'!D80</f>
        <v>0</v>
      </c>
      <c r="E80" t="str">
        <f t="shared" si="3"/>
        <v>Error</v>
      </c>
      <c r="F80" t="s">
        <v>103</v>
      </c>
      <c r="G80" t="e">
        <f>Output!#REF!</f>
        <v>#REF!</v>
      </c>
      <c r="H80" t="s">
        <v>104</v>
      </c>
      <c r="I80" t="str">
        <f t="shared" si="2"/>
        <v/>
      </c>
    </row>
    <row r="81" spans="1:9">
      <c r="A81" t="s">
        <v>105</v>
      </c>
      <c r="B81">
        <f>Output!A81</f>
        <v>0</v>
      </c>
      <c r="C81" t="s">
        <v>102</v>
      </c>
      <c r="D81">
        <f>'Members Data'!D81</f>
        <v>0</v>
      </c>
      <c r="E81" t="str">
        <f t="shared" si="3"/>
        <v>Error</v>
      </c>
      <c r="F81" t="s">
        <v>103</v>
      </c>
      <c r="G81" t="e">
        <f>Output!#REF!</f>
        <v>#REF!</v>
      </c>
      <c r="H81" t="s">
        <v>104</v>
      </c>
      <c r="I81" t="str">
        <f t="shared" si="2"/>
        <v/>
      </c>
    </row>
    <row r="82" spans="1:9">
      <c r="A82" t="s">
        <v>105</v>
      </c>
      <c r="B82">
        <f>Output!A82</f>
        <v>0</v>
      </c>
      <c r="C82" t="s">
        <v>102</v>
      </c>
      <c r="D82">
        <f>'Members Data'!D82</f>
        <v>0</v>
      </c>
      <c r="E82" t="str">
        <f t="shared" si="3"/>
        <v>Error</v>
      </c>
      <c r="F82" t="s">
        <v>103</v>
      </c>
      <c r="G82" t="e">
        <f>Output!#REF!</f>
        <v>#REF!</v>
      </c>
      <c r="H82" t="s">
        <v>104</v>
      </c>
      <c r="I82" t="str">
        <f t="shared" si="2"/>
        <v/>
      </c>
    </row>
    <row r="83" spans="1:9">
      <c r="A83" t="s">
        <v>105</v>
      </c>
      <c r="B83">
        <f>Output!A83</f>
        <v>0</v>
      </c>
      <c r="C83" t="s">
        <v>102</v>
      </c>
      <c r="D83">
        <f>'Members Data'!D83</f>
        <v>0</v>
      </c>
      <c r="E83" t="str">
        <f t="shared" si="3"/>
        <v>Error</v>
      </c>
      <c r="F83" t="s">
        <v>103</v>
      </c>
      <c r="G83" t="e">
        <f>Output!#REF!</f>
        <v>#REF!</v>
      </c>
      <c r="H83" t="s">
        <v>104</v>
      </c>
      <c r="I83" t="str">
        <f t="shared" si="2"/>
        <v/>
      </c>
    </row>
    <row r="84" spans="1:9">
      <c r="A84" t="s">
        <v>105</v>
      </c>
      <c r="B84">
        <f>Output!A84</f>
        <v>0</v>
      </c>
      <c r="C84" t="s">
        <v>102</v>
      </c>
      <c r="D84">
        <f>'Members Data'!D84</f>
        <v>0</v>
      </c>
      <c r="E84" t="str">
        <f t="shared" si="3"/>
        <v>Error</v>
      </c>
      <c r="F84" t="s">
        <v>103</v>
      </c>
      <c r="G84" t="e">
        <f>Output!#REF!</f>
        <v>#REF!</v>
      </c>
      <c r="H84" t="s">
        <v>104</v>
      </c>
      <c r="I84" t="str">
        <f t="shared" si="2"/>
        <v/>
      </c>
    </row>
    <row r="85" spans="1:9">
      <c r="A85" t="s">
        <v>105</v>
      </c>
      <c r="B85">
        <f>Output!A85</f>
        <v>0</v>
      </c>
      <c r="C85" t="s">
        <v>102</v>
      </c>
      <c r="D85">
        <f>'Members Data'!D85</f>
        <v>0</v>
      </c>
      <c r="E85" t="str">
        <f t="shared" si="3"/>
        <v>Error</v>
      </c>
      <c r="F85" t="s">
        <v>103</v>
      </c>
      <c r="G85" t="e">
        <f>Output!#REF!</f>
        <v>#REF!</v>
      </c>
      <c r="H85" t="s">
        <v>104</v>
      </c>
      <c r="I85" t="str">
        <f t="shared" si="2"/>
        <v/>
      </c>
    </row>
    <row r="86" spans="1:9">
      <c r="A86" t="s">
        <v>105</v>
      </c>
      <c r="B86">
        <f>Output!A86</f>
        <v>0</v>
      </c>
      <c r="C86" t="s">
        <v>102</v>
      </c>
      <c r="D86">
        <f>'Members Data'!D86</f>
        <v>0</v>
      </c>
      <c r="E86" t="str">
        <f t="shared" si="3"/>
        <v>Error</v>
      </c>
      <c r="F86" t="s">
        <v>103</v>
      </c>
      <c r="G86" t="e">
        <f>Output!#REF!</f>
        <v>#REF!</v>
      </c>
      <c r="H86" t="s">
        <v>104</v>
      </c>
      <c r="I86" t="str">
        <f t="shared" si="2"/>
        <v/>
      </c>
    </row>
    <row r="87" spans="1:9">
      <c r="A87" t="s">
        <v>105</v>
      </c>
      <c r="B87">
        <f>Output!A87</f>
        <v>0</v>
      </c>
      <c r="C87" t="s">
        <v>102</v>
      </c>
      <c r="D87">
        <f>'Members Data'!D87</f>
        <v>0</v>
      </c>
      <c r="E87" t="str">
        <f t="shared" si="3"/>
        <v>Error</v>
      </c>
      <c r="F87" t="s">
        <v>103</v>
      </c>
      <c r="G87" t="e">
        <f>Output!#REF!</f>
        <v>#REF!</v>
      </c>
      <c r="H87" t="s">
        <v>104</v>
      </c>
      <c r="I87" t="str">
        <f t="shared" si="2"/>
        <v/>
      </c>
    </row>
    <row r="88" spans="1:9">
      <c r="A88" t="s">
        <v>105</v>
      </c>
      <c r="B88">
        <f>Output!A88</f>
        <v>0</v>
      </c>
      <c r="C88" t="s">
        <v>102</v>
      </c>
      <c r="D88">
        <f>'Members Data'!D88</f>
        <v>0</v>
      </c>
      <c r="E88" t="str">
        <f t="shared" si="3"/>
        <v>Error</v>
      </c>
      <c r="F88" t="s">
        <v>103</v>
      </c>
      <c r="G88" t="e">
        <f>Output!#REF!</f>
        <v>#REF!</v>
      </c>
      <c r="H88" t="s">
        <v>104</v>
      </c>
      <c r="I88" t="str">
        <f t="shared" si="2"/>
        <v/>
      </c>
    </row>
    <row r="89" spans="1:9">
      <c r="A89" t="s">
        <v>105</v>
      </c>
      <c r="B89">
        <f>Output!A89</f>
        <v>0</v>
      </c>
      <c r="C89" t="s">
        <v>102</v>
      </c>
      <c r="D89">
        <f>'Members Data'!D89</f>
        <v>0</v>
      </c>
      <c r="E89" t="str">
        <f t="shared" si="3"/>
        <v>Error</v>
      </c>
      <c r="F89" t="s">
        <v>103</v>
      </c>
      <c r="G89" t="e">
        <f>Output!#REF!</f>
        <v>#REF!</v>
      </c>
      <c r="H89" t="s">
        <v>104</v>
      </c>
      <c r="I89" t="str">
        <f t="shared" si="2"/>
        <v/>
      </c>
    </row>
    <row r="90" spans="1:9">
      <c r="A90" t="s">
        <v>105</v>
      </c>
      <c r="B90">
        <f>Output!A90</f>
        <v>0</v>
      </c>
      <c r="C90" t="s">
        <v>102</v>
      </c>
      <c r="D90">
        <f>'Members Data'!D90</f>
        <v>0</v>
      </c>
      <c r="E90" t="str">
        <f t="shared" si="3"/>
        <v>Error</v>
      </c>
      <c r="F90" t="s">
        <v>103</v>
      </c>
      <c r="G90" t="e">
        <f>Output!#REF!</f>
        <v>#REF!</v>
      </c>
      <c r="H90" t="s">
        <v>104</v>
      </c>
      <c r="I90" t="str">
        <f t="shared" si="2"/>
        <v/>
      </c>
    </row>
    <row r="91" spans="1:9">
      <c r="A91" t="s">
        <v>105</v>
      </c>
      <c r="B91">
        <f>Output!A91</f>
        <v>0</v>
      </c>
      <c r="C91" t="s">
        <v>102</v>
      </c>
      <c r="D91">
        <f>'Members Data'!D91</f>
        <v>0</v>
      </c>
      <c r="E91" t="str">
        <f t="shared" si="3"/>
        <v>Error</v>
      </c>
      <c r="F91" t="s">
        <v>103</v>
      </c>
      <c r="G91" t="e">
        <f>Output!#REF!</f>
        <v>#REF!</v>
      </c>
      <c r="H91" t="s">
        <v>104</v>
      </c>
      <c r="I91" t="str">
        <f t="shared" si="2"/>
        <v/>
      </c>
    </row>
    <row r="92" spans="1:9">
      <c r="A92" t="s">
        <v>105</v>
      </c>
      <c r="B92">
        <f>Output!A92</f>
        <v>0</v>
      </c>
      <c r="C92" t="s">
        <v>102</v>
      </c>
      <c r="D92">
        <f>'Members Data'!D92</f>
        <v>0</v>
      </c>
      <c r="E92" t="str">
        <f t="shared" si="3"/>
        <v>Error</v>
      </c>
      <c r="F92" t="s">
        <v>103</v>
      </c>
      <c r="G92" t="e">
        <f>Output!#REF!</f>
        <v>#REF!</v>
      </c>
      <c r="H92" t="s">
        <v>104</v>
      </c>
      <c r="I92" t="str">
        <f t="shared" si="2"/>
        <v/>
      </c>
    </row>
    <row r="93" spans="1:9">
      <c r="A93" t="s">
        <v>105</v>
      </c>
      <c r="B93">
        <f>Output!A93</f>
        <v>0</v>
      </c>
      <c r="C93" t="s">
        <v>102</v>
      </c>
      <c r="D93">
        <f>'Members Data'!D93</f>
        <v>0</v>
      </c>
      <c r="E93" t="str">
        <f t="shared" si="3"/>
        <v>Error</v>
      </c>
      <c r="F93" t="s">
        <v>103</v>
      </c>
      <c r="G93" t="e">
        <f>Output!#REF!</f>
        <v>#REF!</v>
      </c>
      <c r="H93" t="s">
        <v>104</v>
      </c>
      <c r="I93" t="str">
        <f t="shared" si="2"/>
        <v/>
      </c>
    </row>
    <row r="94" spans="1:9">
      <c r="A94" t="s">
        <v>105</v>
      </c>
      <c r="B94">
        <f>Output!A94</f>
        <v>0</v>
      </c>
      <c r="C94" t="s">
        <v>102</v>
      </c>
      <c r="D94">
        <f>'Members Data'!D94</f>
        <v>0</v>
      </c>
      <c r="E94" t="str">
        <f t="shared" si="3"/>
        <v>Error</v>
      </c>
      <c r="F94" t="s">
        <v>103</v>
      </c>
      <c r="G94" t="e">
        <f>Output!#REF!</f>
        <v>#REF!</v>
      </c>
      <c r="H94" t="s">
        <v>104</v>
      </c>
      <c r="I94" t="str">
        <f t="shared" si="2"/>
        <v/>
      </c>
    </row>
    <row r="95" spans="1:9">
      <c r="A95" t="s">
        <v>105</v>
      </c>
      <c r="B95">
        <f>Output!A95</f>
        <v>0</v>
      </c>
      <c r="C95" t="s">
        <v>102</v>
      </c>
      <c r="D95">
        <f>'Members Data'!D95</f>
        <v>0</v>
      </c>
      <c r="E95" t="str">
        <f t="shared" si="3"/>
        <v>Error</v>
      </c>
      <c r="F95" t="s">
        <v>103</v>
      </c>
      <c r="G95" t="e">
        <f>Output!#REF!</f>
        <v>#REF!</v>
      </c>
      <c r="H95" t="s">
        <v>104</v>
      </c>
      <c r="I95" t="str">
        <f t="shared" si="2"/>
        <v/>
      </c>
    </row>
    <row r="96" spans="1:9">
      <c r="A96" t="s">
        <v>105</v>
      </c>
      <c r="B96">
        <f>Output!A96</f>
        <v>0</v>
      </c>
      <c r="C96" t="s">
        <v>102</v>
      </c>
      <c r="D96">
        <f>'Members Data'!D96</f>
        <v>0</v>
      </c>
      <c r="E96" t="str">
        <f t="shared" si="3"/>
        <v>Error</v>
      </c>
      <c r="F96" t="s">
        <v>103</v>
      </c>
      <c r="G96" t="e">
        <f>Output!#REF!</f>
        <v>#REF!</v>
      </c>
      <c r="H96" t="s">
        <v>104</v>
      </c>
      <c r="I96" t="str">
        <f t="shared" si="2"/>
        <v/>
      </c>
    </row>
    <row r="97" spans="1:9">
      <c r="A97" t="s">
        <v>105</v>
      </c>
      <c r="B97">
        <f>Output!A97</f>
        <v>0</v>
      </c>
      <c r="C97" t="s">
        <v>102</v>
      </c>
      <c r="D97">
        <f>'Members Data'!D97</f>
        <v>0</v>
      </c>
      <c r="E97" t="str">
        <f t="shared" si="3"/>
        <v>Error</v>
      </c>
      <c r="F97" t="s">
        <v>103</v>
      </c>
      <c r="G97" t="e">
        <f>Output!#REF!</f>
        <v>#REF!</v>
      </c>
      <c r="H97" t="s">
        <v>104</v>
      </c>
      <c r="I97" t="str">
        <f t="shared" si="2"/>
        <v/>
      </c>
    </row>
    <row r="98" spans="1:9">
      <c r="A98" t="s">
        <v>105</v>
      </c>
      <c r="B98">
        <f>Output!A98</f>
        <v>0</v>
      </c>
      <c r="C98" t="s">
        <v>102</v>
      </c>
      <c r="D98">
        <f>'Members Data'!D98</f>
        <v>0</v>
      </c>
      <c r="E98" t="str">
        <f t="shared" si="3"/>
        <v>Error</v>
      </c>
      <c r="F98" t="s">
        <v>103</v>
      </c>
      <c r="G98" t="e">
        <f>Output!#REF!</f>
        <v>#REF!</v>
      </c>
      <c r="H98" t="s">
        <v>104</v>
      </c>
      <c r="I98" t="str">
        <f t="shared" si="2"/>
        <v/>
      </c>
    </row>
    <row r="99" spans="1:9">
      <c r="A99" t="s">
        <v>105</v>
      </c>
      <c r="B99">
        <f>Output!A99</f>
        <v>0</v>
      </c>
      <c r="C99" t="s">
        <v>102</v>
      </c>
      <c r="D99">
        <f>'Members Data'!D99</f>
        <v>0</v>
      </c>
      <c r="E99" t="str">
        <f t="shared" si="3"/>
        <v>Error</v>
      </c>
      <c r="F99" t="s">
        <v>103</v>
      </c>
      <c r="G99" t="e">
        <f>Output!#REF!</f>
        <v>#REF!</v>
      </c>
      <c r="H99" t="s">
        <v>104</v>
      </c>
      <c r="I99" t="str">
        <f t="shared" si="2"/>
        <v/>
      </c>
    </row>
    <row r="100" spans="1:9">
      <c r="A100" t="s">
        <v>105</v>
      </c>
      <c r="B100">
        <f>Output!A100</f>
        <v>0</v>
      </c>
      <c r="C100" t="s">
        <v>102</v>
      </c>
      <c r="D100">
        <f>'Members Data'!D100</f>
        <v>0</v>
      </c>
      <c r="E100" t="str">
        <f t="shared" si="3"/>
        <v>Error</v>
      </c>
      <c r="F100" t="s">
        <v>103</v>
      </c>
      <c r="G100" t="e">
        <f>Output!#REF!</f>
        <v>#REF!</v>
      </c>
      <c r="H100" t="s">
        <v>104</v>
      </c>
      <c r="I100" t="str">
        <f t="shared" si="2"/>
        <v/>
      </c>
    </row>
    <row r="101" spans="1:9">
      <c r="I101" t="s">
        <v>106</v>
      </c>
    </row>
  </sheetData>
  <sheetProtection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J128"/>
  <sheetViews>
    <sheetView tabSelected="1" zoomScale="66" zoomScaleNormal="66" workbookViewId="0">
      <pane xSplit="1" ySplit="1" topLeftCell="B2" activePane="bottomRight" state="frozen"/>
      <selection activeCell="F51" sqref="F47:F51"/>
      <selection pane="topRight" activeCell="F51" sqref="F47:F51"/>
      <selection pane="bottomLeft" activeCell="F51" sqref="F47:F51"/>
      <selection pane="bottomRight" activeCell="B40" sqref="B40"/>
    </sheetView>
  </sheetViews>
  <sheetFormatPr defaultColWidth="8.7109375" defaultRowHeight="15" customHeight="1"/>
  <cols>
    <col min="1" max="1" width="14" style="43" bestFit="1" customWidth="1"/>
    <col min="2" max="2" width="15.85546875" style="43" bestFit="1" customWidth="1"/>
    <col min="3" max="3" width="12.42578125" style="1" bestFit="1" customWidth="1"/>
    <col min="4" max="7" width="12.42578125" style="1" customWidth="1"/>
    <col min="8" max="8" width="12.42578125" style="263" customWidth="1"/>
    <col min="9" max="9" width="8.7109375" style="1" customWidth="1"/>
    <col min="10" max="10" width="9" style="1" bestFit="1" customWidth="1"/>
    <col min="11" max="11" width="10.7109375" style="1" customWidth="1"/>
    <col min="12" max="21" width="8.7109375" style="1" customWidth="1"/>
    <col min="23" max="24" width="8.7109375" hidden="1" customWidth="1"/>
    <col min="25" max="25" width="8.7109375" style="1" hidden="1" customWidth="1"/>
    <col min="26" max="26" width="11.28515625" style="1" hidden="1" customWidth="1"/>
    <col min="27" max="29" width="8.7109375" style="1" hidden="1" customWidth="1"/>
    <col min="30" max="30" width="8.7109375" style="1"/>
    <col min="31" max="31" width="8.7109375" style="1" hidden="1" customWidth="1"/>
    <col min="32" max="32" width="0" style="1" hidden="1" customWidth="1"/>
    <col min="33" max="33" width="8.7109375" style="1" hidden="1" customWidth="1"/>
    <col min="34" max="35" width="0" style="1" hidden="1" customWidth="1"/>
    <col min="36" max="36" width="8.7109375" style="1" hidden="1" customWidth="1"/>
    <col min="37" max="244" width="8.7109375" style="1"/>
  </cols>
  <sheetData>
    <row r="1" spans="1:244" ht="37.5" customHeight="1" thickBot="1">
      <c r="A1" s="29" t="s">
        <v>19</v>
      </c>
      <c r="B1" s="116" t="s">
        <v>20</v>
      </c>
      <c r="C1" s="31" t="s">
        <v>5</v>
      </c>
      <c r="D1" s="30" t="s">
        <v>21</v>
      </c>
      <c r="E1" s="30" t="s">
        <v>54</v>
      </c>
      <c r="F1" s="30" t="s">
        <v>92</v>
      </c>
      <c r="G1" s="30" t="s">
        <v>94</v>
      </c>
      <c r="H1" s="262" t="s">
        <v>95</v>
      </c>
      <c r="J1" s="30" t="s">
        <v>310</v>
      </c>
      <c r="K1" s="262" t="s">
        <v>91</v>
      </c>
      <c r="V1" s="16"/>
      <c r="X1" s="1"/>
      <c r="IJ1"/>
    </row>
    <row r="2" spans="1:244" ht="15" customHeight="1">
      <c r="A2" s="420" t="s">
        <v>209</v>
      </c>
      <c r="B2" s="117" t="s">
        <v>24</v>
      </c>
      <c r="C2" s="32" t="s">
        <v>14</v>
      </c>
      <c r="D2" s="34" t="s">
        <v>51</v>
      </c>
      <c r="E2" s="174">
        <f>Output!E2</f>
        <v>635</v>
      </c>
      <c r="F2" s="175">
        <f>Output!J2</f>
        <v>0</v>
      </c>
      <c r="G2" s="174">
        <f>IF(B2="Traveler",TDCC!B2,IF(B2="Errant",EDCC!B2,VDCC!B2))</f>
        <v>0</v>
      </c>
      <c r="H2" s="174">
        <f>IF(ISNA(AE2),0,AE2)</f>
        <v>0</v>
      </c>
      <c r="J2" s="174" t="str">
        <f>IF($E2&lt;'Short &amp; Simple'!$D$83,"Traveler",IF('Members Data'!$E2&lt;'Short &amp; Simple'!$D$84,"Errant","Venturer"))</f>
        <v>Venturer</v>
      </c>
      <c r="K2" s="174" t="str">
        <f>Output!K2</f>
        <v>Traveler</v>
      </c>
      <c r="AE2" s="1" t="e">
        <f>VLOOKUP(A2,'Look-up'!E:F,2,FALSE)</f>
        <v>#N/A</v>
      </c>
    </row>
    <row r="3" spans="1:244" ht="15" customHeight="1">
      <c r="A3" s="418"/>
      <c r="B3" s="118"/>
      <c r="C3" s="34"/>
      <c r="D3" s="34"/>
      <c r="E3" s="176">
        <f>Output!E3</f>
        <v>0</v>
      </c>
      <c r="F3" s="177" t="e">
        <f>Output!J3</f>
        <v>#N/A</v>
      </c>
      <c r="G3" s="176">
        <f>IF(B3="Traveler",TDCC!B3,IF(B3="Errant",EDCC!B3,VDCC!B3))</f>
        <v>0</v>
      </c>
      <c r="H3" s="176">
        <f t="shared" ref="H3:H66" si="0">IF(ISNA(AE3),0,AE3)</f>
        <v>0</v>
      </c>
      <c r="J3" s="176" t="str">
        <f>IF($E3&lt;'Short &amp; Simple'!$D$83,"Traveler",IF('Members Data'!$E3&lt;'Short &amp; Simple'!$D$84,"Errant","Venturer"))</f>
        <v>Traveler</v>
      </c>
      <c r="K3" s="176" t="e">
        <f>Output!K3</f>
        <v>#N/A</v>
      </c>
      <c r="W3" s="165" t="s">
        <v>52</v>
      </c>
      <c r="X3" s="166"/>
      <c r="AE3" s="1" t="e">
        <f>VLOOKUP(A3,'Look-up'!E:F,2,FALSE)</f>
        <v>#N/A</v>
      </c>
      <c r="AG3" s="1" t="s">
        <v>24</v>
      </c>
      <c r="AJ3" s="1" t="s">
        <v>9</v>
      </c>
    </row>
    <row r="4" spans="1:244" ht="15" customHeight="1">
      <c r="A4" s="416" t="s">
        <v>239</v>
      </c>
      <c r="B4" s="118" t="s">
        <v>164</v>
      </c>
      <c r="C4" s="34" t="s">
        <v>12</v>
      </c>
      <c r="D4" s="34" t="s">
        <v>51</v>
      </c>
      <c r="E4" s="176">
        <f>Output!E4</f>
        <v>622</v>
      </c>
      <c r="F4" s="177">
        <f>Output!J4</f>
        <v>0</v>
      </c>
      <c r="G4" s="176">
        <f>IF(B4="Traveler",TDCC!B4,IF(B4="Errant",EDCC!B4,VDCC!B4))</f>
        <v>0</v>
      </c>
      <c r="H4" s="176">
        <f t="shared" si="0"/>
        <v>0</v>
      </c>
      <c r="J4" s="176" t="str">
        <f>IF($E4&lt;'Short &amp; Simple'!$D$83,"Traveler",IF('Members Data'!$E4&lt;'Short &amp; Simple'!$D$84,"Errant","Venturer"))</f>
        <v>Errant</v>
      </c>
      <c r="K4" s="176" t="str">
        <f>Output!K4</f>
        <v>Traveler</v>
      </c>
      <c r="W4" t="s">
        <v>51</v>
      </c>
      <c r="AE4" s="1" t="e">
        <f>VLOOKUP(A4,'Look-up'!E:F,2,FALSE)</f>
        <v>#N/A</v>
      </c>
      <c r="AG4" s="1" t="s">
        <v>164</v>
      </c>
      <c r="AJ4" s="1" t="s">
        <v>10</v>
      </c>
    </row>
    <row r="5" spans="1:244" ht="15" customHeight="1" thickBot="1">
      <c r="A5" s="416" t="s">
        <v>146</v>
      </c>
      <c r="B5" s="118" t="s">
        <v>23</v>
      </c>
      <c r="C5" s="34" t="s">
        <v>16</v>
      </c>
      <c r="D5" s="34" t="s">
        <v>51</v>
      </c>
      <c r="E5" s="176">
        <f>Output!E5</f>
        <v>634</v>
      </c>
      <c r="F5" s="177">
        <f>Output!J5</f>
        <v>0</v>
      </c>
      <c r="G5" s="176">
        <f>IF(B5="Traveler",TDCC!B5,IF(B5="Errant",EDCC!B5,VDCC!B5))</f>
        <v>1</v>
      </c>
      <c r="H5" s="176">
        <f t="shared" si="0"/>
        <v>0</v>
      </c>
      <c r="J5" s="176" t="str">
        <f>IF($E5&lt;'Short &amp; Simple'!$D$83,"Traveler",IF('Members Data'!$E5&lt;'Short &amp; Simple'!$D$84,"Errant","Venturer"))</f>
        <v>Venturer</v>
      </c>
      <c r="K5" s="176" t="str">
        <f>Output!K5</f>
        <v>Traveler</v>
      </c>
      <c r="W5" t="s">
        <v>7</v>
      </c>
      <c r="AD5"/>
      <c r="AE5" s="1" t="e">
        <f>VLOOKUP(A5,'Look-up'!E:F,2,FALSE)</f>
        <v>#N/A</v>
      </c>
      <c r="AG5" s="1" t="s">
        <v>23</v>
      </c>
      <c r="AJ5" s="1" t="s">
        <v>11</v>
      </c>
    </row>
    <row r="6" spans="1:244" ht="15" customHeight="1" thickBot="1">
      <c r="A6" s="416" t="s">
        <v>248</v>
      </c>
      <c r="B6" s="118" t="s">
        <v>24</v>
      </c>
      <c r="C6" s="34" t="s">
        <v>12</v>
      </c>
      <c r="D6" s="34" t="s">
        <v>51</v>
      </c>
      <c r="E6" s="176">
        <f>Output!E6</f>
        <v>519</v>
      </c>
      <c r="F6" s="177">
        <f>Output!J6</f>
        <v>0</v>
      </c>
      <c r="G6" s="176">
        <f>IF(B6="Traveler",TDCC!B6,IF(B6="Errant",EDCC!B6,VDCC!B6))</f>
        <v>0</v>
      </c>
      <c r="H6" s="176">
        <f t="shared" si="0"/>
        <v>0</v>
      </c>
      <c r="J6" s="176" t="str">
        <f>IF($E6&lt;'Short &amp; Simple'!$D$83,"Traveler",IF('Members Data'!$E6&lt;'Short &amp; Simple'!$D$84,"Errant","Venturer"))</f>
        <v>Traveler</v>
      </c>
      <c r="K6" s="176" t="str">
        <f>Output!K6</f>
        <v>Traveler</v>
      </c>
      <c r="W6" t="s">
        <v>8</v>
      </c>
      <c r="Y6" s="23" t="s">
        <v>88</v>
      </c>
      <c r="Z6" s="23" t="s">
        <v>93</v>
      </c>
      <c r="AA6" s="23"/>
      <c r="AB6" s="23"/>
      <c r="AC6" s="23" t="s">
        <v>87</v>
      </c>
      <c r="AD6"/>
      <c r="AE6" s="1" t="e">
        <f>VLOOKUP(A6,'Look-up'!E:F,2,FALSE)</f>
        <v>#N/A</v>
      </c>
      <c r="AJ6" s="1" t="s">
        <v>12</v>
      </c>
    </row>
    <row r="7" spans="1:244" ht="15" customHeight="1">
      <c r="A7" s="416" t="s">
        <v>345</v>
      </c>
      <c r="B7" s="118" t="s">
        <v>164</v>
      </c>
      <c r="C7" s="34" t="s">
        <v>14</v>
      </c>
      <c r="D7" s="34" t="s">
        <v>7</v>
      </c>
      <c r="E7" s="176">
        <f>Output!E7</f>
        <v>600</v>
      </c>
      <c r="F7" s="177">
        <f>Output!J7</f>
        <v>0</v>
      </c>
      <c r="G7" s="176">
        <f>IF(B7="Traveler",TDCC!B7,IF(B7="Errant",EDCC!B7,VDCC!B7))</f>
        <v>0</v>
      </c>
      <c r="H7" s="176">
        <f t="shared" si="0"/>
        <v>0</v>
      </c>
      <c r="J7" s="176" t="str">
        <f>IF($E7&lt;'Short &amp; Simple'!$D$83,"Traveler",IF('Members Data'!$E7&lt;'Short &amp; Simple'!$D$84,"Errant","Venturer"))</f>
        <v>Traveler</v>
      </c>
      <c r="K7" s="176" t="str">
        <f>Output!K7</f>
        <v>Traveler</v>
      </c>
      <c r="Y7" s="24" t="s">
        <v>24</v>
      </c>
      <c r="Z7" s="25">
        <f>'Short &amp; Simple'!C82</f>
        <v>0</v>
      </c>
      <c r="AA7" s="25"/>
      <c r="AB7" s="25"/>
      <c r="AC7" s="311">
        <f>'Short &amp; Simple'!F82/100</f>
        <v>0</v>
      </c>
      <c r="AD7" s="314"/>
      <c r="AE7" s="1" t="e">
        <f>VLOOKUP(A7,'Look-up'!E:F,2,FALSE)</f>
        <v>#N/A</v>
      </c>
      <c r="AJ7" s="1" t="s">
        <v>136</v>
      </c>
    </row>
    <row r="8" spans="1:244" ht="15" customHeight="1">
      <c r="A8" s="416" t="s">
        <v>210</v>
      </c>
      <c r="B8" s="118" t="s">
        <v>23</v>
      </c>
      <c r="C8" s="34" t="s">
        <v>14</v>
      </c>
      <c r="D8" s="34" t="s">
        <v>7</v>
      </c>
      <c r="E8" s="176">
        <f>Output!E8</f>
        <v>640</v>
      </c>
      <c r="F8" s="177">
        <f>Output!J8</f>
        <v>0</v>
      </c>
      <c r="G8" s="176">
        <f>IF(B8="Traveler",TDCC!B8,IF(B8="Errant",EDCC!B8,VDCC!B8))</f>
        <v>2</v>
      </c>
      <c r="H8" s="176">
        <f t="shared" si="0"/>
        <v>0</v>
      </c>
      <c r="J8" s="176" t="str">
        <f>IF($E8&lt;'Short &amp; Simple'!$D$83,"Traveler",IF('Members Data'!$E8&lt;'Short &amp; Simple'!$D$84,"Errant","Venturer"))</f>
        <v>Venturer</v>
      </c>
      <c r="K8" s="176" t="str">
        <f>Output!K8</f>
        <v>Traveler</v>
      </c>
      <c r="Y8" s="7" t="s">
        <v>164</v>
      </c>
      <c r="Z8" s="26">
        <f>'Short &amp; Simple'!C83</f>
        <v>4</v>
      </c>
      <c r="AA8" s="26"/>
      <c r="AB8" s="26"/>
      <c r="AC8" s="312">
        <v>0.4</v>
      </c>
      <c r="AD8" s="314"/>
      <c r="AE8" s="1" t="e">
        <f>VLOOKUP(A8,'Look-up'!E:F,2,FALSE)</f>
        <v>#N/A</v>
      </c>
      <c r="AJ8" s="1" t="s">
        <v>13</v>
      </c>
    </row>
    <row r="9" spans="1:244" ht="15" customHeight="1" thickBot="1">
      <c r="A9" s="416" t="s">
        <v>347</v>
      </c>
      <c r="B9" s="118" t="s">
        <v>164</v>
      </c>
      <c r="C9" s="34" t="s">
        <v>11</v>
      </c>
      <c r="D9" s="34" t="s">
        <v>51</v>
      </c>
      <c r="E9" s="176">
        <f>Output!E9</f>
        <v>581</v>
      </c>
      <c r="F9" s="177">
        <f>Output!J9</f>
        <v>0</v>
      </c>
      <c r="G9" s="176">
        <f>IF(B9="Traveler",TDCC!B9,IF(B9="Errant",EDCC!B9,VDCC!B9))</f>
        <v>0</v>
      </c>
      <c r="H9" s="176">
        <f t="shared" si="0"/>
        <v>0</v>
      </c>
      <c r="J9" s="176" t="str">
        <f>IF($E9&lt;'Short &amp; Simple'!$D$83,"Traveler",IF('Members Data'!$E9&lt;'Short &amp; Simple'!$D$84,"Errant","Venturer"))</f>
        <v>Traveler</v>
      </c>
      <c r="K9" s="176" t="str">
        <f>Output!K9</f>
        <v>Traveler</v>
      </c>
      <c r="R9"/>
      <c r="Y9" s="27" t="s">
        <v>23</v>
      </c>
      <c r="Z9" s="28">
        <v>4</v>
      </c>
      <c r="AA9" s="28"/>
      <c r="AB9" s="28"/>
      <c r="AC9" s="313">
        <v>0.6</v>
      </c>
      <c r="AD9" s="314"/>
      <c r="AE9" s="1" t="e">
        <f>VLOOKUP(A9,'Look-up'!E:F,2,FALSE)</f>
        <v>#N/A</v>
      </c>
      <c r="AJ9" s="1" t="s">
        <v>14</v>
      </c>
    </row>
    <row r="10" spans="1:244" ht="15" customHeight="1">
      <c r="A10" s="416" t="s">
        <v>222</v>
      </c>
      <c r="B10" s="118" t="s">
        <v>24</v>
      </c>
      <c r="C10" s="34" t="s">
        <v>13</v>
      </c>
      <c r="D10" s="34" t="s">
        <v>8</v>
      </c>
      <c r="E10" s="176">
        <f>Output!E10</f>
        <v>617</v>
      </c>
      <c r="F10" s="177">
        <f>Output!J10</f>
        <v>0</v>
      </c>
      <c r="G10" s="176">
        <f>IF(B10="Traveler",TDCC!B10,IF(B10="Errant",EDCC!B10,VDCC!B10))</f>
        <v>0</v>
      </c>
      <c r="H10" s="176">
        <f t="shared" si="0"/>
        <v>0</v>
      </c>
      <c r="J10" s="176" t="str">
        <f>IF($E10&lt;'Short &amp; Simple'!$D$83,"Traveler",IF('Members Data'!$E10&lt;'Short &amp; Simple'!$D$84,"Errant","Venturer"))</f>
        <v>Traveler</v>
      </c>
      <c r="K10" s="176" t="str">
        <f>Output!K10</f>
        <v>Traveler</v>
      </c>
      <c r="R10" s="426"/>
      <c r="Y10"/>
      <c r="AD10"/>
      <c r="AE10" s="1" t="e">
        <f>VLOOKUP(A10,'Look-up'!E:F,2,FALSE)</f>
        <v>#N/A</v>
      </c>
      <c r="AJ10" s="1" t="s">
        <v>15</v>
      </c>
    </row>
    <row r="11" spans="1:244" ht="15" customHeight="1">
      <c r="A11" s="416" t="s">
        <v>348</v>
      </c>
      <c r="B11" s="118" t="s">
        <v>24</v>
      </c>
      <c r="C11" s="34" t="s">
        <v>10</v>
      </c>
      <c r="D11" s="34" t="s">
        <v>52</v>
      </c>
      <c r="E11" s="176">
        <f>Output!E11</f>
        <v>628</v>
      </c>
      <c r="F11" s="177">
        <f>Output!J11</f>
        <v>0</v>
      </c>
      <c r="G11" s="176">
        <f>IF(B11="Traveler",TDCC!B11,IF(B11="Errant",EDCC!B11,VDCC!B11))</f>
        <v>0</v>
      </c>
      <c r="H11" s="176">
        <f t="shared" si="0"/>
        <v>0</v>
      </c>
      <c r="J11" s="176" t="str">
        <f>IF($E11&lt;'Short &amp; Simple'!$D$83,"Traveler",IF('Members Data'!$E11&lt;'Short &amp; Simple'!$D$84,"Errant","Venturer"))</f>
        <v>Errant</v>
      </c>
      <c r="K11" s="176" t="str">
        <f>Output!K11</f>
        <v>Traveler</v>
      </c>
      <c r="R11" s="426"/>
      <c r="Y11"/>
      <c r="AD11"/>
      <c r="AE11" s="1" t="e">
        <f>VLOOKUP(A11,'Look-up'!E:F,2,FALSE)</f>
        <v>#N/A</v>
      </c>
      <c r="AJ11" s="1" t="s">
        <v>16</v>
      </c>
    </row>
    <row r="12" spans="1:244" ht="15" customHeight="1">
      <c r="A12" s="416" t="s">
        <v>249</v>
      </c>
      <c r="B12" s="118" t="s">
        <v>23</v>
      </c>
      <c r="C12" s="34" t="s">
        <v>12</v>
      </c>
      <c r="D12" s="34" t="s">
        <v>51</v>
      </c>
      <c r="E12" s="176">
        <f>Output!E12</f>
        <v>635</v>
      </c>
      <c r="F12" s="177">
        <f>Output!J12</f>
        <v>0</v>
      </c>
      <c r="G12" s="176">
        <f>IF(B12="Traveler",TDCC!B12,IF(B12="Errant",EDCC!B12,VDCC!B12))</f>
        <v>2</v>
      </c>
      <c r="H12" s="176">
        <f t="shared" si="0"/>
        <v>0</v>
      </c>
      <c r="J12" s="176" t="str">
        <f>IF($E12&lt;'Short &amp; Simple'!$D$83,"Traveler",IF('Members Data'!$E12&lt;'Short &amp; Simple'!$D$84,"Errant","Venturer"))</f>
        <v>Venturer</v>
      </c>
      <c r="K12" s="176" t="str">
        <f>Output!K12</f>
        <v>Traveler</v>
      </c>
      <c r="R12" s="426"/>
      <c r="Y12"/>
      <c r="AE12" s="1" t="e">
        <f>VLOOKUP(A12,'Look-up'!E:F,2,FALSE)</f>
        <v>#N/A</v>
      </c>
      <c r="AJ12" s="1" t="s">
        <v>22</v>
      </c>
    </row>
    <row r="13" spans="1:244" ht="15" customHeight="1">
      <c r="A13" s="416"/>
      <c r="B13" s="118"/>
      <c r="C13" s="34"/>
      <c r="D13" s="34"/>
      <c r="E13" s="176">
        <f>Output!E13</f>
        <v>0</v>
      </c>
      <c r="F13" s="177" t="e">
        <f>Output!J13</f>
        <v>#N/A</v>
      </c>
      <c r="G13" s="176">
        <f>IF(B13="Traveler",TDCC!B13,IF(B13="Errant",EDCC!B13,VDCC!B13))</f>
        <v>0</v>
      </c>
      <c r="H13" s="176">
        <f t="shared" si="0"/>
        <v>0</v>
      </c>
      <c r="J13" s="176" t="str">
        <f>IF($E13&lt;'Short &amp; Simple'!$D$83,"Traveler",IF('Members Data'!$E13&lt;'Short &amp; Simple'!$D$84,"Errant","Venturer"))</f>
        <v>Traveler</v>
      </c>
      <c r="K13" s="176" t="e">
        <f>Output!K13</f>
        <v>#N/A</v>
      </c>
      <c r="R13" s="426"/>
      <c r="Y13"/>
      <c r="AE13" s="1" t="e">
        <f>VLOOKUP(A13,'Look-up'!E:F,2,FALSE)</f>
        <v>#N/A</v>
      </c>
      <c r="AJ13" s="1" t="s">
        <v>17</v>
      </c>
    </row>
    <row r="14" spans="1:244" ht="15" customHeight="1">
      <c r="A14" s="416" t="s">
        <v>261</v>
      </c>
      <c r="B14" s="118" t="s">
        <v>23</v>
      </c>
      <c r="C14" s="34" t="s">
        <v>10</v>
      </c>
      <c r="D14" s="34" t="s">
        <v>8</v>
      </c>
      <c r="E14" s="176">
        <f>Output!E14</f>
        <v>635</v>
      </c>
      <c r="F14" s="177">
        <f>Output!J14</f>
        <v>0</v>
      </c>
      <c r="G14" s="176">
        <f>IF(B14="Traveler",TDCC!B14,IF(B14="Errant",EDCC!B14,VDCC!B14))</f>
        <v>2</v>
      </c>
      <c r="H14" s="176">
        <f t="shared" si="0"/>
        <v>0</v>
      </c>
      <c r="J14" s="176" t="str">
        <f>IF($E14&lt;'Short &amp; Simple'!$D$83,"Traveler",IF('Members Data'!$E14&lt;'Short &amp; Simple'!$D$84,"Errant","Venturer"))</f>
        <v>Venturer</v>
      </c>
      <c r="K14" s="176" t="str">
        <f>Output!K14</f>
        <v>Traveler</v>
      </c>
      <c r="R14" s="426"/>
      <c r="Y14"/>
      <c r="AD14"/>
      <c r="AE14" s="1" t="e">
        <f>VLOOKUP(A14,'Look-up'!E:F,2,FALSE)</f>
        <v>#N/A</v>
      </c>
    </row>
    <row r="15" spans="1:244" ht="15" customHeight="1">
      <c r="A15" s="416"/>
      <c r="B15" s="118"/>
      <c r="C15" s="34"/>
      <c r="D15" s="34"/>
      <c r="E15" s="176">
        <f>Output!E15</f>
        <v>0</v>
      </c>
      <c r="F15" s="177" t="e">
        <f>Output!J15</f>
        <v>#N/A</v>
      </c>
      <c r="G15" s="176">
        <f>IF(B15="Traveler",TDCC!B15,IF(B15="Errant",EDCC!B15,VDCC!B15))</f>
        <v>0</v>
      </c>
      <c r="H15" s="176">
        <f t="shared" si="0"/>
        <v>0</v>
      </c>
      <c r="J15" s="176" t="str">
        <f>IF($E15&lt;'Short &amp; Simple'!$D$83,"Traveler",IF('Members Data'!$E15&lt;'Short &amp; Simple'!$D$84,"Errant","Venturer"))</f>
        <v>Traveler</v>
      </c>
      <c r="K15" s="176" t="e">
        <f>Output!K15</f>
        <v>#N/A</v>
      </c>
      <c r="R15" s="426"/>
      <c r="Y15"/>
      <c r="AE15" s="1" t="e">
        <f>VLOOKUP(A15,'Look-up'!E:F,2,FALSE)</f>
        <v>#N/A</v>
      </c>
    </row>
    <row r="16" spans="1:244" ht="15" customHeight="1">
      <c r="A16" s="416" t="s">
        <v>180</v>
      </c>
      <c r="B16" s="118" t="s">
        <v>24</v>
      </c>
      <c r="C16" s="34" t="s">
        <v>17</v>
      </c>
      <c r="D16" s="34" t="s">
        <v>52</v>
      </c>
      <c r="E16" s="176">
        <f>Output!E16</f>
        <v>621</v>
      </c>
      <c r="F16" s="177">
        <f>Output!J16</f>
        <v>0</v>
      </c>
      <c r="G16" s="176">
        <f>IF(B16="Traveler",TDCC!B16,IF(B16="Errant",EDCC!B16,VDCC!B16))</f>
        <v>0</v>
      </c>
      <c r="H16" s="176">
        <f t="shared" si="0"/>
        <v>0</v>
      </c>
      <c r="J16" s="176" t="str">
        <f>IF($E16&lt;'Short &amp; Simple'!$D$83,"Traveler",IF('Members Data'!$E16&lt;'Short &amp; Simple'!$D$84,"Errant","Venturer"))</f>
        <v>Errant</v>
      </c>
      <c r="K16" s="176" t="str">
        <f>Output!K16</f>
        <v>Traveler</v>
      </c>
      <c r="R16" s="426"/>
      <c r="Y16"/>
      <c r="AE16" s="1" t="e">
        <f>VLOOKUP(A16,'Look-up'!E:F,2,FALSE)</f>
        <v>#N/A</v>
      </c>
      <c r="AF16"/>
    </row>
    <row r="17" spans="1:38" ht="15" customHeight="1">
      <c r="A17" s="416" t="s">
        <v>221</v>
      </c>
      <c r="B17" s="118" t="s">
        <v>23</v>
      </c>
      <c r="C17" s="34" t="s">
        <v>13</v>
      </c>
      <c r="D17" s="34" t="s">
        <v>7</v>
      </c>
      <c r="E17" s="176">
        <f>Output!E17</f>
        <v>637</v>
      </c>
      <c r="F17" s="177">
        <f>Output!J17</f>
        <v>0</v>
      </c>
      <c r="G17" s="176">
        <f>IF(B17="Traveler",TDCC!B17,IF(B17="Errant",EDCC!B17,VDCC!B17))</f>
        <v>2</v>
      </c>
      <c r="H17" s="176">
        <f t="shared" si="0"/>
        <v>0</v>
      </c>
      <c r="J17" s="176" t="str">
        <f>IF($E17&lt;'Short &amp; Simple'!$D$83,"Traveler",IF('Members Data'!$E17&lt;'Short &amp; Simple'!$D$84,"Errant","Venturer"))</f>
        <v>Venturer</v>
      </c>
      <c r="K17" s="176" t="str">
        <f>Output!K17</f>
        <v>Traveler</v>
      </c>
      <c r="R17" s="426"/>
      <c r="Y17"/>
      <c r="AE17" s="1" t="e">
        <f>VLOOKUP(A17,'Look-up'!E:F,2,FALSE)</f>
        <v>#N/A</v>
      </c>
    </row>
    <row r="18" spans="1:38" ht="15" customHeight="1">
      <c r="A18" s="416" t="s">
        <v>173</v>
      </c>
      <c r="B18" s="118" t="s">
        <v>24</v>
      </c>
      <c r="C18" s="34" t="s">
        <v>17</v>
      </c>
      <c r="D18" s="34" t="s">
        <v>52</v>
      </c>
      <c r="E18" s="176">
        <f>Output!E18</f>
        <v>625</v>
      </c>
      <c r="F18" s="177">
        <f>Output!J18</f>
        <v>0</v>
      </c>
      <c r="G18" s="176">
        <f>IF(B18="Traveler",TDCC!B18,IF(B18="Errant",EDCC!B18,VDCC!B18))</f>
        <v>0</v>
      </c>
      <c r="H18" s="176">
        <f t="shared" si="0"/>
        <v>0</v>
      </c>
      <c r="J18" s="176" t="str">
        <f>IF($E18&lt;'Short &amp; Simple'!$D$83,"Traveler",IF('Members Data'!$E18&lt;'Short &amp; Simple'!$D$84,"Errant","Venturer"))</f>
        <v>Errant</v>
      </c>
      <c r="K18" s="176" t="str">
        <f>Output!K18</f>
        <v>Traveler</v>
      </c>
      <c r="R18" s="426"/>
      <c r="Y18"/>
      <c r="AE18" s="1" t="e">
        <f>VLOOKUP(A18,'Look-up'!E:F,2,FALSE)</f>
        <v>#N/A</v>
      </c>
    </row>
    <row r="19" spans="1:38" ht="15" customHeight="1">
      <c r="A19" s="416" t="s">
        <v>97</v>
      </c>
      <c r="B19" s="118" t="s">
        <v>23</v>
      </c>
      <c r="C19" s="34" t="s">
        <v>13</v>
      </c>
      <c r="D19" s="34" t="s">
        <v>8</v>
      </c>
      <c r="E19" s="176">
        <f>Output!E19</f>
        <v>636</v>
      </c>
      <c r="F19" s="177">
        <f>Output!J19</f>
        <v>0</v>
      </c>
      <c r="G19" s="176">
        <f>IF(B19="Traveler",TDCC!B19,IF(B19="Errant",EDCC!B19,VDCC!B19))</f>
        <v>2</v>
      </c>
      <c r="H19" s="176">
        <f t="shared" si="0"/>
        <v>0</v>
      </c>
      <c r="J19" s="176" t="str">
        <f>IF($E19&lt;'Short &amp; Simple'!$D$83,"Traveler",IF('Members Data'!$E19&lt;'Short &amp; Simple'!$D$84,"Errant","Venturer"))</f>
        <v>Venturer</v>
      </c>
      <c r="K19" s="176" t="str">
        <f>Output!K19</f>
        <v>Traveler</v>
      </c>
      <c r="R19" s="426"/>
      <c r="Y19"/>
      <c r="AE19" s="1" t="e">
        <f>VLOOKUP(A19,'Look-up'!E:F,2,FALSE)</f>
        <v>#N/A</v>
      </c>
    </row>
    <row r="20" spans="1:38" ht="15" customHeight="1">
      <c r="A20" s="416" t="s">
        <v>353</v>
      </c>
      <c r="B20" s="118" t="s">
        <v>23</v>
      </c>
      <c r="C20" s="34" t="s">
        <v>12</v>
      </c>
      <c r="D20" s="34" t="s">
        <v>51</v>
      </c>
      <c r="E20" s="176">
        <f>Output!E20</f>
        <v>648</v>
      </c>
      <c r="F20" s="177">
        <f>Output!J20</f>
        <v>0</v>
      </c>
      <c r="G20" s="176">
        <f>IF(B20="Traveler",TDCC!B20,IF(B20="Errant",EDCC!B20,VDCC!B20))</f>
        <v>2</v>
      </c>
      <c r="H20" s="176">
        <f t="shared" si="0"/>
        <v>0</v>
      </c>
      <c r="J20" s="176" t="str">
        <f>IF($E20&lt;'Short &amp; Simple'!$D$83,"Traveler",IF('Members Data'!$E20&lt;'Short &amp; Simple'!$D$84,"Errant","Venturer"))</f>
        <v>Venturer</v>
      </c>
      <c r="K20" s="176" t="str">
        <f>Output!K20</f>
        <v>Traveler</v>
      </c>
      <c r="R20"/>
      <c r="Y20"/>
      <c r="AE20" s="1" t="e">
        <f>VLOOKUP(A20,'Look-up'!E:F,2,FALSE)</f>
        <v>#N/A</v>
      </c>
    </row>
    <row r="21" spans="1:38" ht="15" customHeight="1">
      <c r="A21" s="416" t="s">
        <v>202</v>
      </c>
      <c r="B21" s="118" t="s">
        <v>23</v>
      </c>
      <c r="C21" s="34" t="s">
        <v>15</v>
      </c>
      <c r="D21" s="34" t="s">
        <v>52</v>
      </c>
      <c r="E21" s="176">
        <f>Output!E21</f>
        <v>637</v>
      </c>
      <c r="F21" s="177">
        <f>Output!J21</f>
        <v>0</v>
      </c>
      <c r="G21" s="176">
        <f>IF(B21="Traveler",TDCC!B21,IF(B21="Errant",EDCC!B21,VDCC!B21))</f>
        <v>2</v>
      </c>
      <c r="H21" s="176">
        <f t="shared" si="0"/>
        <v>0</v>
      </c>
      <c r="J21" s="176" t="str">
        <f>IF($E21&lt;'Short &amp; Simple'!$D$83,"Traveler",IF('Members Data'!$E21&lt;'Short &amp; Simple'!$D$84,"Errant","Venturer"))</f>
        <v>Venturer</v>
      </c>
      <c r="K21" s="176" t="str">
        <f>Output!K21</f>
        <v>Traveler</v>
      </c>
      <c r="R21" s="426"/>
      <c r="Y21"/>
      <c r="AE21" s="1" t="e">
        <f>VLOOKUP(A21,'Look-up'!E:F,2,FALSE)</f>
        <v>#N/A</v>
      </c>
    </row>
    <row r="22" spans="1:38" ht="15" customHeight="1">
      <c r="A22" s="416" t="s">
        <v>354</v>
      </c>
      <c r="B22" s="118" t="s">
        <v>164</v>
      </c>
      <c r="C22" s="34" t="s">
        <v>9</v>
      </c>
      <c r="D22" s="34" t="s">
        <v>8</v>
      </c>
      <c r="E22" s="176">
        <f>Output!E22</f>
        <v>619</v>
      </c>
      <c r="F22" s="177">
        <f>Output!J22</f>
        <v>0</v>
      </c>
      <c r="G22" s="176">
        <f>IF(B22="Traveler",TDCC!B22,IF(B22="Errant",EDCC!B22,VDCC!B22))</f>
        <v>0</v>
      </c>
      <c r="H22" s="176">
        <f t="shared" si="0"/>
        <v>0</v>
      </c>
      <c r="J22" s="176" t="str">
        <f>IF($E22&lt;'Short &amp; Simple'!$D$83,"Traveler",IF('Members Data'!$E22&lt;'Short &amp; Simple'!$D$84,"Errant","Venturer"))</f>
        <v>Traveler</v>
      </c>
      <c r="K22" s="176" t="str">
        <f>Output!K22</f>
        <v>Traveler</v>
      </c>
      <c r="R22" s="426"/>
      <c r="Y22"/>
      <c r="AE22" s="1" t="e">
        <f>VLOOKUP(A22,'Look-up'!E:F,2,FALSE)</f>
        <v>#N/A</v>
      </c>
    </row>
    <row r="23" spans="1:38" ht="15" customHeight="1">
      <c r="A23" s="416" t="s">
        <v>269</v>
      </c>
      <c r="B23" s="118" t="s">
        <v>23</v>
      </c>
      <c r="C23" s="34" t="s">
        <v>10</v>
      </c>
      <c r="D23" s="34" t="s">
        <v>7</v>
      </c>
      <c r="E23" s="176">
        <f>Output!E23</f>
        <v>630</v>
      </c>
      <c r="F23" s="177">
        <f>Output!J23</f>
        <v>0</v>
      </c>
      <c r="G23" s="176">
        <f>IF(B23="Traveler",TDCC!B23,IF(B23="Errant",EDCC!B23,VDCC!B23))</f>
        <v>0</v>
      </c>
      <c r="H23" s="176">
        <f t="shared" si="0"/>
        <v>0</v>
      </c>
      <c r="J23" s="176" t="str">
        <f>IF($E23&lt;'Short &amp; Simple'!$D$83,"Traveler",IF('Members Data'!$E23&lt;'Short &amp; Simple'!$D$84,"Errant","Venturer"))</f>
        <v>Venturer</v>
      </c>
      <c r="K23" s="176" t="str">
        <f>Output!K23</f>
        <v>Traveler</v>
      </c>
      <c r="R23" s="426"/>
      <c r="Y23"/>
      <c r="AE23" s="1" t="e">
        <f>VLOOKUP(A23,'Look-up'!E:F,2,FALSE)</f>
        <v>#N/A</v>
      </c>
    </row>
    <row r="24" spans="1:38" ht="15" customHeight="1">
      <c r="A24" s="416" t="s">
        <v>182</v>
      </c>
      <c r="B24" s="118" t="s">
        <v>23</v>
      </c>
      <c r="C24" s="34" t="s">
        <v>22</v>
      </c>
      <c r="D24" s="34" t="s">
        <v>51</v>
      </c>
      <c r="E24" s="176">
        <f>Output!E24</f>
        <v>637</v>
      </c>
      <c r="F24" s="177">
        <f>Output!J24</f>
        <v>0</v>
      </c>
      <c r="G24" s="176">
        <f>IF(B24="Traveler",TDCC!B24,IF(B24="Errant",EDCC!B24,VDCC!B24))</f>
        <v>1</v>
      </c>
      <c r="H24" s="176">
        <f t="shared" si="0"/>
        <v>0</v>
      </c>
      <c r="J24" s="176" t="str">
        <f>IF($E24&lt;'Short &amp; Simple'!$D$83,"Traveler",IF('Members Data'!$E24&lt;'Short &amp; Simple'!$D$84,"Errant","Venturer"))</f>
        <v>Venturer</v>
      </c>
      <c r="K24" s="176" t="str">
        <f>Output!K24</f>
        <v>Traveler</v>
      </c>
      <c r="R24" s="477"/>
      <c r="Y24"/>
      <c r="AE24" s="1" t="e">
        <f>VLOOKUP(A24,'Look-up'!E:F,2,FALSE)</f>
        <v>#N/A</v>
      </c>
    </row>
    <row r="25" spans="1:38" ht="15" customHeight="1">
      <c r="A25" s="416" t="s">
        <v>203</v>
      </c>
      <c r="B25" s="118" t="s">
        <v>23</v>
      </c>
      <c r="C25" s="34" t="s">
        <v>15</v>
      </c>
      <c r="D25" s="34" t="s">
        <v>52</v>
      </c>
      <c r="E25" s="176">
        <f>Output!E25</f>
        <v>637</v>
      </c>
      <c r="F25" s="177">
        <f>Output!J25</f>
        <v>0</v>
      </c>
      <c r="G25" s="176">
        <f>IF(B25="Traveler",TDCC!B25,IF(B25="Errant",EDCC!B25,VDCC!B25))</f>
        <v>2</v>
      </c>
      <c r="H25" s="176">
        <f t="shared" si="0"/>
        <v>0</v>
      </c>
      <c r="J25" s="176" t="str">
        <f>IF($E25&lt;'Short &amp; Simple'!$D$83,"Traveler",IF('Members Data'!$E25&lt;'Short &amp; Simple'!$D$84,"Errant","Venturer"))</f>
        <v>Venturer</v>
      </c>
      <c r="K25" s="176" t="str">
        <f>Output!K25</f>
        <v>Traveler</v>
      </c>
      <c r="R25" s="426"/>
      <c r="Y25"/>
      <c r="AE25" s="1" t="e">
        <f>VLOOKUP(A25,'Look-up'!E:F,2,FALSE)</f>
        <v>#N/A</v>
      </c>
    </row>
    <row r="26" spans="1:38" ht="15" customHeight="1">
      <c r="A26" s="416" t="s">
        <v>356</v>
      </c>
      <c r="B26" s="118" t="s">
        <v>164</v>
      </c>
      <c r="C26" s="34" t="s">
        <v>17</v>
      </c>
      <c r="D26" s="34" t="s">
        <v>52</v>
      </c>
      <c r="E26" s="176">
        <f>Output!E26</f>
        <v>617</v>
      </c>
      <c r="F26" s="177">
        <f>Output!J26</f>
        <v>0</v>
      </c>
      <c r="G26" s="176">
        <f>IF(B26="Traveler",TDCC!B26,IF(B26="Errant",EDCC!B26,VDCC!B26))</f>
        <v>0</v>
      </c>
      <c r="H26" s="176">
        <f t="shared" si="0"/>
        <v>0</v>
      </c>
      <c r="J26" s="176" t="str">
        <f>IF($E26&lt;'Short &amp; Simple'!$D$83,"Traveler",IF('Members Data'!$E26&lt;'Short &amp; Simple'!$D$84,"Errant","Venturer"))</f>
        <v>Traveler</v>
      </c>
      <c r="K26" s="176" t="str">
        <f>Output!K26</f>
        <v>Traveler</v>
      </c>
      <c r="R26" s="426"/>
      <c r="Y26"/>
      <c r="AE26" s="1" t="e">
        <f>VLOOKUP(A26,'Look-up'!E:F,2,FALSE)</f>
        <v>#N/A</v>
      </c>
    </row>
    <row r="27" spans="1:38" ht="15" customHeight="1">
      <c r="A27" s="416" t="s">
        <v>158</v>
      </c>
      <c r="B27" s="118" t="s">
        <v>23</v>
      </c>
      <c r="C27" s="34" t="s">
        <v>13</v>
      </c>
      <c r="D27" s="34" t="s">
        <v>52</v>
      </c>
      <c r="E27" s="176">
        <f>Output!E27</f>
        <v>635</v>
      </c>
      <c r="F27" s="177">
        <f>Output!J27</f>
        <v>0</v>
      </c>
      <c r="G27" s="176">
        <f>IF(B27="Traveler",TDCC!B27,IF(B27="Errant",EDCC!B27,VDCC!B27))</f>
        <v>0</v>
      </c>
      <c r="H27" s="176">
        <f t="shared" si="0"/>
        <v>0</v>
      </c>
      <c r="J27" s="176" t="str">
        <f>IF($E27&lt;'Short &amp; Simple'!$D$83,"Traveler",IF('Members Data'!$E27&lt;'Short &amp; Simple'!$D$84,"Errant","Venturer"))</f>
        <v>Venturer</v>
      </c>
      <c r="K27" s="176" t="str">
        <f>Output!K27</f>
        <v>Traveler</v>
      </c>
      <c r="R27" s="426"/>
      <c r="Y27"/>
      <c r="AE27" s="1" t="e">
        <f>VLOOKUP(A27,'Look-up'!E:F,2,FALSE)</f>
        <v>#N/A</v>
      </c>
    </row>
    <row r="28" spans="1:38" ht="15" customHeight="1">
      <c r="A28" s="416" t="s">
        <v>335</v>
      </c>
      <c r="B28" s="118" t="s">
        <v>164</v>
      </c>
      <c r="C28" s="34" t="s">
        <v>22</v>
      </c>
      <c r="D28" s="34" t="s">
        <v>51</v>
      </c>
      <c r="E28" s="176">
        <f>Output!E28</f>
        <v>569</v>
      </c>
      <c r="F28" s="177">
        <f>Output!J28</f>
        <v>0</v>
      </c>
      <c r="G28" s="176">
        <f>IF(B28="Traveler",TDCC!B28,IF(B28="Errant",EDCC!B28,VDCC!B28))</f>
        <v>0</v>
      </c>
      <c r="H28" s="176">
        <f t="shared" si="0"/>
        <v>0</v>
      </c>
      <c r="J28" s="176" t="str">
        <f>IF($E28&lt;'Short &amp; Simple'!$D$83,"Traveler",IF('Members Data'!$E28&lt;'Short &amp; Simple'!$D$84,"Errant","Venturer"))</f>
        <v>Traveler</v>
      </c>
      <c r="K28" s="176" t="str">
        <f>Output!K28</f>
        <v>Traveler</v>
      </c>
      <c r="R28" s="426"/>
      <c r="Y28"/>
      <c r="AE28" s="1" t="e">
        <f>VLOOKUP(A28,'Look-up'!E:F,2,FALSE)</f>
        <v>#N/A</v>
      </c>
    </row>
    <row r="29" spans="1:38" ht="15" customHeight="1">
      <c r="A29" s="416" t="s">
        <v>149</v>
      </c>
      <c r="B29" s="118" t="s">
        <v>23</v>
      </c>
      <c r="C29" s="34" t="s">
        <v>14</v>
      </c>
      <c r="D29" s="34" t="s">
        <v>7</v>
      </c>
      <c r="E29" s="176">
        <f>Output!E29</f>
        <v>633</v>
      </c>
      <c r="F29" s="177">
        <f>Output!J29</f>
        <v>0</v>
      </c>
      <c r="G29" s="176">
        <f>IF(B29="Traveler",TDCC!B29,IF(B29="Errant",EDCC!B29,VDCC!B29))</f>
        <v>0</v>
      </c>
      <c r="H29" s="176">
        <f t="shared" si="0"/>
        <v>0</v>
      </c>
      <c r="J29" s="176" t="str">
        <f>IF($E29&lt;'Short &amp; Simple'!$D$83,"Traveler",IF('Members Data'!$E29&lt;'Short &amp; Simple'!$D$84,"Errant","Venturer"))</f>
        <v>Venturer</v>
      </c>
      <c r="K29" s="176" t="str">
        <f>Output!K29</f>
        <v>Traveler</v>
      </c>
      <c r="R29" s="426"/>
      <c r="Y29"/>
      <c r="AE29" s="1" t="e">
        <f>VLOOKUP(A29,'Look-up'!E:F,2,FALSE)</f>
        <v>#N/A</v>
      </c>
    </row>
    <row r="30" spans="1:38" ht="15" customHeight="1">
      <c r="A30" s="416" t="s">
        <v>299</v>
      </c>
      <c r="B30" s="118" t="s">
        <v>23</v>
      </c>
      <c r="C30" s="34" t="s">
        <v>11</v>
      </c>
      <c r="D30" s="34" t="s">
        <v>51</v>
      </c>
      <c r="E30" s="176">
        <f>Output!E30</f>
        <v>643</v>
      </c>
      <c r="F30" s="177">
        <f>Output!J30</f>
        <v>0</v>
      </c>
      <c r="G30" s="176">
        <f>IF(B30="Traveler",TDCC!B30,IF(B30="Errant",EDCC!B30,VDCC!B30))</f>
        <v>2</v>
      </c>
      <c r="H30" s="176">
        <f t="shared" si="0"/>
        <v>0</v>
      </c>
      <c r="J30" s="176" t="str">
        <f>IF($E30&lt;'Short &amp; Simple'!$D$83,"Traveler",IF('Members Data'!$E30&lt;'Short &amp; Simple'!$D$84,"Errant","Venturer"))</f>
        <v>Venturer</v>
      </c>
      <c r="K30" s="176" t="str">
        <f>Output!K30</f>
        <v>Traveler</v>
      </c>
      <c r="R30" s="426"/>
      <c r="Y30"/>
      <c r="Z30"/>
      <c r="AA30"/>
      <c r="AB30"/>
      <c r="AE30" s="1" t="e">
        <f>VLOOKUP(A30,'Look-up'!E:F,2,FALSE)</f>
        <v>#N/A</v>
      </c>
    </row>
    <row r="31" spans="1:38" ht="15" customHeight="1">
      <c r="A31" s="416" t="s">
        <v>358</v>
      </c>
      <c r="B31" s="118" t="s">
        <v>23</v>
      </c>
      <c r="C31" s="34" t="s">
        <v>13</v>
      </c>
      <c r="D31" s="34" t="s">
        <v>52</v>
      </c>
      <c r="E31" s="176">
        <f>Output!E31</f>
        <v>644</v>
      </c>
      <c r="F31" s="177">
        <f>Output!J31</f>
        <v>0</v>
      </c>
      <c r="G31" s="176">
        <f>IF(B31="Traveler",TDCC!B31,IF(B31="Errant",EDCC!B31,VDCC!B31))</f>
        <v>2</v>
      </c>
      <c r="H31" s="176">
        <f t="shared" si="0"/>
        <v>0</v>
      </c>
      <c r="J31" s="176" t="str">
        <f>IF($E31&lt;'Short &amp; Simple'!$D$83,"Traveler",IF('Members Data'!$E31&lt;'Short &amp; Simple'!$D$84,"Errant","Venturer"))</f>
        <v>Venturer</v>
      </c>
      <c r="K31" s="176" t="str">
        <f>Output!K31</f>
        <v>Traveler</v>
      </c>
      <c r="Y31"/>
      <c r="Z31"/>
      <c r="AA31"/>
      <c r="AB31"/>
      <c r="AE31" s="1" t="e">
        <f>VLOOKUP(A31,'Look-up'!E:F,2,FALSE)</f>
        <v>#N/A</v>
      </c>
      <c r="AL31"/>
    </row>
    <row r="32" spans="1:38" ht="15" customHeight="1">
      <c r="A32" s="416" t="s">
        <v>184</v>
      </c>
      <c r="B32" s="118" t="s">
        <v>164</v>
      </c>
      <c r="C32" s="34" t="s">
        <v>22</v>
      </c>
      <c r="D32" s="34" t="s">
        <v>51</v>
      </c>
      <c r="E32" s="176">
        <f>Output!E32</f>
        <v>566</v>
      </c>
      <c r="F32" s="177">
        <f>Output!J32</f>
        <v>0</v>
      </c>
      <c r="G32" s="176">
        <f>IF(B32="Traveler",TDCC!B32,IF(B32="Errant",EDCC!B32,VDCC!B32))</f>
        <v>0</v>
      </c>
      <c r="H32" s="176">
        <f t="shared" si="0"/>
        <v>0</v>
      </c>
      <c r="J32" s="176" t="str">
        <f>IF($E32&lt;'Short &amp; Simple'!$D$83,"Traveler",IF('Members Data'!$E32&lt;'Short &amp; Simple'!$D$84,"Errant","Venturer"))</f>
        <v>Traveler</v>
      </c>
      <c r="K32" s="176" t="str">
        <f>Output!K32</f>
        <v>Traveler</v>
      </c>
      <c r="Y32"/>
      <c r="Z32"/>
      <c r="AA32"/>
      <c r="AB32"/>
      <c r="AE32" s="1" t="e">
        <f>VLOOKUP(A32,'Look-up'!E:F,2,FALSE)</f>
        <v>#N/A</v>
      </c>
    </row>
    <row r="33" spans="1:31" ht="15" customHeight="1">
      <c r="A33" s="417" t="s">
        <v>360</v>
      </c>
      <c r="B33" s="118" t="s">
        <v>23</v>
      </c>
      <c r="C33" s="34" t="s">
        <v>11</v>
      </c>
      <c r="D33" s="34" t="s">
        <v>51</v>
      </c>
      <c r="E33" s="176">
        <f>Output!E33</f>
        <v>636</v>
      </c>
      <c r="F33" s="177">
        <f>Output!J33</f>
        <v>0</v>
      </c>
      <c r="G33" s="176">
        <f>IF(B33="Traveler",TDCC!B33,IF(B33="Errant",EDCC!B33,VDCC!B33))</f>
        <v>2</v>
      </c>
      <c r="H33" s="176">
        <f t="shared" si="0"/>
        <v>0</v>
      </c>
      <c r="J33" s="176" t="str">
        <f>IF($E33&lt;'Short &amp; Simple'!$D$83,"Traveler",IF('Members Data'!$E33&lt;'Short &amp; Simple'!$D$84,"Errant","Venturer"))</f>
        <v>Venturer</v>
      </c>
      <c r="K33" s="176" t="str">
        <f>Output!K33</f>
        <v>Traveler</v>
      </c>
      <c r="Y33"/>
      <c r="Z33"/>
      <c r="AA33"/>
      <c r="AB33"/>
      <c r="AE33" s="1" t="e">
        <f>VLOOKUP(A33,'Look-up'!E:F,2,FALSE)</f>
        <v>#N/A</v>
      </c>
    </row>
    <row r="34" spans="1:31" ht="15" customHeight="1">
      <c r="A34" s="416" t="s">
        <v>362</v>
      </c>
      <c r="B34" s="118" t="s">
        <v>23</v>
      </c>
      <c r="C34" s="34" t="s">
        <v>13</v>
      </c>
      <c r="D34" s="34" t="s">
        <v>52</v>
      </c>
      <c r="E34" s="176">
        <f>Output!E34</f>
        <v>634</v>
      </c>
      <c r="F34" s="177">
        <f>Output!J34</f>
        <v>0</v>
      </c>
      <c r="G34" s="176">
        <f>IF(B34="Traveler",TDCC!B34,IF(B34="Errant",EDCC!B34,VDCC!B34))</f>
        <v>0</v>
      </c>
      <c r="H34" s="176">
        <f t="shared" si="0"/>
        <v>0</v>
      </c>
      <c r="J34" s="176" t="str">
        <f>IF($E34&lt;'Short &amp; Simple'!$D$83,"Traveler",IF('Members Data'!$E34&lt;'Short &amp; Simple'!$D$84,"Errant","Venturer"))</f>
        <v>Venturer</v>
      </c>
      <c r="K34" s="176" t="str">
        <f>Output!K34</f>
        <v>Traveler</v>
      </c>
      <c r="Y34"/>
      <c r="Z34"/>
      <c r="AA34"/>
      <c r="AB34"/>
      <c r="AE34" s="1" t="e">
        <f>VLOOKUP(A34,'Look-up'!E:F,2,FALSE)</f>
        <v>#N/A</v>
      </c>
    </row>
    <row r="35" spans="1:31" ht="15" customHeight="1">
      <c r="A35" s="418"/>
      <c r="B35" s="118"/>
      <c r="C35" s="34"/>
      <c r="D35" s="34"/>
      <c r="E35" s="176">
        <f>Output!E35</f>
        <v>0</v>
      </c>
      <c r="F35" s="177" t="e">
        <f>Output!J35</f>
        <v>#N/A</v>
      </c>
      <c r="G35" s="176">
        <f>IF(B35="Traveler",TDCC!B35,IF(B35="Errant",EDCC!B35,VDCC!B35))</f>
        <v>0</v>
      </c>
      <c r="H35" s="176">
        <f t="shared" si="0"/>
        <v>0</v>
      </c>
      <c r="J35" s="176" t="str">
        <f>IF($E35&lt;'Short &amp; Simple'!$D$83,"Traveler",IF('Members Data'!$E35&lt;'Short &amp; Simple'!$D$84,"Errant","Venturer"))</f>
        <v>Traveler</v>
      </c>
      <c r="K35" s="176" t="e">
        <f>Output!K35</f>
        <v>#N/A</v>
      </c>
      <c r="Y35"/>
      <c r="Z35"/>
      <c r="AA35"/>
      <c r="AB35"/>
      <c r="AE35" s="1" t="e">
        <f>VLOOKUP(A35,'Look-up'!E:F,2,FALSE)</f>
        <v>#N/A</v>
      </c>
    </row>
    <row r="36" spans="1:31" ht="15" customHeight="1">
      <c r="A36" s="416"/>
      <c r="B36" s="118"/>
      <c r="C36" s="34"/>
      <c r="D36" s="34"/>
      <c r="E36" s="176">
        <f>Output!E36</f>
        <v>0</v>
      </c>
      <c r="F36" s="177" t="e">
        <f>Output!J36</f>
        <v>#N/A</v>
      </c>
      <c r="G36" s="176">
        <f>IF(B36="Traveler",TDCC!B36,IF(B36="Errant",EDCC!B36,VDCC!B36))</f>
        <v>0</v>
      </c>
      <c r="H36" s="176">
        <f t="shared" si="0"/>
        <v>0</v>
      </c>
      <c r="J36" s="176" t="str">
        <f>IF($E36&lt;'Short &amp; Simple'!$D$83,"Traveler",IF('Members Data'!$E36&lt;'Short &amp; Simple'!$D$84,"Errant","Venturer"))</f>
        <v>Traveler</v>
      </c>
      <c r="K36" s="176" t="e">
        <f>Output!K36</f>
        <v>#N/A</v>
      </c>
      <c r="Y36"/>
      <c r="Z36"/>
      <c r="AA36"/>
      <c r="AB36"/>
      <c r="AE36" s="1" t="e">
        <f>VLOOKUP(A36,'Look-up'!E:F,2,FALSE)</f>
        <v>#N/A</v>
      </c>
    </row>
    <row r="37" spans="1:31" ht="15" customHeight="1">
      <c r="A37" s="418"/>
      <c r="B37" s="118"/>
      <c r="C37" s="34"/>
      <c r="D37" s="34"/>
      <c r="E37" s="176">
        <f>Output!E37</f>
        <v>0</v>
      </c>
      <c r="F37" s="177" t="e">
        <f>Output!J37</f>
        <v>#N/A</v>
      </c>
      <c r="G37" s="176">
        <f>IF(B37="Traveler",TDCC!B37,IF(B37="Errant",EDCC!B37,VDCC!B37))</f>
        <v>0</v>
      </c>
      <c r="H37" s="176">
        <f t="shared" si="0"/>
        <v>0</v>
      </c>
      <c r="J37" s="176" t="str">
        <f>IF($E37&lt;'Short &amp; Simple'!$D$83,"Traveler",IF('Members Data'!$E37&lt;'Short &amp; Simple'!$D$84,"Errant","Venturer"))</f>
        <v>Traveler</v>
      </c>
      <c r="K37" s="176" t="e">
        <f>Output!K37</f>
        <v>#N/A</v>
      </c>
      <c r="Y37"/>
      <c r="Z37"/>
      <c r="AA37"/>
      <c r="AB37"/>
      <c r="AE37" s="1" t="e">
        <f>VLOOKUP(A37,'Look-up'!E:F,2,FALSE)</f>
        <v>#N/A</v>
      </c>
    </row>
    <row r="38" spans="1:31" ht="15" customHeight="1">
      <c r="A38" s="416"/>
      <c r="B38" s="118"/>
      <c r="C38" s="34"/>
      <c r="D38" s="34"/>
      <c r="E38" s="176">
        <f>Output!E38</f>
        <v>0</v>
      </c>
      <c r="F38" s="177" t="e">
        <f>Output!J38</f>
        <v>#N/A</v>
      </c>
      <c r="G38" s="176">
        <f>IF(B38="Traveler",TDCC!B38,IF(B38="Errant",EDCC!B38,VDCC!B38))</f>
        <v>0</v>
      </c>
      <c r="H38" s="176">
        <f t="shared" si="0"/>
        <v>0</v>
      </c>
      <c r="J38" s="176" t="str">
        <f>IF($E38&lt;'Short &amp; Simple'!$D$83,"Traveler",IF('Members Data'!$E38&lt;'Short &amp; Simple'!$D$84,"Errant","Venturer"))</f>
        <v>Traveler</v>
      </c>
      <c r="K38" s="176" t="e">
        <f>Output!K38</f>
        <v>#N/A</v>
      </c>
      <c r="Y38"/>
      <c r="Z38"/>
      <c r="AA38"/>
      <c r="AB38"/>
      <c r="AE38" s="1" t="e">
        <f>VLOOKUP(A38,'Look-up'!E:F,2,FALSE)</f>
        <v>#N/A</v>
      </c>
    </row>
    <row r="39" spans="1:31" ht="15" customHeight="1">
      <c r="A39" s="416" t="s">
        <v>364</v>
      </c>
      <c r="B39" s="118" t="s">
        <v>23</v>
      </c>
      <c r="C39" s="34" t="s">
        <v>16</v>
      </c>
      <c r="D39" s="34" t="s">
        <v>51</v>
      </c>
      <c r="E39" s="176">
        <f>Output!E39</f>
        <v>635</v>
      </c>
      <c r="F39" s="177">
        <f>Output!J39</f>
        <v>0</v>
      </c>
      <c r="G39" s="176">
        <f>IF(B39="Traveler",TDCC!B39,IF(B39="Errant",EDCC!B39,VDCC!B39))</f>
        <v>0</v>
      </c>
      <c r="H39" s="176">
        <f t="shared" si="0"/>
        <v>0</v>
      </c>
      <c r="J39" s="176" t="str">
        <f>IF($E39&lt;'Short &amp; Simple'!$D$83,"Traveler",IF('Members Data'!$E39&lt;'Short &amp; Simple'!$D$84,"Errant","Venturer"))</f>
        <v>Venturer</v>
      </c>
      <c r="K39" s="176" t="str">
        <f>Output!K39</f>
        <v>Traveler</v>
      </c>
      <c r="Y39"/>
      <c r="Z39"/>
      <c r="AA39"/>
      <c r="AB39"/>
      <c r="AE39" s="1" t="e">
        <f>VLOOKUP(A39,'Look-up'!E:F,2,FALSE)</f>
        <v>#N/A</v>
      </c>
    </row>
    <row r="40" spans="1:31" ht="15" customHeight="1">
      <c r="A40" s="418" t="s">
        <v>366</v>
      </c>
      <c r="B40" s="118" t="s">
        <v>164</v>
      </c>
      <c r="C40" s="34" t="s">
        <v>17</v>
      </c>
      <c r="D40" s="34" t="s">
        <v>52</v>
      </c>
      <c r="E40" s="176">
        <f>Output!E40</f>
        <v>615</v>
      </c>
      <c r="F40" s="177">
        <f>Output!J40</f>
        <v>0</v>
      </c>
      <c r="G40" s="176">
        <f>IF(B40="Traveler",TDCC!B40,IF(B40="Errant",EDCC!B40,VDCC!B40))</f>
        <v>0</v>
      </c>
      <c r="H40" s="176">
        <f t="shared" si="0"/>
        <v>0</v>
      </c>
      <c r="J40" s="176" t="str">
        <f>IF($E40&lt;'Short &amp; Simple'!$D$83,"Traveler",IF('Members Data'!$E40&lt;'Short &amp; Simple'!$D$84,"Errant","Venturer"))</f>
        <v>Traveler</v>
      </c>
      <c r="K40" s="176" t="str">
        <f>Output!K40</f>
        <v>Traveler</v>
      </c>
      <c r="Y40"/>
      <c r="Z40"/>
      <c r="AA40"/>
      <c r="AB40"/>
      <c r="AE40" s="1" t="e">
        <f>VLOOKUP(A40,'Look-up'!E:F,2,FALSE)</f>
        <v>#N/A</v>
      </c>
    </row>
    <row r="41" spans="1:31" ht="15" customHeight="1">
      <c r="A41" s="416"/>
      <c r="B41" s="118"/>
      <c r="C41" s="34"/>
      <c r="D41" s="34"/>
      <c r="E41" s="176">
        <f>Output!E41</f>
        <v>0</v>
      </c>
      <c r="F41" s="177" t="e">
        <f>Output!J41</f>
        <v>#N/A</v>
      </c>
      <c r="G41" s="176">
        <f>IF(B41="Traveler",TDCC!B41,IF(B41="Errant",EDCC!B41,VDCC!B41))</f>
        <v>0</v>
      </c>
      <c r="H41" s="176">
        <f t="shared" si="0"/>
        <v>0</v>
      </c>
      <c r="J41" s="176" t="str">
        <f>IF($E41&lt;'Short &amp; Simple'!$D$83,"Traveler",IF('Members Data'!$E41&lt;'Short &amp; Simple'!$D$84,"Errant","Venturer"))</f>
        <v>Traveler</v>
      </c>
      <c r="K41" s="176" t="e">
        <f>Output!K41</f>
        <v>#N/A</v>
      </c>
      <c r="Y41"/>
      <c r="Z41"/>
      <c r="AA41"/>
      <c r="AB41"/>
      <c r="AE41" s="1" t="e">
        <f>VLOOKUP(A41,'Look-up'!E:F,2,FALSE)</f>
        <v>#N/A</v>
      </c>
    </row>
    <row r="42" spans="1:31" ht="15" customHeight="1">
      <c r="A42" s="416" t="s">
        <v>368</v>
      </c>
      <c r="B42" s="119" t="s">
        <v>23</v>
      </c>
      <c r="C42" s="38" t="s">
        <v>22</v>
      </c>
      <c r="D42" s="38" t="s">
        <v>51</v>
      </c>
      <c r="E42" s="176">
        <f>Output!E42</f>
        <v>634</v>
      </c>
      <c r="F42" s="177">
        <f>Output!J42</f>
        <v>0</v>
      </c>
      <c r="G42" s="176">
        <f>IF(B42="Traveler",TDCC!B42,IF(B42="Errant",EDCC!B42,VDCC!B42))</f>
        <v>0</v>
      </c>
      <c r="H42" s="176">
        <f t="shared" si="0"/>
        <v>0</v>
      </c>
      <c r="J42" s="176" t="str">
        <f>IF($E42&lt;'Short &amp; Simple'!$D$83,"Traveler",IF('Members Data'!$E42&lt;'Short &amp; Simple'!$D$84,"Errant","Venturer"))</f>
        <v>Venturer</v>
      </c>
      <c r="K42" s="176" t="str">
        <f>Output!K42</f>
        <v>Traveler</v>
      </c>
      <c r="Y42"/>
      <c r="Z42"/>
      <c r="AA42"/>
      <c r="AB42"/>
      <c r="AE42" s="1" t="e">
        <f>VLOOKUP(A42,'Look-up'!E:F,2,FALSE)</f>
        <v>#N/A</v>
      </c>
    </row>
    <row r="43" spans="1:31" ht="15" customHeight="1">
      <c r="A43" s="416" t="s">
        <v>369</v>
      </c>
      <c r="B43" s="118" t="s">
        <v>164</v>
      </c>
      <c r="C43" s="34" t="s">
        <v>136</v>
      </c>
      <c r="D43" s="34" t="s">
        <v>52</v>
      </c>
      <c r="E43" s="176">
        <f>Output!E43</f>
        <v>619</v>
      </c>
      <c r="F43" s="177">
        <f>Output!J43</f>
        <v>0</v>
      </c>
      <c r="G43" s="176">
        <f>IF(B43="Traveler",TDCC!B43,IF(B43="Errant",EDCC!B43,VDCC!B43))</f>
        <v>0</v>
      </c>
      <c r="H43" s="176">
        <f t="shared" si="0"/>
        <v>0</v>
      </c>
      <c r="J43" s="176" t="str">
        <f>IF($E43&lt;'Short &amp; Simple'!$D$83,"Traveler",IF('Members Data'!$E43&lt;'Short &amp; Simple'!$D$84,"Errant","Venturer"))</f>
        <v>Traveler</v>
      </c>
      <c r="K43" s="176" t="str">
        <f>Output!K43</f>
        <v>Traveler</v>
      </c>
      <c r="Y43"/>
      <c r="Z43"/>
      <c r="AA43"/>
      <c r="AB43"/>
      <c r="AE43" s="1" t="e">
        <f>VLOOKUP(A43,'Look-up'!E:F,2,FALSE)</f>
        <v>#N/A</v>
      </c>
    </row>
    <row r="44" spans="1:31" ht="15" customHeight="1">
      <c r="A44" s="416"/>
      <c r="B44" s="118"/>
      <c r="C44" s="34"/>
      <c r="D44" s="34"/>
      <c r="E44" s="176">
        <f>Output!E44</f>
        <v>0</v>
      </c>
      <c r="F44" s="177" t="e">
        <f>Output!J44</f>
        <v>#N/A</v>
      </c>
      <c r="G44" s="176">
        <f>IF(B44="Traveler",TDCC!B44,IF(B44="Errant",EDCC!B44,VDCC!B44))</f>
        <v>0</v>
      </c>
      <c r="H44" s="176">
        <f t="shared" si="0"/>
        <v>0</v>
      </c>
      <c r="J44" s="176" t="str">
        <f>IF($E44&lt;'Short &amp; Simple'!$D$83,"Traveler",IF('Members Data'!$E44&lt;'Short &amp; Simple'!$D$84,"Errant","Venturer"))</f>
        <v>Traveler</v>
      </c>
      <c r="K44" s="176" t="e">
        <f>Output!K44</f>
        <v>#N/A</v>
      </c>
      <c r="Y44"/>
      <c r="Z44"/>
      <c r="AA44"/>
      <c r="AB44"/>
      <c r="AE44" s="1" t="e">
        <f>VLOOKUP(A44,'Look-up'!E:F,2,FALSE)</f>
        <v>#N/A</v>
      </c>
    </row>
    <row r="45" spans="1:31" ht="15" customHeight="1">
      <c r="A45" s="416" t="s">
        <v>172</v>
      </c>
      <c r="B45" s="118" t="s">
        <v>24</v>
      </c>
      <c r="C45" s="34" t="s">
        <v>17</v>
      </c>
      <c r="D45" s="34" t="s">
        <v>51</v>
      </c>
      <c r="E45" s="176">
        <f>Output!E45</f>
        <v>635</v>
      </c>
      <c r="F45" s="177">
        <f>Output!J45</f>
        <v>0</v>
      </c>
      <c r="G45" s="176">
        <f>IF(B45="Traveler",TDCC!B45,IF(B45="Errant",EDCC!B45,VDCC!B45))</f>
        <v>0</v>
      </c>
      <c r="H45" s="176">
        <f t="shared" si="0"/>
        <v>0</v>
      </c>
      <c r="J45" s="176" t="str">
        <f>IF($E45&lt;'Short &amp; Simple'!$D$83,"Traveler",IF('Members Data'!$E45&lt;'Short &amp; Simple'!$D$84,"Errant","Venturer"))</f>
        <v>Venturer</v>
      </c>
      <c r="K45" s="176" t="str">
        <f>Output!K45</f>
        <v>Traveler</v>
      </c>
      <c r="Y45"/>
      <c r="Z45"/>
      <c r="AA45"/>
      <c r="AB45"/>
      <c r="AE45" s="1" t="e">
        <f>VLOOKUP(A45,'Look-up'!E:F,2,FALSE)</f>
        <v>#N/A</v>
      </c>
    </row>
    <row r="46" spans="1:31" ht="15" customHeight="1">
      <c r="A46" s="419" t="s">
        <v>386</v>
      </c>
      <c r="B46" s="118" t="s">
        <v>23</v>
      </c>
      <c r="C46" s="34" t="s">
        <v>11</v>
      </c>
      <c r="D46" s="34" t="s">
        <v>51</v>
      </c>
      <c r="E46" s="176">
        <f>Output!E46</f>
        <v>648</v>
      </c>
      <c r="F46" s="177">
        <f>Output!J46</f>
        <v>0</v>
      </c>
      <c r="G46" s="176">
        <f>IF(B46="Traveler",TDCC!B46,IF(B46="Errant",EDCC!B46,VDCC!B46))</f>
        <v>2</v>
      </c>
      <c r="H46" s="176">
        <f t="shared" si="0"/>
        <v>0</v>
      </c>
      <c r="J46" s="176" t="str">
        <f>IF($E46&lt;'Short &amp; Simple'!$D$83,"Traveler",IF('Members Data'!$E46&lt;'Short &amp; Simple'!$D$84,"Errant","Venturer"))</f>
        <v>Venturer</v>
      </c>
      <c r="K46" s="176" t="str">
        <f>Output!K46</f>
        <v>Traveler</v>
      </c>
      <c r="Y46"/>
      <c r="Z46"/>
      <c r="AA46"/>
      <c r="AB46"/>
      <c r="AE46" s="1" t="e">
        <f>VLOOKUP(A46,'Look-up'!E:F,2,FALSE)</f>
        <v>#N/A</v>
      </c>
    </row>
    <row r="47" spans="1:31" ht="15" customHeight="1">
      <c r="A47" s="416" t="s">
        <v>170</v>
      </c>
      <c r="B47" s="118" t="s">
        <v>23</v>
      </c>
      <c r="C47" s="34" t="s">
        <v>17</v>
      </c>
      <c r="D47" s="34" t="s">
        <v>52</v>
      </c>
      <c r="E47" s="176">
        <f>Output!E47</f>
        <v>607</v>
      </c>
      <c r="F47" s="177">
        <f>Output!J47</f>
        <v>0</v>
      </c>
      <c r="G47" s="176">
        <f>IF(B47="Traveler",TDCC!B47,IF(B47="Errant",EDCC!B47,VDCC!B47))</f>
        <v>2</v>
      </c>
      <c r="H47" s="176">
        <f t="shared" si="0"/>
        <v>0</v>
      </c>
      <c r="J47" s="176" t="str">
        <f>IF($E47&lt;'Short &amp; Simple'!$D$83,"Traveler",IF('Members Data'!$E47&lt;'Short &amp; Simple'!$D$84,"Errant","Venturer"))</f>
        <v>Traveler</v>
      </c>
      <c r="K47" s="176" t="str">
        <f>Output!K47</f>
        <v>Traveler</v>
      </c>
      <c r="Y47"/>
      <c r="Z47"/>
      <c r="AA47"/>
      <c r="AB47"/>
      <c r="AE47" s="1" t="e">
        <f>VLOOKUP(A47,'Look-up'!E:F,2,FALSE)</f>
        <v>#N/A</v>
      </c>
    </row>
    <row r="48" spans="1:31" ht="15" customHeight="1">
      <c r="A48" s="416" t="s">
        <v>370</v>
      </c>
      <c r="B48" s="118" t="s">
        <v>23</v>
      </c>
      <c r="C48" s="34" t="s">
        <v>17</v>
      </c>
      <c r="D48" s="34" t="s">
        <v>52</v>
      </c>
      <c r="E48" s="176">
        <f>Output!E48</f>
        <v>635</v>
      </c>
      <c r="F48" s="177">
        <f>Output!J48</f>
        <v>0</v>
      </c>
      <c r="G48" s="176">
        <f>IF(B48="Traveler",TDCC!B48,IF(B48="Errant",EDCC!B48,VDCC!B48))</f>
        <v>2</v>
      </c>
      <c r="H48" s="176">
        <f t="shared" si="0"/>
        <v>0</v>
      </c>
      <c r="J48" s="176" t="str">
        <f>IF($E48&lt;'Short &amp; Simple'!$D$83,"Traveler",IF('Members Data'!$E48&lt;'Short &amp; Simple'!$D$84,"Errant","Venturer"))</f>
        <v>Venturer</v>
      </c>
      <c r="K48" s="176" t="str">
        <f>Output!K48</f>
        <v>Traveler</v>
      </c>
      <c r="Y48"/>
      <c r="Z48"/>
      <c r="AA48"/>
      <c r="AB48"/>
      <c r="AE48" s="1" t="e">
        <f>VLOOKUP(A48,'Look-up'!E:F,2,FALSE)</f>
        <v>#N/A</v>
      </c>
    </row>
    <row r="49" spans="1:31" ht="15" customHeight="1">
      <c r="A49" s="33" t="s">
        <v>371</v>
      </c>
      <c r="B49" s="118" t="s">
        <v>24</v>
      </c>
      <c r="C49" s="34" t="s">
        <v>136</v>
      </c>
      <c r="D49" s="34" t="s">
        <v>52</v>
      </c>
      <c r="E49" s="176">
        <f>Output!E49</f>
        <v>595</v>
      </c>
      <c r="F49" s="177">
        <f>Output!J49</f>
        <v>0</v>
      </c>
      <c r="G49" s="176">
        <f>IF(B49="Traveler",TDCC!B49,IF(B49="Errant",EDCC!B49,VDCC!B49))</f>
        <v>0</v>
      </c>
      <c r="H49" s="176">
        <f t="shared" si="0"/>
        <v>0</v>
      </c>
      <c r="J49" s="176" t="str">
        <f>IF($E49&lt;'Short &amp; Simple'!$D$83,"Traveler",IF('Members Data'!$E49&lt;'Short &amp; Simple'!$D$84,"Errant","Venturer"))</f>
        <v>Traveler</v>
      </c>
      <c r="K49" s="176" t="str">
        <f>Output!K49</f>
        <v>Traveler</v>
      </c>
      <c r="Y49"/>
      <c r="Z49"/>
      <c r="AA49"/>
      <c r="AB49"/>
      <c r="AE49" s="1" t="e">
        <f>VLOOKUP(A49,'Look-up'!E:F,2,FALSE)</f>
        <v>#N/A</v>
      </c>
    </row>
    <row r="50" spans="1:31" ht="15" customHeight="1">
      <c r="A50" s="416" t="s">
        <v>297</v>
      </c>
      <c r="B50" s="118" t="s">
        <v>23</v>
      </c>
      <c r="C50" s="34" t="s">
        <v>12</v>
      </c>
      <c r="D50" s="34" t="s">
        <v>51</v>
      </c>
      <c r="E50" s="176">
        <f>Output!E50</f>
        <v>637</v>
      </c>
      <c r="F50" s="177">
        <f>Output!J50</f>
        <v>0</v>
      </c>
      <c r="G50" s="176">
        <f>IF(B50="Traveler",TDCC!B50,IF(B50="Errant",EDCC!B50,VDCC!B50))</f>
        <v>2</v>
      </c>
      <c r="H50" s="176">
        <f t="shared" si="0"/>
        <v>0</v>
      </c>
      <c r="J50" s="176" t="str">
        <f>IF($E50&lt;'Short &amp; Simple'!$D$83,"Traveler",IF('Members Data'!$E50&lt;'Short &amp; Simple'!$D$84,"Errant","Venturer"))</f>
        <v>Venturer</v>
      </c>
      <c r="K50" s="176" t="str">
        <f>Output!K50</f>
        <v>Traveler</v>
      </c>
      <c r="Y50"/>
      <c r="Z50"/>
      <c r="AA50"/>
      <c r="AB50"/>
      <c r="AE50" s="1" t="e">
        <f>VLOOKUP(A50,'Look-up'!E:F,2,FALSE)</f>
        <v>#N/A</v>
      </c>
    </row>
    <row r="51" spans="1:31" ht="15" customHeight="1">
      <c r="A51" s="33" t="s">
        <v>372</v>
      </c>
      <c r="B51" s="118" t="s">
        <v>23</v>
      </c>
      <c r="C51" s="34" t="s">
        <v>13</v>
      </c>
      <c r="D51" s="34" t="s">
        <v>7</v>
      </c>
      <c r="E51" s="176">
        <f>Output!E51</f>
        <v>638</v>
      </c>
      <c r="F51" s="177">
        <f>Output!J51</f>
        <v>0</v>
      </c>
      <c r="G51" s="176">
        <f>IF(B51="Traveler",TDCC!B51,IF(B51="Errant",EDCC!B51,VDCC!B51))</f>
        <v>2</v>
      </c>
      <c r="H51" s="176">
        <f t="shared" si="0"/>
        <v>0</v>
      </c>
      <c r="J51" s="176" t="str">
        <f>IF($E51&lt;'Short &amp; Simple'!$D$83,"Traveler",IF('Members Data'!$E51&lt;'Short &amp; Simple'!$D$84,"Errant","Venturer"))</f>
        <v>Venturer</v>
      </c>
      <c r="K51" s="176" t="str">
        <f>Output!K51</f>
        <v>Traveler</v>
      </c>
      <c r="Y51"/>
      <c r="Z51"/>
      <c r="AA51"/>
      <c r="AB51"/>
      <c r="AE51" s="1" t="e">
        <f>VLOOKUP(A51,'Look-up'!E:F,2,FALSE)</f>
        <v>#N/A</v>
      </c>
    </row>
    <row r="52" spans="1:31" ht="15" customHeight="1">
      <c r="A52" s="33" t="s">
        <v>306</v>
      </c>
      <c r="B52" s="118" t="s">
        <v>164</v>
      </c>
      <c r="C52" s="34" t="s">
        <v>12</v>
      </c>
      <c r="D52" s="34" t="s">
        <v>51</v>
      </c>
      <c r="E52" s="176">
        <f>Output!E52</f>
        <v>599</v>
      </c>
      <c r="F52" s="177">
        <f>Output!J52</f>
        <v>0</v>
      </c>
      <c r="G52" s="176">
        <f>IF(B52="Traveler",TDCC!B52,IF(B52="Errant",EDCC!B52,VDCC!B52))</f>
        <v>0</v>
      </c>
      <c r="H52" s="176">
        <f t="shared" si="0"/>
        <v>0</v>
      </c>
      <c r="J52" s="176" t="str">
        <f>IF($E52&lt;'Short &amp; Simple'!$D$83,"Traveler",IF('Members Data'!$E52&lt;'Short &amp; Simple'!$D$84,"Errant","Venturer"))</f>
        <v>Traveler</v>
      </c>
      <c r="K52" s="176" t="str">
        <f>Output!K52</f>
        <v>Traveler</v>
      </c>
      <c r="Y52"/>
      <c r="Z52"/>
      <c r="AA52"/>
      <c r="AB52"/>
      <c r="AE52" s="1" t="e">
        <f>VLOOKUP(A52,'Look-up'!E:F,2,FALSE)</f>
        <v>#N/A</v>
      </c>
    </row>
    <row r="53" spans="1:31" ht="15" customHeight="1">
      <c r="A53" s="33"/>
      <c r="B53" s="118"/>
      <c r="C53" s="34"/>
      <c r="D53" s="34"/>
      <c r="E53" s="176">
        <f>Output!E53</f>
        <v>0</v>
      </c>
      <c r="F53" s="177" t="e">
        <f>Output!J53</f>
        <v>#N/A</v>
      </c>
      <c r="G53" s="176">
        <f>IF(B53="Traveler",TDCC!B53,IF(B53="Errant",EDCC!B53,VDCC!B53))</f>
        <v>0</v>
      </c>
      <c r="H53" s="176">
        <f t="shared" si="0"/>
        <v>0</v>
      </c>
      <c r="J53" s="176" t="str">
        <f>IF($E53&lt;'Short &amp; Simple'!$D$83,"Traveler",IF('Members Data'!$E53&lt;'Short &amp; Simple'!$D$84,"Errant","Venturer"))</f>
        <v>Traveler</v>
      </c>
      <c r="K53" s="176" t="e">
        <f>Output!K53</f>
        <v>#N/A</v>
      </c>
      <c r="Y53"/>
      <c r="Z53"/>
      <c r="AA53"/>
      <c r="AB53"/>
      <c r="AE53" s="1" t="e">
        <f>VLOOKUP(A53,'Look-up'!E:F,2,FALSE)</f>
        <v>#N/A</v>
      </c>
    </row>
    <row r="54" spans="1:31" ht="15" customHeight="1">
      <c r="A54" s="33" t="s">
        <v>373</v>
      </c>
      <c r="B54" s="118" t="s">
        <v>23</v>
      </c>
      <c r="C54" s="34" t="s">
        <v>22</v>
      </c>
      <c r="D54" s="34" t="s">
        <v>51</v>
      </c>
      <c r="E54" s="176">
        <f>Output!E54</f>
        <v>648</v>
      </c>
      <c r="F54" s="177">
        <f>Output!J54</f>
        <v>0</v>
      </c>
      <c r="G54" s="176">
        <f>IF(B54="Traveler",TDCC!B54,IF(B54="Errant",EDCC!B54,VDCC!B54))</f>
        <v>2</v>
      </c>
      <c r="H54" s="176">
        <f t="shared" si="0"/>
        <v>0</v>
      </c>
      <c r="J54" s="176" t="str">
        <f>IF($E54&lt;'Short &amp; Simple'!$D$83,"Traveler",IF('Members Data'!$E54&lt;'Short &amp; Simple'!$D$84,"Errant","Venturer"))</f>
        <v>Venturer</v>
      </c>
      <c r="K54" s="176" t="str">
        <f>Output!K54</f>
        <v>Traveler</v>
      </c>
      <c r="Y54"/>
      <c r="Z54"/>
      <c r="AA54"/>
      <c r="AB54"/>
      <c r="AE54" s="1" t="e">
        <f>VLOOKUP(A54,'Look-up'!E:F,2,FALSE)</f>
        <v>#N/A</v>
      </c>
    </row>
    <row r="55" spans="1:31" ht="15" customHeight="1">
      <c r="A55" s="33" t="s">
        <v>389</v>
      </c>
      <c r="B55" s="118" t="s">
        <v>23</v>
      </c>
      <c r="C55" s="34" t="s">
        <v>9</v>
      </c>
      <c r="D55" s="34" t="s">
        <v>52</v>
      </c>
      <c r="E55" s="176">
        <f>Output!E55</f>
        <v>640</v>
      </c>
      <c r="F55" s="177">
        <f>Output!J55</f>
        <v>0</v>
      </c>
      <c r="G55" s="176">
        <f>IF(B55="Traveler",TDCC!B55,IF(B55="Errant",EDCC!B55,VDCC!B55))</f>
        <v>1</v>
      </c>
      <c r="H55" s="176">
        <f t="shared" si="0"/>
        <v>0</v>
      </c>
      <c r="J55" s="176" t="str">
        <f>IF($E55&lt;'Short &amp; Simple'!$D$83,"Traveler",IF('Members Data'!$E55&lt;'Short &amp; Simple'!$D$84,"Errant","Venturer"))</f>
        <v>Venturer</v>
      </c>
      <c r="K55" s="176" t="str">
        <f>Output!K55</f>
        <v>Traveler</v>
      </c>
      <c r="Y55"/>
      <c r="Z55"/>
      <c r="AA55"/>
      <c r="AB55"/>
      <c r="AE55" s="1" t="e">
        <f>VLOOKUP(A55,'Look-up'!E:F,2,FALSE)</f>
        <v>#N/A</v>
      </c>
    </row>
    <row r="56" spans="1:31" ht="15" customHeight="1">
      <c r="A56" s="33"/>
      <c r="B56" s="118"/>
      <c r="C56" s="34"/>
      <c r="D56" s="34"/>
      <c r="E56" s="176">
        <f>Output!E56</f>
        <v>0</v>
      </c>
      <c r="F56" s="177" t="e">
        <f>Output!J56</f>
        <v>#N/A</v>
      </c>
      <c r="G56" s="176">
        <f>IF(B56="Traveler",TDCC!B56,IF(B56="Errant",EDCC!B56,VDCC!B56))</f>
        <v>0</v>
      </c>
      <c r="H56" s="176">
        <f t="shared" si="0"/>
        <v>0</v>
      </c>
      <c r="J56" s="176" t="str">
        <f>IF($E56&lt;'Short &amp; Simple'!$D$83,"Traveler",IF('Members Data'!$E56&lt;'Short &amp; Simple'!$D$84,"Errant","Venturer"))</f>
        <v>Traveler</v>
      </c>
      <c r="K56" s="176" t="e">
        <f>Output!K56</f>
        <v>#N/A</v>
      </c>
      <c r="Y56"/>
      <c r="Z56"/>
      <c r="AA56"/>
      <c r="AB56"/>
      <c r="AE56" s="1" t="e">
        <f>VLOOKUP(A56,'Look-up'!E:F,2,FALSE)</f>
        <v>#N/A</v>
      </c>
    </row>
    <row r="57" spans="1:31" ht="15" customHeight="1">
      <c r="A57" s="33" t="s">
        <v>151</v>
      </c>
      <c r="B57" s="118" t="s">
        <v>23</v>
      </c>
      <c r="C57" s="34" t="s">
        <v>17</v>
      </c>
      <c r="D57" s="34" t="s">
        <v>52</v>
      </c>
      <c r="E57" s="176">
        <f>Output!E57</f>
        <v>634</v>
      </c>
      <c r="F57" s="177">
        <f>Output!J57</f>
        <v>0</v>
      </c>
      <c r="G57" s="176">
        <f>IF(B57="Traveler",TDCC!B57,IF(B57="Errant",EDCC!B57,VDCC!B57))</f>
        <v>0</v>
      </c>
      <c r="H57" s="176">
        <f t="shared" si="0"/>
        <v>0</v>
      </c>
      <c r="J57" s="176" t="str">
        <f>IF($E57&lt;'Short &amp; Simple'!$D$83,"Traveler",IF('Members Data'!$E57&lt;'Short &amp; Simple'!$D$84,"Errant","Venturer"))</f>
        <v>Venturer</v>
      </c>
      <c r="K57" s="176" t="str">
        <f>Output!K57</f>
        <v>Traveler</v>
      </c>
      <c r="Y57"/>
      <c r="Z57"/>
      <c r="AA57"/>
      <c r="AB57"/>
      <c r="AE57" s="1" t="e">
        <f>VLOOKUP(A57,'Look-up'!E:F,2,FALSE)</f>
        <v>#N/A</v>
      </c>
    </row>
    <row r="58" spans="1:31" ht="15" customHeight="1">
      <c r="A58" s="33" t="s">
        <v>374</v>
      </c>
      <c r="B58" s="118" t="s">
        <v>164</v>
      </c>
      <c r="C58" s="34" t="s">
        <v>13</v>
      </c>
      <c r="D58" s="34" t="s">
        <v>51</v>
      </c>
      <c r="E58" s="176">
        <f>Output!E58</f>
        <v>619</v>
      </c>
      <c r="F58" s="177">
        <f>Output!J58</f>
        <v>0</v>
      </c>
      <c r="G58" s="176">
        <f>IF(B58="Traveler",TDCC!B58,IF(B58="Errant",EDCC!B58,VDCC!B58))</f>
        <v>0</v>
      </c>
      <c r="H58" s="176">
        <f t="shared" si="0"/>
        <v>0</v>
      </c>
      <c r="J58" s="176" t="str">
        <f>IF($E58&lt;'Short &amp; Simple'!$D$83,"Traveler",IF('Members Data'!$E58&lt;'Short &amp; Simple'!$D$84,"Errant","Venturer"))</f>
        <v>Traveler</v>
      </c>
      <c r="K58" s="176" t="str">
        <f>Output!K58</f>
        <v>Traveler</v>
      </c>
      <c r="Y58"/>
      <c r="Z58"/>
      <c r="AA58"/>
      <c r="AB58"/>
      <c r="AE58" s="1" t="e">
        <f>VLOOKUP(A58,'Look-up'!E:F,2,FALSE)</f>
        <v>#N/A</v>
      </c>
    </row>
    <row r="59" spans="1:31" ht="15" customHeight="1">
      <c r="A59" s="33" t="s">
        <v>208</v>
      </c>
      <c r="B59" s="118" t="s">
        <v>23</v>
      </c>
      <c r="C59" s="34" t="s">
        <v>14</v>
      </c>
      <c r="D59" s="34" t="s">
        <v>7</v>
      </c>
      <c r="E59" s="176">
        <f>Output!E59</f>
        <v>644</v>
      </c>
      <c r="F59" s="177">
        <f>Output!J59</f>
        <v>0</v>
      </c>
      <c r="G59" s="176">
        <f>IF(B59="Traveler",TDCC!B59,IF(B59="Errant",EDCC!B59,VDCC!B59))</f>
        <v>2</v>
      </c>
      <c r="H59" s="176">
        <f t="shared" si="0"/>
        <v>0</v>
      </c>
      <c r="J59" s="176" t="str">
        <f>IF($E59&lt;'Short &amp; Simple'!$D$83,"Traveler",IF('Members Data'!$E59&lt;'Short &amp; Simple'!$D$84,"Errant","Venturer"))</f>
        <v>Venturer</v>
      </c>
      <c r="K59" s="176" t="str">
        <f>Output!K59</f>
        <v>Traveler</v>
      </c>
      <c r="Y59"/>
      <c r="Z59"/>
      <c r="AA59"/>
      <c r="AB59"/>
      <c r="AE59" s="1" t="e">
        <f>VLOOKUP(A59,'Look-up'!E:F,2,FALSE)</f>
        <v>#N/A</v>
      </c>
    </row>
    <row r="60" spans="1:31" ht="15" customHeight="1">
      <c r="A60" s="33" t="s">
        <v>240</v>
      </c>
      <c r="B60" s="118" t="s">
        <v>23</v>
      </c>
      <c r="C60" s="34" t="s">
        <v>12</v>
      </c>
      <c r="D60" s="34" t="s">
        <v>51</v>
      </c>
      <c r="E60" s="176">
        <f>Output!E60</f>
        <v>634</v>
      </c>
      <c r="F60" s="177">
        <f>Output!J60</f>
        <v>0</v>
      </c>
      <c r="G60" s="176">
        <f>IF(B60="Traveler",TDCC!B60,IF(B60="Errant",EDCC!B60,VDCC!B60))</f>
        <v>2</v>
      </c>
      <c r="H60" s="176">
        <f t="shared" si="0"/>
        <v>0</v>
      </c>
      <c r="J60" s="176" t="str">
        <f>IF($E60&lt;'Short &amp; Simple'!$D$83,"Traveler",IF('Members Data'!$E60&lt;'Short &amp; Simple'!$D$84,"Errant","Venturer"))</f>
        <v>Venturer</v>
      </c>
      <c r="K60" s="176" t="str">
        <f>Output!K60</f>
        <v>Traveler</v>
      </c>
      <c r="Y60"/>
      <c r="Z60"/>
      <c r="AA60"/>
      <c r="AB60"/>
      <c r="AE60" s="1" t="e">
        <f>VLOOKUP(A60,'Look-up'!E:F,2,FALSE)</f>
        <v>#N/A</v>
      </c>
    </row>
    <row r="61" spans="1:31" ht="15" customHeight="1">
      <c r="A61" s="471" t="s">
        <v>195</v>
      </c>
      <c r="B61" s="472" t="s">
        <v>23</v>
      </c>
      <c r="C61" s="473" t="s">
        <v>16</v>
      </c>
      <c r="D61" s="473" t="s">
        <v>7</v>
      </c>
      <c r="E61" s="474">
        <f>Output!E61</f>
        <v>644</v>
      </c>
      <c r="F61" s="475">
        <f>Output!J61</f>
        <v>0</v>
      </c>
      <c r="G61" s="474">
        <f>IF(B61="Traveler",TDCC!B61,IF(B61="Errant",EDCC!B61,VDCC!B61))</f>
        <v>2</v>
      </c>
      <c r="H61" s="474">
        <f t="shared" si="0"/>
        <v>0</v>
      </c>
      <c r="I61" s="476"/>
      <c r="J61" s="474" t="str">
        <f>IF($E61&lt;'Short &amp; Simple'!$D$83,"Traveler",IF('Members Data'!$E61&lt;'Short &amp; Simple'!$D$84,"Errant","Venturer"))</f>
        <v>Venturer</v>
      </c>
      <c r="K61" s="474" t="str">
        <f>Output!K61</f>
        <v>Traveler</v>
      </c>
      <c r="Y61"/>
      <c r="Z61"/>
      <c r="AA61"/>
      <c r="AB61"/>
      <c r="AE61" s="1" t="e">
        <f>VLOOKUP(A61,'Look-up'!E:F,2,FALSE)</f>
        <v>#N/A</v>
      </c>
    </row>
    <row r="62" spans="1:31" ht="15" customHeight="1">
      <c r="A62" s="471" t="s">
        <v>378</v>
      </c>
      <c r="B62" s="472" t="s">
        <v>23</v>
      </c>
      <c r="C62" s="473" t="s">
        <v>17</v>
      </c>
      <c r="D62" s="473" t="s">
        <v>8</v>
      </c>
      <c r="E62" s="474">
        <f>Output!E62</f>
        <v>641</v>
      </c>
      <c r="F62" s="475">
        <f>Output!J62</f>
        <v>0</v>
      </c>
      <c r="G62" s="474">
        <f>IF(B62="Traveler",TDCC!B62,IF(B62="Errant",EDCC!B62,VDCC!B62))</f>
        <v>2</v>
      </c>
      <c r="H62" s="474">
        <f t="shared" si="0"/>
        <v>0</v>
      </c>
      <c r="I62" s="476"/>
      <c r="J62" s="474" t="str">
        <f>IF($E62&lt;'Short &amp; Simple'!$D$83,"Traveler",IF('Members Data'!$E62&lt;'Short &amp; Simple'!$D$84,"Errant","Venturer"))</f>
        <v>Venturer</v>
      </c>
      <c r="K62" s="474" t="str">
        <f>Output!K62</f>
        <v>Traveler</v>
      </c>
      <c r="Y62"/>
      <c r="Z62"/>
      <c r="AA62"/>
      <c r="AB62"/>
      <c r="AE62" s="1" t="e">
        <f>VLOOKUP(A62,'Look-up'!E:F,2,FALSE)</f>
        <v>#N/A</v>
      </c>
    </row>
    <row r="63" spans="1:31" ht="15" customHeight="1">
      <c r="A63" s="37" t="s">
        <v>280</v>
      </c>
      <c r="B63" s="118" t="s">
        <v>164</v>
      </c>
      <c r="C63" s="34" t="s">
        <v>9</v>
      </c>
      <c r="D63" s="34" t="s">
        <v>52</v>
      </c>
      <c r="E63" s="176">
        <f>Output!E63</f>
        <v>610</v>
      </c>
      <c r="F63" s="177">
        <f>Output!J63</f>
        <v>0</v>
      </c>
      <c r="G63" s="176">
        <f>IF(B63="Traveler",TDCC!B63,IF(B63="Errant",EDCC!B63,VDCC!B63))</f>
        <v>0</v>
      </c>
      <c r="H63" s="176">
        <f t="shared" si="0"/>
        <v>0</v>
      </c>
      <c r="J63" s="176" t="str">
        <f>IF($E63&lt;'Short &amp; Simple'!$D$83,"Traveler",IF('Members Data'!$E63&lt;'Short &amp; Simple'!$D$84,"Errant","Venturer"))</f>
        <v>Traveler</v>
      </c>
      <c r="K63" s="176" t="str">
        <f>Output!K63</f>
        <v>Traveler</v>
      </c>
      <c r="Y63"/>
      <c r="Z63"/>
      <c r="AA63"/>
      <c r="AB63"/>
      <c r="AE63" s="1" t="e">
        <f>VLOOKUP(A63,'Look-up'!E:F,2,FALSE)</f>
        <v>#N/A</v>
      </c>
    </row>
    <row r="64" spans="1:31" ht="15" customHeight="1">
      <c r="A64" s="33" t="s">
        <v>377</v>
      </c>
      <c r="B64" s="118" t="s">
        <v>23</v>
      </c>
      <c r="C64" s="34" t="s">
        <v>16</v>
      </c>
      <c r="D64" s="34" t="s">
        <v>52</v>
      </c>
      <c r="E64" s="176">
        <f>Output!E64</f>
        <v>634</v>
      </c>
      <c r="F64" s="177">
        <f>Output!J64</f>
        <v>0</v>
      </c>
      <c r="G64" s="176">
        <f>IF(B64="Traveler",TDCC!B64,IF(B64="Errant",EDCC!B64,VDCC!B64))</f>
        <v>2</v>
      </c>
      <c r="H64" s="176">
        <f t="shared" si="0"/>
        <v>0</v>
      </c>
      <c r="J64" s="176" t="str">
        <f>IF($E64&lt;'Short &amp; Simple'!$D$83,"Traveler",IF('Members Data'!$E64&lt;'Short &amp; Simple'!$D$84,"Errant","Venturer"))</f>
        <v>Venturer</v>
      </c>
      <c r="K64" s="176" t="str">
        <f>Output!K64</f>
        <v>Traveler</v>
      </c>
      <c r="Y64"/>
      <c r="Z64"/>
      <c r="AA64"/>
      <c r="AB64"/>
      <c r="AE64" s="1" t="e">
        <f>VLOOKUP(A64,'Look-up'!E:F,2,FALSE)</f>
        <v>#N/A</v>
      </c>
    </row>
    <row r="65" spans="1:31" ht="15" customHeight="1">
      <c r="A65" s="33" t="s">
        <v>181</v>
      </c>
      <c r="B65" s="118" t="s">
        <v>24</v>
      </c>
      <c r="C65" s="34" t="s">
        <v>17</v>
      </c>
      <c r="D65" s="34" t="s">
        <v>8</v>
      </c>
      <c r="E65" s="176">
        <f>Output!E65</f>
        <v>612</v>
      </c>
      <c r="F65" s="177">
        <f>Output!J65</f>
        <v>0</v>
      </c>
      <c r="G65" s="176">
        <f>IF(B65="Traveler",TDCC!B65,IF(B65="Errant",EDCC!B65,VDCC!B65))</f>
        <v>0</v>
      </c>
      <c r="H65" s="176">
        <f t="shared" si="0"/>
        <v>0</v>
      </c>
      <c r="J65" s="176" t="str">
        <f>IF($E65&lt;'Short &amp; Simple'!$D$83,"Traveler",IF('Members Data'!$E65&lt;'Short &amp; Simple'!$D$84,"Errant","Venturer"))</f>
        <v>Traveler</v>
      </c>
      <c r="K65" s="176" t="str">
        <f>Output!K65</f>
        <v>Traveler</v>
      </c>
      <c r="Y65"/>
      <c r="Z65"/>
      <c r="AA65"/>
      <c r="AB65"/>
      <c r="AE65" s="1" t="e">
        <f>VLOOKUP(A65,'Look-up'!E:F,2,FALSE)</f>
        <v>#N/A</v>
      </c>
    </row>
    <row r="66" spans="1:31" ht="15" customHeight="1">
      <c r="A66" s="33" t="s">
        <v>265</v>
      </c>
      <c r="B66" s="118" t="s">
        <v>23</v>
      </c>
      <c r="C66" s="34" t="s">
        <v>10</v>
      </c>
      <c r="D66" s="38" t="s">
        <v>51</v>
      </c>
      <c r="E66" s="176">
        <f>Output!E66</f>
        <v>641</v>
      </c>
      <c r="F66" s="177">
        <f>Output!J66</f>
        <v>0</v>
      </c>
      <c r="G66" s="176">
        <f>IF(B66="Traveler",TDCC!B66,IF(B66="Errant",EDCC!B66,VDCC!B66))</f>
        <v>2</v>
      </c>
      <c r="H66" s="176">
        <f t="shared" si="0"/>
        <v>0</v>
      </c>
      <c r="J66" s="176" t="str">
        <f>IF($E66&lt;'Short &amp; Simple'!$D$83,"Traveler",IF('Members Data'!$E66&lt;'Short &amp; Simple'!$D$84,"Errant","Venturer"))</f>
        <v>Venturer</v>
      </c>
      <c r="K66" s="176" t="str">
        <f>Output!K66</f>
        <v>Traveler</v>
      </c>
      <c r="Y66"/>
      <c r="Z66"/>
      <c r="AA66"/>
      <c r="AB66"/>
      <c r="AE66" s="1" t="e">
        <f>VLOOKUP(A66,'Look-up'!E:F,2,FALSE)</f>
        <v>#N/A</v>
      </c>
    </row>
    <row r="67" spans="1:31" ht="15" customHeight="1">
      <c r="A67" s="33" t="s">
        <v>381</v>
      </c>
      <c r="B67" s="118" t="s">
        <v>24</v>
      </c>
      <c r="C67" s="34" t="s">
        <v>22</v>
      </c>
      <c r="D67" s="34" t="s">
        <v>51</v>
      </c>
      <c r="E67" s="176">
        <f>Output!E67</f>
        <v>638</v>
      </c>
      <c r="F67" s="177">
        <f>Output!J67</f>
        <v>0</v>
      </c>
      <c r="G67" s="176">
        <f>IF(B67="Traveler",TDCC!B67,IF(B67="Errant",EDCC!B67,VDCC!B67))</f>
        <v>0</v>
      </c>
      <c r="H67" s="176">
        <f t="shared" ref="H67:H100" si="1">IF(ISNA(AE67),0,AE67)</f>
        <v>0</v>
      </c>
      <c r="J67" s="176" t="str">
        <f>IF($E67&lt;'Short &amp; Simple'!$D$83,"Traveler",IF('Members Data'!$E67&lt;'Short &amp; Simple'!$D$84,"Errant","Venturer"))</f>
        <v>Venturer</v>
      </c>
      <c r="K67" s="176" t="str">
        <f>Output!K67</f>
        <v>Traveler</v>
      </c>
      <c r="Y67"/>
      <c r="Z67"/>
      <c r="AA67"/>
      <c r="AB67"/>
      <c r="AE67" s="1" t="e">
        <f>VLOOKUP(A67,'Look-up'!E:F,2,FALSE)</f>
        <v>#N/A</v>
      </c>
    </row>
    <row r="68" spans="1:31" ht="15" customHeight="1">
      <c r="A68" s="33" t="s">
        <v>233</v>
      </c>
      <c r="B68" s="118" t="s">
        <v>23</v>
      </c>
      <c r="C68" s="34" t="s">
        <v>136</v>
      </c>
      <c r="D68" s="34" t="s">
        <v>7</v>
      </c>
      <c r="E68" s="176">
        <f>Output!E68</f>
        <v>635</v>
      </c>
      <c r="F68" s="177">
        <f>Output!J68</f>
        <v>0</v>
      </c>
      <c r="G68" s="176">
        <f>IF(B68="Traveler",TDCC!B68,IF(B68="Errant",EDCC!B68,VDCC!B68))</f>
        <v>2</v>
      </c>
      <c r="H68" s="176">
        <f t="shared" si="1"/>
        <v>0</v>
      </c>
      <c r="J68" s="176" t="str">
        <f>IF($E68&lt;'Short &amp; Simple'!$D$83,"Traveler",IF('Members Data'!$E68&lt;'Short &amp; Simple'!$D$84,"Errant","Venturer"))</f>
        <v>Venturer</v>
      </c>
      <c r="K68" s="176" t="str">
        <f>Output!K68</f>
        <v>Traveler</v>
      </c>
      <c r="Y68"/>
      <c r="Z68"/>
      <c r="AA68"/>
      <c r="AB68"/>
      <c r="AE68" s="1" t="e">
        <f>VLOOKUP(A68,'Look-up'!E:F,2,FALSE)</f>
        <v>#N/A</v>
      </c>
    </row>
    <row r="69" spans="1:31" ht="15" customHeight="1">
      <c r="A69" s="33" t="s">
        <v>382</v>
      </c>
      <c r="B69" s="118" t="s">
        <v>24</v>
      </c>
      <c r="C69" s="34" t="s">
        <v>16</v>
      </c>
      <c r="D69" s="34" t="s">
        <v>52</v>
      </c>
      <c r="E69" s="176">
        <f>Output!E69</f>
        <v>603</v>
      </c>
      <c r="F69" s="177">
        <f>Output!J69</f>
        <v>0</v>
      </c>
      <c r="G69" s="176">
        <f>IF(B69="Traveler",TDCC!B69,IF(B69="Errant",EDCC!B69,VDCC!B69))</f>
        <v>0</v>
      </c>
      <c r="H69" s="176">
        <f t="shared" si="1"/>
        <v>0</v>
      </c>
      <c r="J69" s="176" t="str">
        <f>IF($E69&lt;'Short &amp; Simple'!$D$83,"Traveler",IF('Members Data'!$E69&lt;'Short &amp; Simple'!$D$84,"Errant","Venturer"))</f>
        <v>Traveler</v>
      </c>
      <c r="K69" s="176" t="str">
        <f>Output!K69</f>
        <v>Traveler</v>
      </c>
      <c r="Y69"/>
      <c r="Z69"/>
      <c r="AA69"/>
      <c r="AB69"/>
      <c r="AE69" s="1" t="e">
        <f>VLOOKUP(A69,'Look-up'!E:F,2,FALSE)</f>
        <v>#N/A</v>
      </c>
    </row>
    <row r="70" spans="1:31" ht="15" customHeight="1">
      <c r="A70" s="33" t="s">
        <v>165</v>
      </c>
      <c r="B70" s="118" t="s">
        <v>23</v>
      </c>
      <c r="C70" s="34" t="s">
        <v>10</v>
      </c>
      <c r="D70" s="34" t="s">
        <v>7</v>
      </c>
      <c r="E70" s="176">
        <f>Output!E70</f>
        <v>637</v>
      </c>
      <c r="F70" s="177">
        <f>Output!J70</f>
        <v>0</v>
      </c>
      <c r="G70" s="176">
        <f>IF(B70="Traveler",TDCC!B70,IF(B70="Errant",EDCC!B70,VDCC!B70))</f>
        <v>2</v>
      </c>
      <c r="H70" s="176">
        <f t="shared" si="1"/>
        <v>0</v>
      </c>
      <c r="J70" s="176" t="str">
        <f>IF($E70&lt;'Short &amp; Simple'!$D$83,"Traveler",IF('Members Data'!$E70&lt;'Short &amp; Simple'!$D$84,"Errant","Venturer"))</f>
        <v>Venturer</v>
      </c>
      <c r="K70" s="176" t="str">
        <f>Output!K70</f>
        <v>Traveler</v>
      </c>
      <c r="Y70"/>
      <c r="Z70"/>
      <c r="AA70"/>
      <c r="AB70"/>
      <c r="AE70" s="1" t="e">
        <f>VLOOKUP(A70,'Look-up'!E:F,2,FALSE)</f>
        <v>#N/A</v>
      </c>
    </row>
    <row r="71" spans="1:31" ht="15" customHeight="1">
      <c r="A71" s="33" t="s">
        <v>383</v>
      </c>
      <c r="B71" s="118" t="s">
        <v>24</v>
      </c>
      <c r="C71" s="34" t="s">
        <v>9</v>
      </c>
      <c r="D71" s="34" t="s">
        <v>52</v>
      </c>
      <c r="E71" s="176">
        <f>Output!E71</f>
        <v>620</v>
      </c>
      <c r="F71" s="177">
        <f>Output!J71</f>
        <v>0</v>
      </c>
      <c r="G71" s="176">
        <f>IF(B71="Traveler",TDCC!B71,IF(B71="Errant",EDCC!B71,VDCC!B71))</f>
        <v>0</v>
      </c>
      <c r="H71" s="176">
        <f t="shared" si="1"/>
        <v>0</v>
      </c>
      <c r="J71" s="176" t="str">
        <f>IF($E71&lt;'Short &amp; Simple'!$D$83,"Traveler",IF('Members Data'!$E71&lt;'Short &amp; Simple'!$D$84,"Errant","Venturer"))</f>
        <v>Errant</v>
      </c>
      <c r="K71" s="176" t="str">
        <f>Output!K71</f>
        <v>Traveler</v>
      </c>
      <c r="Y71"/>
      <c r="Z71"/>
      <c r="AA71"/>
      <c r="AB71"/>
      <c r="AE71" s="1" t="e">
        <f>VLOOKUP(A71,'Look-up'!E:F,2,FALSE)</f>
        <v>#N/A</v>
      </c>
    </row>
    <row r="72" spans="1:31" ht="15" customHeight="1">
      <c r="A72" s="33" t="s">
        <v>192</v>
      </c>
      <c r="B72" s="118" t="s">
        <v>24</v>
      </c>
      <c r="C72" s="34" t="s">
        <v>16</v>
      </c>
      <c r="D72" s="34" t="s">
        <v>51</v>
      </c>
      <c r="E72" s="176">
        <f>Output!E72</f>
        <v>610</v>
      </c>
      <c r="F72" s="177">
        <f>Output!J72</f>
        <v>0</v>
      </c>
      <c r="G72" s="176">
        <f>IF(B72="Traveler",TDCC!B72,IF(B72="Errant",EDCC!B72,VDCC!B72))</f>
        <v>0</v>
      </c>
      <c r="H72" s="176">
        <f t="shared" si="1"/>
        <v>0</v>
      </c>
      <c r="J72" s="176" t="str">
        <f>IF($E72&lt;'Short &amp; Simple'!$D$83,"Traveler",IF('Members Data'!$E72&lt;'Short &amp; Simple'!$D$84,"Errant","Venturer"))</f>
        <v>Traveler</v>
      </c>
      <c r="K72" s="176" t="str">
        <f>Output!K72</f>
        <v>Traveler</v>
      </c>
      <c r="Y72"/>
      <c r="Z72"/>
      <c r="AA72"/>
      <c r="AB72"/>
      <c r="AE72" s="1" t="e">
        <f>VLOOKUP(A72,'Look-up'!E:F,2,FALSE)</f>
        <v>#N/A</v>
      </c>
    </row>
    <row r="73" spans="1:31" ht="15" customHeight="1">
      <c r="A73" s="35" t="s">
        <v>384</v>
      </c>
      <c r="B73" s="118" t="s">
        <v>23</v>
      </c>
      <c r="C73" s="34" t="s">
        <v>12</v>
      </c>
      <c r="D73" s="34" t="s">
        <v>51</v>
      </c>
      <c r="E73" s="176">
        <f>Output!E73</f>
        <v>631</v>
      </c>
      <c r="F73" s="177">
        <f>Output!J73</f>
        <v>0</v>
      </c>
      <c r="G73" s="176">
        <f>IF(B73="Traveler",TDCC!B73,IF(B73="Errant",EDCC!B73,VDCC!B73))</f>
        <v>0</v>
      </c>
      <c r="H73" s="176">
        <f t="shared" si="1"/>
        <v>0</v>
      </c>
      <c r="J73" s="176" t="str">
        <f>IF($E73&lt;'Short &amp; Simple'!$D$83,"Traveler",IF('Members Data'!$E73&lt;'Short &amp; Simple'!$D$84,"Errant","Venturer"))</f>
        <v>Venturer</v>
      </c>
      <c r="K73" s="176" t="str">
        <f>Output!K73</f>
        <v>Traveler</v>
      </c>
      <c r="Y73"/>
      <c r="Z73"/>
      <c r="AA73"/>
      <c r="AB73"/>
      <c r="AE73" s="1" t="e">
        <f>VLOOKUP(A73,'Look-up'!E:F,2,FALSE)</f>
        <v>#N/A</v>
      </c>
    </row>
    <row r="74" spans="1:31" ht="15" customHeight="1">
      <c r="A74" s="33"/>
      <c r="B74" s="118"/>
      <c r="C74" s="34"/>
      <c r="D74" s="34"/>
      <c r="E74" s="176">
        <f>Output!E74</f>
        <v>0</v>
      </c>
      <c r="F74" s="177" t="e">
        <f>Output!J74</f>
        <v>#N/A</v>
      </c>
      <c r="G74" s="176">
        <f>IF(B74="Traveler",TDCC!B74,IF(B74="Errant",EDCC!B74,VDCC!B74))</f>
        <v>0</v>
      </c>
      <c r="H74" s="176">
        <f t="shared" si="1"/>
        <v>0</v>
      </c>
      <c r="J74" s="176" t="str">
        <f>IF($E74&lt;'Short &amp; Simple'!$D$83,"Traveler",IF('Members Data'!$E74&lt;'Short &amp; Simple'!$D$84,"Errant","Venturer"))</f>
        <v>Traveler</v>
      </c>
      <c r="K74" s="176" t="e">
        <f>Output!K74</f>
        <v>#N/A</v>
      </c>
      <c r="Y74"/>
      <c r="Z74"/>
      <c r="AA74"/>
      <c r="AB74"/>
      <c r="AE74" s="1" t="e">
        <f>VLOOKUP(A74,'Look-up'!E:F,2,FALSE)</f>
        <v>#N/A</v>
      </c>
    </row>
    <row r="75" spans="1:31" ht="15" customHeight="1">
      <c r="A75" s="33"/>
      <c r="B75" s="118"/>
      <c r="C75" s="34"/>
      <c r="D75" s="34"/>
      <c r="E75" s="176">
        <f>Output!E75</f>
        <v>0</v>
      </c>
      <c r="F75" s="177" t="e">
        <f>Output!J75</f>
        <v>#N/A</v>
      </c>
      <c r="G75" s="176">
        <f>IF(B75="Traveler",TDCC!B75,IF(B75="Errant",EDCC!B75,VDCC!B75))</f>
        <v>0</v>
      </c>
      <c r="H75" s="176">
        <f t="shared" si="1"/>
        <v>0</v>
      </c>
      <c r="J75" s="176" t="str">
        <f>IF($E75&lt;'Short &amp; Simple'!$D$83,"Traveler",IF('Members Data'!$E75&lt;'Short &amp; Simple'!$D$84,"Errant","Venturer"))</f>
        <v>Traveler</v>
      </c>
      <c r="K75" s="176" t="e">
        <f>Output!K75</f>
        <v>#N/A</v>
      </c>
      <c r="Y75"/>
      <c r="Z75"/>
      <c r="AA75"/>
      <c r="AB75"/>
      <c r="AE75" s="1" t="e">
        <f>VLOOKUP(A75,'Look-up'!E:F,2,FALSE)</f>
        <v>#N/A</v>
      </c>
    </row>
    <row r="76" spans="1:31" ht="15" customHeight="1">
      <c r="A76" s="36"/>
      <c r="B76" s="118"/>
      <c r="C76" s="34"/>
      <c r="D76" s="34"/>
      <c r="E76" s="176">
        <f>Output!E76</f>
        <v>0</v>
      </c>
      <c r="F76" s="177" t="e">
        <f>Output!J76</f>
        <v>#N/A</v>
      </c>
      <c r="G76" s="176">
        <f>IF(B76="Traveler",TDCC!B76,IF(B76="Errant",EDCC!B76,VDCC!B76))</f>
        <v>0</v>
      </c>
      <c r="H76" s="176">
        <f t="shared" si="1"/>
        <v>0</v>
      </c>
      <c r="J76" s="176" t="str">
        <f>IF($E76&lt;'Short &amp; Simple'!$D$83,"Traveler",IF('Members Data'!$E76&lt;'Short &amp; Simple'!$D$84,"Errant","Venturer"))</f>
        <v>Traveler</v>
      </c>
      <c r="K76" s="176" t="e">
        <f>Output!K76</f>
        <v>#N/A</v>
      </c>
      <c r="Y76"/>
      <c r="Z76"/>
      <c r="AA76"/>
      <c r="AB76"/>
      <c r="AE76" s="1" t="e">
        <f>VLOOKUP(A76,'Look-up'!E:F,2,FALSE)</f>
        <v>#N/A</v>
      </c>
    </row>
    <row r="77" spans="1:31" ht="15" customHeight="1">
      <c r="A77" s="33"/>
      <c r="B77" s="118"/>
      <c r="C77" s="34"/>
      <c r="D77" s="34"/>
      <c r="E77" s="176">
        <f>Output!E77</f>
        <v>0</v>
      </c>
      <c r="F77" s="177" t="e">
        <f>Output!J77</f>
        <v>#N/A</v>
      </c>
      <c r="G77" s="176">
        <f>IF(B77="Traveler",TDCC!B77,IF(B77="Errant",EDCC!B77,VDCC!B77))</f>
        <v>0</v>
      </c>
      <c r="H77" s="176">
        <f t="shared" si="1"/>
        <v>0</v>
      </c>
      <c r="J77" s="176" t="str">
        <f>IF($E77&lt;'Short &amp; Simple'!$D$83,"Traveler",IF('Members Data'!$E77&lt;'Short &amp; Simple'!$D$84,"Errant","Venturer"))</f>
        <v>Traveler</v>
      </c>
      <c r="K77" s="176" t="e">
        <f>Output!K77</f>
        <v>#N/A</v>
      </c>
      <c r="Y77"/>
      <c r="Z77"/>
      <c r="AA77"/>
      <c r="AB77"/>
      <c r="AE77" s="1" t="e">
        <f>VLOOKUP(A77,'Look-up'!E:F,2,FALSE)</f>
        <v>#N/A</v>
      </c>
    </row>
    <row r="78" spans="1:31" ht="15" customHeight="1">
      <c r="A78" s="33"/>
      <c r="B78" s="118"/>
      <c r="C78" s="34"/>
      <c r="D78" s="34"/>
      <c r="E78" s="176">
        <f>Output!E78</f>
        <v>0</v>
      </c>
      <c r="F78" s="177" t="e">
        <f>Output!J78</f>
        <v>#N/A</v>
      </c>
      <c r="G78" s="176">
        <f>IF(B78="Traveler",TDCC!B78,IF(B78="Errant",EDCC!B78,VDCC!B78))</f>
        <v>0</v>
      </c>
      <c r="H78" s="176">
        <f t="shared" si="1"/>
        <v>0</v>
      </c>
      <c r="J78" s="176" t="str">
        <f>IF($E78&lt;'Short &amp; Simple'!$D$83,"Traveler",IF('Members Data'!$E78&lt;'Short &amp; Simple'!$D$84,"Errant","Venturer"))</f>
        <v>Traveler</v>
      </c>
      <c r="K78" s="176" t="e">
        <f>Output!K78</f>
        <v>#N/A</v>
      </c>
      <c r="Y78"/>
      <c r="Z78"/>
      <c r="AA78"/>
      <c r="AB78"/>
      <c r="AE78" s="1" t="e">
        <f>VLOOKUP(A78,'Look-up'!E:F,2,FALSE)</f>
        <v>#N/A</v>
      </c>
    </row>
    <row r="79" spans="1:31" ht="15" customHeight="1">
      <c r="A79" s="33"/>
      <c r="B79" s="118"/>
      <c r="C79" s="34"/>
      <c r="D79" s="34"/>
      <c r="E79" s="176">
        <f>Output!E79</f>
        <v>0</v>
      </c>
      <c r="F79" s="177" t="e">
        <f>Output!J79</f>
        <v>#N/A</v>
      </c>
      <c r="G79" s="176">
        <f>IF(B79="Traveler",TDCC!B79,IF(B79="Errant",EDCC!B79,VDCC!B79))</f>
        <v>0</v>
      </c>
      <c r="H79" s="176">
        <f t="shared" si="1"/>
        <v>0</v>
      </c>
      <c r="J79" s="176" t="str">
        <f>IF($E79&lt;'Short &amp; Simple'!$D$83,"Traveler",IF('Members Data'!$E79&lt;'Short &amp; Simple'!$D$84,"Errant","Venturer"))</f>
        <v>Traveler</v>
      </c>
      <c r="K79" s="176" t="e">
        <f>Output!K79</f>
        <v>#N/A</v>
      </c>
      <c r="Y79"/>
      <c r="Z79"/>
      <c r="AA79"/>
      <c r="AB79"/>
      <c r="AE79" s="1" t="e">
        <f>VLOOKUP(A79,'Look-up'!E:F,2,FALSE)</f>
        <v>#N/A</v>
      </c>
    </row>
    <row r="80" spans="1:31" ht="15" customHeight="1">
      <c r="A80" s="33"/>
      <c r="B80" s="118"/>
      <c r="C80" s="34"/>
      <c r="D80" s="34"/>
      <c r="E80" s="176">
        <f>Output!E80</f>
        <v>0</v>
      </c>
      <c r="F80" s="177" t="e">
        <f>Output!J80</f>
        <v>#N/A</v>
      </c>
      <c r="G80" s="176">
        <f>IF(B80="Traveler",TDCC!B80,IF(B80="Errant",EDCC!B80,VDCC!B80))</f>
        <v>0</v>
      </c>
      <c r="H80" s="176">
        <f t="shared" si="1"/>
        <v>0</v>
      </c>
      <c r="J80" s="176" t="str">
        <f>IF($E80&lt;'Short &amp; Simple'!$D$83,"Traveler",IF('Members Data'!$E80&lt;'Short &amp; Simple'!$D$84,"Errant","Venturer"))</f>
        <v>Traveler</v>
      </c>
      <c r="K80" s="176" t="e">
        <f>Output!K80</f>
        <v>#N/A</v>
      </c>
      <c r="Y80"/>
      <c r="Z80"/>
      <c r="AA80"/>
      <c r="AB80"/>
      <c r="AE80" s="1" t="e">
        <f>VLOOKUP(A80,'Look-up'!E:F,2,FALSE)</f>
        <v>#N/A</v>
      </c>
    </row>
    <row r="81" spans="1:31" ht="15" customHeight="1">
      <c r="A81" s="33"/>
      <c r="B81" s="118"/>
      <c r="C81" s="34"/>
      <c r="D81" s="34"/>
      <c r="E81" s="176">
        <f>Output!E81</f>
        <v>0</v>
      </c>
      <c r="F81" s="177" t="e">
        <f>Output!J81</f>
        <v>#N/A</v>
      </c>
      <c r="G81" s="176">
        <f>IF(B81="Traveler",TDCC!B81,IF(B81="Errant",EDCC!B81,VDCC!B81))</f>
        <v>0</v>
      </c>
      <c r="H81" s="176">
        <f t="shared" si="1"/>
        <v>0</v>
      </c>
      <c r="J81" s="176" t="str">
        <f>IF($E81&lt;'Short &amp; Simple'!$D$83,"Traveler",IF('Members Data'!$E81&lt;'Short &amp; Simple'!$D$84,"Errant","Venturer"))</f>
        <v>Traveler</v>
      </c>
      <c r="K81" s="176" t="e">
        <f>Output!K81</f>
        <v>#N/A</v>
      </c>
      <c r="Y81"/>
      <c r="Z81"/>
      <c r="AA81"/>
      <c r="AB81"/>
      <c r="AE81" s="1" t="e">
        <f>VLOOKUP(A81,'Look-up'!E:F,2,FALSE)</f>
        <v>#N/A</v>
      </c>
    </row>
    <row r="82" spans="1:31" ht="15" customHeight="1">
      <c r="A82" s="33"/>
      <c r="B82" s="118"/>
      <c r="C82" s="34"/>
      <c r="D82" s="34"/>
      <c r="E82" s="176">
        <f>Output!E82</f>
        <v>0</v>
      </c>
      <c r="F82" s="177" t="e">
        <f>Output!J82</f>
        <v>#N/A</v>
      </c>
      <c r="G82" s="176">
        <f>IF(B82="Traveler",TDCC!B82,IF(B82="Errant",EDCC!B82,VDCC!B82))</f>
        <v>0</v>
      </c>
      <c r="H82" s="176">
        <f t="shared" si="1"/>
        <v>0</v>
      </c>
      <c r="J82" s="176" t="str">
        <f>IF($E82&lt;'Short &amp; Simple'!$D$83,"Traveler",IF('Members Data'!$E82&lt;'Short &amp; Simple'!$D$84,"Errant","Venturer"))</f>
        <v>Traveler</v>
      </c>
      <c r="K82" s="176" t="e">
        <f>Output!K82</f>
        <v>#N/A</v>
      </c>
      <c r="Y82"/>
      <c r="Z82"/>
      <c r="AA82"/>
      <c r="AB82"/>
      <c r="AE82" s="1" t="e">
        <f>VLOOKUP(A82,'Look-up'!E:F,2,FALSE)</f>
        <v>#N/A</v>
      </c>
    </row>
    <row r="83" spans="1:31" ht="15" customHeight="1">
      <c r="A83" s="33"/>
      <c r="B83" s="118"/>
      <c r="C83" s="34"/>
      <c r="D83" s="34"/>
      <c r="E83" s="176">
        <f>Output!E83</f>
        <v>0</v>
      </c>
      <c r="F83" s="177" t="e">
        <f>Output!J83</f>
        <v>#N/A</v>
      </c>
      <c r="G83" s="176">
        <f>IF(B83="Traveler",TDCC!B83,IF(B83="Errant",EDCC!B83,VDCC!B83))</f>
        <v>0</v>
      </c>
      <c r="H83" s="176">
        <f t="shared" si="1"/>
        <v>0</v>
      </c>
      <c r="J83" s="176" t="str">
        <f>IF($E83&lt;'Short &amp; Simple'!$D$83,"Traveler",IF('Members Data'!$E83&lt;'Short &amp; Simple'!$D$84,"Errant","Venturer"))</f>
        <v>Traveler</v>
      </c>
      <c r="K83" s="176" t="e">
        <f>Output!K83</f>
        <v>#N/A</v>
      </c>
      <c r="Y83"/>
      <c r="Z83"/>
      <c r="AA83"/>
      <c r="AB83"/>
      <c r="AE83" s="1" t="e">
        <f>VLOOKUP(A83,'Look-up'!E:F,2,FALSE)</f>
        <v>#N/A</v>
      </c>
    </row>
    <row r="84" spans="1:31" ht="15" customHeight="1">
      <c r="A84" s="37"/>
      <c r="B84" s="119"/>
      <c r="C84" s="38"/>
      <c r="D84" s="34"/>
      <c r="E84" s="176">
        <f>Output!E84</f>
        <v>0</v>
      </c>
      <c r="F84" s="177" t="e">
        <f>Output!J84</f>
        <v>#N/A</v>
      </c>
      <c r="G84" s="176">
        <f>IF(B84="Traveler",TDCC!B84,IF(B84="Errant",EDCC!B84,VDCC!B84))</f>
        <v>0</v>
      </c>
      <c r="H84" s="176">
        <f t="shared" si="1"/>
        <v>0</v>
      </c>
      <c r="J84" s="176" t="str">
        <f>IF($E84&lt;'Short &amp; Simple'!$D$83,"Traveler",IF('Members Data'!$E84&lt;'Short &amp; Simple'!$D$84,"Errant","Venturer"))</f>
        <v>Traveler</v>
      </c>
      <c r="K84" s="176" t="e">
        <f>Output!K84</f>
        <v>#N/A</v>
      </c>
      <c r="Y84"/>
      <c r="Z84"/>
      <c r="AA84"/>
      <c r="AB84"/>
      <c r="AE84" s="1" t="e">
        <f>VLOOKUP(A84,'Look-up'!E:F,2,FALSE)</f>
        <v>#N/A</v>
      </c>
    </row>
    <row r="85" spans="1:31" ht="15" customHeight="1">
      <c r="A85" s="33"/>
      <c r="B85" s="118"/>
      <c r="C85" s="34"/>
      <c r="D85" s="34"/>
      <c r="E85" s="176">
        <f>Output!E85</f>
        <v>0</v>
      </c>
      <c r="F85" s="177" t="e">
        <f>Output!J85</f>
        <v>#N/A</v>
      </c>
      <c r="G85" s="176">
        <f>IF(B85="Traveler",TDCC!B85,IF(B85="Errant",EDCC!B85,VDCC!B85))</f>
        <v>0</v>
      </c>
      <c r="H85" s="176">
        <f t="shared" si="1"/>
        <v>0</v>
      </c>
      <c r="J85" s="176" t="str">
        <f>IF($E85&lt;'Short &amp; Simple'!$D$83,"Traveler",IF('Members Data'!$E85&lt;'Short &amp; Simple'!$D$84,"Errant","Venturer"))</f>
        <v>Traveler</v>
      </c>
      <c r="K85" s="176" t="e">
        <f>Output!K85</f>
        <v>#N/A</v>
      </c>
      <c r="Y85"/>
      <c r="Z85"/>
      <c r="AA85"/>
      <c r="AB85"/>
      <c r="AE85" s="1" t="e">
        <f>VLOOKUP(A85,'Look-up'!E:F,2,FALSE)</f>
        <v>#N/A</v>
      </c>
    </row>
    <row r="86" spans="1:31" ht="15" customHeight="1">
      <c r="A86" s="33"/>
      <c r="B86" s="118"/>
      <c r="C86" s="34"/>
      <c r="D86" s="34"/>
      <c r="E86" s="176">
        <f>Output!E86</f>
        <v>0</v>
      </c>
      <c r="F86" s="177" t="e">
        <f>Output!J86</f>
        <v>#N/A</v>
      </c>
      <c r="G86" s="176">
        <f>IF(B86="Traveler",TDCC!B86,IF(B86="Errant",EDCC!B86,VDCC!B86))</f>
        <v>0</v>
      </c>
      <c r="H86" s="176">
        <f t="shared" si="1"/>
        <v>0</v>
      </c>
      <c r="J86" s="176" t="str">
        <f>IF($E86&lt;'Short &amp; Simple'!$D$83,"Traveler",IF('Members Data'!$E86&lt;'Short &amp; Simple'!$D$84,"Errant","Venturer"))</f>
        <v>Traveler</v>
      </c>
      <c r="K86" s="176" t="e">
        <f>Output!K86</f>
        <v>#N/A</v>
      </c>
      <c r="Y86"/>
      <c r="Z86"/>
      <c r="AA86"/>
      <c r="AB86"/>
      <c r="AE86" s="1" t="e">
        <f>VLOOKUP(A86,'Look-up'!E:F,2,FALSE)</f>
        <v>#N/A</v>
      </c>
    </row>
    <row r="87" spans="1:31" ht="15" customHeight="1">
      <c r="A87" s="33"/>
      <c r="B87" s="118"/>
      <c r="C87" s="34"/>
      <c r="D87" s="34"/>
      <c r="E87" s="176">
        <f>Output!E87</f>
        <v>0</v>
      </c>
      <c r="F87" s="177" t="e">
        <f>Output!J87</f>
        <v>#N/A</v>
      </c>
      <c r="G87" s="176">
        <f>IF(B87="Traveler",TDCC!B87,IF(B87="Errant",EDCC!B87,VDCC!B87))</f>
        <v>0</v>
      </c>
      <c r="H87" s="176">
        <f t="shared" si="1"/>
        <v>0</v>
      </c>
      <c r="J87" s="176" t="str">
        <f>IF($E87&lt;'Short &amp; Simple'!$D$83,"Traveler",IF('Members Data'!$E87&lt;'Short &amp; Simple'!$D$84,"Errant","Venturer"))</f>
        <v>Traveler</v>
      </c>
      <c r="K87" s="176" t="e">
        <f>Output!K87</f>
        <v>#N/A</v>
      </c>
      <c r="Y87"/>
      <c r="Z87"/>
      <c r="AA87"/>
      <c r="AB87"/>
      <c r="AE87" s="1" t="e">
        <f>VLOOKUP(A87,'Look-up'!E:F,2,FALSE)</f>
        <v>#N/A</v>
      </c>
    </row>
    <row r="88" spans="1:31" ht="15" customHeight="1">
      <c r="A88" s="33"/>
      <c r="B88" s="118"/>
      <c r="C88" s="34"/>
      <c r="D88" s="34"/>
      <c r="E88" s="176">
        <f>Output!E88</f>
        <v>0</v>
      </c>
      <c r="F88" s="177" t="e">
        <f>Output!J88</f>
        <v>#N/A</v>
      </c>
      <c r="G88" s="176">
        <f>IF(B88="Traveler",TDCC!B88,IF(B88="Errant",EDCC!B88,VDCC!B88))</f>
        <v>0</v>
      </c>
      <c r="H88" s="176">
        <f t="shared" si="1"/>
        <v>0</v>
      </c>
      <c r="J88" s="176" t="str">
        <f>IF($E88&lt;'Short &amp; Simple'!$D$83,"Traveler",IF('Members Data'!$E88&lt;'Short &amp; Simple'!$D$84,"Errant","Venturer"))</f>
        <v>Traveler</v>
      </c>
      <c r="K88" s="176" t="e">
        <f>Output!K88</f>
        <v>#N/A</v>
      </c>
      <c r="Y88"/>
      <c r="Z88"/>
      <c r="AA88"/>
      <c r="AB88"/>
      <c r="AE88" s="1" t="e">
        <f>VLOOKUP(A88,'Look-up'!E:F,2,FALSE)</f>
        <v>#N/A</v>
      </c>
    </row>
    <row r="89" spans="1:31" ht="15" customHeight="1">
      <c r="A89" s="33"/>
      <c r="B89" s="118"/>
      <c r="C89" s="34"/>
      <c r="D89" s="34"/>
      <c r="E89" s="176">
        <f>Output!E89</f>
        <v>0</v>
      </c>
      <c r="F89" s="177" t="e">
        <f>Output!J89</f>
        <v>#N/A</v>
      </c>
      <c r="G89" s="176">
        <f>IF(B89="Traveler",TDCC!B89,IF(B89="Errant",EDCC!B89,VDCC!B89))</f>
        <v>0</v>
      </c>
      <c r="H89" s="176">
        <f t="shared" si="1"/>
        <v>0</v>
      </c>
      <c r="J89" s="176" t="str">
        <f>IF($E89&lt;'Short &amp; Simple'!$D$83,"Traveler",IF('Members Data'!$E89&lt;'Short &amp; Simple'!$D$84,"Errant","Venturer"))</f>
        <v>Traveler</v>
      </c>
      <c r="K89" s="176" t="e">
        <f>Output!K89</f>
        <v>#N/A</v>
      </c>
      <c r="Y89"/>
      <c r="Z89"/>
      <c r="AA89"/>
      <c r="AB89"/>
      <c r="AE89" s="1" t="e">
        <f>VLOOKUP(A89,'Look-up'!E:F,2,FALSE)</f>
        <v>#N/A</v>
      </c>
    </row>
    <row r="90" spans="1:31" ht="15" customHeight="1">
      <c r="A90" s="33"/>
      <c r="B90" s="118"/>
      <c r="C90" s="34"/>
      <c r="D90" s="34"/>
      <c r="E90" s="176">
        <f>Output!E90</f>
        <v>0</v>
      </c>
      <c r="F90" s="177" t="e">
        <f>Output!J90</f>
        <v>#N/A</v>
      </c>
      <c r="G90" s="176">
        <f>IF(B90="Traveler",TDCC!B90,IF(B90="Errant",EDCC!B90,VDCC!B90))</f>
        <v>0</v>
      </c>
      <c r="H90" s="176">
        <f t="shared" si="1"/>
        <v>0</v>
      </c>
      <c r="J90" s="176" t="str">
        <f>IF($E90&lt;'Short &amp; Simple'!$D$83,"Traveler",IF('Members Data'!$E90&lt;'Short &amp; Simple'!$D$84,"Errant","Venturer"))</f>
        <v>Traveler</v>
      </c>
      <c r="K90" s="176" t="e">
        <f>Output!K90</f>
        <v>#N/A</v>
      </c>
      <c r="Y90"/>
      <c r="Z90"/>
      <c r="AA90"/>
      <c r="AB90"/>
      <c r="AE90" s="1" t="e">
        <f>VLOOKUP(A90,'Look-up'!E:F,2,FALSE)</f>
        <v>#N/A</v>
      </c>
    </row>
    <row r="91" spans="1:31" ht="15" customHeight="1">
      <c r="A91" s="33"/>
      <c r="B91" s="118"/>
      <c r="C91" s="34"/>
      <c r="D91" s="34"/>
      <c r="E91" s="176">
        <f>Output!E91</f>
        <v>0</v>
      </c>
      <c r="F91" s="177" t="e">
        <f>Output!J91</f>
        <v>#N/A</v>
      </c>
      <c r="G91" s="176">
        <f>IF(B91="Traveler",TDCC!B91,IF(B91="Errant",EDCC!B91,VDCC!B91))</f>
        <v>0</v>
      </c>
      <c r="H91" s="176">
        <f t="shared" si="1"/>
        <v>0</v>
      </c>
      <c r="J91" s="176" t="str">
        <f>IF($E91&lt;'Short &amp; Simple'!$D$83,"Traveler",IF('Members Data'!$E91&lt;'Short &amp; Simple'!$D$84,"Errant","Venturer"))</f>
        <v>Traveler</v>
      </c>
      <c r="K91" s="176" t="e">
        <f>Output!K91</f>
        <v>#N/A</v>
      </c>
      <c r="Y91"/>
      <c r="Z91"/>
      <c r="AA91"/>
      <c r="AB91"/>
      <c r="AE91" s="1" t="e">
        <f>VLOOKUP(A91,'Look-up'!E:F,2,FALSE)</f>
        <v>#N/A</v>
      </c>
    </row>
    <row r="92" spans="1:31" ht="15" customHeight="1">
      <c r="A92" s="33"/>
      <c r="B92" s="118"/>
      <c r="C92" s="34"/>
      <c r="D92" s="34"/>
      <c r="E92" s="176">
        <f>Output!E92</f>
        <v>0</v>
      </c>
      <c r="F92" s="177" t="e">
        <f>Output!J92</f>
        <v>#N/A</v>
      </c>
      <c r="G92" s="176">
        <f>IF(B92="Traveler",TDCC!B92,IF(B92="Errant",EDCC!B92,VDCC!B92))</f>
        <v>0</v>
      </c>
      <c r="H92" s="176">
        <f t="shared" si="1"/>
        <v>0</v>
      </c>
      <c r="J92" s="176" t="str">
        <f>IF($E92&lt;'Short &amp; Simple'!$D$83,"Traveler",IF('Members Data'!$E92&lt;'Short &amp; Simple'!$D$84,"Errant","Venturer"))</f>
        <v>Traveler</v>
      </c>
      <c r="K92" s="176" t="e">
        <f>Output!K92</f>
        <v>#N/A</v>
      </c>
      <c r="Y92"/>
      <c r="Z92"/>
      <c r="AA92"/>
      <c r="AB92"/>
      <c r="AE92" s="1" t="e">
        <f>VLOOKUP(A92,'Look-up'!E:F,2,FALSE)</f>
        <v>#N/A</v>
      </c>
    </row>
    <row r="93" spans="1:31" ht="15" customHeight="1">
      <c r="A93" s="33"/>
      <c r="B93" s="118"/>
      <c r="C93" s="34"/>
      <c r="D93" s="34"/>
      <c r="E93" s="176">
        <f>Output!E93</f>
        <v>0</v>
      </c>
      <c r="F93" s="177" t="e">
        <f>Output!J93</f>
        <v>#N/A</v>
      </c>
      <c r="G93" s="176">
        <f>IF(B93="Traveler",TDCC!B93,IF(B93="Errant",EDCC!B93,VDCC!B93))</f>
        <v>0</v>
      </c>
      <c r="H93" s="176">
        <f t="shared" si="1"/>
        <v>0</v>
      </c>
      <c r="J93" s="176" t="str">
        <f>IF($E93&lt;'Short &amp; Simple'!$D$83,"Traveler",IF('Members Data'!$E93&lt;'Short &amp; Simple'!$D$84,"Errant","Venturer"))</f>
        <v>Traveler</v>
      </c>
      <c r="K93" s="176" t="e">
        <f>Output!K93</f>
        <v>#N/A</v>
      </c>
      <c r="Y93"/>
      <c r="Z93"/>
      <c r="AA93"/>
      <c r="AB93"/>
      <c r="AE93" s="1" t="e">
        <f>VLOOKUP(A93,'Look-up'!E:F,2,FALSE)</f>
        <v>#N/A</v>
      </c>
    </row>
    <row r="94" spans="1:31" ht="15" customHeight="1">
      <c r="A94" s="33"/>
      <c r="B94" s="118"/>
      <c r="C94" s="34"/>
      <c r="D94" s="34"/>
      <c r="E94" s="176">
        <f>Output!E94</f>
        <v>0</v>
      </c>
      <c r="F94" s="177" t="e">
        <f>Output!J94</f>
        <v>#N/A</v>
      </c>
      <c r="G94" s="176">
        <f>IF(B94="Traveler",TDCC!B94,IF(B94="Errant",EDCC!B94,VDCC!B94))</f>
        <v>0</v>
      </c>
      <c r="H94" s="176">
        <f t="shared" si="1"/>
        <v>0</v>
      </c>
      <c r="J94" s="176" t="str">
        <f>IF($E94&lt;'Short &amp; Simple'!$D$83,"Traveler",IF('Members Data'!$E94&lt;'Short &amp; Simple'!$D$84,"Errant","Venturer"))</f>
        <v>Traveler</v>
      </c>
      <c r="K94" s="176" t="e">
        <f>Output!K94</f>
        <v>#N/A</v>
      </c>
      <c r="Y94"/>
      <c r="Z94"/>
      <c r="AA94"/>
      <c r="AB94"/>
      <c r="AE94" s="1" t="e">
        <f>VLOOKUP(A94,'Look-up'!E:F,2,FALSE)</f>
        <v>#N/A</v>
      </c>
    </row>
    <row r="95" spans="1:31" ht="15" customHeight="1">
      <c r="A95" s="33"/>
      <c r="B95" s="118"/>
      <c r="C95" s="34"/>
      <c r="D95" s="34"/>
      <c r="E95" s="176">
        <f>Output!E95</f>
        <v>0</v>
      </c>
      <c r="F95" s="177" t="e">
        <f>Output!J95</f>
        <v>#N/A</v>
      </c>
      <c r="G95" s="176">
        <f>IF(B95="Traveler",TDCC!B95,IF(B95="Errant",EDCC!B95,VDCC!B95))</f>
        <v>0</v>
      </c>
      <c r="H95" s="176">
        <f t="shared" si="1"/>
        <v>0</v>
      </c>
      <c r="J95" s="176" t="str">
        <f>IF($E95&lt;'Short &amp; Simple'!$D$83,"Traveler",IF('Members Data'!$E95&lt;'Short &amp; Simple'!$D$84,"Errant","Venturer"))</f>
        <v>Traveler</v>
      </c>
      <c r="K95" s="176" t="e">
        <f>Output!K95</f>
        <v>#N/A</v>
      </c>
      <c r="Y95"/>
      <c r="Z95"/>
      <c r="AA95"/>
      <c r="AB95"/>
      <c r="AE95" s="1" t="e">
        <f>VLOOKUP(A95,'Look-up'!E:F,2,FALSE)</f>
        <v>#N/A</v>
      </c>
    </row>
    <row r="96" spans="1:31" ht="15" customHeight="1">
      <c r="A96" s="33"/>
      <c r="B96" s="118"/>
      <c r="C96" s="34"/>
      <c r="D96" s="34"/>
      <c r="E96" s="176">
        <f>Output!E96</f>
        <v>0</v>
      </c>
      <c r="F96" s="177" t="e">
        <f>Output!J96</f>
        <v>#N/A</v>
      </c>
      <c r="G96" s="176">
        <f>IF(B96="Traveler",TDCC!B96,IF(B96="Errant",EDCC!B96,VDCC!B96))</f>
        <v>0</v>
      </c>
      <c r="H96" s="176">
        <f t="shared" si="1"/>
        <v>0</v>
      </c>
      <c r="J96" s="176" t="str">
        <f>IF($E96&lt;'Short &amp; Simple'!$D$83,"Traveler",IF('Members Data'!$E96&lt;'Short &amp; Simple'!$D$84,"Errant","Venturer"))</f>
        <v>Traveler</v>
      </c>
      <c r="K96" s="176" t="e">
        <f>Output!K96</f>
        <v>#N/A</v>
      </c>
      <c r="Y96"/>
      <c r="Z96"/>
      <c r="AA96"/>
      <c r="AB96"/>
      <c r="AE96" s="1" t="e">
        <f>VLOOKUP(A96,'Look-up'!E:F,2,FALSE)</f>
        <v>#N/A</v>
      </c>
    </row>
    <row r="97" spans="1:244" ht="15" customHeight="1">
      <c r="A97" s="33"/>
      <c r="B97" s="118"/>
      <c r="C97" s="34"/>
      <c r="D97" s="34"/>
      <c r="E97" s="176">
        <f>Output!E97</f>
        <v>0</v>
      </c>
      <c r="F97" s="177" t="e">
        <f>Output!J97</f>
        <v>#N/A</v>
      </c>
      <c r="G97" s="176">
        <f>IF(B97="Traveler",TDCC!B97,IF(B97="Errant",EDCC!B97,VDCC!B97))</f>
        <v>0</v>
      </c>
      <c r="H97" s="176">
        <f t="shared" si="1"/>
        <v>0</v>
      </c>
      <c r="J97" s="176" t="str">
        <f>IF($E97&lt;'Short &amp; Simple'!$D$83,"Traveler",IF('Members Data'!$E97&lt;'Short &amp; Simple'!$D$84,"Errant","Venturer"))</f>
        <v>Traveler</v>
      </c>
      <c r="K97" s="176" t="e">
        <f>Output!K97</f>
        <v>#N/A</v>
      </c>
      <c r="Y97"/>
      <c r="Z97"/>
      <c r="AA97"/>
      <c r="AB97"/>
      <c r="AE97" s="1" t="e">
        <f>VLOOKUP(A97,'Look-up'!E:F,2,FALSE)</f>
        <v>#N/A</v>
      </c>
    </row>
    <row r="98" spans="1:244" ht="15" customHeight="1">
      <c r="A98" s="33"/>
      <c r="B98" s="118"/>
      <c r="C98" s="34"/>
      <c r="D98" s="34"/>
      <c r="E98" s="176">
        <f>Output!E98</f>
        <v>0</v>
      </c>
      <c r="F98" s="177" t="e">
        <f>Output!J98</f>
        <v>#N/A</v>
      </c>
      <c r="G98" s="176">
        <f>IF(B98="Traveler",TDCC!B98,IF(B98="Errant",EDCC!B98,VDCC!B98))</f>
        <v>0</v>
      </c>
      <c r="H98" s="176">
        <f t="shared" si="1"/>
        <v>0</v>
      </c>
      <c r="J98" s="176" t="str">
        <f>IF($E98&lt;'Short &amp; Simple'!$D$83,"Traveler",IF('Members Data'!$E98&lt;'Short &amp; Simple'!$D$84,"Errant","Venturer"))</f>
        <v>Traveler</v>
      </c>
      <c r="K98" s="176" t="e">
        <f>Output!K98</f>
        <v>#N/A</v>
      </c>
      <c r="Y98"/>
      <c r="Z98"/>
      <c r="AA98"/>
      <c r="AB98"/>
      <c r="AE98" s="1" t="e">
        <f>VLOOKUP(A98,'Look-up'!E:F,2,FALSE)</f>
        <v>#N/A</v>
      </c>
    </row>
    <row r="99" spans="1:244" ht="15" customHeight="1">
      <c r="A99" s="33"/>
      <c r="B99" s="118"/>
      <c r="C99" s="34"/>
      <c r="D99" s="34"/>
      <c r="E99" s="176">
        <f>Output!E99</f>
        <v>0</v>
      </c>
      <c r="F99" s="177" t="e">
        <f>Output!J99</f>
        <v>#N/A</v>
      </c>
      <c r="G99" s="176">
        <f>IF(B99="Traveler",TDCC!B99,IF(B99="Errant",EDCC!B99,VDCC!B99))</f>
        <v>0</v>
      </c>
      <c r="H99" s="176">
        <f t="shared" si="1"/>
        <v>0</v>
      </c>
      <c r="J99" s="176" t="str">
        <f>IF($E99&lt;'Short &amp; Simple'!$D$83,"Traveler",IF('Members Data'!$E99&lt;'Short &amp; Simple'!$D$84,"Errant","Venturer"))</f>
        <v>Traveler</v>
      </c>
      <c r="K99" s="176" t="e">
        <f>Output!K99</f>
        <v>#N/A</v>
      </c>
      <c r="Y99"/>
      <c r="Z99"/>
      <c r="AA99"/>
      <c r="AB99"/>
      <c r="AE99" s="1" t="e">
        <f>VLOOKUP(A99,'Look-up'!E:F,2,FALSE)</f>
        <v>#N/A</v>
      </c>
    </row>
    <row r="100" spans="1:244" ht="15" customHeight="1" thickBot="1">
      <c r="A100" s="170"/>
      <c r="B100" s="171"/>
      <c r="C100" s="172"/>
      <c r="D100" s="172"/>
      <c r="E100" s="178">
        <f>Output!E100</f>
        <v>0</v>
      </c>
      <c r="F100" s="179" t="e">
        <f>Output!J100</f>
        <v>#N/A</v>
      </c>
      <c r="G100" s="178">
        <f>IF(B100="Traveler",TDCC!B100,IF(B100="Errant",EDCC!B100,VDCC!B100))</f>
        <v>0</v>
      </c>
      <c r="H100" s="178">
        <f t="shared" si="1"/>
        <v>0</v>
      </c>
      <c r="I100" s="173"/>
      <c r="J100" s="178" t="str">
        <f>IF($E100&lt;'Short &amp; Simple'!$D$83,"Traveler",IF('Members Data'!$E100&lt;'Short &amp; Simple'!$D$84,"Errant","Venturer"))</f>
        <v>Traveler</v>
      </c>
      <c r="K100" s="178" t="e">
        <f>Output!K100</f>
        <v>#N/A</v>
      </c>
      <c r="L100" s="173"/>
      <c r="M100" s="173"/>
      <c r="N100" s="173"/>
      <c r="O100" s="173"/>
      <c r="P100" s="173"/>
      <c r="Q100" s="173"/>
      <c r="R100" s="173"/>
      <c r="S100" s="173"/>
      <c r="T100" s="173"/>
      <c r="U100" s="173"/>
      <c r="Y100"/>
      <c r="Z100"/>
      <c r="AA100"/>
      <c r="AB100"/>
      <c r="AE100" s="1" t="e">
        <f>VLOOKUP(A100,'Look-up'!E:F,2,FALSE)</f>
        <v>#N/A</v>
      </c>
    </row>
    <row r="101" spans="1:244" ht="15" customHeight="1">
      <c r="E101"/>
      <c r="F101"/>
      <c r="V101" s="1"/>
      <c r="W101" s="1"/>
      <c r="X101" s="1"/>
      <c r="HM101"/>
      <c r="HN101"/>
      <c r="HO101"/>
      <c r="HP101"/>
      <c r="HQ101"/>
      <c r="HR101"/>
      <c r="HS101"/>
      <c r="HT101"/>
      <c r="HU101"/>
      <c r="HV101"/>
      <c r="HW101"/>
      <c r="HX101"/>
      <c r="HY101"/>
      <c r="HZ101"/>
      <c r="IA101"/>
      <c r="IB101"/>
      <c r="IC101"/>
      <c r="ID101"/>
      <c r="IE101"/>
      <c r="IF101"/>
      <c r="IG101"/>
      <c r="IH101"/>
      <c r="II101"/>
      <c r="IJ101"/>
    </row>
    <row r="102" spans="1:244" ht="15" customHeight="1">
      <c r="A102"/>
      <c r="B102"/>
      <c r="C102"/>
      <c r="D102"/>
      <c r="E102"/>
      <c r="F102"/>
      <c r="V102" s="1"/>
      <c r="W102" s="1"/>
      <c r="X102" s="1"/>
      <c r="HM102"/>
      <c r="HN102"/>
      <c r="HO102"/>
      <c r="HP102"/>
      <c r="HQ102"/>
      <c r="HR102"/>
      <c r="HS102"/>
      <c r="HT102"/>
      <c r="HU102"/>
      <c r="HV102"/>
      <c r="HW102"/>
      <c r="HX102"/>
      <c r="HY102"/>
      <c r="HZ102"/>
      <c r="IA102"/>
      <c r="IB102"/>
      <c r="IC102"/>
      <c r="ID102"/>
      <c r="IE102"/>
      <c r="IF102"/>
      <c r="IG102"/>
      <c r="IH102"/>
      <c r="II102"/>
      <c r="IJ102"/>
    </row>
    <row r="103" spans="1:244" ht="15" customHeight="1">
      <c r="A103"/>
      <c r="B103"/>
      <c r="C103"/>
      <c r="D103"/>
      <c r="E103"/>
      <c r="F103"/>
      <c r="V103" s="1"/>
      <c r="W103" s="1"/>
      <c r="X103" s="1"/>
      <c r="HM103"/>
      <c r="HN103"/>
      <c r="HO103"/>
      <c r="HP103"/>
      <c r="HQ103"/>
      <c r="HR103"/>
      <c r="HS103"/>
      <c r="HT103"/>
      <c r="HU103"/>
      <c r="HV103"/>
      <c r="HW103"/>
      <c r="HX103"/>
      <c r="HY103"/>
      <c r="HZ103"/>
      <c r="IA103"/>
      <c r="IB103"/>
      <c r="IC103"/>
      <c r="ID103"/>
      <c r="IE103"/>
      <c r="IF103"/>
      <c r="IG103"/>
      <c r="IH103"/>
      <c r="II103"/>
      <c r="IJ103"/>
    </row>
    <row r="104" spans="1:244" ht="15" customHeight="1">
      <c r="A104"/>
      <c r="B104"/>
      <c r="C104"/>
      <c r="D104"/>
      <c r="V104" s="1"/>
      <c r="W104" s="1"/>
      <c r="X104" s="1"/>
      <c r="HM104"/>
      <c r="HN104"/>
      <c r="HO104"/>
      <c r="HP104"/>
      <c r="HQ104"/>
      <c r="HR104"/>
      <c r="HS104"/>
      <c r="HT104"/>
      <c r="HU104"/>
      <c r="HV104"/>
      <c r="HW104"/>
      <c r="HX104"/>
      <c r="HY104"/>
      <c r="HZ104"/>
      <c r="IA104"/>
      <c r="IB104"/>
      <c r="IC104"/>
      <c r="ID104"/>
      <c r="IE104"/>
      <c r="IF104"/>
      <c r="IG104"/>
      <c r="IH104"/>
      <c r="II104"/>
      <c r="IJ104"/>
    </row>
    <row r="105" spans="1:244" ht="15" customHeight="1">
      <c r="A105"/>
      <c r="B105"/>
      <c r="C105"/>
      <c r="V105" s="1"/>
      <c r="W105" s="1"/>
      <c r="X105" s="1"/>
      <c r="HM105"/>
      <c r="HN105"/>
      <c r="HO105"/>
      <c r="HP105"/>
      <c r="HQ105"/>
      <c r="HR105"/>
      <c r="HS105"/>
      <c r="HT105"/>
      <c r="HU105"/>
      <c r="HV105"/>
      <c r="HW105"/>
      <c r="HX105"/>
      <c r="HY105"/>
      <c r="HZ105"/>
      <c r="IA105"/>
      <c r="IB105"/>
      <c r="IC105"/>
      <c r="ID105"/>
      <c r="IE105"/>
      <c r="IF105"/>
      <c r="IG105"/>
      <c r="IH105"/>
      <c r="II105"/>
      <c r="IJ105"/>
    </row>
    <row r="106" spans="1:244" ht="15" customHeight="1">
      <c r="A106"/>
      <c r="B106"/>
      <c r="C106"/>
      <c r="V106" s="1"/>
      <c r="W106" s="1"/>
      <c r="X106" s="1"/>
      <c r="HM106"/>
      <c r="HN106"/>
      <c r="HO106"/>
      <c r="HP106"/>
      <c r="HQ106"/>
      <c r="HR106"/>
      <c r="HS106"/>
      <c r="HT106"/>
      <c r="HU106"/>
      <c r="HV106"/>
      <c r="HW106"/>
      <c r="HX106"/>
      <c r="HY106"/>
      <c r="HZ106"/>
      <c r="IA106"/>
      <c r="IB106"/>
      <c r="IC106"/>
      <c r="ID106"/>
      <c r="IE106"/>
      <c r="IF106"/>
      <c r="IG106"/>
      <c r="IH106"/>
      <c r="II106"/>
      <c r="IJ106"/>
    </row>
    <row r="107" spans="1:244" ht="15" customHeight="1">
      <c r="A107"/>
      <c r="B107"/>
      <c r="C107"/>
      <c r="V107" s="1"/>
      <c r="W107" s="1"/>
      <c r="X107" s="1"/>
      <c r="HM107"/>
      <c r="HN107"/>
      <c r="HO107"/>
      <c r="HP107"/>
      <c r="HQ107"/>
      <c r="HR107"/>
      <c r="HS107"/>
      <c r="HT107"/>
      <c r="HU107"/>
      <c r="HV107"/>
      <c r="HW107"/>
      <c r="HX107"/>
      <c r="HY107"/>
      <c r="HZ107"/>
      <c r="IA107"/>
      <c r="IB107"/>
      <c r="IC107"/>
      <c r="ID107"/>
      <c r="IE107"/>
      <c r="IF107"/>
      <c r="IG107"/>
      <c r="IH107"/>
      <c r="II107"/>
      <c r="IJ107"/>
    </row>
    <row r="108" spans="1:244" ht="15" customHeight="1">
      <c r="A108"/>
      <c r="B108"/>
      <c r="C108"/>
      <c r="V108" s="1"/>
      <c r="W108" s="1"/>
      <c r="X108" s="1"/>
      <c r="HM108"/>
      <c r="HN108"/>
      <c r="HO108"/>
      <c r="HP108"/>
      <c r="HQ108"/>
      <c r="HR108"/>
      <c r="HS108"/>
      <c r="HT108"/>
      <c r="HU108"/>
      <c r="HV108"/>
      <c r="HW108"/>
      <c r="HX108"/>
      <c r="HY108"/>
      <c r="HZ108"/>
      <c r="IA108"/>
      <c r="IB108"/>
      <c r="IC108"/>
      <c r="ID108"/>
      <c r="IE108"/>
      <c r="IF108"/>
      <c r="IG108"/>
      <c r="IH108"/>
      <c r="II108"/>
      <c r="IJ108"/>
    </row>
    <row r="109" spans="1:244" ht="15" customHeight="1">
      <c r="A109"/>
      <c r="B109"/>
      <c r="C109"/>
      <c r="V109" s="1"/>
      <c r="W109" s="1"/>
      <c r="X109" s="1"/>
      <c r="HM109"/>
      <c r="HN109"/>
      <c r="HO109"/>
      <c r="HP109"/>
      <c r="HQ109"/>
      <c r="HR109"/>
      <c r="HS109"/>
      <c r="HT109"/>
      <c r="HU109"/>
      <c r="HV109"/>
      <c r="HW109"/>
      <c r="HX109"/>
      <c r="HY109"/>
      <c r="HZ109"/>
      <c r="IA109"/>
      <c r="IB109"/>
      <c r="IC109"/>
      <c r="ID109"/>
      <c r="IE109"/>
      <c r="IF109"/>
      <c r="IG109"/>
      <c r="IH109"/>
      <c r="II109"/>
      <c r="IJ109"/>
    </row>
    <row r="110" spans="1:244" ht="15" customHeight="1">
      <c r="A110"/>
      <c r="B110"/>
      <c r="C110"/>
      <c r="V110" s="1"/>
      <c r="W110" s="1"/>
      <c r="X110" s="1"/>
      <c r="HM110"/>
      <c r="HN110"/>
      <c r="HO110"/>
      <c r="HP110"/>
      <c r="HQ110"/>
      <c r="HR110"/>
      <c r="HS110"/>
      <c r="HT110"/>
      <c r="HU110"/>
      <c r="HV110"/>
      <c r="HW110"/>
      <c r="HX110"/>
      <c r="HY110"/>
      <c r="HZ110"/>
      <c r="IA110"/>
      <c r="IB110"/>
      <c r="IC110"/>
      <c r="ID110"/>
      <c r="IE110"/>
      <c r="IF110"/>
      <c r="IG110"/>
      <c r="IH110"/>
      <c r="II110"/>
      <c r="IJ110"/>
    </row>
    <row r="111" spans="1:244" ht="15" customHeight="1">
      <c r="A111"/>
      <c r="B111"/>
      <c r="C111"/>
      <c r="V111" s="1"/>
      <c r="W111" s="1"/>
      <c r="X111" s="1"/>
      <c r="HM111"/>
      <c r="HN111"/>
      <c r="HO111"/>
      <c r="HP111"/>
      <c r="HQ111"/>
      <c r="HR111"/>
      <c r="HS111"/>
      <c r="HT111"/>
      <c r="HU111"/>
      <c r="HV111"/>
      <c r="HW111"/>
      <c r="HX111"/>
      <c r="HY111"/>
      <c r="HZ111"/>
      <c r="IA111"/>
      <c r="IB111"/>
      <c r="IC111"/>
      <c r="ID111"/>
      <c r="IE111"/>
      <c r="IF111"/>
      <c r="IG111"/>
      <c r="IH111"/>
      <c r="II111"/>
      <c r="IJ111"/>
    </row>
    <row r="112" spans="1:244" ht="15" customHeight="1">
      <c r="A112"/>
      <c r="B112"/>
      <c r="C112"/>
      <c r="V112" s="1"/>
      <c r="W112" s="1"/>
      <c r="X112" s="1"/>
      <c r="HM112"/>
      <c r="HN112"/>
      <c r="HO112"/>
      <c r="HP112"/>
      <c r="HQ112"/>
      <c r="HR112"/>
      <c r="HS112"/>
      <c r="HT112"/>
      <c r="HU112"/>
      <c r="HV112"/>
      <c r="HW112"/>
      <c r="HX112"/>
      <c r="HY112"/>
      <c r="HZ112"/>
      <c r="IA112"/>
      <c r="IB112"/>
      <c r="IC112"/>
      <c r="ID112"/>
      <c r="IE112"/>
      <c r="IF112"/>
      <c r="IG112"/>
      <c r="IH112"/>
      <c r="II112"/>
      <c r="IJ112"/>
    </row>
    <row r="113" spans="1:244" ht="15" customHeight="1">
      <c r="A113"/>
      <c r="B113"/>
      <c r="C113"/>
      <c r="V113" s="1"/>
      <c r="W113" s="1"/>
      <c r="X113" s="1"/>
      <c r="HM113"/>
      <c r="HN113"/>
      <c r="HO113"/>
      <c r="HP113"/>
      <c r="HQ113"/>
      <c r="HR113"/>
      <c r="HS113"/>
      <c r="HT113"/>
      <c r="HU113"/>
      <c r="HV113"/>
      <c r="HW113"/>
      <c r="HX113"/>
      <c r="HY113"/>
      <c r="HZ113"/>
      <c r="IA113"/>
      <c r="IB113"/>
      <c r="IC113"/>
      <c r="ID113"/>
      <c r="IE113"/>
      <c r="IF113"/>
      <c r="IG113"/>
      <c r="IH113"/>
      <c r="II113"/>
      <c r="IJ113"/>
    </row>
    <row r="114" spans="1:244" ht="15" customHeight="1">
      <c r="A114"/>
      <c r="B114"/>
      <c r="C114"/>
      <c r="V114" s="1"/>
      <c r="W114" s="1"/>
      <c r="X114" s="1"/>
      <c r="HM114"/>
      <c r="HN114"/>
      <c r="HO114"/>
      <c r="HP114"/>
      <c r="HQ114"/>
      <c r="HR114"/>
      <c r="HS114"/>
      <c r="HT114"/>
      <c r="HU114"/>
      <c r="HV114"/>
      <c r="HW114"/>
      <c r="HX114"/>
      <c r="HY114"/>
      <c r="HZ114"/>
      <c r="IA114"/>
      <c r="IB114"/>
      <c r="IC114"/>
      <c r="ID114"/>
      <c r="IE114"/>
      <c r="IF114"/>
      <c r="IG114"/>
      <c r="IH114"/>
      <c r="II114"/>
      <c r="IJ114"/>
    </row>
    <row r="115" spans="1:244" ht="15" customHeight="1">
      <c r="A115"/>
      <c r="B115"/>
      <c r="C115"/>
      <c r="V115" s="1"/>
      <c r="W115" s="1"/>
      <c r="X115" s="1"/>
      <c r="HM115"/>
      <c r="HN115"/>
      <c r="HO115"/>
      <c r="HP115"/>
      <c r="HQ115"/>
      <c r="HR115"/>
      <c r="HS115"/>
      <c r="HT115"/>
      <c r="HU115"/>
      <c r="HV115"/>
      <c r="HW115"/>
      <c r="HX115"/>
      <c r="HY115"/>
      <c r="HZ115"/>
      <c r="IA115"/>
      <c r="IB115"/>
      <c r="IC115"/>
      <c r="ID115"/>
      <c r="IE115"/>
      <c r="IF115"/>
      <c r="IG115"/>
      <c r="IH115"/>
      <c r="II115"/>
      <c r="IJ115"/>
    </row>
    <row r="116" spans="1:244" ht="15" customHeight="1">
      <c r="A116"/>
      <c r="B116"/>
      <c r="C116"/>
      <c r="V116" s="1"/>
      <c r="W116" s="1"/>
      <c r="X116" s="1"/>
      <c r="HM116"/>
      <c r="HN116"/>
      <c r="HO116"/>
      <c r="HP116"/>
      <c r="HQ116"/>
      <c r="HR116"/>
      <c r="HS116"/>
      <c r="HT116"/>
      <c r="HU116"/>
      <c r="HV116"/>
      <c r="HW116"/>
      <c r="HX116"/>
      <c r="HY116"/>
      <c r="HZ116"/>
      <c r="IA116"/>
      <c r="IB116"/>
      <c r="IC116"/>
      <c r="ID116"/>
      <c r="IE116"/>
      <c r="IF116"/>
      <c r="IG116"/>
      <c r="IH116"/>
      <c r="II116"/>
      <c r="IJ116"/>
    </row>
    <row r="117" spans="1:244" ht="15" customHeight="1">
      <c r="A117"/>
      <c r="B117"/>
      <c r="C117"/>
      <c r="V117" s="1"/>
      <c r="W117" s="1"/>
      <c r="X117" s="1"/>
      <c r="HM117"/>
      <c r="HN117"/>
      <c r="HO117"/>
      <c r="HP117"/>
      <c r="HQ117"/>
      <c r="HR117"/>
      <c r="HS117"/>
      <c r="HT117"/>
      <c r="HU117"/>
      <c r="HV117"/>
      <c r="HW117"/>
      <c r="HX117"/>
      <c r="HY117"/>
      <c r="HZ117"/>
      <c r="IA117"/>
      <c r="IB117"/>
      <c r="IC117"/>
      <c r="ID117"/>
      <c r="IE117"/>
      <c r="IF117"/>
      <c r="IG117"/>
      <c r="IH117"/>
      <c r="II117"/>
      <c r="IJ117"/>
    </row>
    <row r="118" spans="1:244" ht="15" customHeight="1">
      <c r="A118"/>
      <c r="B118"/>
      <c r="C118"/>
      <c r="V118" s="1"/>
      <c r="W118" s="1"/>
      <c r="X118" s="1"/>
      <c r="HM118"/>
      <c r="HN118"/>
      <c r="HO118"/>
      <c r="HP118"/>
      <c r="HQ118"/>
      <c r="HR118"/>
      <c r="HS118"/>
      <c r="HT118"/>
      <c r="HU118"/>
      <c r="HV118"/>
      <c r="HW118"/>
      <c r="HX118"/>
      <c r="HY118"/>
      <c r="HZ118"/>
      <c r="IA118"/>
      <c r="IB118"/>
      <c r="IC118"/>
      <c r="ID118"/>
      <c r="IE118"/>
      <c r="IF118"/>
      <c r="IG118"/>
      <c r="IH118"/>
      <c r="II118"/>
      <c r="IJ118"/>
    </row>
    <row r="119" spans="1:244" ht="15" customHeight="1">
      <c r="A119"/>
      <c r="B119"/>
      <c r="C119"/>
      <c r="V119" s="1"/>
      <c r="W119" s="1"/>
      <c r="X119" s="1"/>
      <c r="HM119"/>
      <c r="HN119"/>
      <c r="HO119"/>
      <c r="HP119"/>
      <c r="HQ119"/>
      <c r="HR119"/>
      <c r="HS119"/>
      <c r="HT119"/>
      <c r="HU119"/>
      <c r="HV119"/>
      <c r="HW119"/>
      <c r="HX119"/>
      <c r="HY119"/>
      <c r="HZ119"/>
      <c r="IA119"/>
      <c r="IB119"/>
      <c r="IC119"/>
      <c r="ID119"/>
      <c r="IE119"/>
      <c r="IF119"/>
      <c r="IG119"/>
      <c r="IH119"/>
      <c r="II119"/>
      <c r="IJ119"/>
    </row>
    <row r="120" spans="1:244" ht="15" customHeight="1">
      <c r="A120"/>
      <c r="B120"/>
      <c r="C120"/>
      <c r="V120" s="1"/>
      <c r="W120" s="1"/>
      <c r="X120" s="1"/>
      <c r="HM120"/>
      <c r="HN120"/>
      <c r="HO120"/>
      <c r="HP120"/>
      <c r="HQ120"/>
      <c r="HR120"/>
      <c r="HS120"/>
      <c r="HT120"/>
      <c r="HU120"/>
      <c r="HV120"/>
      <c r="HW120"/>
      <c r="HX120"/>
      <c r="HY120"/>
      <c r="HZ120"/>
      <c r="IA120"/>
      <c r="IB120"/>
      <c r="IC120"/>
      <c r="ID120"/>
      <c r="IE120"/>
      <c r="IF120"/>
      <c r="IG120"/>
      <c r="IH120"/>
      <c r="II120"/>
      <c r="IJ120"/>
    </row>
    <row r="121" spans="1:244" ht="15" customHeight="1">
      <c r="A121"/>
      <c r="B121"/>
      <c r="C121"/>
      <c r="V121" s="1"/>
      <c r="W121" s="1"/>
      <c r="X121" s="1"/>
      <c r="HM121"/>
      <c r="HN121"/>
      <c r="HO121"/>
      <c r="HP121"/>
      <c r="HQ121"/>
      <c r="HR121"/>
      <c r="HS121"/>
      <c r="HT121"/>
      <c r="HU121"/>
      <c r="HV121"/>
      <c r="HW121"/>
      <c r="HX121"/>
      <c r="HY121"/>
      <c r="HZ121"/>
      <c r="IA121"/>
      <c r="IB121"/>
      <c r="IC121"/>
      <c r="ID121"/>
      <c r="IE121"/>
      <c r="IF121"/>
      <c r="IG121"/>
      <c r="IH121"/>
      <c r="II121"/>
      <c r="IJ121"/>
    </row>
    <row r="122" spans="1:244" ht="15" customHeight="1">
      <c r="A122"/>
      <c r="B122"/>
      <c r="C122"/>
      <c r="V122" s="1"/>
      <c r="W122" s="1"/>
      <c r="X122" s="1"/>
      <c r="HM122"/>
      <c r="HN122"/>
      <c r="HO122"/>
      <c r="HP122"/>
      <c r="HQ122"/>
      <c r="HR122"/>
      <c r="HS122"/>
      <c r="HT122"/>
      <c r="HU122"/>
      <c r="HV122"/>
      <c r="HW122"/>
      <c r="HX122"/>
      <c r="HY122"/>
      <c r="HZ122"/>
      <c r="IA122"/>
      <c r="IB122"/>
      <c r="IC122"/>
      <c r="ID122"/>
      <c r="IE122"/>
      <c r="IF122"/>
      <c r="IG122"/>
      <c r="IH122"/>
      <c r="II122"/>
      <c r="IJ122"/>
    </row>
    <row r="123" spans="1:244" ht="15" customHeight="1">
      <c r="A123"/>
      <c r="B123"/>
      <c r="C123"/>
      <c r="V123" s="1"/>
      <c r="W123" s="1"/>
      <c r="X123" s="1"/>
      <c r="HM123"/>
      <c r="HN123"/>
      <c r="HO123"/>
      <c r="HP123"/>
      <c r="HQ123"/>
      <c r="HR123"/>
      <c r="HS123"/>
      <c r="HT123"/>
      <c r="HU123"/>
      <c r="HV123"/>
      <c r="HW123"/>
      <c r="HX123"/>
      <c r="HY123"/>
      <c r="HZ123"/>
      <c r="IA123"/>
      <c r="IB123"/>
      <c r="IC123"/>
      <c r="ID123"/>
      <c r="IE123"/>
      <c r="IF123"/>
      <c r="IG123"/>
      <c r="IH123"/>
      <c r="II123"/>
      <c r="IJ123"/>
    </row>
    <row r="124" spans="1:244" ht="15" customHeight="1">
      <c r="A124"/>
      <c r="B124"/>
      <c r="C124"/>
      <c r="V124" s="1"/>
      <c r="W124" s="1"/>
      <c r="X124" s="1"/>
      <c r="HM124"/>
      <c r="HN124"/>
      <c r="HO124"/>
      <c r="HP124"/>
      <c r="HQ124"/>
      <c r="HR124"/>
      <c r="HS124"/>
      <c r="HT124"/>
      <c r="HU124"/>
      <c r="HV124"/>
      <c r="HW124"/>
      <c r="HX124"/>
      <c r="HY124"/>
      <c r="HZ124"/>
      <c r="IA124"/>
      <c r="IB124"/>
      <c r="IC124"/>
      <c r="ID124"/>
      <c r="IE124"/>
      <c r="IF124"/>
      <c r="IG124"/>
      <c r="IH124"/>
      <c r="II124"/>
      <c r="IJ124"/>
    </row>
    <row r="125" spans="1:244" ht="15" customHeight="1">
      <c r="A125"/>
      <c r="B125"/>
      <c r="C125"/>
      <c r="V125" s="1"/>
      <c r="W125" s="1"/>
      <c r="X125" s="1"/>
      <c r="HM125"/>
      <c r="HN125"/>
      <c r="HO125"/>
      <c r="HP125"/>
      <c r="HQ125"/>
      <c r="HR125"/>
      <c r="HS125"/>
      <c r="HT125"/>
      <c r="HU125"/>
      <c r="HV125"/>
      <c r="HW125"/>
      <c r="HX125"/>
      <c r="HY125"/>
      <c r="HZ125"/>
      <c r="IA125"/>
      <c r="IB125"/>
      <c r="IC125"/>
      <c r="ID125"/>
      <c r="IE125"/>
      <c r="IF125"/>
      <c r="IG125"/>
      <c r="IH125"/>
      <c r="II125"/>
      <c r="IJ125"/>
    </row>
    <row r="126" spans="1:244" ht="15" customHeight="1">
      <c r="A126"/>
      <c r="B126"/>
      <c r="C126"/>
      <c r="V126" s="1"/>
      <c r="W126" s="1"/>
      <c r="X126" s="1"/>
      <c r="HM126"/>
      <c r="HN126"/>
      <c r="HO126"/>
      <c r="HP126"/>
      <c r="HQ126"/>
      <c r="HR126"/>
      <c r="HS126"/>
      <c r="HT126"/>
      <c r="HU126"/>
      <c r="HV126"/>
      <c r="HW126"/>
      <c r="HX126"/>
      <c r="HY126"/>
      <c r="HZ126"/>
      <c r="IA126"/>
      <c r="IB126"/>
      <c r="IC126"/>
      <c r="ID126"/>
      <c r="IE126"/>
      <c r="IF126"/>
      <c r="IG126"/>
      <c r="IH126"/>
      <c r="II126"/>
      <c r="IJ126"/>
    </row>
    <row r="127" spans="1:244" ht="15" customHeight="1">
      <c r="A127"/>
      <c r="B127"/>
      <c r="C127"/>
      <c r="V127" s="1"/>
      <c r="W127" s="1"/>
      <c r="X127" s="1"/>
      <c r="HM127"/>
      <c r="HN127"/>
      <c r="HO127"/>
      <c r="HP127"/>
      <c r="HQ127"/>
      <c r="HR127"/>
      <c r="HS127"/>
      <c r="HT127"/>
      <c r="HU127"/>
      <c r="HV127"/>
      <c r="HW127"/>
      <c r="HX127"/>
      <c r="HY127"/>
      <c r="HZ127"/>
      <c r="IA127"/>
      <c r="IB127"/>
      <c r="IC127"/>
      <c r="ID127"/>
      <c r="IE127"/>
      <c r="IF127"/>
      <c r="IG127"/>
      <c r="IH127"/>
      <c r="II127"/>
      <c r="IJ127"/>
    </row>
    <row r="128" spans="1:244" ht="15" customHeight="1">
      <c r="A128"/>
      <c r="B128"/>
      <c r="C128"/>
    </row>
  </sheetData>
  <autoFilter ref="A1:K128"/>
  <sortState ref="R9:R30">
    <sortCondition ref="R9"/>
  </sortState>
  <conditionalFormatting sqref="C1 C129:C65536">
    <cfRule type="expression" dxfId="33" priority="37" stopIfTrue="1">
      <formula>NOT(ISERROR(SEARCH("Warrior",C1)))</formula>
    </cfRule>
    <cfRule type="expression" dxfId="32" priority="38" stopIfTrue="1">
      <formula>NOT(ISERROR(SEARCH("Warlock",C1)))</formula>
    </cfRule>
    <cfRule type="expression" dxfId="31" priority="39" stopIfTrue="1">
      <formula>NOT(ISERROR(SEARCH("Paladin",C1)))</formula>
    </cfRule>
  </conditionalFormatting>
  <conditionalFormatting sqref="M1:M1048576">
    <cfRule type="expression" dxfId="30" priority="6">
      <formula>IF($J1=$B1,TRUE)</formula>
    </cfRule>
  </conditionalFormatting>
  <dataValidations count="3">
    <dataValidation type="list" allowBlank="1" showInputMessage="1" showErrorMessage="1" sqref="D2:D100">
      <formula1>$W$3:$W$6</formula1>
    </dataValidation>
    <dataValidation type="list" allowBlank="1" showInputMessage="1" showErrorMessage="1" sqref="B2:B100">
      <formula1>$AG$3:$AG$5</formula1>
    </dataValidation>
    <dataValidation type="list" allowBlank="1" showInputMessage="1" showErrorMessage="1" sqref="C2:C100">
      <formula1>$AJ$3:$AJ$13</formula1>
    </dataValidation>
  </dataValidations>
  <pageMargins left="0.7" right="0.7" top="0.75" bottom="0.75" header="0.51180555555555551" footer="0.51180555555555551"/>
  <pageSetup paperSize="9" firstPageNumber="0" orientation="portrait" horizontalDpi="300" verticalDpi="300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>
  <dimension ref="B3:Z175"/>
  <sheetViews>
    <sheetView topLeftCell="B1" zoomScale="115" zoomScaleNormal="115" workbookViewId="0">
      <selection activeCell="B7" sqref="B7:D45"/>
    </sheetView>
  </sheetViews>
  <sheetFormatPr defaultRowHeight="12" customHeight="1"/>
  <cols>
    <col min="2" max="2" width="9.28515625" bestFit="1" customWidth="1"/>
    <col min="3" max="3" width="15.42578125" customWidth="1"/>
    <col min="8" max="8" width="9.140625" style="426"/>
    <col min="15" max="15" width="13.85546875" customWidth="1"/>
    <col min="16" max="16" width="13.28515625" bestFit="1" customWidth="1"/>
  </cols>
  <sheetData>
    <row r="3" spans="2:26" ht="12" customHeight="1">
      <c r="B3" s="427"/>
      <c r="C3" s="426"/>
      <c r="I3" s="477"/>
      <c r="J3" s="477"/>
      <c r="M3" s="477"/>
      <c r="P3" s="426"/>
    </row>
    <row r="4" spans="2:26" ht="12" customHeight="1">
      <c r="B4" s="427"/>
      <c r="C4" s="426"/>
      <c r="I4" s="426"/>
      <c r="J4" s="426"/>
      <c r="M4" s="426"/>
      <c r="P4" s="426"/>
      <c r="U4" s="477"/>
      <c r="V4" s="477"/>
      <c r="W4" s="477"/>
      <c r="Z4" s="477"/>
    </row>
    <row r="5" spans="2:26" ht="12" customHeight="1">
      <c r="B5" s="427"/>
      <c r="C5" s="426"/>
      <c r="I5" s="426"/>
      <c r="J5" s="426"/>
      <c r="M5" s="426"/>
      <c r="N5" s="426"/>
      <c r="P5" s="426"/>
      <c r="R5" s="477"/>
      <c r="S5" s="479"/>
      <c r="T5" s="479"/>
      <c r="U5" s="427"/>
      <c r="V5" s="426"/>
      <c r="W5" s="426"/>
      <c r="Z5" s="426"/>
    </row>
    <row r="6" spans="2:26" ht="12" customHeight="1">
      <c r="B6" s="427"/>
      <c r="C6" s="426"/>
      <c r="E6" s="427"/>
      <c r="F6" s="426"/>
      <c r="I6" s="426"/>
      <c r="J6" s="426"/>
      <c r="M6" s="426"/>
      <c r="N6" s="426"/>
      <c r="P6" s="426"/>
      <c r="R6" s="426"/>
      <c r="S6" s="481"/>
      <c r="T6" s="481"/>
      <c r="U6" s="427"/>
      <c r="V6" s="426"/>
      <c r="W6" s="426"/>
      <c r="Z6" s="426"/>
    </row>
    <row r="7" spans="2:26" ht="12" customHeight="1">
      <c r="B7" s="427"/>
      <c r="C7" s="426"/>
      <c r="E7" s="427"/>
      <c r="F7" s="426"/>
      <c r="I7" s="426"/>
      <c r="J7" s="426"/>
      <c r="M7" s="426"/>
      <c r="N7" s="426"/>
      <c r="P7" s="426"/>
      <c r="R7" s="426"/>
      <c r="S7" s="481"/>
      <c r="T7" s="481"/>
      <c r="U7" s="427"/>
      <c r="V7" s="426"/>
      <c r="W7" s="426"/>
      <c r="Z7" s="426"/>
    </row>
    <row r="8" spans="2:26" ht="12" customHeight="1">
      <c r="B8" s="427"/>
      <c r="C8" s="426"/>
      <c r="E8" s="427"/>
      <c r="F8" s="426"/>
      <c r="I8" s="426"/>
      <c r="J8" s="426"/>
      <c r="M8" s="426"/>
      <c r="N8" s="426"/>
      <c r="P8" s="426"/>
      <c r="R8" s="426"/>
      <c r="S8" s="481"/>
      <c r="T8" s="481"/>
      <c r="U8" s="427"/>
      <c r="V8" s="426"/>
      <c r="W8" s="426"/>
      <c r="Z8" s="426"/>
    </row>
    <row r="9" spans="2:26" ht="12" customHeight="1">
      <c r="B9" s="427"/>
      <c r="C9" s="426"/>
      <c r="E9" s="427"/>
      <c r="F9" s="426"/>
      <c r="I9" s="426"/>
      <c r="J9" s="426"/>
      <c r="M9" s="426"/>
      <c r="N9" s="426"/>
      <c r="P9" s="426"/>
      <c r="R9" s="426"/>
      <c r="S9" s="481"/>
      <c r="T9" s="481"/>
      <c r="U9" s="427"/>
      <c r="V9" s="426"/>
      <c r="W9" s="426"/>
      <c r="Z9" s="426"/>
    </row>
    <row r="10" spans="2:26" ht="12" customHeight="1">
      <c r="B10" s="427"/>
      <c r="C10" s="426"/>
      <c r="E10" s="427"/>
      <c r="F10" s="426"/>
      <c r="I10" s="426"/>
      <c r="J10" s="426"/>
      <c r="M10" s="426"/>
      <c r="N10" s="426"/>
      <c r="P10" s="426"/>
      <c r="R10" s="426"/>
      <c r="S10" s="481"/>
      <c r="T10" s="481"/>
      <c r="U10" s="427"/>
      <c r="V10" s="426"/>
      <c r="W10" s="426"/>
      <c r="Z10" s="426"/>
    </row>
    <row r="11" spans="2:26" ht="12" customHeight="1">
      <c r="B11" s="427"/>
      <c r="C11" s="426"/>
      <c r="E11" s="427"/>
      <c r="F11" s="426"/>
      <c r="I11" s="426"/>
      <c r="J11" s="426"/>
      <c r="M11" s="426"/>
      <c r="N11" s="426"/>
      <c r="P11" s="426"/>
      <c r="R11" s="426"/>
      <c r="S11" s="481"/>
      <c r="T11" s="481"/>
      <c r="U11" s="427"/>
      <c r="V11" s="426"/>
      <c r="W11" s="426"/>
      <c r="Z11" s="426"/>
    </row>
    <row r="12" spans="2:26" ht="12" customHeight="1">
      <c r="B12" s="427"/>
      <c r="C12" s="426"/>
      <c r="E12" s="427"/>
      <c r="F12" s="426"/>
      <c r="I12" s="426"/>
      <c r="J12" s="426"/>
      <c r="M12" s="426"/>
      <c r="N12" s="426"/>
      <c r="P12" s="426"/>
      <c r="R12" s="426"/>
      <c r="S12" s="481"/>
      <c r="T12" s="481"/>
      <c r="U12" s="427"/>
      <c r="V12" s="426"/>
      <c r="W12" s="426"/>
      <c r="Z12" s="426"/>
    </row>
    <row r="13" spans="2:26" ht="12" customHeight="1">
      <c r="B13" s="427"/>
      <c r="C13" s="426"/>
      <c r="E13" s="427"/>
      <c r="F13" s="426"/>
      <c r="I13" s="426"/>
      <c r="J13" s="426"/>
      <c r="M13" s="426"/>
      <c r="N13" s="426"/>
      <c r="P13" s="426"/>
      <c r="R13" s="426"/>
      <c r="S13" s="481"/>
      <c r="T13" s="481"/>
      <c r="U13" s="427"/>
      <c r="V13" s="426"/>
      <c r="W13" s="426"/>
      <c r="Z13" s="426"/>
    </row>
    <row r="14" spans="2:26" ht="12" customHeight="1">
      <c r="B14" s="427"/>
      <c r="C14" s="426"/>
      <c r="E14" s="427"/>
      <c r="F14" s="426"/>
      <c r="I14" s="426"/>
      <c r="J14" s="426"/>
      <c r="M14" s="426"/>
      <c r="N14" s="426"/>
      <c r="P14" s="426"/>
      <c r="R14" s="426"/>
      <c r="S14" s="481"/>
      <c r="T14" s="481"/>
      <c r="U14" s="427"/>
      <c r="V14" s="426"/>
      <c r="W14" s="426"/>
      <c r="Z14" s="426"/>
    </row>
    <row r="15" spans="2:26" ht="12" customHeight="1">
      <c r="B15" s="427"/>
      <c r="C15" s="426"/>
      <c r="E15" s="427"/>
      <c r="F15" s="426"/>
      <c r="I15" s="426"/>
      <c r="J15" s="426"/>
      <c r="M15" s="426"/>
      <c r="N15" s="426"/>
      <c r="P15" s="426"/>
      <c r="R15" s="426"/>
      <c r="S15" s="481"/>
      <c r="T15" s="481"/>
      <c r="U15" s="427"/>
      <c r="V15" s="426"/>
      <c r="W15" s="426"/>
      <c r="Z15" s="426"/>
    </row>
    <row r="16" spans="2:26" ht="12" customHeight="1">
      <c r="B16" s="427"/>
      <c r="C16" s="426"/>
      <c r="I16" s="426"/>
      <c r="J16" s="426"/>
      <c r="M16" s="426"/>
      <c r="N16" s="426"/>
      <c r="P16" s="426"/>
      <c r="R16" s="426"/>
      <c r="S16" s="481"/>
      <c r="T16" s="481"/>
      <c r="U16" s="427"/>
      <c r="V16" s="426"/>
      <c r="W16" s="426"/>
      <c r="Z16" s="426"/>
    </row>
    <row r="17" spans="2:26" ht="12" customHeight="1">
      <c r="B17" s="427"/>
      <c r="C17" s="426"/>
      <c r="I17" s="426"/>
      <c r="J17" s="426"/>
      <c r="M17" s="426"/>
      <c r="N17" s="426"/>
      <c r="P17" s="426"/>
      <c r="R17" s="426"/>
      <c r="S17" s="481"/>
      <c r="T17" s="481"/>
      <c r="U17" s="427"/>
      <c r="V17" s="426"/>
      <c r="W17" s="426"/>
      <c r="Z17" s="426"/>
    </row>
    <row r="18" spans="2:26" ht="12" customHeight="1">
      <c r="B18" s="427"/>
      <c r="C18" s="426"/>
      <c r="I18" s="426"/>
      <c r="J18" s="426"/>
      <c r="M18" s="426"/>
      <c r="N18" s="426"/>
      <c r="P18" s="426"/>
      <c r="R18" s="426"/>
      <c r="S18" s="481"/>
      <c r="T18" s="481"/>
      <c r="U18" s="427"/>
      <c r="V18" s="426"/>
      <c r="W18" s="426"/>
      <c r="Z18" s="426"/>
    </row>
    <row r="19" spans="2:26" ht="12" customHeight="1">
      <c r="B19" s="427"/>
      <c r="C19" s="426"/>
      <c r="I19" s="426"/>
      <c r="J19" s="426"/>
      <c r="M19" s="426"/>
      <c r="N19" s="426"/>
      <c r="P19" s="426"/>
      <c r="R19" s="426"/>
      <c r="S19" s="481"/>
      <c r="T19" s="481"/>
      <c r="U19" s="427"/>
      <c r="V19" s="426"/>
      <c r="W19" s="426"/>
      <c r="Z19" s="426"/>
    </row>
    <row r="20" spans="2:26" ht="12" customHeight="1">
      <c r="B20" s="427"/>
      <c r="C20" s="426"/>
      <c r="I20" s="426"/>
      <c r="J20" s="426"/>
      <c r="M20" s="426"/>
      <c r="N20" s="426"/>
      <c r="P20" s="426"/>
      <c r="R20" s="426"/>
      <c r="S20" s="481"/>
      <c r="T20" s="481"/>
      <c r="U20" s="427"/>
      <c r="V20" s="426"/>
      <c r="W20" s="426"/>
      <c r="Z20" s="426"/>
    </row>
    <row r="21" spans="2:26" ht="12" customHeight="1">
      <c r="B21" s="427"/>
      <c r="C21" s="426"/>
      <c r="I21" s="426"/>
      <c r="J21" s="426"/>
      <c r="M21" s="426"/>
      <c r="N21" s="426"/>
      <c r="P21" s="426"/>
      <c r="R21" s="426"/>
      <c r="S21" s="481"/>
      <c r="T21" s="481"/>
      <c r="U21" s="427"/>
      <c r="V21" s="426"/>
      <c r="W21" s="426"/>
      <c r="Z21" s="426"/>
    </row>
    <row r="22" spans="2:26" ht="12" customHeight="1">
      <c r="B22" s="427"/>
      <c r="C22" s="426"/>
      <c r="I22" s="426"/>
      <c r="J22" s="426"/>
      <c r="M22" s="426"/>
      <c r="N22" s="426"/>
      <c r="P22" s="426"/>
      <c r="R22" s="426"/>
      <c r="S22" s="481"/>
      <c r="T22" s="481"/>
      <c r="U22" s="427"/>
      <c r="V22" s="426"/>
      <c r="W22" s="426"/>
      <c r="Z22" s="426"/>
    </row>
    <row r="23" spans="2:26" ht="12" customHeight="1">
      <c r="B23" s="427"/>
      <c r="C23" s="426"/>
      <c r="I23" s="426"/>
      <c r="J23" s="426"/>
      <c r="M23" s="426"/>
      <c r="N23" s="426"/>
      <c r="P23" s="426"/>
      <c r="R23" s="426"/>
      <c r="S23" s="481"/>
      <c r="T23" s="481"/>
      <c r="U23" s="427"/>
      <c r="V23" s="426"/>
      <c r="W23" s="426"/>
      <c r="Z23" s="426"/>
    </row>
    <row r="24" spans="2:26" ht="12" customHeight="1">
      <c r="B24" s="427"/>
      <c r="C24" s="426"/>
      <c r="I24" s="426"/>
      <c r="J24" s="426"/>
      <c r="M24" s="426"/>
      <c r="N24" s="426"/>
      <c r="P24" s="426"/>
      <c r="R24" s="426"/>
      <c r="S24" s="481"/>
      <c r="T24" s="481"/>
      <c r="U24" s="427"/>
      <c r="V24" s="426"/>
      <c r="W24" s="426"/>
      <c r="Z24" s="426"/>
    </row>
    <row r="25" spans="2:26" ht="12" customHeight="1">
      <c r="B25" s="427"/>
      <c r="C25" s="426"/>
      <c r="I25" s="426"/>
      <c r="J25" s="426"/>
      <c r="M25" s="426"/>
      <c r="N25" s="426"/>
      <c r="P25" s="426"/>
      <c r="R25" s="426"/>
      <c r="S25" s="481"/>
      <c r="T25" s="481"/>
      <c r="U25" s="427"/>
      <c r="V25" s="426"/>
      <c r="W25" s="426"/>
      <c r="Z25" s="426"/>
    </row>
    <row r="26" spans="2:26" ht="12" customHeight="1">
      <c r="B26" s="427"/>
      <c r="C26" s="426"/>
      <c r="I26" s="426"/>
      <c r="J26" s="426"/>
      <c r="M26" s="426"/>
      <c r="N26" s="426"/>
      <c r="P26" s="426"/>
      <c r="R26" s="426"/>
      <c r="S26" s="481"/>
      <c r="T26" s="481"/>
      <c r="U26" s="427"/>
      <c r="V26" s="426"/>
      <c r="W26" s="426"/>
      <c r="Z26" s="426"/>
    </row>
    <row r="27" spans="2:26" ht="12" customHeight="1">
      <c r="B27" s="427"/>
      <c r="C27" s="426"/>
      <c r="I27" s="426"/>
      <c r="J27" s="426"/>
      <c r="M27" s="426"/>
      <c r="N27" s="426"/>
      <c r="P27" s="426"/>
      <c r="R27" s="426"/>
      <c r="S27" s="481"/>
      <c r="T27" s="481"/>
      <c r="U27" s="427"/>
      <c r="V27" s="426"/>
      <c r="W27" s="426"/>
      <c r="Z27" s="426"/>
    </row>
    <row r="28" spans="2:26" ht="12" customHeight="1">
      <c r="B28" s="427"/>
      <c r="C28" s="426"/>
      <c r="I28" s="426"/>
      <c r="J28" s="426"/>
      <c r="M28" s="426"/>
      <c r="N28" s="426"/>
      <c r="P28" s="426"/>
      <c r="R28" s="426"/>
      <c r="S28" s="481"/>
      <c r="T28" s="481"/>
      <c r="U28" s="427"/>
      <c r="V28" s="426"/>
      <c r="W28" s="426"/>
      <c r="Z28" s="426"/>
    </row>
    <row r="29" spans="2:26" ht="12" customHeight="1">
      <c r="B29" s="427"/>
      <c r="C29" s="426"/>
      <c r="I29" s="426"/>
      <c r="J29" s="426"/>
      <c r="M29" s="426"/>
      <c r="N29" s="426"/>
      <c r="P29" s="426"/>
      <c r="R29" s="426"/>
      <c r="S29" s="481"/>
      <c r="T29" s="481"/>
      <c r="U29" s="427"/>
      <c r="V29" s="426"/>
      <c r="W29" s="426"/>
      <c r="Z29" s="426"/>
    </row>
    <row r="30" spans="2:26" ht="12" customHeight="1">
      <c r="B30" s="427"/>
      <c r="C30" s="426"/>
      <c r="I30" s="426"/>
      <c r="J30" s="426"/>
      <c r="M30" s="426"/>
      <c r="N30" s="426"/>
      <c r="P30" s="426"/>
      <c r="R30" s="426"/>
      <c r="S30" s="481"/>
      <c r="T30" s="481"/>
      <c r="U30" s="427"/>
      <c r="V30" s="426"/>
      <c r="W30" s="426"/>
      <c r="Z30" s="426"/>
    </row>
    <row r="31" spans="2:26" ht="12" customHeight="1">
      <c r="B31" s="427"/>
      <c r="C31" s="426"/>
      <c r="I31" s="426"/>
      <c r="J31" s="426"/>
      <c r="M31" s="426"/>
      <c r="N31" s="426"/>
      <c r="P31" s="426"/>
      <c r="R31" s="426"/>
      <c r="S31" s="481"/>
      <c r="T31" s="481"/>
      <c r="U31" s="427"/>
      <c r="V31" s="426"/>
      <c r="W31" s="426"/>
      <c r="Z31" s="426"/>
    </row>
    <row r="32" spans="2:26" ht="12" customHeight="1">
      <c r="B32" s="427"/>
      <c r="C32" s="426"/>
      <c r="I32" s="426"/>
      <c r="J32" s="426"/>
      <c r="M32" s="426"/>
      <c r="N32" s="426"/>
      <c r="P32" s="426"/>
      <c r="R32" s="426"/>
      <c r="S32" s="481"/>
      <c r="T32" s="481"/>
      <c r="U32" s="427"/>
      <c r="V32" s="426"/>
      <c r="W32" s="426"/>
      <c r="Z32" s="426"/>
    </row>
    <row r="33" spans="2:26" ht="12" customHeight="1">
      <c r="B33" s="427"/>
      <c r="C33" s="426"/>
      <c r="I33" s="426"/>
      <c r="J33" s="426"/>
      <c r="M33" s="426"/>
      <c r="N33" s="426"/>
      <c r="P33" s="426"/>
      <c r="R33" s="426"/>
      <c r="S33" s="481"/>
      <c r="T33" s="481"/>
      <c r="U33" s="427"/>
      <c r="V33" s="426"/>
      <c r="W33" s="426"/>
      <c r="Z33" s="426"/>
    </row>
    <row r="34" spans="2:26" ht="12" customHeight="1">
      <c r="B34" s="427"/>
      <c r="C34" s="426"/>
      <c r="I34" s="426"/>
      <c r="J34" s="426"/>
      <c r="M34" s="426"/>
      <c r="N34" s="426"/>
      <c r="P34" s="426"/>
      <c r="R34" s="426"/>
      <c r="S34" s="481"/>
      <c r="T34" s="481"/>
      <c r="U34" s="427"/>
      <c r="V34" s="426"/>
      <c r="W34" s="426"/>
      <c r="Z34" s="426"/>
    </row>
    <row r="35" spans="2:26" ht="12" customHeight="1">
      <c r="B35" s="427"/>
      <c r="C35" s="426"/>
      <c r="I35" s="426"/>
      <c r="J35" s="426"/>
      <c r="M35" s="426"/>
      <c r="N35" s="426"/>
      <c r="P35" s="426"/>
      <c r="R35" s="426"/>
      <c r="S35" s="481"/>
      <c r="T35" s="481"/>
      <c r="U35" s="427"/>
      <c r="V35" s="426"/>
      <c r="W35" s="426"/>
      <c r="Z35" s="426"/>
    </row>
    <row r="36" spans="2:26" ht="12" customHeight="1">
      <c r="B36" s="427"/>
      <c r="C36" s="426"/>
      <c r="I36" s="426"/>
      <c r="J36" s="426"/>
      <c r="M36" s="426"/>
      <c r="N36" s="426"/>
      <c r="R36" s="426"/>
      <c r="S36" s="481"/>
      <c r="T36" s="481"/>
      <c r="U36" s="427"/>
      <c r="V36" s="426"/>
      <c r="W36" s="426"/>
      <c r="Z36" s="426"/>
    </row>
    <row r="37" spans="2:26" ht="12" customHeight="1">
      <c r="B37" s="427"/>
      <c r="C37" s="426"/>
      <c r="I37" s="426"/>
      <c r="J37" s="426"/>
      <c r="M37" s="426"/>
      <c r="N37" s="426"/>
      <c r="P37" s="426"/>
      <c r="R37" s="426"/>
      <c r="S37" s="481"/>
      <c r="T37" s="481"/>
      <c r="U37" s="427"/>
      <c r="V37" s="426"/>
      <c r="W37" s="426"/>
      <c r="Z37" s="426"/>
    </row>
    <row r="38" spans="2:26" ht="12" customHeight="1">
      <c r="B38" s="427"/>
      <c r="C38" s="426"/>
      <c r="I38" s="426"/>
      <c r="J38" s="426"/>
      <c r="M38" s="426"/>
      <c r="N38" s="426"/>
      <c r="P38" s="426"/>
      <c r="R38" s="426"/>
      <c r="S38" s="481"/>
      <c r="T38" s="481"/>
      <c r="U38" s="427"/>
      <c r="V38" s="426"/>
      <c r="W38" s="426"/>
      <c r="Z38" s="426"/>
    </row>
    <row r="39" spans="2:26" ht="12" customHeight="1">
      <c r="B39" s="427"/>
      <c r="C39" s="426"/>
      <c r="I39" s="426"/>
      <c r="J39" s="426"/>
      <c r="M39" s="426"/>
      <c r="N39" s="426"/>
      <c r="P39" s="426"/>
      <c r="R39" s="426"/>
      <c r="S39" s="481"/>
      <c r="T39" s="481"/>
      <c r="U39" s="427"/>
      <c r="V39" s="426"/>
      <c r="W39" s="426"/>
      <c r="Z39" s="426"/>
    </row>
    <row r="40" spans="2:26" ht="12" customHeight="1">
      <c r="B40" s="427"/>
      <c r="C40" s="426"/>
      <c r="I40" s="426"/>
      <c r="J40" s="426"/>
      <c r="M40" s="426"/>
      <c r="N40" s="426"/>
      <c r="P40" s="426"/>
      <c r="R40" s="426"/>
      <c r="S40" s="481"/>
      <c r="T40" s="481"/>
      <c r="U40" s="427"/>
      <c r="V40" s="426"/>
      <c r="W40" s="426"/>
      <c r="Z40" s="426"/>
    </row>
    <row r="41" spans="2:26" ht="12" customHeight="1">
      <c r="B41" s="427"/>
      <c r="C41" s="426"/>
      <c r="I41" s="426"/>
      <c r="J41" s="426"/>
      <c r="M41" s="426"/>
      <c r="N41" s="426"/>
      <c r="P41" s="426"/>
      <c r="R41" s="426"/>
      <c r="S41" s="481"/>
      <c r="T41" s="481"/>
      <c r="U41" s="427"/>
      <c r="V41" s="426"/>
      <c r="W41" s="426"/>
      <c r="Z41" s="426"/>
    </row>
    <row r="42" spans="2:26" ht="12" customHeight="1">
      <c r="B42" s="427"/>
      <c r="C42" s="426"/>
      <c r="I42" s="426"/>
      <c r="J42" s="426"/>
      <c r="M42" s="426"/>
      <c r="N42" s="426"/>
      <c r="P42" s="426"/>
      <c r="R42" s="426"/>
      <c r="S42" s="481"/>
      <c r="T42" s="481"/>
      <c r="U42" s="427"/>
      <c r="V42" s="426"/>
      <c r="W42" s="426"/>
      <c r="Z42" s="426"/>
    </row>
    <row r="43" spans="2:26" ht="12" customHeight="1">
      <c r="B43" s="427"/>
      <c r="C43" s="426"/>
      <c r="I43" s="426"/>
      <c r="J43" s="426"/>
      <c r="M43" s="426"/>
      <c r="N43" s="426"/>
      <c r="P43" s="426"/>
      <c r="R43" s="426"/>
      <c r="S43" s="481"/>
      <c r="T43" s="481"/>
      <c r="U43" s="427"/>
      <c r="V43" s="426"/>
      <c r="W43" s="426"/>
      <c r="Z43" s="426"/>
    </row>
    <row r="44" spans="2:26" ht="12" customHeight="1">
      <c r="B44" s="427"/>
      <c r="C44" s="426"/>
      <c r="I44" s="426"/>
      <c r="J44" s="426"/>
      <c r="M44" s="426"/>
      <c r="N44" s="426"/>
      <c r="P44" s="426"/>
      <c r="R44" s="426"/>
      <c r="S44" s="481"/>
      <c r="T44" s="481"/>
      <c r="U44" s="427"/>
      <c r="V44" s="426"/>
      <c r="W44" s="426"/>
      <c r="Z44" s="426"/>
    </row>
    <row r="45" spans="2:26" ht="12" customHeight="1">
      <c r="B45" s="427"/>
      <c r="C45" s="426"/>
      <c r="I45" s="426"/>
      <c r="J45" s="426"/>
      <c r="M45" s="426"/>
      <c r="N45" s="426"/>
      <c r="P45" s="426"/>
      <c r="R45" s="426"/>
      <c r="S45" s="481"/>
      <c r="T45" s="481"/>
      <c r="U45" s="427"/>
      <c r="V45" s="426"/>
      <c r="W45" s="426"/>
      <c r="Z45" s="426"/>
    </row>
    <row r="46" spans="2:26" ht="12" customHeight="1">
      <c r="B46" s="427"/>
      <c r="C46" s="426"/>
      <c r="I46" s="426"/>
      <c r="J46" s="426"/>
      <c r="M46" s="426"/>
      <c r="N46" s="426"/>
      <c r="P46" s="426"/>
      <c r="R46" s="426"/>
      <c r="S46" s="481"/>
      <c r="T46" s="481"/>
      <c r="U46" s="427"/>
      <c r="V46" s="426"/>
      <c r="W46" s="426"/>
      <c r="Z46" s="426"/>
    </row>
    <row r="47" spans="2:26" ht="12" customHeight="1">
      <c r="B47" s="427"/>
      <c r="C47" s="426"/>
      <c r="I47" s="426"/>
      <c r="J47" s="426"/>
      <c r="M47" s="426"/>
      <c r="N47" s="426"/>
      <c r="P47" s="426"/>
      <c r="R47" s="426"/>
      <c r="S47" s="481"/>
      <c r="T47" s="481"/>
      <c r="U47" s="427"/>
      <c r="V47" s="426"/>
      <c r="W47" s="426"/>
      <c r="Z47" s="426"/>
    </row>
    <row r="48" spans="2:26" ht="12" customHeight="1">
      <c r="B48" s="427"/>
      <c r="C48" s="426"/>
      <c r="I48" s="426"/>
      <c r="J48" s="426"/>
      <c r="M48" s="426"/>
      <c r="N48" s="426"/>
      <c r="P48" s="426"/>
      <c r="R48" s="426"/>
      <c r="S48" s="481"/>
      <c r="T48" s="481"/>
      <c r="U48" s="427"/>
      <c r="V48" s="426"/>
      <c r="W48" s="426"/>
      <c r="Z48" s="426"/>
    </row>
    <row r="49" spans="2:26" ht="12" customHeight="1">
      <c r="B49" s="427"/>
      <c r="C49" s="426"/>
      <c r="I49" s="426"/>
      <c r="J49" s="426"/>
      <c r="M49" s="426"/>
      <c r="N49" s="426"/>
      <c r="P49" s="426"/>
      <c r="R49" s="426"/>
      <c r="S49" s="481"/>
      <c r="T49" s="481"/>
      <c r="U49" s="427"/>
      <c r="V49" s="426"/>
      <c r="W49" s="426"/>
      <c r="Z49" s="426"/>
    </row>
    <row r="50" spans="2:26" ht="12" customHeight="1">
      <c r="B50" s="427"/>
      <c r="C50" s="426"/>
      <c r="I50" s="426"/>
      <c r="J50" s="426"/>
      <c r="M50" s="426"/>
      <c r="N50" s="426"/>
      <c r="P50" s="426"/>
      <c r="R50" s="426"/>
      <c r="S50" s="481"/>
      <c r="T50" s="481"/>
      <c r="U50" s="427"/>
      <c r="V50" s="426"/>
      <c r="W50" s="426"/>
      <c r="Z50" s="426"/>
    </row>
    <row r="51" spans="2:26" ht="12" customHeight="1">
      <c r="B51" s="427"/>
      <c r="C51" s="426"/>
      <c r="I51" s="426"/>
      <c r="J51" s="426"/>
      <c r="M51" s="426"/>
      <c r="N51" s="426"/>
      <c r="P51" s="426"/>
      <c r="R51" s="426"/>
      <c r="S51" s="481"/>
      <c r="T51" s="481"/>
      <c r="U51" s="427"/>
      <c r="V51" s="426"/>
      <c r="W51" s="426"/>
      <c r="Z51" s="426"/>
    </row>
    <row r="52" spans="2:26" ht="12" customHeight="1">
      <c r="B52" s="427"/>
      <c r="C52" s="426"/>
      <c r="I52" s="426"/>
      <c r="J52" s="426"/>
      <c r="M52" s="426"/>
      <c r="N52" s="426"/>
      <c r="P52" s="426"/>
      <c r="R52" s="426"/>
      <c r="S52" s="481"/>
      <c r="T52" s="481"/>
      <c r="U52" s="427"/>
      <c r="V52" s="426"/>
      <c r="W52" s="426"/>
      <c r="Z52" s="426"/>
    </row>
    <row r="53" spans="2:26" ht="12" customHeight="1">
      <c r="B53" s="427"/>
      <c r="C53" s="426"/>
      <c r="I53" s="426"/>
      <c r="J53" s="426"/>
      <c r="M53" s="426"/>
      <c r="N53" s="426"/>
      <c r="P53" s="426"/>
      <c r="R53" s="426"/>
      <c r="S53" s="481"/>
      <c r="T53" s="481"/>
      <c r="U53" s="427"/>
      <c r="V53" s="426"/>
      <c r="W53" s="426"/>
      <c r="Z53" s="426"/>
    </row>
    <row r="54" spans="2:26" ht="12" customHeight="1">
      <c r="B54" s="427"/>
      <c r="C54" s="426"/>
      <c r="I54" s="426"/>
      <c r="J54" s="426"/>
      <c r="M54" s="426"/>
      <c r="N54" s="426"/>
      <c r="P54" s="426"/>
      <c r="R54" s="426"/>
      <c r="S54" s="481"/>
      <c r="T54" s="481"/>
      <c r="U54" s="427"/>
      <c r="V54" s="426"/>
      <c r="W54" s="426"/>
      <c r="Z54" s="426"/>
    </row>
    <row r="55" spans="2:26" ht="12" customHeight="1">
      <c r="B55" s="427"/>
      <c r="C55" s="426"/>
      <c r="I55" s="426"/>
      <c r="J55" s="426"/>
      <c r="M55" s="426"/>
      <c r="N55" s="426"/>
      <c r="P55" s="426"/>
      <c r="R55" s="426"/>
      <c r="S55" s="481"/>
      <c r="T55" s="481"/>
      <c r="U55" s="427"/>
      <c r="V55" s="426"/>
      <c r="W55" s="426"/>
      <c r="Z55" s="426"/>
    </row>
    <row r="56" spans="2:26" ht="12" customHeight="1">
      <c r="B56" s="427"/>
      <c r="C56" s="426"/>
      <c r="I56" s="426"/>
      <c r="J56" s="426"/>
      <c r="M56" s="426"/>
      <c r="N56" s="426"/>
      <c r="P56" s="426"/>
      <c r="R56" s="426"/>
      <c r="S56" s="481"/>
      <c r="T56" s="481"/>
      <c r="U56" s="427"/>
      <c r="V56" s="426"/>
      <c r="W56" s="426"/>
      <c r="Z56" s="426"/>
    </row>
    <row r="57" spans="2:26" ht="12" customHeight="1">
      <c r="B57" s="427"/>
      <c r="C57" s="426"/>
      <c r="I57" s="426"/>
      <c r="J57" s="426"/>
      <c r="M57" s="426"/>
      <c r="N57" s="426"/>
      <c r="P57" s="426"/>
      <c r="R57" s="426"/>
      <c r="S57" s="481"/>
      <c r="T57" s="481"/>
      <c r="U57" s="427"/>
      <c r="V57" s="426"/>
      <c r="W57" s="426"/>
      <c r="Z57" s="426"/>
    </row>
    <row r="58" spans="2:26" ht="12" customHeight="1">
      <c r="B58" s="427"/>
      <c r="C58" s="426"/>
      <c r="I58" s="426"/>
      <c r="J58" s="426"/>
      <c r="M58" s="426"/>
      <c r="N58" s="426"/>
      <c r="R58" s="426"/>
      <c r="S58" s="481"/>
      <c r="T58" s="481"/>
      <c r="U58" s="427"/>
      <c r="V58" s="426"/>
      <c r="W58" s="426"/>
      <c r="Z58" s="426"/>
    </row>
    <row r="59" spans="2:26" ht="12" customHeight="1">
      <c r="B59" s="427"/>
      <c r="C59" s="426"/>
      <c r="I59" s="426"/>
      <c r="J59" s="426"/>
      <c r="M59" s="426"/>
      <c r="N59" s="426"/>
      <c r="P59" s="426"/>
      <c r="R59" s="426"/>
      <c r="S59" s="481"/>
      <c r="T59" s="481"/>
      <c r="U59" s="427"/>
      <c r="V59" s="426"/>
      <c r="W59" s="426"/>
      <c r="Z59" s="426"/>
    </row>
    <row r="60" spans="2:26" ht="12" customHeight="1">
      <c r="B60" s="427"/>
      <c r="C60" s="426"/>
      <c r="I60" s="426"/>
      <c r="J60" s="426"/>
      <c r="M60" s="426"/>
      <c r="N60" s="426"/>
      <c r="P60" s="426"/>
      <c r="R60" s="426"/>
      <c r="S60" s="481"/>
      <c r="T60" s="481"/>
      <c r="U60" s="427"/>
      <c r="V60" s="426"/>
      <c r="W60" s="426"/>
      <c r="Z60" s="426"/>
    </row>
    <row r="61" spans="2:26" ht="12" customHeight="1">
      <c r="B61" s="427"/>
      <c r="C61" s="426"/>
      <c r="I61" s="426"/>
      <c r="J61" s="426"/>
      <c r="M61" s="426"/>
      <c r="N61" s="426"/>
      <c r="P61" s="426"/>
      <c r="R61" s="426"/>
      <c r="S61" s="481"/>
      <c r="T61" s="481"/>
      <c r="U61" s="427"/>
      <c r="V61" s="426"/>
      <c r="W61" s="426"/>
      <c r="Z61" s="426"/>
    </row>
    <row r="62" spans="2:26" ht="12" customHeight="1">
      <c r="B62" s="427"/>
      <c r="C62" s="426"/>
      <c r="I62" s="426"/>
      <c r="J62" s="426"/>
      <c r="M62" s="426"/>
      <c r="N62" s="426"/>
      <c r="P62" s="426"/>
      <c r="R62" s="426"/>
      <c r="S62" s="481"/>
      <c r="T62" s="481"/>
      <c r="U62" s="427"/>
      <c r="V62" s="426"/>
      <c r="W62" s="426"/>
      <c r="Z62" s="426"/>
    </row>
    <row r="63" spans="2:26" ht="12" customHeight="1">
      <c r="B63" s="427"/>
      <c r="C63" s="426"/>
      <c r="I63" s="426"/>
      <c r="J63" s="426"/>
      <c r="M63" s="426"/>
      <c r="N63" s="426"/>
      <c r="P63" s="426"/>
      <c r="R63" s="426"/>
      <c r="S63" s="481"/>
      <c r="T63" s="481"/>
      <c r="U63" s="427"/>
      <c r="V63" s="426"/>
      <c r="W63" s="426"/>
      <c r="Z63" s="426"/>
    </row>
    <row r="64" spans="2:26" ht="12" customHeight="1">
      <c r="B64" s="427"/>
      <c r="C64" s="426"/>
      <c r="I64" s="426"/>
      <c r="J64" s="426"/>
      <c r="M64" s="426"/>
      <c r="N64" s="426"/>
      <c r="P64" s="426"/>
      <c r="R64" s="426"/>
      <c r="S64" s="481"/>
      <c r="T64" s="481"/>
      <c r="U64" s="427"/>
      <c r="V64" s="426"/>
      <c r="W64" s="426"/>
      <c r="Z64" s="426"/>
    </row>
    <row r="65" spans="2:26" ht="12" customHeight="1">
      <c r="B65" s="427"/>
      <c r="C65" s="426"/>
      <c r="I65" s="426"/>
      <c r="J65" s="426"/>
      <c r="M65" s="426"/>
      <c r="N65" s="426"/>
      <c r="P65" s="426"/>
      <c r="R65" s="426"/>
      <c r="S65" s="481"/>
      <c r="T65" s="481"/>
      <c r="U65" s="427"/>
      <c r="V65" s="426"/>
      <c r="W65" s="426"/>
      <c r="Z65" s="426"/>
    </row>
    <row r="66" spans="2:26" ht="12" customHeight="1">
      <c r="B66" s="427"/>
      <c r="C66" s="426"/>
      <c r="I66" s="426"/>
      <c r="J66" s="426"/>
      <c r="M66" s="426"/>
      <c r="N66" s="426"/>
      <c r="P66" s="426"/>
      <c r="R66" s="426"/>
      <c r="S66" s="481"/>
      <c r="T66" s="481"/>
      <c r="U66" s="427"/>
      <c r="V66" s="426"/>
      <c r="W66" s="426"/>
      <c r="Z66" s="426"/>
    </row>
    <row r="67" spans="2:26" ht="12" customHeight="1">
      <c r="B67" s="427"/>
      <c r="C67" s="426"/>
      <c r="I67" s="426"/>
      <c r="J67" s="426"/>
      <c r="M67" s="426"/>
      <c r="N67" s="426"/>
      <c r="P67" s="426"/>
      <c r="R67" s="426"/>
      <c r="S67" s="481"/>
      <c r="T67" s="481"/>
      <c r="U67" s="427"/>
      <c r="V67" s="426"/>
      <c r="W67" s="426"/>
      <c r="Z67" s="426"/>
    </row>
    <row r="68" spans="2:26" ht="12" customHeight="1">
      <c r="B68" s="427"/>
      <c r="C68" s="426"/>
      <c r="I68" s="426"/>
      <c r="J68" s="426"/>
      <c r="M68" s="426"/>
      <c r="N68" s="426"/>
      <c r="P68" s="426"/>
      <c r="R68" s="426"/>
      <c r="S68" s="481"/>
      <c r="T68" s="481"/>
      <c r="U68" s="427"/>
      <c r="V68" s="426"/>
      <c r="W68" s="426"/>
      <c r="Z68" s="426"/>
    </row>
    <row r="69" spans="2:26" ht="12" customHeight="1">
      <c r="B69" s="427"/>
      <c r="C69" s="426"/>
      <c r="I69" s="426"/>
      <c r="J69" s="426"/>
      <c r="M69" s="426"/>
      <c r="N69" s="426"/>
      <c r="P69" s="426"/>
      <c r="R69" s="426"/>
      <c r="S69" s="481"/>
      <c r="T69" s="481"/>
      <c r="U69" s="427"/>
      <c r="V69" s="426"/>
      <c r="W69" s="426"/>
      <c r="Z69" s="426"/>
    </row>
    <row r="70" spans="2:26" ht="12" customHeight="1">
      <c r="B70" s="427"/>
      <c r="C70" s="426"/>
      <c r="I70" s="426"/>
      <c r="J70" s="426"/>
      <c r="M70" s="426"/>
      <c r="N70" s="426"/>
      <c r="P70" s="426"/>
      <c r="R70" s="426"/>
      <c r="S70" s="481"/>
      <c r="T70" s="481"/>
      <c r="U70" s="427"/>
      <c r="V70" s="426"/>
      <c r="W70" s="426"/>
      <c r="Z70" s="426"/>
    </row>
    <row r="71" spans="2:26" ht="12" customHeight="1">
      <c r="B71" s="427"/>
      <c r="C71" s="426"/>
      <c r="I71" s="426"/>
      <c r="J71" s="426"/>
      <c r="M71" s="426"/>
      <c r="N71" s="426"/>
      <c r="R71" s="426"/>
      <c r="S71" s="481"/>
      <c r="T71" s="481"/>
      <c r="U71" s="427"/>
      <c r="V71" s="426"/>
      <c r="W71" s="426"/>
      <c r="Z71" s="426"/>
    </row>
    <row r="72" spans="2:26" ht="12" customHeight="1">
      <c r="B72" s="427"/>
      <c r="C72" s="426"/>
      <c r="I72" s="426"/>
      <c r="J72" s="426"/>
      <c r="M72" s="426"/>
      <c r="N72" s="426"/>
      <c r="P72" s="426"/>
      <c r="R72" s="426"/>
      <c r="S72" s="481"/>
      <c r="T72" s="481"/>
      <c r="U72" s="427"/>
      <c r="V72" s="426"/>
      <c r="W72" s="426"/>
      <c r="Z72" s="426"/>
    </row>
    <row r="73" spans="2:26" ht="12" customHeight="1">
      <c r="B73" s="427"/>
      <c r="C73" s="426"/>
      <c r="I73" s="426"/>
      <c r="J73" s="426"/>
      <c r="M73" s="426"/>
      <c r="N73" s="426"/>
      <c r="P73" s="426"/>
      <c r="R73" s="426"/>
      <c r="S73" s="481"/>
      <c r="T73" s="481"/>
      <c r="U73" s="427"/>
      <c r="V73" s="426"/>
      <c r="W73" s="426"/>
      <c r="Z73" s="426"/>
    </row>
    <row r="74" spans="2:26" ht="12" customHeight="1">
      <c r="B74" s="427"/>
      <c r="C74" s="426"/>
      <c r="I74" s="426"/>
      <c r="J74" s="426"/>
      <c r="M74" s="426"/>
      <c r="N74" s="426"/>
      <c r="P74" s="426"/>
      <c r="R74" s="426"/>
      <c r="S74" s="481"/>
      <c r="T74" s="481"/>
      <c r="U74" s="427"/>
      <c r="V74" s="426"/>
      <c r="W74" s="426"/>
      <c r="Z74" s="426"/>
    </row>
    <row r="75" spans="2:26" ht="12" customHeight="1">
      <c r="B75" s="427"/>
      <c r="C75" s="426"/>
      <c r="I75" s="426"/>
      <c r="J75" s="426"/>
      <c r="M75" s="426"/>
      <c r="N75" s="426"/>
      <c r="O75" s="480"/>
      <c r="P75" s="426"/>
      <c r="R75" s="426"/>
      <c r="S75" s="481"/>
      <c r="T75" s="481"/>
      <c r="U75" s="427"/>
      <c r="V75" s="426"/>
      <c r="W75" s="426"/>
      <c r="Z75" s="426"/>
    </row>
    <row r="76" spans="2:26" ht="12" customHeight="1">
      <c r="B76" s="427"/>
      <c r="C76" s="426"/>
      <c r="I76" s="426"/>
      <c r="J76" s="426"/>
      <c r="M76" s="426"/>
      <c r="N76" s="426"/>
      <c r="O76" s="480"/>
      <c r="P76" s="426"/>
      <c r="R76" s="426"/>
      <c r="S76" s="481"/>
      <c r="T76" s="481"/>
      <c r="U76" s="427"/>
      <c r="V76" s="426"/>
      <c r="W76" s="426"/>
      <c r="Z76" s="426"/>
    </row>
    <row r="77" spans="2:26" ht="12" customHeight="1">
      <c r="B77" s="427"/>
      <c r="C77" s="426"/>
      <c r="I77" s="426"/>
      <c r="J77" s="426"/>
      <c r="M77" s="426"/>
      <c r="N77" s="426"/>
      <c r="O77" s="480"/>
      <c r="P77" s="426"/>
      <c r="R77" s="426"/>
      <c r="S77" s="481"/>
      <c r="T77" s="481"/>
      <c r="U77" s="427"/>
      <c r="V77" s="426"/>
      <c r="W77" s="426"/>
      <c r="Z77" s="426"/>
    </row>
    <row r="78" spans="2:26" ht="12" customHeight="1">
      <c r="B78" s="427"/>
      <c r="C78" s="426"/>
      <c r="I78" s="426"/>
      <c r="J78" s="426"/>
      <c r="M78" s="426"/>
      <c r="N78" s="426"/>
      <c r="O78" s="480"/>
      <c r="P78" s="426"/>
      <c r="R78" s="426"/>
      <c r="S78" s="481"/>
      <c r="T78" s="481"/>
      <c r="U78" s="427"/>
      <c r="V78" s="426"/>
      <c r="W78" s="426"/>
      <c r="Z78" s="426"/>
    </row>
    <row r="79" spans="2:26" ht="12" customHeight="1">
      <c r="B79" s="427"/>
      <c r="C79" s="426"/>
      <c r="I79" s="426"/>
      <c r="J79" s="426"/>
      <c r="M79" s="426"/>
      <c r="N79" s="426"/>
      <c r="O79" s="480"/>
      <c r="P79" s="426"/>
      <c r="R79" s="426"/>
      <c r="S79" s="481"/>
      <c r="T79" s="481"/>
      <c r="U79" s="427"/>
      <c r="V79" s="426"/>
      <c r="W79" s="426"/>
      <c r="Z79" s="426"/>
    </row>
    <row r="80" spans="2:26" ht="12" customHeight="1">
      <c r="B80" s="427"/>
      <c r="C80" s="426"/>
      <c r="I80" s="426"/>
      <c r="J80" s="426"/>
      <c r="M80" s="426"/>
      <c r="N80" s="426"/>
      <c r="O80" s="480"/>
      <c r="P80" s="426"/>
      <c r="R80" s="426"/>
      <c r="S80" s="481"/>
      <c r="T80" s="481"/>
      <c r="U80" s="427"/>
      <c r="V80" s="426"/>
      <c r="W80" s="426"/>
      <c r="Z80" s="426"/>
    </row>
    <row r="81" spans="2:26" ht="12" customHeight="1">
      <c r="B81" s="427"/>
      <c r="C81" s="426"/>
      <c r="I81" s="426"/>
      <c r="J81" s="426"/>
      <c r="M81" s="426"/>
      <c r="N81" s="426"/>
      <c r="O81" s="480"/>
      <c r="P81" s="426"/>
      <c r="R81" s="426"/>
      <c r="S81" s="481"/>
      <c r="T81" s="481"/>
      <c r="U81" s="427"/>
      <c r="V81" s="426"/>
      <c r="W81" s="426"/>
      <c r="Z81" s="426"/>
    </row>
    <row r="82" spans="2:26" ht="12" customHeight="1">
      <c r="B82" s="427"/>
      <c r="C82" s="426"/>
      <c r="I82" s="426"/>
      <c r="J82" s="426"/>
      <c r="M82" s="426"/>
      <c r="N82" s="426"/>
      <c r="O82" s="480"/>
      <c r="P82" s="426"/>
      <c r="R82" s="426"/>
      <c r="S82" s="481"/>
      <c r="T82" s="481"/>
      <c r="U82" s="427"/>
      <c r="V82" s="426"/>
      <c r="W82" s="426"/>
      <c r="Z82" s="426"/>
    </row>
    <row r="83" spans="2:26" ht="12" customHeight="1">
      <c r="B83" s="427"/>
      <c r="C83" s="426"/>
      <c r="I83" s="426"/>
      <c r="J83" s="426"/>
      <c r="M83" s="426"/>
      <c r="N83" s="426"/>
      <c r="O83" s="480"/>
      <c r="P83" s="426"/>
      <c r="R83" s="426"/>
      <c r="S83" s="481"/>
      <c r="T83" s="481"/>
      <c r="U83" s="427"/>
      <c r="V83" s="426"/>
      <c r="W83" s="426"/>
      <c r="Z83" s="426"/>
    </row>
    <row r="84" spans="2:26" ht="12" customHeight="1">
      <c r="B84" s="427"/>
      <c r="C84" s="426"/>
      <c r="I84" s="426"/>
      <c r="J84" s="426"/>
      <c r="M84" s="426"/>
      <c r="N84" s="426"/>
      <c r="O84" s="480"/>
      <c r="P84" s="426"/>
      <c r="R84" s="426"/>
      <c r="S84" s="481"/>
      <c r="T84" s="481"/>
      <c r="U84" s="427"/>
      <c r="V84" s="426"/>
      <c r="W84" s="426"/>
      <c r="Z84" s="426"/>
    </row>
    <row r="85" spans="2:26" ht="12" customHeight="1">
      <c r="B85" s="427"/>
      <c r="C85" s="426"/>
      <c r="I85" s="426"/>
      <c r="J85" s="426"/>
      <c r="M85" s="426"/>
      <c r="N85" s="426"/>
      <c r="O85" s="480"/>
      <c r="P85" s="426"/>
      <c r="R85" s="426"/>
      <c r="S85" s="481"/>
      <c r="T85" s="481"/>
      <c r="U85" s="427"/>
      <c r="V85" s="426"/>
      <c r="W85" s="426"/>
      <c r="Z85" s="426"/>
    </row>
    <row r="86" spans="2:26" ht="12" customHeight="1">
      <c r="B86" s="427"/>
      <c r="C86" s="426"/>
      <c r="I86" s="426"/>
      <c r="J86" s="426"/>
      <c r="M86" s="426"/>
      <c r="N86" s="426"/>
      <c r="O86" s="480"/>
      <c r="P86" s="426"/>
      <c r="R86" s="426"/>
      <c r="S86" s="481"/>
      <c r="T86" s="481"/>
      <c r="U86" s="427"/>
      <c r="V86" s="426"/>
      <c r="W86" s="426"/>
      <c r="Z86" s="426"/>
    </row>
    <row r="87" spans="2:26" ht="12" customHeight="1">
      <c r="B87" s="427"/>
      <c r="C87" s="426"/>
      <c r="I87" s="426"/>
      <c r="J87" s="426"/>
      <c r="M87" s="426"/>
      <c r="N87" s="426"/>
      <c r="O87" s="480"/>
      <c r="P87" s="426"/>
      <c r="R87" s="426"/>
      <c r="S87" s="481"/>
      <c r="T87" s="481"/>
      <c r="U87" s="427"/>
      <c r="V87" s="426"/>
      <c r="W87" s="426"/>
      <c r="Z87" s="426"/>
    </row>
    <row r="88" spans="2:26" ht="12" customHeight="1">
      <c r="B88" s="427"/>
      <c r="C88" s="426"/>
      <c r="I88" s="426"/>
      <c r="J88" s="426"/>
      <c r="M88" s="426"/>
      <c r="N88" s="426"/>
      <c r="O88" s="480"/>
      <c r="P88" s="426"/>
      <c r="R88" s="426"/>
      <c r="S88" s="481"/>
      <c r="T88" s="481"/>
      <c r="U88" s="427"/>
      <c r="V88" s="426"/>
      <c r="W88" s="426"/>
      <c r="Z88" s="426"/>
    </row>
    <row r="89" spans="2:26" ht="12" customHeight="1">
      <c r="B89" s="427"/>
      <c r="C89" s="426"/>
      <c r="I89" s="426"/>
      <c r="J89" s="426"/>
      <c r="M89" s="426"/>
      <c r="N89" s="426"/>
      <c r="O89" s="480"/>
      <c r="P89" s="426"/>
      <c r="R89" s="426"/>
      <c r="S89" s="481"/>
      <c r="T89" s="481"/>
      <c r="U89" s="427"/>
      <c r="V89" s="426"/>
      <c r="W89" s="426"/>
      <c r="Z89" s="426"/>
    </row>
    <row r="90" spans="2:26" ht="12" customHeight="1">
      <c r="B90" s="427"/>
      <c r="C90" s="426"/>
      <c r="I90" s="426"/>
      <c r="J90" s="426"/>
      <c r="M90" s="426"/>
      <c r="N90" s="426"/>
      <c r="O90" s="480"/>
      <c r="P90" s="426"/>
      <c r="R90" s="426"/>
      <c r="S90" s="481"/>
      <c r="T90" s="481"/>
      <c r="U90" s="427"/>
      <c r="V90" s="426"/>
      <c r="W90" s="426"/>
      <c r="Z90" s="426"/>
    </row>
    <row r="91" spans="2:26" ht="12" customHeight="1">
      <c r="B91" s="427"/>
      <c r="C91" s="426"/>
      <c r="I91" s="426"/>
      <c r="J91" s="426"/>
      <c r="M91" s="426"/>
      <c r="N91" s="426"/>
      <c r="O91" s="480"/>
      <c r="P91" s="426"/>
      <c r="R91" s="426"/>
      <c r="S91" s="481"/>
      <c r="T91" s="481"/>
      <c r="U91" s="427"/>
      <c r="V91" s="426"/>
      <c r="W91" s="426"/>
      <c r="Z91" s="426"/>
    </row>
    <row r="92" spans="2:26" ht="12" customHeight="1">
      <c r="B92" s="427"/>
      <c r="C92" s="426"/>
      <c r="J92" s="426"/>
      <c r="N92" s="426"/>
      <c r="O92" s="483"/>
      <c r="P92" s="482"/>
      <c r="R92" s="426"/>
      <c r="S92" s="481"/>
      <c r="T92" s="481"/>
      <c r="U92" s="427"/>
      <c r="V92" s="426"/>
      <c r="W92" s="426"/>
      <c r="Z92" s="426"/>
    </row>
    <row r="93" spans="2:26" ht="12" customHeight="1">
      <c r="B93" s="427"/>
      <c r="C93" s="426"/>
      <c r="J93" s="426"/>
      <c r="N93" s="426"/>
      <c r="O93" s="480"/>
      <c r="P93" s="426"/>
      <c r="R93" s="426"/>
      <c r="S93" s="481"/>
      <c r="T93" s="481"/>
      <c r="U93" s="427"/>
      <c r="V93" s="426"/>
      <c r="W93" s="426"/>
      <c r="Z93" s="426"/>
    </row>
    <row r="94" spans="2:26" ht="12" customHeight="1">
      <c r="B94" s="427"/>
      <c r="C94" s="426"/>
      <c r="J94" s="426"/>
      <c r="N94" s="426"/>
      <c r="O94" s="480"/>
      <c r="P94" s="426"/>
      <c r="R94" s="426"/>
      <c r="S94" s="481"/>
      <c r="T94" s="481"/>
      <c r="U94" s="427"/>
      <c r="V94" s="426"/>
      <c r="W94" s="426"/>
      <c r="Z94" s="426"/>
    </row>
    <row r="95" spans="2:26" ht="12" customHeight="1">
      <c r="B95" s="427"/>
      <c r="C95" s="426"/>
      <c r="J95" s="426"/>
      <c r="N95" s="426"/>
      <c r="O95" s="480"/>
      <c r="P95" s="426"/>
      <c r="R95" s="426"/>
      <c r="S95" s="481"/>
      <c r="T95" s="481"/>
      <c r="U95" s="427"/>
      <c r="V95" s="426"/>
      <c r="W95" s="426"/>
      <c r="Z95" s="426"/>
    </row>
    <row r="96" spans="2:26" ht="12" customHeight="1">
      <c r="B96" s="427"/>
      <c r="C96" s="426"/>
      <c r="J96" s="426"/>
      <c r="N96" s="426"/>
      <c r="O96" s="480"/>
      <c r="P96" s="426"/>
      <c r="R96" s="426"/>
      <c r="S96" s="481"/>
      <c r="T96" s="481"/>
      <c r="U96" s="427"/>
      <c r="V96" s="426"/>
      <c r="W96" s="426"/>
      <c r="Z96" s="426"/>
    </row>
    <row r="97" spans="2:26" ht="12" customHeight="1">
      <c r="B97" s="427"/>
      <c r="C97" s="426"/>
      <c r="J97" s="426"/>
      <c r="N97" s="426"/>
      <c r="O97" s="480"/>
      <c r="P97" s="426"/>
      <c r="R97" s="426"/>
      <c r="S97" s="481"/>
      <c r="T97" s="481"/>
      <c r="U97" s="427"/>
      <c r="V97" s="426"/>
      <c r="W97" s="426"/>
      <c r="Z97" s="426"/>
    </row>
    <row r="98" spans="2:26" ht="12" customHeight="1">
      <c r="B98" s="427"/>
      <c r="C98" s="426"/>
      <c r="J98" s="426"/>
      <c r="N98" s="426"/>
      <c r="O98" s="480"/>
      <c r="P98" s="426"/>
      <c r="R98" s="426"/>
      <c r="S98" s="481"/>
      <c r="T98" s="481"/>
      <c r="U98" s="427"/>
      <c r="V98" s="426"/>
      <c r="W98" s="426"/>
      <c r="Z98" s="426"/>
    </row>
    <row r="99" spans="2:26" ht="12" customHeight="1">
      <c r="B99" s="427"/>
      <c r="C99" s="426"/>
      <c r="J99" s="426"/>
      <c r="N99" s="426"/>
      <c r="O99" s="480"/>
      <c r="P99" s="426"/>
      <c r="R99" s="482"/>
      <c r="S99" s="485"/>
      <c r="T99" s="485"/>
      <c r="U99" s="427"/>
      <c r="V99" s="426"/>
      <c r="W99" s="426"/>
      <c r="Z99" s="426"/>
    </row>
    <row r="100" spans="2:26" ht="12" customHeight="1">
      <c r="B100" s="427"/>
      <c r="C100" s="426"/>
      <c r="J100" s="426"/>
      <c r="N100" s="426"/>
      <c r="O100" s="480"/>
      <c r="P100" s="426"/>
      <c r="R100" s="426"/>
      <c r="S100" s="481"/>
      <c r="T100" s="481"/>
      <c r="U100" s="427"/>
      <c r="V100" s="426"/>
      <c r="W100" s="426"/>
      <c r="Z100" s="426"/>
    </row>
    <row r="101" spans="2:26" ht="12" customHeight="1">
      <c r="B101" s="427"/>
      <c r="C101" s="426"/>
      <c r="J101" s="426"/>
      <c r="N101" s="426"/>
      <c r="O101" s="480"/>
      <c r="P101" s="426"/>
      <c r="R101" s="426"/>
      <c r="S101" s="481"/>
      <c r="T101" s="481"/>
      <c r="U101" s="427"/>
      <c r="V101" s="426"/>
      <c r="W101" s="426"/>
      <c r="Z101" s="426"/>
    </row>
    <row r="102" spans="2:26" ht="12" customHeight="1">
      <c r="B102" s="427"/>
      <c r="C102" s="426"/>
      <c r="J102" s="426"/>
      <c r="N102" s="426"/>
      <c r="O102" s="480"/>
      <c r="P102" s="426"/>
      <c r="R102" s="426"/>
      <c r="S102" s="481"/>
      <c r="T102" s="481"/>
      <c r="U102" s="427"/>
      <c r="V102" s="426"/>
      <c r="W102" s="426"/>
      <c r="Z102" s="426"/>
    </row>
    <row r="103" spans="2:26" ht="12" customHeight="1">
      <c r="B103" s="427"/>
      <c r="C103" s="426"/>
      <c r="J103" s="426"/>
      <c r="N103" s="426"/>
      <c r="O103" s="480"/>
      <c r="P103" s="426"/>
      <c r="R103" s="426"/>
      <c r="S103" s="481"/>
      <c r="T103" s="481"/>
      <c r="U103" s="427"/>
      <c r="V103" s="426"/>
      <c r="W103" s="426"/>
      <c r="Z103" s="426"/>
    </row>
    <row r="104" spans="2:26" ht="12" customHeight="1">
      <c r="B104" s="427"/>
      <c r="C104" s="426"/>
      <c r="J104" s="426"/>
      <c r="N104" s="426"/>
      <c r="O104" s="480"/>
      <c r="P104" s="426"/>
      <c r="R104" s="426"/>
      <c r="S104" s="481"/>
      <c r="T104" s="481"/>
      <c r="U104" s="427"/>
      <c r="V104" s="426"/>
      <c r="W104" s="426"/>
      <c r="Z104" s="426"/>
    </row>
    <row r="105" spans="2:26" ht="12" customHeight="1">
      <c r="B105" s="427"/>
      <c r="C105" s="426"/>
      <c r="J105" s="426"/>
      <c r="N105" s="426"/>
      <c r="O105" s="480"/>
      <c r="P105" s="426"/>
      <c r="R105" s="426"/>
      <c r="S105" s="481"/>
      <c r="T105" s="481"/>
      <c r="U105" s="427"/>
      <c r="V105" s="426"/>
      <c r="W105" s="426"/>
      <c r="Z105" s="426"/>
    </row>
    <row r="106" spans="2:26" ht="12" customHeight="1">
      <c r="B106" s="427"/>
      <c r="C106" s="426"/>
      <c r="J106" s="426"/>
      <c r="N106" s="426"/>
      <c r="O106" s="480"/>
      <c r="P106" s="426"/>
      <c r="R106" s="426"/>
      <c r="S106" s="481"/>
      <c r="T106" s="481"/>
      <c r="U106" s="427"/>
      <c r="V106" s="426"/>
      <c r="W106" s="426"/>
      <c r="Z106" s="426"/>
    </row>
    <row r="107" spans="2:26" ht="12" customHeight="1">
      <c r="B107" s="427"/>
      <c r="C107" s="426"/>
      <c r="J107" s="426"/>
      <c r="N107" s="426"/>
      <c r="O107" s="480"/>
      <c r="P107" s="426"/>
      <c r="R107" s="426"/>
      <c r="S107" s="481"/>
      <c r="T107" s="481"/>
      <c r="U107" s="427"/>
      <c r="V107" s="426"/>
      <c r="W107" s="426"/>
      <c r="Z107" s="426"/>
    </row>
    <row r="108" spans="2:26" ht="12" customHeight="1">
      <c r="B108" s="427"/>
      <c r="C108" s="426"/>
      <c r="J108" s="426"/>
      <c r="N108" s="426"/>
      <c r="O108" s="480"/>
      <c r="P108" s="426"/>
      <c r="R108" s="426"/>
      <c r="S108" s="481"/>
      <c r="T108" s="481"/>
      <c r="U108" s="427"/>
      <c r="V108" s="426"/>
      <c r="W108" s="426"/>
      <c r="Z108" s="426"/>
    </row>
    <row r="109" spans="2:26" ht="12" customHeight="1">
      <c r="B109" s="427"/>
      <c r="C109" s="426"/>
      <c r="J109" s="426"/>
      <c r="N109" s="426"/>
      <c r="O109" s="480"/>
      <c r="P109" s="426"/>
      <c r="R109" s="426"/>
      <c r="S109" s="481"/>
      <c r="T109" s="481"/>
      <c r="U109" s="427"/>
      <c r="V109" s="426"/>
      <c r="W109" s="426"/>
      <c r="Z109" s="426"/>
    </row>
    <row r="110" spans="2:26" ht="12" customHeight="1">
      <c r="B110" s="427"/>
      <c r="C110" s="426"/>
      <c r="J110" s="426"/>
      <c r="N110" s="426"/>
      <c r="O110" s="480"/>
      <c r="P110" s="426"/>
      <c r="R110" s="426"/>
      <c r="S110" s="481"/>
      <c r="T110" s="481"/>
      <c r="U110" s="427"/>
      <c r="V110" s="426"/>
      <c r="W110" s="426"/>
      <c r="Z110" s="426"/>
    </row>
    <row r="111" spans="2:26" ht="12" customHeight="1">
      <c r="B111" s="427"/>
      <c r="C111" s="426"/>
      <c r="J111" s="426"/>
      <c r="N111" s="426"/>
      <c r="O111" s="480"/>
      <c r="P111" s="426"/>
      <c r="R111" s="426"/>
      <c r="S111" s="481"/>
      <c r="T111" s="481"/>
      <c r="U111" s="427"/>
      <c r="V111" s="426"/>
      <c r="W111" s="426"/>
      <c r="Z111" s="426"/>
    </row>
    <row r="112" spans="2:26" ht="12" customHeight="1">
      <c r="B112" s="427"/>
      <c r="C112" s="426"/>
      <c r="J112" s="426"/>
      <c r="N112" s="426"/>
      <c r="O112" s="480"/>
      <c r="P112" s="426"/>
      <c r="R112" s="426"/>
      <c r="S112" s="481"/>
      <c r="T112" s="481"/>
      <c r="U112" s="427"/>
      <c r="V112" s="426"/>
      <c r="W112" s="426"/>
      <c r="Z112" s="426"/>
    </row>
    <row r="113" spans="2:26" ht="12" customHeight="1">
      <c r="B113" s="427"/>
      <c r="C113" s="426"/>
      <c r="J113" s="426"/>
      <c r="N113" s="426"/>
      <c r="O113" s="483"/>
      <c r="P113" s="482"/>
      <c r="R113" s="426"/>
      <c r="S113" s="481"/>
      <c r="T113" s="481"/>
      <c r="U113" s="427"/>
      <c r="V113" s="426"/>
      <c r="W113" s="426"/>
      <c r="Z113" s="426"/>
    </row>
    <row r="114" spans="2:26" ht="12" customHeight="1">
      <c r="B114" s="427"/>
      <c r="C114" s="426"/>
      <c r="J114" s="426"/>
      <c r="N114" s="426"/>
      <c r="O114" s="480"/>
      <c r="P114" s="426"/>
      <c r="R114" s="426"/>
      <c r="S114" s="481"/>
      <c r="T114" s="481"/>
      <c r="U114" s="427"/>
      <c r="V114" s="426"/>
      <c r="W114" s="426"/>
      <c r="Z114" s="426"/>
    </row>
    <row r="115" spans="2:26" ht="12" customHeight="1">
      <c r="B115" s="427"/>
      <c r="C115" s="426"/>
      <c r="J115" s="426"/>
      <c r="N115" s="426"/>
      <c r="O115" s="480"/>
      <c r="P115" s="426"/>
      <c r="R115" s="426"/>
      <c r="S115" s="481"/>
      <c r="T115" s="481"/>
      <c r="U115" s="427"/>
      <c r="V115" s="426"/>
      <c r="W115" s="426"/>
      <c r="Z115" s="426"/>
    </row>
    <row r="116" spans="2:26" ht="12" customHeight="1">
      <c r="B116" s="427"/>
      <c r="C116" s="426"/>
      <c r="J116" s="426"/>
      <c r="N116" s="426"/>
      <c r="O116" s="480"/>
      <c r="P116" s="426"/>
      <c r="R116" s="426"/>
      <c r="S116" s="481"/>
      <c r="T116" s="481"/>
      <c r="U116" s="427"/>
      <c r="V116" s="426"/>
      <c r="W116" s="426"/>
      <c r="Z116" s="426"/>
    </row>
    <row r="117" spans="2:26" ht="12" customHeight="1">
      <c r="B117" s="427"/>
      <c r="C117" s="426"/>
      <c r="J117" s="426"/>
      <c r="N117" s="426"/>
      <c r="O117" s="480"/>
      <c r="P117" s="426"/>
      <c r="R117" s="426"/>
      <c r="S117" s="481"/>
      <c r="T117" s="481"/>
      <c r="U117" s="427"/>
      <c r="V117" s="426"/>
      <c r="W117" s="426"/>
      <c r="Z117" s="426"/>
    </row>
    <row r="118" spans="2:26" ht="12" customHeight="1">
      <c r="B118" s="427"/>
      <c r="C118" s="426"/>
      <c r="J118" s="426"/>
      <c r="N118" s="426"/>
      <c r="O118" s="480"/>
      <c r="P118" s="426"/>
      <c r="R118" s="426"/>
      <c r="S118" s="481"/>
      <c r="T118" s="481"/>
      <c r="U118" s="427"/>
      <c r="V118" s="426"/>
      <c r="W118" s="426"/>
      <c r="Z118" s="426"/>
    </row>
    <row r="119" spans="2:26" ht="12" customHeight="1">
      <c r="B119" s="427"/>
      <c r="C119" s="426"/>
      <c r="J119" s="426"/>
      <c r="N119" s="426"/>
      <c r="O119" s="480"/>
      <c r="P119" s="426"/>
      <c r="R119" s="426"/>
      <c r="S119" s="481"/>
      <c r="T119" s="481"/>
    </row>
    <row r="120" spans="2:26" ht="12" customHeight="1">
      <c r="B120" s="427"/>
      <c r="C120" s="426"/>
      <c r="J120" s="426"/>
      <c r="N120" s="426"/>
      <c r="O120" s="480"/>
      <c r="P120" s="426"/>
      <c r="R120" s="426"/>
      <c r="S120" s="481"/>
      <c r="T120" s="481"/>
    </row>
    <row r="121" spans="2:26" ht="12" customHeight="1">
      <c r="B121" s="427"/>
      <c r="C121" s="426"/>
      <c r="J121" s="426"/>
      <c r="N121" s="426"/>
      <c r="O121" s="480"/>
      <c r="P121" s="426"/>
      <c r="R121" s="426"/>
      <c r="S121" s="481"/>
      <c r="T121" s="481"/>
    </row>
    <row r="122" spans="2:26" ht="12" customHeight="1">
      <c r="B122" s="427"/>
      <c r="C122" s="426"/>
      <c r="J122" s="426"/>
      <c r="N122" s="426"/>
      <c r="O122" s="480"/>
      <c r="P122" s="426"/>
      <c r="R122" s="426"/>
      <c r="S122" s="481"/>
      <c r="T122" s="481"/>
    </row>
    <row r="123" spans="2:26" ht="12" customHeight="1">
      <c r="B123" s="427"/>
      <c r="C123" s="426"/>
      <c r="J123" s="426"/>
      <c r="N123" s="426"/>
      <c r="O123" s="480"/>
      <c r="P123" s="426"/>
      <c r="R123" s="426"/>
      <c r="S123" s="481"/>
      <c r="T123" s="481"/>
    </row>
    <row r="124" spans="2:26" ht="12" customHeight="1">
      <c r="B124" s="427"/>
      <c r="C124" s="426"/>
      <c r="J124" s="426"/>
      <c r="N124" s="426"/>
      <c r="O124" s="480"/>
      <c r="P124" s="426"/>
      <c r="R124" s="426"/>
      <c r="S124" s="481"/>
      <c r="T124" s="481"/>
    </row>
    <row r="125" spans="2:26" ht="12" customHeight="1">
      <c r="B125" s="427"/>
      <c r="C125" s="426"/>
      <c r="J125" s="426"/>
      <c r="N125" s="426"/>
      <c r="O125" s="480"/>
      <c r="P125" s="426"/>
      <c r="R125" s="426"/>
      <c r="S125" s="481"/>
      <c r="T125" s="481"/>
    </row>
    <row r="126" spans="2:26" ht="12" customHeight="1">
      <c r="J126" s="426"/>
      <c r="N126" s="426"/>
      <c r="O126" s="480"/>
      <c r="P126" s="426"/>
      <c r="R126" s="426"/>
      <c r="S126" s="481"/>
      <c r="T126" s="481"/>
    </row>
    <row r="127" spans="2:26" ht="12" customHeight="1">
      <c r="J127" s="426"/>
      <c r="N127" s="426"/>
      <c r="O127" s="480"/>
      <c r="P127" s="426"/>
      <c r="R127" s="426"/>
      <c r="S127" s="481"/>
      <c r="T127" s="481"/>
    </row>
    <row r="128" spans="2:26" ht="12" customHeight="1">
      <c r="J128" s="426"/>
      <c r="N128" s="426"/>
      <c r="O128" s="480"/>
      <c r="P128" s="426"/>
      <c r="R128" s="426"/>
      <c r="S128" s="481"/>
      <c r="T128" s="481"/>
    </row>
    <row r="129" spans="10:20" ht="12" customHeight="1">
      <c r="J129" s="426"/>
      <c r="N129" s="426"/>
      <c r="O129" s="480"/>
      <c r="P129" s="426"/>
      <c r="R129" s="426"/>
      <c r="S129" s="481"/>
      <c r="T129" s="481"/>
    </row>
    <row r="130" spans="10:20" ht="12" customHeight="1">
      <c r="J130" s="426"/>
      <c r="N130" s="426"/>
      <c r="O130" s="480"/>
      <c r="P130" s="426"/>
      <c r="R130" s="426"/>
      <c r="S130" s="481"/>
      <c r="T130" s="481"/>
    </row>
    <row r="131" spans="10:20" ht="12" customHeight="1">
      <c r="J131" s="426"/>
      <c r="N131" s="426"/>
      <c r="O131" s="480"/>
      <c r="P131" s="426"/>
      <c r="R131" s="426"/>
      <c r="S131" s="481"/>
      <c r="T131" s="481"/>
    </row>
    <row r="132" spans="10:20" ht="12" customHeight="1">
      <c r="J132" s="426"/>
      <c r="N132" s="426"/>
      <c r="O132" s="480"/>
      <c r="P132" s="426"/>
      <c r="R132" s="426"/>
      <c r="S132" s="481"/>
      <c r="T132" s="481"/>
    </row>
    <row r="133" spans="10:20" ht="12" customHeight="1">
      <c r="J133" s="426"/>
      <c r="N133" s="426"/>
      <c r="O133" s="480"/>
      <c r="P133" s="426"/>
      <c r="R133" s="426"/>
      <c r="S133" s="481"/>
      <c r="T133" s="481"/>
    </row>
    <row r="134" spans="10:20" ht="12" customHeight="1">
      <c r="J134" s="426"/>
      <c r="N134" s="426"/>
      <c r="O134" s="480"/>
      <c r="P134" s="426"/>
      <c r="R134" s="426"/>
      <c r="S134" s="481"/>
      <c r="T134" s="481"/>
    </row>
    <row r="135" spans="10:20" ht="12" customHeight="1">
      <c r="J135" s="426"/>
      <c r="N135" s="426"/>
      <c r="O135" s="480"/>
      <c r="P135" s="426"/>
      <c r="R135" s="426"/>
      <c r="S135" s="481"/>
      <c r="T135" s="481"/>
    </row>
    <row r="136" spans="10:20" ht="12" customHeight="1">
      <c r="J136" s="426"/>
      <c r="N136" s="426"/>
      <c r="O136" s="480"/>
      <c r="P136" s="426"/>
      <c r="R136" s="426"/>
      <c r="S136" s="481"/>
      <c r="T136" s="481"/>
    </row>
    <row r="137" spans="10:20" ht="12" customHeight="1">
      <c r="J137" s="426"/>
      <c r="N137" s="426"/>
      <c r="O137" s="480"/>
      <c r="P137" s="426"/>
      <c r="R137" s="426"/>
      <c r="S137" s="481"/>
      <c r="T137" s="481"/>
    </row>
    <row r="138" spans="10:20" ht="12" customHeight="1">
      <c r="J138" s="426"/>
      <c r="N138" s="426"/>
      <c r="O138" s="480"/>
      <c r="P138" s="426"/>
      <c r="R138" s="426"/>
      <c r="S138" s="481"/>
      <c r="T138" s="481"/>
    </row>
    <row r="139" spans="10:20" ht="12" customHeight="1">
      <c r="J139" s="426"/>
      <c r="N139" s="426"/>
      <c r="O139" s="480"/>
      <c r="P139" s="426"/>
      <c r="R139" s="426"/>
      <c r="S139" s="481"/>
      <c r="T139" s="481"/>
    </row>
    <row r="140" spans="10:20" ht="12" customHeight="1">
      <c r="J140" s="426"/>
      <c r="N140" s="426"/>
      <c r="O140" s="480"/>
      <c r="P140" s="426"/>
      <c r="R140" s="426"/>
      <c r="S140" s="481"/>
      <c r="T140" s="481"/>
    </row>
    <row r="141" spans="10:20" ht="12" customHeight="1">
      <c r="J141" s="426"/>
      <c r="N141" s="426"/>
      <c r="O141" s="480"/>
      <c r="P141" s="426"/>
      <c r="R141" s="426"/>
      <c r="S141" s="481"/>
      <c r="T141" s="481"/>
    </row>
    <row r="142" spans="10:20" ht="12" customHeight="1">
      <c r="J142" s="426"/>
      <c r="N142" s="426"/>
      <c r="O142" s="480"/>
      <c r="P142" s="426"/>
      <c r="R142" s="426"/>
      <c r="S142" s="481"/>
      <c r="T142" s="481"/>
    </row>
    <row r="143" spans="10:20" ht="12" customHeight="1">
      <c r="J143" s="426"/>
      <c r="N143" s="426"/>
      <c r="O143" s="480"/>
      <c r="P143" s="426"/>
      <c r="R143" s="426"/>
      <c r="S143" s="481"/>
      <c r="T143" s="481"/>
    </row>
    <row r="144" spans="10:20" ht="12" customHeight="1">
      <c r="J144" s="426"/>
      <c r="N144" s="426"/>
      <c r="O144" s="480"/>
      <c r="P144" s="426"/>
      <c r="R144" s="426"/>
      <c r="S144" s="481"/>
      <c r="T144" s="481"/>
    </row>
    <row r="145" spans="10:20" ht="12" customHeight="1">
      <c r="J145" s="426"/>
      <c r="N145" s="426"/>
      <c r="O145" s="480"/>
      <c r="P145" s="426"/>
      <c r="R145" s="426"/>
      <c r="S145" s="481"/>
      <c r="T145" s="481"/>
    </row>
    <row r="146" spans="10:20" ht="12" customHeight="1">
      <c r="J146" s="426"/>
      <c r="N146" s="426"/>
      <c r="O146" s="480"/>
      <c r="P146" s="426"/>
      <c r="R146" s="426"/>
      <c r="S146" s="481"/>
      <c r="T146" s="481"/>
    </row>
    <row r="147" spans="10:20" ht="12" customHeight="1">
      <c r="J147" s="426"/>
      <c r="N147" s="426"/>
      <c r="O147" s="480"/>
      <c r="P147" s="426"/>
      <c r="R147" s="426"/>
      <c r="S147" s="481"/>
      <c r="T147" s="481"/>
    </row>
    <row r="148" spans="10:20" ht="12" customHeight="1">
      <c r="J148" s="426"/>
      <c r="N148" s="426"/>
      <c r="O148" s="480"/>
      <c r="P148" s="426"/>
      <c r="R148" s="426"/>
      <c r="S148" s="481"/>
      <c r="T148" s="481"/>
    </row>
    <row r="149" spans="10:20" ht="12" customHeight="1">
      <c r="J149" s="426"/>
      <c r="N149" s="426"/>
      <c r="O149" s="480"/>
      <c r="P149" s="426"/>
      <c r="R149" s="426"/>
      <c r="S149" s="481"/>
      <c r="T149" s="481"/>
    </row>
    <row r="150" spans="10:20" ht="12" customHeight="1">
      <c r="J150" s="426"/>
      <c r="N150" s="426"/>
      <c r="O150" s="480"/>
      <c r="P150" s="426"/>
      <c r="R150" s="426"/>
      <c r="S150" s="481"/>
      <c r="T150" s="481"/>
    </row>
    <row r="151" spans="10:20" ht="12" customHeight="1">
      <c r="J151" s="426"/>
      <c r="N151" s="426"/>
      <c r="O151" s="480"/>
      <c r="P151" s="426"/>
      <c r="R151" s="426"/>
      <c r="S151" s="481"/>
      <c r="T151" s="481"/>
    </row>
    <row r="152" spans="10:20" ht="12" customHeight="1">
      <c r="J152" s="426"/>
      <c r="N152" s="426"/>
      <c r="O152" s="480"/>
      <c r="P152" s="426"/>
      <c r="R152" s="426"/>
      <c r="S152" s="481"/>
      <c r="T152" s="481"/>
    </row>
    <row r="153" spans="10:20" ht="12" customHeight="1">
      <c r="J153" s="426"/>
      <c r="N153" s="426"/>
      <c r="O153" s="480"/>
      <c r="P153" s="426"/>
      <c r="R153" s="426"/>
      <c r="S153" s="481"/>
      <c r="T153" s="481"/>
    </row>
    <row r="154" spans="10:20" ht="12" customHeight="1">
      <c r="J154" s="426"/>
      <c r="N154" s="426"/>
      <c r="O154" s="480"/>
      <c r="P154" s="426"/>
      <c r="R154" s="427"/>
      <c r="S154" s="481"/>
      <c r="T154" s="481"/>
    </row>
    <row r="155" spans="10:20" ht="12" customHeight="1">
      <c r="J155" s="426"/>
      <c r="N155" s="426"/>
      <c r="O155" s="480"/>
      <c r="P155" s="426"/>
      <c r="R155" s="427"/>
      <c r="S155" s="481"/>
      <c r="T155" s="481"/>
    </row>
    <row r="156" spans="10:20" ht="12" customHeight="1">
      <c r="J156" s="426"/>
      <c r="N156" s="426"/>
      <c r="O156" s="480"/>
      <c r="P156" s="426"/>
      <c r="R156" s="427"/>
      <c r="S156" s="481"/>
      <c r="T156" s="481"/>
    </row>
    <row r="157" spans="10:20" ht="12" customHeight="1">
      <c r="J157" s="426"/>
      <c r="N157" s="426"/>
      <c r="O157" s="480"/>
      <c r="P157" s="426"/>
      <c r="R157" s="484"/>
      <c r="S157" s="485"/>
      <c r="T157" s="485"/>
    </row>
    <row r="158" spans="10:20" ht="12" customHeight="1">
      <c r="J158" s="426"/>
      <c r="N158" s="426"/>
      <c r="O158" s="478"/>
      <c r="P158" s="478"/>
    </row>
    <row r="159" spans="10:20" ht="12" customHeight="1">
      <c r="J159" s="426"/>
      <c r="N159" s="426"/>
    </row>
    <row r="160" spans="10:20" ht="12" customHeight="1">
      <c r="J160" s="426"/>
      <c r="N160" s="426"/>
    </row>
    <row r="161" spans="10:14" ht="12" customHeight="1">
      <c r="J161" s="426"/>
      <c r="N161" s="426"/>
    </row>
    <row r="162" spans="10:14" ht="12" customHeight="1">
      <c r="J162" s="426"/>
      <c r="N162" s="426"/>
    </row>
    <row r="163" spans="10:14" ht="12" customHeight="1">
      <c r="J163" s="426"/>
      <c r="N163" s="426"/>
    </row>
    <row r="164" spans="10:14" ht="12" customHeight="1">
      <c r="J164" s="426"/>
      <c r="N164" s="426"/>
    </row>
    <row r="165" spans="10:14" ht="12" customHeight="1">
      <c r="J165" s="426"/>
      <c r="N165" s="426"/>
    </row>
    <row r="166" spans="10:14" ht="12" customHeight="1">
      <c r="J166" s="426"/>
      <c r="N166" s="426"/>
    </row>
    <row r="167" spans="10:14" ht="12" customHeight="1">
      <c r="J167" s="426"/>
      <c r="N167" s="426"/>
    </row>
    <row r="168" spans="10:14" ht="12" customHeight="1">
      <c r="J168" s="426"/>
      <c r="N168" s="426"/>
    </row>
    <row r="169" spans="10:14" ht="12" customHeight="1">
      <c r="J169" s="426"/>
      <c r="N169" s="426"/>
    </row>
    <row r="170" spans="10:14" ht="12" customHeight="1">
      <c r="J170" s="426"/>
      <c r="N170" s="426"/>
    </row>
    <row r="171" spans="10:14" ht="12" customHeight="1">
      <c r="J171" s="426"/>
      <c r="N171" s="426"/>
    </row>
    <row r="172" spans="10:14" ht="12" customHeight="1">
      <c r="J172" s="426"/>
      <c r="N172" s="426"/>
    </row>
    <row r="173" spans="10:14" ht="12" customHeight="1">
      <c r="J173" s="426"/>
      <c r="N173" s="426"/>
    </row>
    <row r="174" spans="10:14" ht="12" customHeight="1">
      <c r="J174" s="426"/>
      <c r="N174" s="426"/>
    </row>
    <row r="175" spans="10:14" ht="12" customHeight="1">
      <c r="J175" s="477"/>
      <c r="N175" s="426"/>
    </row>
  </sheetData>
  <sortState ref="N3:S180">
    <sortCondition ref="N3:N180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sheetPr filterMode="1"/>
  <dimension ref="A1:H103"/>
  <sheetViews>
    <sheetView workbookViewId="0">
      <selection activeCell="A35" sqref="A35"/>
    </sheetView>
  </sheetViews>
  <sheetFormatPr defaultColWidth="8.7109375" defaultRowHeight="15"/>
  <cols>
    <col min="1" max="1" width="14.140625" style="1" customWidth="1"/>
    <col min="2" max="2" width="13.85546875" style="1" customWidth="1"/>
    <col min="3" max="3" width="10.85546875" style="1" bestFit="1" customWidth="1"/>
    <col min="4" max="4" width="10.140625" style="1" customWidth="1"/>
    <col min="5" max="5" width="13.85546875" style="1" customWidth="1"/>
    <col min="6" max="6" width="3.5703125" style="1" customWidth="1"/>
    <col min="7" max="16384" width="8.7109375" style="1"/>
  </cols>
  <sheetData>
    <row r="1" spans="1:8" ht="31.5" customHeight="1" thickBot="1">
      <c r="A1" s="40" t="s">
        <v>19</v>
      </c>
      <c r="B1" s="41" t="s">
        <v>25</v>
      </c>
      <c r="C1" s="127" t="s">
        <v>35</v>
      </c>
      <c r="D1" s="42" t="s">
        <v>34</v>
      </c>
      <c r="E1" s="42" t="s">
        <v>26</v>
      </c>
      <c r="F1" s="42"/>
      <c r="G1" s="43"/>
      <c r="H1" s="43"/>
    </row>
    <row r="2" spans="1:8" ht="15" customHeight="1">
      <c r="A2" s="44" t="str">
        <f>IF('Members Data'!B2="Traveler",'Members Data'!A2,0)</f>
        <v>Ablon</v>
      </c>
      <c r="B2" s="62">
        <f>IF(A2=0,0,C2+D2)</f>
        <v>0</v>
      </c>
      <c r="C2" s="128">
        <f>IF(A2=0,0,'wk1'!I10+'wk2'!I10+'wk3'!I10+'wk4'!I10+'wk5'!I10)</f>
        <v>0</v>
      </c>
      <c r="D2" s="63">
        <f>IF(A2=0,0,'wk1'!J10+'wk2'!J10+'wk3'!J10+'wk4'!J10+'wk5'!J10)</f>
        <v>0</v>
      </c>
      <c r="E2" s="46">
        <f>IF(A2=0,0,'wk1'!K10+'wk2'!K10+'wk3'!K10+'wk4'!K10+'wk5'!K10)</f>
        <v>0</v>
      </c>
      <c r="F2" s="131"/>
      <c r="G2" s="43"/>
      <c r="H2" s="43"/>
    </row>
    <row r="3" spans="1:8" ht="15" customHeight="1">
      <c r="A3" s="44">
        <f>IF('Members Data'!B3="Traveler",'Members Data'!A3,0)</f>
        <v>0</v>
      </c>
      <c r="B3" s="39">
        <f t="shared" ref="B3:B66" si="0">IF(A3=0,0,C3+D3)</f>
        <v>0</v>
      </c>
      <c r="C3" s="129">
        <f>IF(A3=0,0,'wk1'!I11+'wk2'!I11+'wk3'!I11+'wk4'!I11+'wk5'!I11)</f>
        <v>0</v>
      </c>
      <c r="D3" s="125">
        <f>IF(A3=0,0,'wk1'!J11+'wk2'!J11+'wk3'!J11+'wk4'!J11+'wk5'!J11)</f>
        <v>0</v>
      </c>
      <c r="E3" s="46">
        <f>IF(A3=0,0,'wk1'!K11+'wk2'!K11+'wk3'!K11+'wk4'!K11+'wk5'!K11)</f>
        <v>0</v>
      </c>
      <c r="F3" s="131"/>
      <c r="G3" s="43"/>
      <c r="H3" s="43"/>
    </row>
    <row r="4" spans="1:8" ht="15" customHeight="1">
      <c r="A4" s="44">
        <f>IF('Members Data'!B4="Traveler",'Members Data'!A4,0)</f>
        <v>0</v>
      </c>
      <c r="B4" s="39">
        <f t="shared" si="0"/>
        <v>0</v>
      </c>
      <c r="C4" s="129">
        <f>IF(A4=0,0,'wk1'!I12+'wk2'!I12+'wk3'!I12+'wk4'!I12+'wk5'!I12)</f>
        <v>0</v>
      </c>
      <c r="D4" s="125">
        <f>IF(A4=0,0,'wk1'!J12+'wk2'!J12+'wk3'!J12+'wk4'!J12+'wk5'!J12)</f>
        <v>0</v>
      </c>
      <c r="E4" s="46">
        <f>IF(A4=0,0,'wk1'!K12+'wk2'!K12+'wk3'!K12+'wk4'!K12+'wk5'!K12)</f>
        <v>0</v>
      </c>
      <c r="F4" s="131"/>
      <c r="G4" s="43"/>
      <c r="H4" s="43"/>
    </row>
    <row r="5" spans="1:8" ht="15" hidden="1" customHeight="1">
      <c r="A5" s="44">
        <f>IF('Members Data'!B5="Traveler",'Members Data'!A5,0)</f>
        <v>0</v>
      </c>
      <c r="B5" s="39">
        <f t="shared" si="0"/>
        <v>0</v>
      </c>
      <c r="C5" s="129">
        <f>IF(A5=0,0,'wk1'!I13+'wk2'!I13+'wk3'!I13+'wk4'!I13+'wk5'!I13)</f>
        <v>0</v>
      </c>
      <c r="D5" s="125">
        <f>IF(A5=0,0,'wk1'!J13+'wk2'!J13+'wk3'!J13+'wk4'!J13+'wk5'!J13)</f>
        <v>0</v>
      </c>
      <c r="E5" s="46">
        <f>IF(A5=0,0,'wk1'!K13+'wk2'!K13+'wk3'!K13+'wk4'!K13+'wk5'!K13)</f>
        <v>0</v>
      </c>
      <c r="F5" s="132"/>
      <c r="G5" s="43"/>
      <c r="H5" s="43"/>
    </row>
    <row r="6" spans="1:8" ht="15" customHeight="1">
      <c r="A6" s="44" t="str">
        <f>IF('Members Data'!B6="Traveler",'Members Data'!A6,0)</f>
        <v>Amaras</v>
      </c>
      <c r="B6" s="39">
        <f t="shared" si="0"/>
        <v>0</v>
      </c>
      <c r="C6" s="129">
        <f>IF(A6=0,0,'wk1'!I14+'wk2'!I14+'wk3'!I14+'wk4'!I14+'wk5'!I14)</f>
        <v>0</v>
      </c>
      <c r="D6" s="125">
        <f>IF(A6=0,0,'wk1'!J14+'wk2'!J14+'wk3'!J14+'wk4'!J14+'wk5'!J14)</f>
        <v>0</v>
      </c>
      <c r="E6" s="46">
        <f>IF(A6=0,0,'wk1'!K14+'wk2'!K14+'wk3'!K14+'wk4'!K14+'wk5'!K14)</f>
        <v>0</v>
      </c>
      <c r="F6" s="132"/>
      <c r="G6" s="43"/>
      <c r="H6" s="43"/>
    </row>
    <row r="7" spans="1:8" ht="15" hidden="1" customHeight="1">
      <c r="A7" s="44">
        <f>IF('Members Data'!B7="Traveler",'Members Data'!A7,0)</f>
        <v>0</v>
      </c>
      <c r="B7" s="39">
        <f t="shared" si="0"/>
        <v>0</v>
      </c>
      <c r="C7" s="129">
        <f>IF(A7=0,0,'wk1'!I15+'wk2'!I15+'wk3'!I15+'wk4'!I15+'wk5'!I15)</f>
        <v>0</v>
      </c>
      <c r="D7" s="125">
        <f>IF(A7=0,0,'wk1'!J15+'wk2'!J15+'wk3'!J15+'wk4'!J15+'wk5'!J15)</f>
        <v>0</v>
      </c>
      <c r="E7" s="46">
        <f>IF(A7=0,0,'wk1'!K15+'wk2'!K15+'wk3'!K15+'wk4'!K15+'wk5'!K15)</f>
        <v>0</v>
      </c>
      <c r="F7" s="132"/>
      <c r="G7" s="43"/>
      <c r="H7" s="43"/>
    </row>
    <row r="8" spans="1:8" ht="15" hidden="1" customHeight="1">
      <c r="A8" s="44">
        <f>IF('Members Data'!B8="Traveler",'Members Data'!A8,0)</f>
        <v>0</v>
      </c>
      <c r="B8" s="39">
        <f t="shared" si="0"/>
        <v>0</v>
      </c>
      <c r="C8" s="129">
        <f>IF(A8=0,0,'wk1'!I16+'wk2'!I16+'wk3'!I16+'wk4'!I16+'wk5'!I16)</f>
        <v>0</v>
      </c>
      <c r="D8" s="125">
        <f>IF(A8=0,0,'wk1'!J16+'wk2'!J16+'wk3'!J16+'wk4'!J16+'wk5'!J16)</f>
        <v>0</v>
      </c>
      <c r="E8" s="46">
        <f>IF(A8=0,0,'wk1'!K16+'wk2'!K16+'wk3'!K16+'wk4'!K16+'wk5'!K16)</f>
        <v>0</v>
      </c>
      <c r="F8" s="132"/>
      <c r="G8" s="43"/>
      <c r="H8" s="43"/>
    </row>
    <row r="9" spans="1:8" ht="15" customHeight="1">
      <c r="A9" s="44">
        <f>IF('Members Data'!B9="Traveler",'Members Data'!A9,0)</f>
        <v>0</v>
      </c>
      <c r="B9" s="39">
        <f t="shared" si="0"/>
        <v>0</v>
      </c>
      <c r="C9" s="129">
        <f>IF(A9=0,0,'wk1'!I17+'wk2'!I17+'wk3'!I17+'wk4'!I17+'wk5'!I17)</f>
        <v>0</v>
      </c>
      <c r="D9" s="125">
        <f>IF(A9=0,0,'wk1'!J17+'wk2'!J17+'wk3'!J17+'wk4'!J17+'wk5'!J17)</f>
        <v>0</v>
      </c>
      <c r="E9" s="46">
        <f>IF(A9=0,0,'wk1'!K17+'wk2'!K17+'wk3'!K17+'wk4'!K17+'wk5'!K17)</f>
        <v>0</v>
      </c>
      <c r="F9" s="132"/>
      <c r="G9" s="43"/>
      <c r="H9" s="43"/>
    </row>
    <row r="10" spans="1:8" ht="15" customHeight="1">
      <c r="A10" s="44" t="str">
        <f>IF('Members Data'!B10="Traveler",'Members Data'!A10,0)</f>
        <v>Avane</v>
      </c>
      <c r="B10" s="39">
        <f t="shared" si="0"/>
        <v>0</v>
      </c>
      <c r="C10" s="129">
        <f>IF(A10=0,0,'wk1'!I18+'wk2'!I18+'wk3'!I18+'wk4'!I18+'wk5'!I18)</f>
        <v>0</v>
      </c>
      <c r="D10" s="125">
        <f>IF(A10=0,0,'wk1'!J18+'wk2'!J18+'wk3'!J18+'wk4'!J18+'wk5'!J18)</f>
        <v>0</v>
      </c>
      <c r="E10" s="46">
        <f>IF(A10=0,0,'wk1'!K18+'wk2'!K18+'wk3'!K18+'wk4'!K18+'wk5'!K18)</f>
        <v>0</v>
      </c>
      <c r="F10" s="132"/>
      <c r="G10" s="43"/>
      <c r="H10" s="43"/>
    </row>
    <row r="11" spans="1:8" ht="15" customHeight="1">
      <c r="A11" s="44" t="str">
        <f>IF('Members Data'!B11="Traveler",'Members Data'!A11,0)</f>
        <v>Beargrels</v>
      </c>
      <c r="B11" s="39">
        <f t="shared" si="0"/>
        <v>0</v>
      </c>
      <c r="C11" s="129">
        <f>IF(A11=0,0,'wk1'!I19+'wk2'!I19+'wk3'!I19+'wk4'!I19+'wk5'!I19)</f>
        <v>0</v>
      </c>
      <c r="D11" s="125">
        <f>IF(A11=0,0,'wk1'!J19+'wk2'!J19+'wk3'!J19+'wk4'!J19+'wk5'!J19)</f>
        <v>0</v>
      </c>
      <c r="E11" s="46">
        <f>IF(A11=0,0,'wk1'!K19+'wk2'!K19+'wk3'!K19+'wk4'!K19+'wk5'!K19)</f>
        <v>0</v>
      </c>
      <c r="F11" s="132"/>
      <c r="G11" s="43"/>
      <c r="H11" s="43"/>
    </row>
    <row r="12" spans="1:8" ht="15" hidden="1" customHeight="1">
      <c r="A12" s="44">
        <f>IF('Members Data'!B12="Traveler",'Members Data'!A12,0)</f>
        <v>0</v>
      </c>
      <c r="B12" s="39">
        <f t="shared" si="0"/>
        <v>0</v>
      </c>
      <c r="C12" s="129">
        <f>IF(A12=0,0,'wk1'!I20+'wk2'!I20+'wk3'!I20+'wk4'!I20+'wk5'!I20)</f>
        <v>0</v>
      </c>
      <c r="D12" s="125">
        <f>IF(A12=0,0,'wk1'!J20+'wk2'!J20+'wk3'!J20+'wk4'!J20+'wk5'!J20)</f>
        <v>0</v>
      </c>
      <c r="E12" s="46">
        <f>IF(A12=0,0,'wk1'!K20+'wk2'!K20+'wk3'!K20+'wk4'!K20+'wk5'!K20)</f>
        <v>0</v>
      </c>
      <c r="F12" s="132"/>
      <c r="G12" s="43"/>
      <c r="H12" s="43"/>
    </row>
    <row r="13" spans="1:8" ht="15" customHeight="1">
      <c r="A13" s="44">
        <f>IF('Members Data'!B13="Traveler",'Members Data'!A13,0)</f>
        <v>0</v>
      </c>
      <c r="B13" s="39">
        <f t="shared" si="0"/>
        <v>0</v>
      </c>
      <c r="C13" s="129">
        <f>IF(A13=0,0,'wk1'!I21+'wk2'!I21+'wk3'!I21+'wk4'!I21+'wk5'!I21)</f>
        <v>0</v>
      </c>
      <c r="D13" s="125">
        <f>IF(A13=0,0,'wk1'!J21+'wk2'!J21+'wk3'!J21+'wk4'!J21+'wk5'!J21)</f>
        <v>0</v>
      </c>
      <c r="E13" s="46">
        <f>IF(A13=0,0,'wk1'!K21+'wk2'!K21+'wk3'!K21+'wk4'!K21+'wk5'!K21)</f>
        <v>0</v>
      </c>
      <c r="F13" s="132"/>
      <c r="G13" s="43"/>
      <c r="H13" s="43"/>
    </row>
    <row r="14" spans="1:8" ht="15" customHeight="1">
      <c r="A14" s="44">
        <f>IF('Members Data'!B14="Traveler",'Members Data'!A14,0)</f>
        <v>0</v>
      </c>
      <c r="B14" s="39">
        <f t="shared" si="0"/>
        <v>0</v>
      </c>
      <c r="C14" s="129">
        <f>IF(A14=0,0,'wk1'!I22+'wk2'!I22+'wk3'!I22+'wk4'!I22+'wk5'!I22)</f>
        <v>0</v>
      </c>
      <c r="D14" s="125">
        <f>IF(A14=0,0,'wk1'!J22+'wk2'!J22+'wk3'!J22+'wk4'!J22+'wk5'!J22)</f>
        <v>0</v>
      </c>
      <c r="E14" s="46">
        <f>IF(A14=0,0,'wk1'!K22+'wk2'!K22+'wk3'!K22+'wk4'!K22+'wk5'!K22)</f>
        <v>0</v>
      </c>
      <c r="F14" s="132"/>
      <c r="G14" s="43"/>
      <c r="H14" s="43"/>
    </row>
    <row r="15" spans="1:8" ht="15" hidden="1" customHeight="1">
      <c r="A15" s="44">
        <f>IF('Members Data'!B15="Traveler",'Members Data'!A15,0)</f>
        <v>0</v>
      </c>
      <c r="B15" s="39">
        <f t="shared" si="0"/>
        <v>0</v>
      </c>
      <c r="C15" s="129">
        <f>IF(A15=0,0,'wk1'!I23+'wk2'!I23+'wk3'!I23+'wk4'!I23+'wk5'!I23)</f>
        <v>0</v>
      </c>
      <c r="D15" s="125">
        <f>IF(A15=0,0,'wk1'!J23+'wk2'!J23+'wk3'!J23+'wk4'!J23+'wk5'!J23)</f>
        <v>0</v>
      </c>
      <c r="E15" s="46">
        <f>IF(A15=0,0,'wk1'!K23+'wk2'!K23+'wk3'!K23+'wk4'!K23+'wk5'!K23)</f>
        <v>0</v>
      </c>
      <c r="F15" s="132"/>
      <c r="G15" s="43"/>
      <c r="H15" s="43"/>
    </row>
    <row r="16" spans="1:8" ht="15" hidden="1" customHeight="1">
      <c r="A16" s="44" t="str">
        <f>IF('Members Data'!B16="Traveler",'Members Data'!A16,0)</f>
        <v>Masher</v>
      </c>
      <c r="B16" s="39">
        <f t="shared" si="0"/>
        <v>0</v>
      </c>
      <c r="C16" s="129">
        <f>IF(A16=0,0,'wk1'!I24+'wk2'!I24+'wk3'!I24+'wk4'!I24+'wk5'!I24)</f>
        <v>0</v>
      </c>
      <c r="D16" s="125">
        <f>IF(A16=0,0,'wk1'!J24+'wk2'!J24+'wk3'!J24+'wk4'!J24+'wk5'!J24)</f>
        <v>0</v>
      </c>
      <c r="E16" s="46">
        <f>IF(A16=0,0,'wk1'!K24+'wk2'!K24+'wk3'!K24+'wk4'!K24+'wk5'!K24)</f>
        <v>0</v>
      </c>
      <c r="F16" s="132"/>
      <c r="G16" s="43"/>
      <c r="H16" s="43"/>
    </row>
    <row r="17" spans="1:8" ht="15" customHeight="1">
      <c r="A17" s="44">
        <f>IF('Members Data'!B17="Traveler",'Members Data'!A17,0)</f>
        <v>0</v>
      </c>
      <c r="B17" s="39">
        <f t="shared" si="0"/>
        <v>0</v>
      </c>
      <c r="C17" s="129">
        <f>IF(A17=0,0,'wk1'!I25+'wk2'!I25+'wk3'!I25+'wk4'!I25+'wk5'!I25)</f>
        <v>0</v>
      </c>
      <c r="D17" s="125">
        <f>IF(A17=0,0,'wk1'!J25+'wk2'!J25+'wk3'!J25+'wk4'!J25+'wk5'!J25)</f>
        <v>0</v>
      </c>
      <c r="E17" s="46">
        <f>IF(A17=0,0,'wk1'!K25+'wk2'!K25+'wk3'!K25+'wk4'!K25+'wk5'!K25)</f>
        <v>0</v>
      </c>
      <c r="F17" s="132"/>
      <c r="G17" s="43"/>
      <c r="H17" s="43"/>
    </row>
    <row r="18" spans="1:8" ht="15" customHeight="1">
      <c r="A18" s="44" t="str">
        <f>IF('Members Data'!B18="Traveler",'Members Data'!A18,0)</f>
        <v>Dracoar</v>
      </c>
      <c r="B18" s="39">
        <f t="shared" si="0"/>
        <v>0</v>
      </c>
      <c r="C18" s="129">
        <f>IF(A18=0,0,'wk1'!I26+'wk2'!I26+'wk3'!I26+'wk4'!I26+'wk5'!I26)</f>
        <v>0</v>
      </c>
      <c r="D18" s="125">
        <f>IF(A18=0,0,'wk1'!J26+'wk2'!J26+'wk3'!J26+'wk4'!J26+'wk5'!J26)</f>
        <v>0</v>
      </c>
      <c r="E18" s="46">
        <f>IF(A18=0,0,'wk1'!K26+'wk2'!K26+'wk3'!K26+'wk4'!K26+'wk5'!K26)</f>
        <v>0</v>
      </c>
      <c r="F18" s="132"/>
      <c r="G18" s="43"/>
      <c r="H18" s="43"/>
    </row>
    <row r="19" spans="1:8" ht="15" hidden="1" customHeight="1">
      <c r="A19" s="44">
        <f>IF('Members Data'!B19="Traveler",'Members Data'!A19,0)</f>
        <v>0</v>
      </c>
      <c r="B19" s="39">
        <f t="shared" si="0"/>
        <v>0</v>
      </c>
      <c r="C19" s="129">
        <f>IF(A19=0,0,'wk1'!I27+'wk2'!I27+'wk3'!I27+'wk4'!I27+'wk5'!I27)</f>
        <v>0</v>
      </c>
      <c r="D19" s="125">
        <f>IF(A19=0,0,'wk1'!J27+'wk2'!J27+'wk3'!J27+'wk4'!J27+'wk5'!J27)</f>
        <v>0</v>
      </c>
      <c r="E19" s="46">
        <f>IF(A19=0,0,'wk1'!K27+'wk2'!K27+'wk3'!K27+'wk4'!K27+'wk5'!K27)</f>
        <v>0</v>
      </c>
      <c r="F19" s="132"/>
      <c r="G19" s="43"/>
      <c r="H19" s="43"/>
    </row>
    <row r="20" spans="1:8" ht="15" customHeight="1">
      <c r="A20" s="44">
        <f>IF('Members Data'!B20="Traveler",'Members Data'!A20,0)</f>
        <v>0</v>
      </c>
      <c r="B20" s="39">
        <f t="shared" si="0"/>
        <v>0</v>
      </c>
      <c r="C20" s="129">
        <f>IF(A20=0,0,'wk1'!I28+'wk2'!I28+'wk3'!I28+'wk4'!I28+'wk5'!I28)</f>
        <v>0</v>
      </c>
      <c r="D20" s="125">
        <f>IF(A20=0,0,'wk1'!J28+'wk2'!J28+'wk3'!J28+'wk4'!J28+'wk5'!J28)</f>
        <v>0</v>
      </c>
      <c r="E20" s="46">
        <f>IF(A20=0,0,'wk1'!K28+'wk2'!K28+'wk3'!K28+'wk4'!K28+'wk5'!K28)</f>
        <v>0</v>
      </c>
      <c r="F20" s="132"/>
      <c r="G20" s="43"/>
      <c r="H20" s="43"/>
    </row>
    <row r="21" spans="1:8" ht="15" customHeight="1">
      <c r="A21" s="44">
        <f>IF('Members Data'!B21="Traveler",'Members Data'!A21,0)</f>
        <v>0</v>
      </c>
      <c r="B21" s="39">
        <f t="shared" si="0"/>
        <v>0</v>
      </c>
      <c r="C21" s="129">
        <f>IF(A21=0,0,'wk1'!I29+'wk2'!I29+'wk3'!I29+'wk4'!I29+'wk5'!I29)</f>
        <v>0</v>
      </c>
      <c r="D21" s="125">
        <f>IF(A21=0,0,'wk1'!J29+'wk2'!J29+'wk3'!J29+'wk4'!J29+'wk5'!J29)</f>
        <v>0</v>
      </c>
      <c r="E21" s="46">
        <f>IF(A21=0,0,'wk1'!K29+'wk2'!K29+'wk3'!K29+'wk4'!K29+'wk5'!K29)</f>
        <v>0</v>
      </c>
      <c r="F21" s="132"/>
      <c r="G21" s="43"/>
      <c r="H21" s="43"/>
    </row>
    <row r="22" spans="1:8" ht="15" customHeight="1">
      <c r="A22" s="44">
        <f>IF('Members Data'!B22="Traveler",'Members Data'!A22,0)</f>
        <v>0</v>
      </c>
      <c r="B22" s="39">
        <f t="shared" si="0"/>
        <v>0</v>
      </c>
      <c r="C22" s="129">
        <f>IF(A22=0,0,'wk1'!I30+'wk2'!I30+'wk3'!I30+'wk4'!I30+'wk5'!I30)</f>
        <v>0</v>
      </c>
      <c r="D22" s="125">
        <f>IF(A22=0,0,'wk1'!J30+'wk2'!J30+'wk3'!J30+'wk4'!J30+'wk5'!J30)</f>
        <v>0</v>
      </c>
      <c r="E22" s="46">
        <f>IF(A22=0,0,'wk1'!K30+'wk2'!K30+'wk3'!K30+'wk4'!K30+'wk5'!K30)</f>
        <v>0</v>
      </c>
      <c r="F22" s="132"/>
      <c r="G22" s="43"/>
      <c r="H22" s="43"/>
    </row>
    <row r="23" spans="1:8" ht="15" hidden="1" customHeight="1">
      <c r="A23" s="44">
        <f>IF('Members Data'!B23="Traveler",'Members Data'!A23,0)</f>
        <v>0</v>
      </c>
      <c r="B23" s="39">
        <f t="shared" si="0"/>
        <v>0</v>
      </c>
      <c r="C23" s="129">
        <f>IF(A23=0,0,'wk1'!I31+'wk2'!I31+'wk3'!I31+'wk4'!I31+'wk5'!I31)</f>
        <v>0</v>
      </c>
      <c r="D23" s="125">
        <f>IF(A23=0,0,'wk1'!J31+'wk2'!J31+'wk3'!J31+'wk4'!J31+'wk5'!J31)</f>
        <v>0</v>
      </c>
      <c r="E23" s="46">
        <f>IF(A23=0,0,'wk1'!K31+'wk2'!K31+'wk3'!K31+'wk4'!K31+'wk5'!K31)</f>
        <v>0</v>
      </c>
      <c r="F23" s="132"/>
      <c r="G23" s="43"/>
      <c r="H23" s="43"/>
    </row>
    <row r="24" spans="1:8" ht="15" hidden="1" customHeight="1">
      <c r="A24" s="44">
        <f>IF('Members Data'!B24="Traveler",'Members Data'!A24,0)</f>
        <v>0</v>
      </c>
      <c r="B24" s="39">
        <f t="shared" si="0"/>
        <v>0</v>
      </c>
      <c r="C24" s="129">
        <f>IF(A24=0,0,'wk1'!I32+'wk2'!I32+'wk3'!I32+'wk4'!I32+'wk5'!I32)</f>
        <v>0</v>
      </c>
      <c r="D24" s="125">
        <f>IF(A24=0,0,'wk1'!J32+'wk2'!J32+'wk3'!J32+'wk4'!J32+'wk5'!J32)</f>
        <v>0</v>
      </c>
      <c r="E24" s="46">
        <f>IF(A24=0,0,'wk1'!K32+'wk2'!K32+'wk3'!K32+'wk4'!K32+'wk5'!K32)</f>
        <v>0</v>
      </c>
      <c r="F24" s="132"/>
      <c r="G24" s="43"/>
      <c r="H24" s="43"/>
    </row>
    <row r="25" spans="1:8" ht="15" customHeight="1">
      <c r="A25" s="44">
        <f>IF('Members Data'!B25="Traveler",'Members Data'!A25,0)</f>
        <v>0</v>
      </c>
      <c r="B25" s="39">
        <f t="shared" si="0"/>
        <v>0</v>
      </c>
      <c r="C25" s="129">
        <f>IF(A25=0,0,'wk1'!I33+'wk2'!I33+'wk3'!I33+'wk4'!I33+'wk5'!I33)</f>
        <v>0</v>
      </c>
      <c r="D25" s="125">
        <f>IF(A25=0,0,'wk1'!J33+'wk2'!J33+'wk3'!J33+'wk4'!J33+'wk5'!J33)</f>
        <v>0</v>
      </c>
      <c r="E25" s="46">
        <f>IF(A25=0,0,'wk1'!K33+'wk2'!K33+'wk3'!K33+'wk4'!K33+'wk5'!K33)</f>
        <v>0</v>
      </c>
      <c r="F25" s="132"/>
      <c r="G25" s="43"/>
      <c r="H25" s="43"/>
    </row>
    <row r="26" spans="1:8" ht="15" customHeight="1">
      <c r="A26" s="44">
        <f>IF('Members Data'!B26="Traveler",'Members Data'!A26,0)</f>
        <v>0</v>
      </c>
      <c r="B26" s="39">
        <f t="shared" si="0"/>
        <v>0</v>
      </c>
      <c r="C26" s="129">
        <f>IF(A26=0,0,'wk1'!I34+'wk2'!I34+'wk3'!I34+'wk4'!I34+'wk5'!I34)</f>
        <v>0</v>
      </c>
      <c r="D26" s="125">
        <f>IF(A26=0,0,'wk1'!J34+'wk2'!J34+'wk3'!J34+'wk4'!J34+'wk5'!J34)</f>
        <v>0</v>
      </c>
      <c r="E26" s="46">
        <f>IF(A26=0,0,'wk1'!K34+'wk2'!K34+'wk3'!K34+'wk4'!K34+'wk5'!K34)</f>
        <v>0</v>
      </c>
      <c r="F26" s="132"/>
      <c r="G26" s="43"/>
      <c r="H26" s="43"/>
    </row>
    <row r="27" spans="1:8" ht="15" hidden="1" customHeight="1">
      <c r="A27" s="44">
        <f>IF('Members Data'!B27="Traveler",'Members Data'!A27,0)</f>
        <v>0</v>
      </c>
      <c r="B27" s="39">
        <f t="shared" si="0"/>
        <v>0</v>
      </c>
      <c r="C27" s="129">
        <f>IF(A27=0,0,'wk1'!I35+'wk2'!I35+'wk3'!I35+'wk4'!I35+'wk5'!I35)</f>
        <v>0</v>
      </c>
      <c r="D27" s="125">
        <f>IF(A27=0,0,'wk1'!J35+'wk2'!J35+'wk3'!J35+'wk4'!J35+'wk5'!J35)</f>
        <v>0</v>
      </c>
      <c r="E27" s="46">
        <f>IF(A27=0,0,'wk1'!K35+'wk2'!K35+'wk3'!K35+'wk4'!K35+'wk5'!K35)</f>
        <v>0</v>
      </c>
      <c r="F27" s="132"/>
      <c r="G27" s="43"/>
      <c r="H27" s="43"/>
    </row>
    <row r="28" spans="1:8" ht="15" hidden="1" customHeight="1">
      <c r="A28" s="44">
        <f>IF('Members Data'!B28="Traveler",'Members Data'!A28,0)</f>
        <v>0</v>
      </c>
      <c r="B28" s="39">
        <f t="shared" si="0"/>
        <v>0</v>
      </c>
      <c r="C28" s="129">
        <f>IF(A28=0,0,'wk1'!I36+'wk2'!I36+'wk3'!I36+'wk4'!I36+'wk5'!I36)</f>
        <v>0</v>
      </c>
      <c r="D28" s="125">
        <f>IF(A28=0,0,'wk1'!J36+'wk2'!J36+'wk3'!J36+'wk4'!J36+'wk5'!J36)</f>
        <v>0</v>
      </c>
      <c r="E28" s="46">
        <f>IF(A28=0,0,'wk1'!K36+'wk2'!K36+'wk3'!K36+'wk4'!K36+'wk5'!K36)</f>
        <v>0</v>
      </c>
      <c r="F28" s="132"/>
      <c r="G28" s="43"/>
      <c r="H28" s="43"/>
    </row>
    <row r="29" spans="1:8" ht="15" hidden="1" customHeight="1">
      <c r="A29" s="44">
        <f>IF('Members Data'!B29="Traveler",'Members Data'!A29,0)</f>
        <v>0</v>
      </c>
      <c r="B29" s="39">
        <f t="shared" si="0"/>
        <v>0</v>
      </c>
      <c r="C29" s="129">
        <f>IF(A29=0,0,'wk1'!I37+'wk2'!I37+'wk3'!I37+'wk4'!I37+'wk5'!I37)</f>
        <v>0</v>
      </c>
      <c r="D29" s="125">
        <f>IF(A29=0,0,'wk1'!J37+'wk2'!J37+'wk3'!J37+'wk4'!J37+'wk5'!J37)</f>
        <v>0</v>
      </c>
      <c r="E29" s="46">
        <f>IF(A29=0,0,'wk1'!K37+'wk2'!K37+'wk3'!K37+'wk4'!K37+'wk5'!K37)</f>
        <v>0</v>
      </c>
      <c r="F29" s="132"/>
      <c r="G29" s="43"/>
      <c r="H29" s="43"/>
    </row>
    <row r="30" spans="1:8" ht="15" customHeight="1">
      <c r="A30" s="44">
        <f>IF('Members Data'!B30="Traveler",'Members Data'!A30,0)</f>
        <v>0</v>
      </c>
      <c r="B30" s="39">
        <f t="shared" si="0"/>
        <v>0</v>
      </c>
      <c r="C30" s="129">
        <f>IF(A30=0,0,'wk1'!I38+'wk2'!I38+'wk3'!I38+'wk4'!I38+'wk5'!I38)</f>
        <v>0</v>
      </c>
      <c r="D30" s="125">
        <f>IF(A30=0,0,'wk1'!J38+'wk2'!J38+'wk3'!J38+'wk4'!J38+'wk5'!J38)</f>
        <v>0</v>
      </c>
      <c r="E30" s="46">
        <f>IF(A30=0,0,'wk1'!K38+'wk2'!K38+'wk3'!K38+'wk4'!K38+'wk5'!K38)</f>
        <v>0</v>
      </c>
      <c r="F30" s="132"/>
      <c r="G30" s="43"/>
      <c r="H30" s="43"/>
    </row>
    <row r="31" spans="1:8" ht="15" hidden="1" customHeight="1">
      <c r="A31" s="44">
        <f>IF('Members Data'!B31="Traveler",'Members Data'!A31,0)</f>
        <v>0</v>
      </c>
      <c r="B31" s="39">
        <f t="shared" si="0"/>
        <v>0</v>
      </c>
      <c r="C31" s="129">
        <f>IF(A31=0,0,'wk1'!I39+'wk2'!I39+'wk3'!I39+'wk4'!I39+'wk5'!I39)</f>
        <v>0</v>
      </c>
      <c r="D31" s="125">
        <f>IF(A31=0,0,'wk1'!J39+'wk2'!J39+'wk3'!J39+'wk4'!J39+'wk5'!J39)</f>
        <v>0</v>
      </c>
      <c r="E31" s="46">
        <f>IF(A31=0,0,'wk1'!K39+'wk2'!K39+'wk3'!K39+'wk4'!K39+'wk5'!K39)</f>
        <v>0</v>
      </c>
      <c r="F31" s="132"/>
      <c r="G31" s="43"/>
      <c r="H31" s="43"/>
    </row>
    <row r="32" spans="1:8" ht="15" hidden="1" customHeight="1">
      <c r="A32" s="44">
        <f>IF('Members Data'!B32="Traveler",'Members Data'!A32,0)</f>
        <v>0</v>
      </c>
      <c r="B32" s="39">
        <f t="shared" si="0"/>
        <v>0</v>
      </c>
      <c r="C32" s="129">
        <f>IF(A32=0,0,'wk1'!I40+'wk2'!I40+'wk3'!I40+'wk4'!I40+'wk5'!I40)</f>
        <v>0</v>
      </c>
      <c r="D32" s="125">
        <f>IF(A32=0,0,'wk1'!J40+'wk2'!J40+'wk3'!J40+'wk4'!J40+'wk5'!J40)</f>
        <v>0</v>
      </c>
      <c r="E32" s="46">
        <f>IF(A32=0,0,'wk1'!K40+'wk2'!K40+'wk3'!K40+'wk4'!K40+'wk5'!K40)</f>
        <v>0</v>
      </c>
      <c r="F32" s="132"/>
      <c r="G32" s="43"/>
      <c r="H32" s="43"/>
    </row>
    <row r="33" spans="1:8" ht="15" customHeight="1">
      <c r="A33" s="44">
        <f>IF('Members Data'!B33="Traveler",'Members Data'!A33,0)</f>
        <v>0</v>
      </c>
      <c r="B33" s="39">
        <f t="shared" si="0"/>
        <v>0</v>
      </c>
      <c r="C33" s="129">
        <f>IF(A33=0,0,'wk1'!I41+'wk2'!I41+'wk3'!I41+'wk4'!I41+'wk5'!I41)</f>
        <v>0</v>
      </c>
      <c r="D33" s="125">
        <f>IF(A33=0,0,'wk1'!J41+'wk2'!J41+'wk3'!J41+'wk4'!J41+'wk5'!J41)</f>
        <v>0</v>
      </c>
      <c r="E33" s="46">
        <f>IF(A33=0,0,'wk1'!K41+'wk2'!K41+'wk3'!K41+'wk4'!K41+'wk5'!K41)</f>
        <v>0</v>
      </c>
      <c r="F33" s="132"/>
      <c r="G33" s="43"/>
      <c r="H33" s="43"/>
    </row>
    <row r="34" spans="1:8" ht="15" hidden="1" customHeight="1">
      <c r="A34" s="44">
        <f>IF('Members Data'!B34="Traveler",'Members Data'!A34,0)</f>
        <v>0</v>
      </c>
      <c r="B34" s="39">
        <f t="shared" si="0"/>
        <v>0</v>
      </c>
      <c r="C34" s="129">
        <f>IF(A34=0,0,'wk1'!I42+'wk2'!I42+'wk3'!I42+'wk4'!I42+'wk5'!I42)</f>
        <v>0</v>
      </c>
      <c r="D34" s="125">
        <f>IF(A34=0,0,'wk1'!J42+'wk2'!J42+'wk3'!J42+'wk4'!J42+'wk5'!J42)</f>
        <v>0</v>
      </c>
      <c r="E34" s="46">
        <f>IF(A34=0,0,'wk1'!K42+'wk2'!K42+'wk3'!K42+'wk4'!K42+'wk5'!K42)</f>
        <v>0</v>
      </c>
      <c r="F34" s="132"/>
      <c r="G34" s="43"/>
      <c r="H34" s="43"/>
    </row>
    <row r="35" spans="1:8" ht="15" customHeight="1">
      <c r="A35" s="44">
        <f>IF('Members Data'!B35="Traveler",'Members Data'!A35,0)</f>
        <v>0</v>
      </c>
      <c r="B35" s="39">
        <f t="shared" si="0"/>
        <v>0</v>
      </c>
      <c r="C35" s="129">
        <f>IF(A35=0,0,'wk1'!I43+'wk2'!I43+'wk3'!I43+'wk4'!I43+'wk5'!I43)</f>
        <v>0</v>
      </c>
      <c r="D35" s="125">
        <f>IF(A35=0,0,'wk1'!J43+'wk2'!J43+'wk3'!J43+'wk4'!J43+'wk5'!J43)</f>
        <v>0</v>
      </c>
      <c r="E35" s="46">
        <f>IF(A35=0,0,'wk1'!K43+'wk2'!K43+'wk3'!K43+'wk4'!K43+'wk5'!K43)</f>
        <v>0</v>
      </c>
      <c r="F35" s="132"/>
      <c r="G35" s="43"/>
      <c r="H35" s="43"/>
    </row>
    <row r="36" spans="1:8" ht="15" hidden="1" customHeight="1">
      <c r="A36" s="44">
        <f>IF('Members Data'!B36="Traveler",'Members Data'!A36,0)</f>
        <v>0</v>
      </c>
      <c r="B36" s="39">
        <f t="shared" si="0"/>
        <v>0</v>
      </c>
      <c r="C36" s="129">
        <f>IF(A36=0,0,'wk1'!I44+'wk2'!I44+'wk3'!I44+'wk4'!I44+'wk5'!I44)</f>
        <v>0</v>
      </c>
      <c r="D36" s="125">
        <f>IF(A36=0,0,'wk1'!J44+'wk2'!J44+'wk3'!J44+'wk4'!J44+'wk5'!J44)</f>
        <v>0</v>
      </c>
      <c r="E36" s="46">
        <f>IF(A36=0,0,'wk1'!K44+'wk2'!K44+'wk3'!K44+'wk4'!K44+'wk5'!K44)</f>
        <v>0</v>
      </c>
      <c r="F36" s="132"/>
      <c r="G36" s="43"/>
      <c r="H36" s="43"/>
    </row>
    <row r="37" spans="1:8" ht="15" hidden="1" customHeight="1">
      <c r="A37" s="44">
        <f>IF('Members Data'!B37="Traveler",'Members Data'!A37,0)</f>
        <v>0</v>
      </c>
      <c r="B37" s="39">
        <f t="shared" si="0"/>
        <v>0</v>
      </c>
      <c r="C37" s="129">
        <f>IF(A37=0,0,'wk1'!I45+'wk2'!I45+'wk3'!I45+'wk4'!I45+'wk5'!I45)</f>
        <v>0</v>
      </c>
      <c r="D37" s="125">
        <f>IF(A37=0,0,'wk1'!J45+'wk2'!J45+'wk3'!J45+'wk4'!J45+'wk5'!J45)</f>
        <v>0</v>
      </c>
      <c r="E37" s="46">
        <f>IF(A37=0,0,'wk1'!K45+'wk2'!K45+'wk3'!K45+'wk4'!K45+'wk5'!K45)</f>
        <v>0</v>
      </c>
      <c r="F37" s="132"/>
      <c r="G37" s="43"/>
      <c r="H37" s="43"/>
    </row>
    <row r="38" spans="1:8" ht="15" hidden="1" customHeight="1">
      <c r="A38" s="44">
        <f>IF('Members Data'!B38="Traveler",'Members Data'!A38,0)</f>
        <v>0</v>
      </c>
      <c r="B38" s="39">
        <f t="shared" si="0"/>
        <v>0</v>
      </c>
      <c r="C38" s="129">
        <f>IF(A38=0,0,'wk1'!I46+'wk2'!I46+'wk3'!I46+'wk4'!I46+'wk5'!I46)</f>
        <v>0</v>
      </c>
      <c r="D38" s="125">
        <f>IF(A38=0,0,'wk1'!J46+'wk2'!J46+'wk3'!J46+'wk4'!J46+'wk5'!J46)</f>
        <v>0</v>
      </c>
      <c r="E38" s="46">
        <f>IF(A38=0,0,'wk1'!K46+'wk2'!K46+'wk3'!K46+'wk4'!K46+'wk5'!K46)</f>
        <v>0</v>
      </c>
      <c r="F38" s="132"/>
      <c r="G38" s="43"/>
      <c r="H38" s="43"/>
    </row>
    <row r="39" spans="1:8" ht="15" hidden="1" customHeight="1">
      <c r="A39" s="44">
        <f>IF('Members Data'!B39="Traveler",'Members Data'!A39,0)</f>
        <v>0</v>
      </c>
      <c r="B39" s="39">
        <f t="shared" si="0"/>
        <v>0</v>
      </c>
      <c r="C39" s="129">
        <f>IF(A39=0,0,'wk1'!I47+'wk2'!I47+'wk3'!I47+'wk4'!I47+'wk5'!I47)</f>
        <v>0</v>
      </c>
      <c r="D39" s="125">
        <f>IF(A39=0,0,'wk1'!J47+'wk2'!J47+'wk3'!J47+'wk4'!J47+'wk5'!J47)</f>
        <v>0</v>
      </c>
      <c r="E39" s="46">
        <f>IF(A39=0,0,'wk1'!K47+'wk2'!K47+'wk3'!K47+'wk4'!K47+'wk5'!K47)</f>
        <v>0</v>
      </c>
      <c r="F39" s="132"/>
      <c r="G39" s="43"/>
      <c r="H39" s="43"/>
    </row>
    <row r="40" spans="1:8" ht="15" customHeight="1">
      <c r="A40" s="44">
        <f>IF('Members Data'!B40="Traveler",'Members Data'!A40,0)</f>
        <v>0</v>
      </c>
      <c r="B40" s="39">
        <f t="shared" si="0"/>
        <v>0</v>
      </c>
      <c r="C40" s="129">
        <f>IF(A40=0,0,'wk1'!I48+'wk2'!I48+'wk3'!I48+'wk4'!I48+'wk5'!I48)</f>
        <v>0</v>
      </c>
      <c r="D40" s="125">
        <f>IF(A40=0,0,'wk1'!J48+'wk2'!J48+'wk3'!J48+'wk4'!J48+'wk5'!J48)</f>
        <v>0</v>
      </c>
      <c r="E40" s="46">
        <f>IF(A40=0,0,'wk1'!K48+'wk2'!K48+'wk3'!K48+'wk4'!K48+'wk5'!K48)</f>
        <v>0</v>
      </c>
      <c r="F40" s="132"/>
      <c r="G40" s="43"/>
      <c r="H40" s="43"/>
    </row>
    <row r="41" spans="1:8" ht="15" customHeight="1">
      <c r="A41" s="44">
        <f>IF('Members Data'!B41="Traveler",'Members Data'!A41,0)</f>
        <v>0</v>
      </c>
      <c r="B41" s="39">
        <f t="shared" si="0"/>
        <v>0</v>
      </c>
      <c r="C41" s="129">
        <f>IF(A41=0,0,'wk1'!I49+'wk2'!I49+'wk3'!I49+'wk4'!I49+'wk5'!I49)</f>
        <v>0</v>
      </c>
      <c r="D41" s="125">
        <f>IF(A41=0,0,'wk1'!J49+'wk2'!J49+'wk3'!J49+'wk4'!J49+'wk5'!J49)</f>
        <v>0</v>
      </c>
      <c r="E41" s="46">
        <f>IF(A41=0,0,'wk1'!K49+'wk2'!K49+'wk3'!K49+'wk4'!K49+'wk5'!K49)</f>
        <v>0</v>
      </c>
      <c r="F41" s="132"/>
      <c r="G41" s="43"/>
      <c r="H41" s="43"/>
    </row>
    <row r="42" spans="1:8" ht="15" customHeight="1">
      <c r="A42" s="44">
        <f>IF('Members Data'!B42="Traveler",'Members Data'!A42,0)</f>
        <v>0</v>
      </c>
      <c r="B42" s="39">
        <f t="shared" si="0"/>
        <v>0</v>
      </c>
      <c r="C42" s="129">
        <f>IF(A42=0,0,'wk1'!I50+'wk2'!I50+'wk3'!I50+'wk4'!I50+'wk5'!I50)</f>
        <v>0</v>
      </c>
      <c r="D42" s="125">
        <f>IF(A42=0,0,'wk1'!J50+'wk2'!J50+'wk3'!J50+'wk4'!J50+'wk5'!J50)</f>
        <v>0</v>
      </c>
      <c r="E42" s="46">
        <f>IF(A42=0,0,'wk1'!K50+'wk2'!K50+'wk3'!K50+'wk4'!K50+'wk5'!K50)</f>
        <v>0</v>
      </c>
      <c r="F42" s="132"/>
      <c r="G42" s="43"/>
      <c r="H42" s="43"/>
    </row>
    <row r="43" spans="1:8" ht="15" hidden="1" customHeight="1">
      <c r="A43" s="44">
        <f>IF('Members Data'!B43="Traveler",'Members Data'!A43,0)</f>
        <v>0</v>
      </c>
      <c r="B43" s="39">
        <f t="shared" si="0"/>
        <v>0</v>
      </c>
      <c r="C43" s="129">
        <f>IF(A43=0,0,'wk1'!I51+'wk2'!I51+'wk3'!I51+'wk4'!I51+'wk5'!I51)</f>
        <v>0</v>
      </c>
      <c r="D43" s="125">
        <f>IF(A43=0,0,'wk1'!J51+'wk2'!J51+'wk3'!J51+'wk4'!J51+'wk5'!J51)</f>
        <v>0</v>
      </c>
      <c r="E43" s="46">
        <f>IF(A43=0,0,'wk1'!K51+'wk2'!K51+'wk3'!K51+'wk4'!K51+'wk5'!K51)</f>
        <v>0</v>
      </c>
      <c r="F43" s="132"/>
      <c r="G43" s="43"/>
      <c r="H43" s="43"/>
    </row>
    <row r="44" spans="1:8" ht="15" hidden="1" customHeight="1">
      <c r="A44" s="44">
        <f>IF('Members Data'!B44="Traveler",'Members Data'!A44,0)</f>
        <v>0</v>
      </c>
      <c r="B44" s="39">
        <f t="shared" si="0"/>
        <v>0</v>
      </c>
      <c r="C44" s="129">
        <f>IF(A44=0,0,'wk1'!I52+'wk2'!I52+'wk3'!I52+'wk4'!I52+'wk5'!I52)</f>
        <v>0</v>
      </c>
      <c r="D44" s="125">
        <f>IF(A44=0,0,'wk1'!J52+'wk2'!J52+'wk3'!J52+'wk4'!J52+'wk5'!J52)</f>
        <v>0</v>
      </c>
      <c r="E44" s="46">
        <f>IF(A44=0,0,'wk1'!K52+'wk2'!K52+'wk3'!K52+'wk4'!K52+'wk5'!K52)</f>
        <v>0</v>
      </c>
      <c r="F44" s="132"/>
      <c r="G44" s="43"/>
      <c r="H44" s="43"/>
    </row>
    <row r="45" spans="1:8" ht="15" customHeight="1">
      <c r="A45" s="44" t="str">
        <f>IF('Members Data'!B45="Traveler",'Members Data'!A45,0)</f>
        <v>Nazgol</v>
      </c>
      <c r="B45" s="39">
        <f t="shared" si="0"/>
        <v>0</v>
      </c>
      <c r="C45" s="129">
        <f>IF(A45=0,0,'wk1'!I53+'wk2'!I53+'wk3'!I53+'wk4'!I53+'wk5'!I53)</f>
        <v>0</v>
      </c>
      <c r="D45" s="125">
        <f>IF(A45=0,0,'wk1'!J53+'wk2'!J53+'wk3'!J53+'wk4'!J53+'wk5'!J53)</f>
        <v>0</v>
      </c>
      <c r="E45" s="46">
        <f>IF(A45=0,0,'wk1'!K53+'wk2'!K53+'wk3'!K53+'wk4'!K53+'wk5'!K53)</f>
        <v>0</v>
      </c>
      <c r="F45" s="132"/>
      <c r="G45" s="43"/>
      <c r="H45" s="43"/>
    </row>
    <row r="46" spans="1:8" ht="15" customHeight="1">
      <c r="A46" s="44">
        <f>IF('Members Data'!B46="Traveler",'Members Data'!A46,0)</f>
        <v>0</v>
      </c>
      <c r="B46" s="39">
        <f t="shared" si="0"/>
        <v>0</v>
      </c>
      <c r="C46" s="129">
        <f>IF(A46=0,0,'wk1'!I54+'wk2'!I54+'wk3'!I54+'wk4'!I54+'wk5'!I54)</f>
        <v>0</v>
      </c>
      <c r="D46" s="125">
        <f>IF(A46=0,0,'wk1'!J54+'wk2'!J54+'wk3'!J54+'wk4'!J54+'wk5'!J54)</f>
        <v>0</v>
      </c>
      <c r="E46" s="46">
        <f>IF(A46=0,0,'wk1'!K54+'wk2'!K54+'wk3'!K54+'wk4'!K54+'wk5'!K54)</f>
        <v>0</v>
      </c>
      <c r="F46" s="132"/>
      <c r="G46" s="43"/>
      <c r="H46" s="43"/>
    </row>
    <row r="47" spans="1:8" ht="15" customHeight="1">
      <c r="A47" s="44">
        <f>IF('Members Data'!B47="Traveler",'Members Data'!A47,0)</f>
        <v>0</v>
      </c>
      <c r="B47" s="39">
        <f t="shared" si="0"/>
        <v>0</v>
      </c>
      <c r="C47" s="129">
        <f>IF(A47=0,0,'wk1'!I55+'wk2'!I55+'wk3'!I55+'wk4'!I55+'wk5'!I55)</f>
        <v>0</v>
      </c>
      <c r="D47" s="125">
        <f>IF(A47=0,0,'wk1'!J55+'wk2'!J55+'wk3'!J55+'wk4'!J55+'wk5'!J55)</f>
        <v>0</v>
      </c>
      <c r="E47" s="46">
        <f>IF(A47=0,0,'wk1'!K55+'wk2'!K55+'wk3'!K55+'wk4'!K55+'wk5'!K55)</f>
        <v>0</v>
      </c>
      <c r="F47" s="132"/>
      <c r="G47" s="43"/>
      <c r="H47" s="43"/>
    </row>
    <row r="48" spans="1:8" ht="15" hidden="1" customHeight="1">
      <c r="A48" s="44">
        <f>IF('Members Data'!B48="Traveler",'Members Data'!A48,0)</f>
        <v>0</v>
      </c>
      <c r="B48" s="39">
        <f t="shared" si="0"/>
        <v>0</v>
      </c>
      <c r="C48" s="129">
        <f>IF(A48=0,0,'wk1'!I56+'wk2'!I56+'wk3'!I56+'wk4'!I56+'wk5'!I56)</f>
        <v>0</v>
      </c>
      <c r="D48" s="125">
        <f>IF(A48=0,0,'wk1'!J56+'wk2'!J56+'wk3'!J56+'wk4'!J56+'wk5'!J56)</f>
        <v>0</v>
      </c>
      <c r="E48" s="46">
        <f>IF(A48=0,0,'wk1'!K56+'wk2'!K56+'wk3'!K56+'wk4'!K56+'wk5'!K56)</f>
        <v>0</v>
      </c>
      <c r="F48" s="132"/>
      <c r="G48" s="43"/>
      <c r="H48" s="43"/>
    </row>
    <row r="49" spans="1:8" ht="15" hidden="1" customHeight="1">
      <c r="A49" s="44" t="str">
        <f>IF('Members Data'!B49="Traveler",'Members Data'!A49,0)</f>
        <v>Paolin</v>
      </c>
      <c r="B49" s="39">
        <f t="shared" si="0"/>
        <v>0</v>
      </c>
      <c r="C49" s="129">
        <f>IF(A49=0,0,'wk1'!I57+'wk2'!I57+'wk3'!I57+'wk4'!I57+'wk5'!I57)</f>
        <v>0</v>
      </c>
      <c r="D49" s="125">
        <f>IF(A49=0,0,'wk1'!J57+'wk2'!J57+'wk3'!J57+'wk4'!J57+'wk5'!J57)</f>
        <v>0</v>
      </c>
      <c r="E49" s="46">
        <f>IF(A49=0,0,'wk1'!K57+'wk2'!K57+'wk3'!K57+'wk4'!K57+'wk5'!K57)</f>
        <v>0</v>
      </c>
      <c r="F49" s="132"/>
      <c r="G49" s="43"/>
      <c r="H49" s="43"/>
    </row>
    <row r="50" spans="1:8" ht="15" hidden="1" customHeight="1">
      <c r="A50" s="44">
        <f>IF('Members Data'!B50="Traveler",'Members Data'!A50,0)</f>
        <v>0</v>
      </c>
      <c r="B50" s="39">
        <f t="shared" si="0"/>
        <v>0</v>
      </c>
      <c r="C50" s="129">
        <f>IF(A50=0,0,'wk1'!I58+'wk2'!I58+'wk3'!I58+'wk4'!I58+'wk5'!I58)</f>
        <v>0</v>
      </c>
      <c r="D50" s="125">
        <f>IF(A50=0,0,'wk1'!J58+'wk2'!J58+'wk3'!J58+'wk4'!J58+'wk5'!J58)</f>
        <v>0</v>
      </c>
      <c r="E50" s="46">
        <f>IF(A50=0,0,'wk1'!K58+'wk2'!K58+'wk3'!K58+'wk4'!K58+'wk5'!K58)</f>
        <v>0</v>
      </c>
      <c r="F50" s="132"/>
      <c r="G50" s="43"/>
      <c r="H50" s="43"/>
    </row>
    <row r="51" spans="1:8" ht="15" customHeight="1">
      <c r="A51" s="44">
        <f>IF('Members Data'!B51="Traveler",'Members Data'!A51,0)</f>
        <v>0</v>
      </c>
      <c r="B51" s="39">
        <f t="shared" si="0"/>
        <v>0</v>
      </c>
      <c r="C51" s="129">
        <f>IF(A51=0,0,'wk1'!I59+'wk2'!I59+'wk3'!I59+'wk4'!I59+'wk5'!I59)</f>
        <v>0</v>
      </c>
      <c r="D51" s="125">
        <f>IF(A51=0,0,'wk1'!J59+'wk2'!J59+'wk3'!J59+'wk4'!J59+'wk5'!J59)</f>
        <v>0</v>
      </c>
      <c r="E51" s="46">
        <f>IF(A51=0,0,'wk1'!K59+'wk2'!K59+'wk3'!K59+'wk4'!K59+'wk5'!K59)</f>
        <v>0</v>
      </c>
      <c r="F51" s="132"/>
      <c r="G51" s="43"/>
      <c r="H51" s="43"/>
    </row>
    <row r="52" spans="1:8" ht="15" hidden="1" customHeight="1">
      <c r="A52" s="44">
        <f>IF('Members Data'!B52="Traveler",'Members Data'!A52,0)</f>
        <v>0</v>
      </c>
      <c r="B52" s="39">
        <f t="shared" si="0"/>
        <v>0</v>
      </c>
      <c r="C52" s="129">
        <f>IF(A52=0,0,'wk1'!I60+'wk2'!I60+'wk3'!I60+'wk4'!I60+'wk5'!I60)</f>
        <v>0</v>
      </c>
      <c r="D52" s="125">
        <f>IF(A52=0,0,'wk1'!J60+'wk2'!J60+'wk3'!J60+'wk4'!J60+'wk5'!J60)</f>
        <v>0</v>
      </c>
      <c r="E52" s="46">
        <f>IF(A52=0,0,'wk1'!K60+'wk2'!K60+'wk3'!K60+'wk4'!K60+'wk5'!K60)</f>
        <v>0</v>
      </c>
      <c r="F52" s="132"/>
      <c r="G52" s="43"/>
      <c r="H52" s="43"/>
    </row>
    <row r="53" spans="1:8" ht="15" hidden="1" customHeight="1">
      <c r="A53" s="44">
        <f>IF('Members Data'!B53="Traveler",'Members Data'!A53,0)</f>
        <v>0</v>
      </c>
      <c r="B53" s="39">
        <f t="shared" si="0"/>
        <v>0</v>
      </c>
      <c r="C53" s="129">
        <f>IF(A53=0,0,'wk1'!I61+'wk2'!I61+'wk3'!I61+'wk4'!I61+'wk5'!I61)</f>
        <v>0</v>
      </c>
      <c r="D53" s="125">
        <f>IF(A53=0,0,'wk1'!J61+'wk2'!J61+'wk3'!J61+'wk4'!J61+'wk5'!J61)</f>
        <v>0</v>
      </c>
      <c r="E53" s="46">
        <f>IF(A53=0,0,'wk1'!K61+'wk2'!K61+'wk3'!K61+'wk4'!K61+'wk5'!K61)</f>
        <v>0</v>
      </c>
      <c r="F53" s="132"/>
      <c r="G53" s="43"/>
      <c r="H53" s="43"/>
    </row>
    <row r="54" spans="1:8" ht="15" customHeight="1">
      <c r="A54" s="44">
        <f>IF('Members Data'!B54="Traveler",'Members Data'!A54,0)</f>
        <v>0</v>
      </c>
      <c r="B54" s="39">
        <f t="shared" si="0"/>
        <v>0</v>
      </c>
      <c r="C54" s="129">
        <f>IF(A54=0,0,'wk1'!I62+'wk2'!I62+'wk3'!I62+'wk4'!I62+'wk5'!I62)</f>
        <v>0</v>
      </c>
      <c r="D54" s="125">
        <f>IF(A54=0,0,'wk1'!J62+'wk2'!J62+'wk3'!J62+'wk4'!J62+'wk5'!J62)</f>
        <v>0</v>
      </c>
      <c r="E54" s="46">
        <f>IF(A54=0,0,'wk1'!K62+'wk2'!K62+'wk3'!K62+'wk4'!K62+'wk5'!K62)</f>
        <v>0</v>
      </c>
      <c r="F54" s="132"/>
      <c r="G54" s="43"/>
      <c r="H54" s="43"/>
    </row>
    <row r="55" spans="1:8" ht="15" customHeight="1">
      <c r="A55" s="44">
        <f>IF('Members Data'!B55="Traveler",'Members Data'!A55,0)</f>
        <v>0</v>
      </c>
      <c r="B55" s="39">
        <f t="shared" si="0"/>
        <v>0</v>
      </c>
      <c r="C55" s="129">
        <f>IF(A55=0,0,'wk1'!I63+'wk2'!I63+'wk3'!I63+'wk4'!I63+'wk5'!I63)</f>
        <v>0</v>
      </c>
      <c r="D55" s="125">
        <f>IF(A55=0,0,'wk1'!J63+'wk2'!J63+'wk3'!J63+'wk4'!J63+'wk5'!J63)</f>
        <v>0</v>
      </c>
      <c r="E55" s="46">
        <f>IF(A55=0,0,'wk1'!K63+'wk2'!K63+'wk3'!K63+'wk4'!K63+'wk5'!K63)</f>
        <v>0</v>
      </c>
      <c r="F55" s="132"/>
      <c r="G55" s="43"/>
      <c r="H55" s="43"/>
    </row>
    <row r="56" spans="1:8" ht="15" hidden="1" customHeight="1">
      <c r="A56" s="44">
        <f>IF('Members Data'!B56="Traveler",'Members Data'!A56,0)</f>
        <v>0</v>
      </c>
      <c r="B56" s="39">
        <f t="shared" si="0"/>
        <v>0</v>
      </c>
      <c r="C56" s="129">
        <f>IF(A56=0,0,'wk1'!I64+'wk2'!I64+'wk3'!I64+'wk4'!I64+'wk5'!I64)</f>
        <v>0</v>
      </c>
      <c r="D56" s="125">
        <f>IF(A56=0,0,'wk1'!J64+'wk2'!J64+'wk3'!J64+'wk4'!J64+'wk5'!J64)</f>
        <v>0</v>
      </c>
      <c r="E56" s="46">
        <f>IF(A56=0,0,'wk1'!K64+'wk2'!K64+'wk3'!K64+'wk4'!K64+'wk5'!K64)</f>
        <v>0</v>
      </c>
      <c r="F56" s="132"/>
      <c r="G56" s="43"/>
      <c r="H56" s="43"/>
    </row>
    <row r="57" spans="1:8" ht="15" customHeight="1">
      <c r="A57" s="44">
        <f>IF('Members Data'!B57="Traveler",'Members Data'!A57,0)</f>
        <v>0</v>
      </c>
      <c r="B57" s="39">
        <f t="shared" si="0"/>
        <v>0</v>
      </c>
      <c r="C57" s="129">
        <f>IF(A57=0,0,'wk1'!I65+'wk2'!I65+'wk3'!I65+'wk4'!I65+'wk5'!I65)</f>
        <v>0</v>
      </c>
      <c r="D57" s="125">
        <f>IF(A57=0,0,'wk1'!J65+'wk2'!J65+'wk3'!J65+'wk4'!J65+'wk5'!J65)</f>
        <v>0</v>
      </c>
      <c r="E57" s="46">
        <f>IF(A57=0,0,'wk1'!K65+'wk2'!K65+'wk3'!K65+'wk4'!K65+'wk5'!K65)</f>
        <v>0</v>
      </c>
      <c r="F57" s="132"/>
      <c r="G57" s="43"/>
      <c r="H57" s="43"/>
    </row>
    <row r="58" spans="1:8" ht="15" hidden="1" customHeight="1">
      <c r="A58" s="44">
        <f>IF('Members Data'!B58="Traveler",'Members Data'!A58,0)</f>
        <v>0</v>
      </c>
      <c r="B58" s="39">
        <f t="shared" si="0"/>
        <v>0</v>
      </c>
      <c r="C58" s="129">
        <f>IF(A58=0,0,'wk1'!I66+'wk2'!I66+'wk3'!I66+'wk4'!I66+'wk5'!I66)</f>
        <v>0</v>
      </c>
      <c r="D58" s="125">
        <f>IF(A58=0,0,'wk1'!J66+'wk2'!J66+'wk3'!J66+'wk4'!J66+'wk5'!J66)</f>
        <v>0</v>
      </c>
      <c r="E58" s="46">
        <f>IF(A58=0,0,'wk1'!K66+'wk2'!K66+'wk3'!K66+'wk4'!K66+'wk5'!K66)</f>
        <v>0</v>
      </c>
      <c r="F58" s="132"/>
      <c r="G58" s="43"/>
      <c r="H58" s="43"/>
    </row>
    <row r="59" spans="1:8" ht="15" customHeight="1">
      <c r="A59" s="44">
        <f>IF('Members Data'!B59="Traveler",'Members Data'!A59,0)</f>
        <v>0</v>
      </c>
      <c r="B59" s="39">
        <f t="shared" si="0"/>
        <v>0</v>
      </c>
      <c r="C59" s="129">
        <f>IF(A59=0,0,'wk1'!I67+'wk2'!I67+'wk3'!I67+'wk4'!I67+'wk5'!I67)</f>
        <v>0</v>
      </c>
      <c r="D59" s="125">
        <f>IF(A59=0,0,'wk1'!J67+'wk2'!J67+'wk3'!J67+'wk4'!J67+'wk5'!J67)</f>
        <v>0</v>
      </c>
      <c r="E59" s="46">
        <f>IF(A59=0,0,'wk1'!K67+'wk2'!K67+'wk3'!K67+'wk4'!K67+'wk5'!K67)</f>
        <v>0</v>
      </c>
      <c r="F59" s="132"/>
      <c r="G59" s="43"/>
      <c r="H59" s="43"/>
    </row>
    <row r="60" spans="1:8" ht="15" hidden="1" customHeight="1">
      <c r="A60" s="44">
        <f>IF('Members Data'!B60="Traveler",'Members Data'!A60,0)</f>
        <v>0</v>
      </c>
      <c r="B60" s="39">
        <f t="shared" si="0"/>
        <v>0</v>
      </c>
      <c r="C60" s="129">
        <f>IF(A60=0,0,'wk1'!I68+'wk2'!I68+'wk3'!I68+'wk4'!I68+'wk5'!I68)</f>
        <v>0</v>
      </c>
      <c r="D60" s="125">
        <f>IF(A60=0,0,'wk1'!J68+'wk2'!J68+'wk3'!J68+'wk4'!J68+'wk5'!J68)</f>
        <v>0</v>
      </c>
      <c r="E60" s="46">
        <f>IF(A60=0,0,'wk1'!K68+'wk2'!K68+'wk3'!K68+'wk4'!K68+'wk5'!K68)</f>
        <v>0</v>
      </c>
      <c r="F60" s="132"/>
      <c r="G60" s="43"/>
      <c r="H60" s="43"/>
    </row>
    <row r="61" spans="1:8" ht="15" hidden="1" customHeight="1" thickBot="1">
      <c r="A61" s="136">
        <f>IF('Members Data'!B61="Traveler",'Members Data'!A61,0)</f>
        <v>0</v>
      </c>
      <c r="B61" s="137">
        <f t="shared" si="0"/>
        <v>0</v>
      </c>
      <c r="C61" s="139">
        <f>IF(A61=0,0,'wk1'!I69+'wk2'!I69+'wk3'!I69+'wk4'!I69+'wk5'!I69)</f>
        <v>0</v>
      </c>
      <c r="D61" s="140">
        <f>IF(A61=0,0,'wk1'!J69+'wk2'!J69+'wk3'!J69+'wk4'!J69+'wk5'!J69)</f>
        <v>0</v>
      </c>
      <c r="E61" s="140">
        <f>IF(A61=0,0,'wk1'!K69+'wk2'!K69+'wk3'!K69+'wk4'!K69+'wk5'!K69)</f>
        <v>0</v>
      </c>
      <c r="F61" s="138"/>
      <c r="G61" s="43"/>
      <c r="H61" s="43"/>
    </row>
    <row r="62" spans="1:8" ht="15" hidden="1" customHeight="1" thickTop="1">
      <c r="A62" s="44">
        <f>IF('Members Data'!B62="Traveler",'Members Data'!A62,0)</f>
        <v>0</v>
      </c>
      <c r="B62" s="45">
        <f t="shared" si="0"/>
        <v>0</v>
      </c>
      <c r="C62" s="135">
        <f>IF(A62=0,0,'wk1'!I70+'wk2'!I70+'wk3'!I70+'wk4'!I70+'wk5'!I70)</f>
        <v>0</v>
      </c>
      <c r="D62" s="46">
        <f>IF(A62=0,0,'wk1'!J70+'wk2'!J70+'wk3'!J70+'wk4'!J70+'wk5'!J70)</f>
        <v>0</v>
      </c>
      <c r="E62" s="212">
        <f>IF(A62=0,0,'wk1'!K70+'wk2'!K70+'wk3'!K70+'wk4'!K70+'wk5'!K70)</f>
        <v>0</v>
      </c>
      <c r="F62" s="132"/>
      <c r="G62" s="43"/>
      <c r="H62" s="43"/>
    </row>
    <row r="63" spans="1:8" ht="15" hidden="1" customHeight="1">
      <c r="A63" s="44">
        <f>IF('Members Data'!B63="Traveler",'Members Data'!A63,0)</f>
        <v>0</v>
      </c>
      <c r="B63" s="39">
        <f t="shared" si="0"/>
        <v>0</v>
      </c>
      <c r="C63" s="129">
        <f>IF(A63=0,0,'wk1'!I71+'wk2'!I71+'wk3'!I71+'wk4'!I71+'wk5'!I71)</f>
        <v>0</v>
      </c>
      <c r="D63" s="125">
        <f>IF(A63=0,0,'wk1'!J71+'wk2'!J71+'wk3'!J71+'wk4'!J71+'wk5'!J71)</f>
        <v>0</v>
      </c>
      <c r="E63" s="46">
        <f>IF(A63=0,0,'wk1'!K71+'wk2'!K71+'wk3'!K71+'wk4'!K71+'wk5'!K71)</f>
        <v>0</v>
      </c>
      <c r="F63" s="132"/>
      <c r="G63" s="43"/>
      <c r="H63" s="43"/>
    </row>
    <row r="64" spans="1:8" ht="15" customHeight="1">
      <c r="A64" s="44">
        <f>IF('Members Data'!B64="Traveler",'Members Data'!A64,0)</f>
        <v>0</v>
      </c>
      <c r="B64" s="39">
        <f t="shared" si="0"/>
        <v>0</v>
      </c>
      <c r="C64" s="129">
        <f>IF(A64=0,0,'wk1'!I72+'wk2'!I72+'wk3'!I72+'wk4'!I72+'wk5'!I72)</f>
        <v>0</v>
      </c>
      <c r="D64" s="125">
        <f>IF(A64=0,0,'wk1'!J72+'wk2'!J72+'wk3'!J72+'wk4'!J72+'wk5'!J72)</f>
        <v>0</v>
      </c>
      <c r="E64" s="46">
        <f>IF(A64=0,0,'wk1'!K72+'wk2'!K72+'wk3'!K72+'wk4'!K72+'wk5'!K72)</f>
        <v>0</v>
      </c>
      <c r="F64" s="132"/>
      <c r="G64" s="43"/>
      <c r="H64" s="43"/>
    </row>
    <row r="65" spans="1:8" ht="15" hidden="1" customHeight="1">
      <c r="A65" s="44" t="str">
        <f>IF('Members Data'!B65="Traveler",'Members Data'!A65,0)</f>
        <v>Tsali</v>
      </c>
      <c r="B65" s="39">
        <f t="shared" si="0"/>
        <v>0</v>
      </c>
      <c r="C65" s="129">
        <f>IF(A65=0,0,'wk1'!I73+'wk2'!I73+'wk3'!I73+'wk4'!I73+'wk5'!I73)</f>
        <v>0</v>
      </c>
      <c r="D65" s="125">
        <f>IF(A65=0,0,'wk1'!J73+'wk2'!J73+'wk3'!J73+'wk4'!J73+'wk5'!J73)</f>
        <v>0</v>
      </c>
      <c r="E65" s="46">
        <f>IF(A65=0,0,'wk1'!K73+'wk2'!K73+'wk3'!K73+'wk4'!K73+'wk5'!K73)</f>
        <v>0</v>
      </c>
      <c r="F65" s="132"/>
      <c r="G65" s="43"/>
      <c r="H65" s="43"/>
    </row>
    <row r="66" spans="1:8" ht="15" customHeight="1">
      <c r="A66" s="44">
        <f>IF('Members Data'!B66="Traveler",'Members Data'!A66,0)</f>
        <v>0</v>
      </c>
      <c r="B66" s="39">
        <f t="shared" si="0"/>
        <v>0</v>
      </c>
      <c r="C66" s="129">
        <f>IF(A66=0,0,'wk1'!I74+'wk2'!I74+'wk3'!I74+'wk4'!I74+'wk5'!I74)</f>
        <v>0</v>
      </c>
      <c r="D66" s="125">
        <f>IF(A66=0,0,'wk1'!J74+'wk2'!J74+'wk3'!J74+'wk4'!J74+'wk5'!J74)</f>
        <v>0</v>
      </c>
      <c r="E66" s="46">
        <f>IF(A66=0,0,'wk1'!K74+'wk2'!K74+'wk3'!K74+'wk4'!K74+'wk5'!K74)</f>
        <v>0</v>
      </c>
      <c r="F66" s="132"/>
      <c r="G66" s="43"/>
      <c r="H66" s="43"/>
    </row>
    <row r="67" spans="1:8" ht="15" hidden="1" customHeight="1">
      <c r="A67" s="44" t="str">
        <f>IF('Members Data'!B67="Traveler",'Members Data'!A67,0)</f>
        <v>Vereen</v>
      </c>
      <c r="B67" s="39">
        <f t="shared" ref="B67:B100" si="1">IF(A67=0,0,C67+D67)</f>
        <v>0</v>
      </c>
      <c r="C67" s="129">
        <f>IF(A67=0,0,'wk1'!I75+'wk2'!I75+'wk3'!I75+'wk4'!I75+'wk5'!I75)</f>
        <v>0</v>
      </c>
      <c r="D67" s="125">
        <f>IF(A67=0,0,'wk1'!J75+'wk2'!J75+'wk3'!J75+'wk4'!J75+'wk5'!J75)</f>
        <v>0</v>
      </c>
      <c r="E67" s="46">
        <f>IF(A67=0,0,'wk1'!K75+'wk2'!K75+'wk3'!K75+'wk4'!K75+'wk5'!K75)</f>
        <v>0</v>
      </c>
      <c r="F67" s="132"/>
      <c r="G67" s="43"/>
      <c r="H67" s="43"/>
    </row>
    <row r="68" spans="1:8" ht="15" customHeight="1" thickBot="1">
      <c r="A68" s="44">
        <f>IF('Members Data'!B68="Traveler",'Members Data'!A68,0)</f>
        <v>0</v>
      </c>
      <c r="B68" s="39">
        <f t="shared" si="1"/>
        <v>0</v>
      </c>
      <c r="C68" s="129">
        <f>IF(A68=0,0,'wk1'!I76+'wk2'!I76+'wk3'!I76+'wk4'!I76+'wk5'!I76)</f>
        <v>0</v>
      </c>
      <c r="D68" s="125">
        <f>IF(A68=0,0,'wk1'!J76+'wk2'!J76+'wk3'!J76+'wk4'!J76+'wk5'!J76)</f>
        <v>0</v>
      </c>
      <c r="E68" s="46">
        <f>IF(A68=0,0,'wk1'!K76+'wk2'!K76+'wk3'!K76+'wk4'!K76+'wk5'!K76)</f>
        <v>0</v>
      </c>
      <c r="F68" s="132"/>
      <c r="G68" s="43"/>
      <c r="H68" s="43"/>
    </row>
    <row r="69" spans="1:8" ht="15" hidden="1" customHeight="1">
      <c r="A69" s="44" t="str">
        <f>IF('Members Data'!B69="Traveler",'Members Data'!A69,0)</f>
        <v>Xian</v>
      </c>
      <c r="B69" s="39">
        <f t="shared" si="1"/>
        <v>0</v>
      </c>
      <c r="C69" s="129">
        <f>IF(A69=0,0,'wk1'!I77+'wk2'!I77+'wk3'!I77+'wk4'!I77+'wk5'!I77)</f>
        <v>0</v>
      </c>
      <c r="D69" s="125">
        <f>IF(A69=0,0,'wk1'!J77+'wk2'!J77+'wk3'!J77+'wk4'!J77+'wk5'!J77)</f>
        <v>0</v>
      </c>
      <c r="E69" s="46">
        <f>IF(A69=0,0,'wk1'!K77+'wk2'!K77+'wk3'!K77+'wk4'!K77+'wk5'!K77)</f>
        <v>0</v>
      </c>
      <c r="F69" s="132"/>
      <c r="G69" s="43"/>
      <c r="H69" s="43"/>
    </row>
    <row r="70" spans="1:8" ht="15" hidden="1" customHeight="1">
      <c r="A70" s="44">
        <f>IF('Members Data'!B70="Traveler",'Members Data'!A70,0)</f>
        <v>0</v>
      </c>
      <c r="B70" s="39">
        <f t="shared" si="1"/>
        <v>0</v>
      </c>
      <c r="C70" s="129">
        <f>IF(A70=0,0,'wk1'!I78+'wk2'!I78+'wk3'!I78+'wk4'!I78+'wk5'!I78)</f>
        <v>0</v>
      </c>
      <c r="D70" s="125">
        <f>IF(A70=0,0,'wk1'!J78+'wk2'!J78+'wk3'!J78+'wk4'!J78+'wk5'!J78)</f>
        <v>0</v>
      </c>
      <c r="E70" s="46">
        <f>IF(A70=0,0,'wk1'!K78+'wk2'!K78+'wk3'!K78+'wk4'!K78+'wk5'!K78)</f>
        <v>0</v>
      </c>
      <c r="F70" s="132"/>
      <c r="G70" s="43"/>
      <c r="H70" s="43"/>
    </row>
    <row r="71" spans="1:8" ht="15" hidden="1" customHeight="1">
      <c r="A71" s="44" t="str">
        <f>IF('Members Data'!B71="Traveler",'Members Data'!A71,0)</f>
        <v>Yardk</v>
      </c>
      <c r="B71" s="39">
        <f t="shared" si="1"/>
        <v>0</v>
      </c>
      <c r="C71" s="129">
        <f>IF(A71=0,0,'wk1'!I79+'wk2'!I79+'wk3'!I79+'wk4'!I79+'wk5'!I79)</f>
        <v>0</v>
      </c>
      <c r="D71" s="125">
        <f>IF(A71=0,0,'wk1'!J79+'wk2'!J79+'wk3'!J79+'wk4'!J79+'wk5'!J79)</f>
        <v>0</v>
      </c>
      <c r="E71" s="46">
        <f>IF(A71=0,0,'wk1'!K79+'wk2'!K79+'wk3'!K79+'wk4'!K79+'wk5'!K79)</f>
        <v>0</v>
      </c>
      <c r="F71" s="132"/>
      <c r="G71" s="43"/>
      <c r="H71" s="43"/>
    </row>
    <row r="72" spans="1:8" ht="15" hidden="1" customHeight="1">
      <c r="A72" s="44" t="str">
        <f>IF('Members Data'!B72="Traveler",'Members Data'!A72,0)</f>
        <v>Yse</v>
      </c>
      <c r="B72" s="39">
        <f t="shared" si="1"/>
        <v>0</v>
      </c>
      <c r="C72" s="129">
        <f>IF(A72=0,0,'wk1'!I80+'wk2'!I80+'wk3'!I80+'wk4'!I80+'wk5'!I80)</f>
        <v>0</v>
      </c>
      <c r="D72" s="125">
        <f>IF(A72=0,0,'wk1'!J80+'wk2'!J80+'wk3'!J80+'wk4'!J80+'wk5'!J80)</f>
        <v>0</v>
      </c>
      <c r="E72" s="46">
        <f>IF(A72=0,0,'wk1'!K80+'wk2'!K80+'wk3'!K80+'wk4'!K80+'wk5'!K80)</f>
        <v>0</v>
      </c>
      <c r="F72" s="132"/>
      <c r="G72" s="43"/>
      <c r="H72" s="43"/>
    </row>
    <row r="73" spans="1:8" ht="15" hidden="1" customHeight="1">
      <c r="A73" s="44">
        <f>IF('Members Data'!B73="Traveler",'Members Data'!A73,0)</f>
        <v>0</v>
      </c>
      <c r="B73" s="39">
        <f t="shared" si="1"/>
        <v>0</v>
      </c>
      <c r="C73" s="129">
        <f>IF(A73=0,0,'wk1'!I81+'wk2'!I81+'wk3'!I81+'wk4'!I81+'wk5'!I81)</f>
        <v>0</v>
      </c>
      <c r="D73" s="125">
        <f>IF(A73=0,0,'wk1'!J81+'wk2'!J81+'wk3'!J81+'wk4'!J81+'wk5'!J81)</f>
        <v>0</v>
      </c>
      <c r="E73" s="46">
        <f>IF(A73=0,0,'wk1'!K81+'wk2'!K81+'wk3'!K81+'wk4'!K81+'wk5'!K81)</f>
        <v>0</v>
      </c>
      <c r="F73" s="132"/>
      <c r="G73" s="43"/>
      <c r="H73" s="43"/>
    </row>
    <row r="74" spans="1:8" ht="15" hidden="1" customHeight="1">
      <c r="A74" s="44">
        <f>IF('Members Data'!B74="Traveler",'Members Data'!A74,0)</f>
        <v>0</v>
      </c>
      <c r="B74" s="39">
        <f t="shared" si="1"/>
        <v>0</v>
      </c>
      <c r="C74" s="129">
        <f>IF(A74=0,0,'wk1'!I82+'wk2'!I82+'wk3'!I82+'wk4'!I82+'wk5'!I82)</f>
        <v>0</v>
      </c>
      <c r="D74" s="125">
        <f>IF(A74=0,0,'wk1'!J82+'wk2'!J82+'wk3'!J82+'wk4'!J82+'wk5'!J82)</f>
        <v>0</v>
      </c>
      <c r="E74" s="46">
        <f>IF(A74=0,0,'wk1'!K82+'wk2'!K82+'wk3'!K82+'wk4'!K82+'wk5'!K82)</f>
        <v>0</v>
      </c>
      <c r="F74" s="132"/>
      <c r="G74" s="43"/>
      <c r="H74" s="43"/>
    </row>
    <row r="75" spans="1:8" ht="15" hidden="1" customHeight="1">
      <c r="A75" s="44">
        <f>IF('Members Data'!B75="Traveler",'Members Data'!A75,0)</f>
        <v>0</v>
      </c>
      <c r="B75" s="39">
        <f t="shared" si="1"/>
        <v>0</v>
      </c>
      <c r="C75" s="129">
        <f>IF(A75=0,0,'wk1'!I83+'wk2'!I83+'wk3'!I83+'wk4'!I83+'wk5'!I83)</f>
        <v>0</v>
      </c>
      <c r="D75" s="125">
        <f>IF(A75=0,0,'wk1'!J83+'wk2'!J83+'wk3'!J83+'wk4'!J83+'wk5'!J83)</f>
        <v>0</v>
      </c>
      <c r="E75" s="46">
        <f>IF(A75=0,0,'wk1'!K83+'wk2'!K83+'wk3'!K83+'wk4'!K83+'wk5'!K83)</f>
        <v>0</v>
      </c>
      <c r="F75" s="132"/>
      <c r="G75" s="43"/>
      <c r="H75" s="43"/>
    </row>
    <row r="76" spans="1:8" ht="15" hidden="1" customHeight="1">
      <c r="A76" s="44">
        <f>IF('Members Data'!B76="Traveler",'Members Data'!A76,0)</f>
        <v>0</v>
      </c>
      <c r="B76" s="39">
        <f t="shared" si="1"/>
        <v>0</v>
      </c>
      <c r="C76" s="129">
        <f>IF(A76=0,0,'wk1'!I84+'wk2'!I84+'wk3'!I84+'wk4'!I84+'wk5'!I84)</f>
        <v>0</v>
      </c>
      <c r="D76" s="125">
        <f>IF(A76=0,0,'wk1'!J84+'wk2'!J84+'wk3'!J84+'wk4'!J84+'wk5'!J84)</f>
        <v>0</v>
      </c>
      <c r="E76" s="46">
        <f>IF(A76=0,0,'wk1'!K84+'wk2'!K84+'wk3'!K84+'wk4'!K84+'wk5'!K84)</f>
        <v>0</v>
      </c>
      <c r="F76" s="132"/>
      <c r="G76" s="43"/>
      <c r="H76" s="43"/>
    </row>
    <row r="77" spans="1:8" ht="15" hidden="1" customHeight="1">
      <c r="A77" s="44">
        <f>IF('Members Data'!B77="Traveler",'Members Data'!A77,0)</f>
        <v>0</v>
      </c>
      <c r="B77" s="39">
        <f t="shared" si="1"/>
        <v>0</v>
      </c>
      <c r="C77" s="129">
        <f>IF(A77=0,0,'wk1'!I85+'wk2'!I85+'wk3'!I85+'wk4'!I85+'wk5'!I85)</f>
        <v>0</v>
      </c>
      <c r="D77" s="125">
        <f>IF(A77=0,0,'wk1'!J85+'wk2'!J85+'wk3'!J85+'wk4'!J85+'wk5'!J85)</f>
        <v>0</v>
      </c>
      <c r="E77" s="46">
        <f>IF(A77=0,0,'wk1'!K85+'wk2'!K85+'wk3'!K85+'wk4'!K85+'wk5'!K85)</f>
        <v>0</v>
      </c>
      <c r="F77" s="132"/>
      <c r="G77" s="43"/>
      <c r="H77" s="43"/>
    </row>
    <row r="78" spans="1:8" ht="15" hidden="1" customHeight="1">
      <c r="A78" s="44">
        <f>IF('Members Data'!B78="Traveler",'Members Data'!A78,0)</f>
        <v>0</v>
      </c>
      <c r="B78" s="39">
        <f t="shared" si="1"/>
        <v>0</v>
      </c>
      <c r="C78" s="129">
        <f>IF(A78=0,0,'wk1'!I86+'wk2'!I86+'wk3'!I86+'wk4'!I86+'wk5'!I86)</f>
        <v>0</v>
      </c>
      <c r="D78" s="125">
        <f>IF(A78=0,0,'wk1'!J86+'wk2'!J86+'wk3'!J86+'wk4'!J86+'wk5'!J86)</f>
        <v>0</v>
      </c>
      <c r="E78" s="46">
        <f>IF(A78=0,0,'wk1'!K86+'wk2'!K86+'wk3'!K86+'wk4'!K86+'wk5'!K86)</f>
        <v>0</v>
      </c>
      <c r="F78" s="132"/>
      <c r="G78" s="43"/>
      <c r="H78" s="43"/>
    </row>
    <row r="79" spans="1:8" ht="15" hidden="1" customHeight="1">
      <c r="A79" s="44">
        <f>IF('Members Data'!B79="Traveler",'Members Data'!A79,0)</f>
        <v>0</v>
      </c>
      <c r="B79" s="39">
        <f t="shared" si="1"/>
        <v>0</v>
      </c>
      <c r="C79" s="129">
        <f>IF(A79=0,0,'wk1'!I87+'wk2'!I87+'wk3'!I87+'wk4'!I87+'wk5'!I87)</f>
        <v>0</v>
      </c>
      <c r="D79" s="125">
        <f>IF(A79=0,0,'wk1'!J87+'wk2'!J87+'wk3'!J87+'wk4'!J87+'wk5'!J87)</f>
        <v>0</v>
      </c>
      <c r="E79" s="46">
        <f>IF(A79=0,0,'wk1'!K87+'wk2'!K87+'wk3'!K87+'wk4'!K87+'wk5'!K87)</f>
        <v>0</v>
      </c>
      <c r="F79" s="132"/>
      <c r="G79" s="43"/>
      <c r="H79" s="43"/>
    </row>
    <row r="80" spans="1:8" ht="15" hidden="1" customHeight="1">
      <c r="A80" s="44">
        <f>IF('Members Data'!B80="Traveler",'Members Data'!A80,0)</f>
        <v>0</v>
      </c>
      <c r="B80" s="39">
        <f t="shared" si="1"/>
        <v>0</v>
      </c>
      <c r="C80" s="129">
        <f>IF(A80=0,0,'wk1'!I88+'wk2'!I88+'wk3'!I88+'wk4'!I88+'wk5'!I88)</f>
        <v>0</v>
      </c>
      <c r="D80" s="125">
        <f>IF(A80=0,0,'wk1'!J88+'wk2'!J88+'wk3'!J88+'wk4'!J88+'wk5'!J88)</f>
        <v>0</v>
      </c>
      <c r="E80" s="46">
        <f>IF(A80=0,0,'wk1'!K88+'wk2'!K88+'wk3'!K88+'wk4'!K88+'wk5'!K88)</f>
        <v>0</v>
      </c>
      <c r="F80" s="132"/>
      <c r="G80" s="43"/>
      <c r="H80" s="43"/>
    </row>
    <row r="81" spans="1:8" ht="15" hidden="1" customHeight="1">
      <c r="A81" s="44">
        <f>IF('Members Data'!B81="Traveler",'Members Data'!A81,0)</f>
        <v>0</v>
      </c>
      <c r="B81" s="39">
        <f t="shared" si="1"/>
        <v>0</v>
      </c>
      <c r="C81" s="129">
        <f>IF(A81=0,0,'wk1'!I89+'wk2'!I89+'wk3'!I89+'wk4'!I89+'wk5'!I89)</f>
        <v>0</v>
      </c>
      <c r="D81" s="125">
        <f>IF(A81=0,0,'wk1'!J89+'wk2'!J89+'wk3'!J89+'wk4'!J89+'wk5'!J89)</f>
        <v>0</v>
      </c>
      <c r="E81" s="46">
        <f>IF(A81=0,0,'wk1'!K89+'wk2'!K89+'wk3'!K89+'wk4'!K89+'wk5'!K89)</f>
        <v>0</v>
      </c>
      <c r="F81" s="132"/>
      <c r="G81" s="43"/>
      <c r="H81" s="43"/>
    </row>
    <row r="82" spans="1:8" ht="15" hidden="1" customHeight="1">
      <c r="A82" s="44">
        <f>IF('Members Data'!B82="Traveler",'Members Data'!A82,0)</f>
        <v>0</v>
      </c>
      <c r="B82" s="39">
        <f t="shared" si="1"/>
        <v>0</v>
      </c>
      <c r="C82" s="129">
        <f>IF(A82=0,0,'wk1'!I90+'wk2'!I90+'wk3'!I90+'wk4'!I90+'wk5'!I90)</f>
        <v>0</v>
      </c>
      <c r="D82" s="125">
        <f>IF(A82=0,0,'wk1'!J90+'wk2'!J90+'wk3'!J90+'wk4'!J90+'wk5'!J90)</f>
        <v>0</v>
      </c>
      <c r="E82" s="46">
        <f>IF(A82=0,0,'wk1'!K90+'wk2'!K90+'wk3'!K90+'wk4'!K90+'wk5'!K90)</f>
        <v>0</v>
      </c>
      <c r="F82" s="132"/>
      <c r="G82" s="43"/>
      <c r="H82" s="43"/>
    </row>
    <row r="83" spans="1:8" ht="15" hidden="1" customHeight="1">
      <c r="A83" s="44">
        <f>IF('Members Data'!B83="Traveler",'Members Data'!A83,0)</f>
        <v>0</v>
      </c>
      <c r="B83" s="39">
        <f t="shared" si="1"/>
        <v>0</v>
      </c>
      <c r="C83" s="129">
        <f>IF(A83=0,0,'wk1'!I91+'wk2'!I91+'wk3'!I91+'wk4'!I91+'wk5'!I91)</f>
        <v>0</v>
      </c>
      <c r="D83" s="125">
        <f>IF(A83=0,0,'wk1'!J91+'wk2'!J91+'wk3'!J91+'wk4'!J91+'wk5'!J91)</f>
        <v>0</v>
      </c>
      <c r="E83" s="46">
        <f>IF(A83=0,0,'wk1'!K91+'wk2'!K91+'wk3'!K91+'wk4'!K91+'wk5'!K91)</f>
        <v>0</v>
      </c>
      <c r="F83" s="132"/>
      <c r="G83" s="43"/>
      <c r="H83" s="43"/>
    </row>
    <row r="84" spans="1:8" ht="15" hidden="1" customHeight="1">
      <c r="A84" s="44">
        <f>IF('Members Data'!B84="Traveler",'Members Data'!A84,0)</f>
        <v>0</v>
      </c>
      <c r="B84" s="39">
        <f t="shared" si="1"/>
        <v>0</v>
      </c>
      <c r="C84" s="129">
        <f>IF(A84=0,0,'wk1'!I92+'wk2'!I92+'wk3'!I92+'wk4'!I92+'wk5'!I92)</f>
        <v>0</v>
      </c>
      <c r="D84" s="125">
        <f>IF(A84=0,0,'wk1'!J92+'wk2'!J92+'wk3'!J92+'wk4'!J92+'wk5'!J92)</f>
        <v>0</v>
      </c>
      <c r="E84" s="46">
        <f>IF(A84=0,0,'wk1'!K92+'wk2'!K92+'wk3'!K92+'wk4'!K92+'wk5'!K92)</f>
        <v>0</v>
      </c>
      <c r="F84" s="132"/>
      <c r="G84" s="43"/>
      <c r="H84" s="43"/>
    </row>
    <row r="85" spans="1:8" ht="15" hidden="1" customHeight="1">
      <c r="A85" s="44">
        <f>IF('Members Data'!B85="Traveler",'Members Data'!A85,0)</f>
        <v>0</v>
      </c>
      <c r="B85" s="39">
        <f t="shared" si="1"/>
        <v>0</v>
      </c>
      <c r="C85" s="129">
        <f>IF(A85=0,0,'wk1'!I93+'wk2'!I93+'wk3'!I93+'wk4'!I93+'wk5'!I93)</f>
        <v>0</v>
      </c>
      <c r="D85" s="125">
        <f>IF(A85=0,0,'wk1'!J93+'wk2'!J93+'wk3'!J93+'wk4'!J93+'wk5'!J93)</f>
        <v>0</v>
      </c>
      <c r="E85" s="46">
        <f>IF(A85=0,0,'wk1'!K93+'wk2'!K93+'wk3'!K93+'wk4'!K93+'wk5'!K93)</f>
        <v>0</v>
      </c>
      <c r="F85" s="132"/>
      <c r="G85" s="43"/>
      <c r="H85" s="43"/>
    </row>
    <row r="86" spans="1:8" ht="15" hidden="1" customHeight="1">
      <c r="A86" s="44">
        <f>IF('Members Data'!B86="Traveler",'Members Data'!A86,0)</f>
        <v>0</v>
      </c>
      <c r="B86" s="39">
        <f t="shared" si="1"/>
        <v>0</v>
      </c>
      <c r="C86" s="129">
        <f>IF(A86=0,0,'wk1'!I94+'wk2'!I94+'wk3'!I94+'wk4'!I94+'wk5'!I94)</f>
        <v>0</v>
      </c>
      <c r="D86" s="125">
        <f>IF(A86=0,0,'wk1'!J94+'wk2'!J94+'wk3'!J94+'wk4'!J94+'wk5'!J94)</f>
        <v>0</v>
      </c>
      <c r="E86" s="46">
        <f>IF(A86=0,0,'wk1'!K94+'wk2'!K94+'wk3'!K94+'wk4'!K94+'wk5'!K94)</f>
        <v>0</v>
      </c>
      <c r="F86" s="132"/>
      <c r="G86" s="43"/>
      <c r="H86" s="43"/>
    </row>
    <row r="87" spans="1:8" ht="15" hidden="1" customHeight="1">
      <c r="A87" s="44">
        <f>IF('Members Data'!B87="Traveler",'Members Data'!A87,0)</f>
        <v>0</v>
      </c>
      <c r="B87" s="39">
        <f t="shared" si="1"/>
        <v>0</v>
      </c>
      <c r="C87" s="129">
        <f>IF(A87=0,0,'wk1'!I95+'wk2'!I95+'wk3'!I95+'wk4'!I95+'wk5'!I95)</f>
        <v>0</v>
      </c>
      <c r="D87" s="125">
        <f>IF(A87=0,0,'wk1'!J95+'wk2'!J95+'wk3'!J95+'wk4'!J95+'wk5'!J95)</f>
        <v>0</v>
      </c>
      <c r="E87" s="46">
        <f>IF(A87=0,0,'wk1'!K95+'wk2'!K95+'wk3'!K95+'wk4'!K95+'wk5'!K95)</f>
        <v>0</v>
      </c>
      <c r="F87" s="132"/>
      <c r="G87" s="43"/>
      <c r="H87" s="43"/>
    </row>
    <row r="88" spans="1:8" ht="15" hidden="1" customHeight="1">
      <c r="A88" s="44">
        <f>IF('Members Data'!B88="Traveler",'Members Data'!A88,0)</f>
        <v>0</v>
      </c>
      <c r="B88" s="39">
        <f t="shared" si="1"/>
        <v>0</v>
      </c>
      <c r="C88" s="129">
        <f>IF(A88=0,0,'wk1'!I96+'wk2'!I96+'wk3'!I96+'wk4'!I96+'wk5'!I96)</f>
        <v>0</v>
      </c>
      <c r="D88" s="125">
        <f>IF(A88=0,0,'wk1'!J96+'wk2'!J96+'wk3'!J96+'wk4'!J96+'wk5'!J96)</f>
        <v>0</v>
      </c>
      <c r="E88" s="46">
        <f>IF(A88=0,0,'wk1'!K96+'wk2'!K96+'wk3'!K96+'wk4'!K96+'wk5'!K96)</f>
        <v>0</v>
      </c>
      <c r="F88" s="132"/>
      <c r="G88" s="43"/>
      <c r="H88" s="43"/>
    </row>
    <row r="89" spans="1:8" ht="15" hidden="1" customHeight="1">
      <c r="A89" s="44">
        <f>IF('Members Data'!B89="Traveler",'Members Data'!A89,0)</f>
        <v>0</v>
      </c>
      <c r="B89" s="39">
        <f t="shared" si="1"/>
        <v>0</v>
      </c>
      <c r="C89" s="129">
        <f>IF(A89=0,0,'wk1'!I97+'wk2'!I97+'wk3'!I97+'wk4'!I97+'wk5'!I97)</f>
        <v>0</v>
      </c>
      <c r="D89" s="125">
        <f>IF(A89=0,0,'wk1'!J97+'wk2'!J97+'wk3'!J97+'wk4'!J97+'wk5'!J97)</f>
        <v>0</v>
      </c>
      <c r="E89" s="46">
        <f>IF(A89=0,0,'wk1'!K97+'wk2'!K97+'wk3'!K97+'wk4'!K97+'wk5'!K97)</f>
        <v>0</v>
      </c>
      <c r="F89" s="132"/>
      <c r="G89" s="43"/>
      <c r="H89" s="43"/>
    </row>
    <row r="90" spans="1:8" ht="15" hidden="1" customHeight="1">
      <c r="A90" s="44">
        <f>IF('Members Data'!B90="Traveler",'Members Data'!A90,0)</f>
        <v>0</v>
      </c>
      <c r="B90" s="39">
        <f t="shared" si="1"/>
        <v>0</v>
      </c>
      <c r="C90" s="129">
        <f>IF(A90=0,0,'wk1'!I98+'wk2'!I98+'wk3'!I98+'wk4'!I98+'wk5'!I98)</f>
        <v>0</v>
      </c>
      <c r="D90" s="125">
        <f>IF(A90=0,0,'wk1'!J98+'wk2'!J98+'wk3'!J98+'wk4'!J98+'wk5'!J98)</f>
        <v>0</v>
      </c>
      <c r="E90" s="46">
        <f>IF(A90=0,0,'wk1'!K98+'wk2'!K98+'wk3'!K98+'wk4'!K98+'wk5'!K98)</f>
        <v>0</v>
      </c>
      <c r="F90" s="132"/>
      <c r="G90" s="43"/>
      <c r="H90" s="43"/>
    </row>
    <row r="91" spans="1:8" ht="15" hidden="1" customHeight="1">
      <c r="A91" s="44">
        <f>IF('Members Data'!B91="Traveler",'Members Data'!A91,0)</f>
        <v>0</v>
      </c>
      <c r="B91" s="39">
        <f t="shared" si="1"/>
        <v>0</v>
      </c>
      <c r="C91" s="129">
        <f>IF(A91=0,0,'wk1'!I99+'wk2'!I99+'wk3'!I99+'wk4'!I99+'wk5'!I99)</f>
        <v>0</v>
      </c>
      <c r="D91" s="125">
        <f>IF(A91=0,0,'wk1'!J99+'wk2'!J99+'wk3'!J99+'wk4'!J99+'wk5'!J99)</f>
        <v>0</v>
      </c>
      <c r="E91" s="46">
        <f>IF(A91=0,0,'wk1'!K99+'wk2'!K99+'wk3'!K99+'wk4'!K99+'wk5'!K99)</f>
        <v>0</v>
      </c>
      <c r="F91" s="132"/>
      <c r="G91" s="43"/>
      <c r="H91" s="43"/>
    </row>
    <row r="92" spans="1:8" ht="15" hidden="1" customHeight="1">
      <c r="A92" s="44">
        <f>IF('Members Data'!B92="Traveler",'Members Data'!A92,0)</f>
        <v>0</v>
      </c>
      <c r="B92" s="39">
        <f t="shared" si="1"/>
        <v>0</v>
      </c>
      <c r="C92" s="129">
        <f>IF(A92=0,0,'wk1'!I100+'wk2'!I100+'wk3'!I100+'wk4'!I100+'wk5'!I100)</f>
        <v>0</v>
      </c>
      <c r="D92" s="125">
        <f>IF(A92=0,0,'wk1'!J100+'wk2'!J100+'wk3'!J100+'wk4'!J100+'wk5'!J100)</f>
        <v>0</v>
      </c>
      <c r="E92" s="46">
        <f>IF(A92=0,0,'wk1'!K100+'wk2'!K100+'wk3'!K100+'wk4'!K100+'wk5'!K100)</f>
        <v>0</v>
      </c>
      <c r="F92" s="132"/>
      <c r="G92" s="43"/>
      <c r="H92" s="43"/>
    </row>
    <row r="93" spans="1:8" ht="15" hidden="1" customHeight="1">
      <c r="A93" s="44">
        <f>IF('Members Data'!B93="Traveler",'Members Data'!A93,0)</f>
        <v>0</v>
      </c>
      <c r="B93" s="39">
        <f t="shared" si="1"/>
        <v>0</v>
      </c>
      <c r="C93" s="129">
        <f>IF(A93=0,0,'wk1'!I101+'wk2'!I101+'wk3'!I101+'wk4'!I101+'wk5'!I101)</f>
        <v>0</v>
      </c>
      <c r="D93" s="125">
        <f>IF(A93=0,0,'wk1'!J101+'wk2'!J101+'wk3'!J101+'wk4'!J101+'wk5'!J101)</f>
        <v>0</v>
      </c>
      <c r="E93" s="46">
        <f>IF(A93=0,0,'wk1'!K101+'wk2'!K101+'wk3'!K101+'wk4'!K101+'wk5'!K101)</f>
        <v>0</v>
      </c>
      <c r="F93" s="132"/>
      <c r="G93" s="43"/>
      <c r="H93" s="43"/>
    </row>
    <row r="94" spans="1:8" ht="15" hidden="1" customHeight="1">
      <c r="A94" s="44">
        <f>IF('Members Data'!B94="Traveler",'Members Data'!A94,0)</f>
        <v>0</v>
      </c>
      <c r="B94" s="39">
        <f t="shared" si="1"/>
        <v>0</v>
      </c>
      <c r="C94" s="129">
        <f>IF(A94=0,0,'wk1'!I102+'wk2'!I102+'wk3'!I102+'wk4'!I102+'wk5'!I102)</f>
        <v>0</v>
      </c>
      <c r="D94" s="125">
        <f>IF(A94=0,0,'wk1'!J102+'wk2'!J102+'wk3'!J102+'wk4'!J102+'wk5'!J102)</f>
        <v>0</v>
      </c>
      <c r="E94" s="46">
        <f>IF(A94=0,0,'wk1'!K102+'wk2'!K102+'wk3'!K102+'wk4'!K102+'wk5'!K102)</f>
        <v>0</v>
      </c>
      <c r="F94" s="132"/>
      <c r="G94" s="43"/>
      <c r="H94" s="43"/>
    </row>
    <row r="95" spans="1:8" ht="15" hidden="1" customHeight="1">
      <c r="A95" s="44">
        <f>IF('Members Data'!B95="Traveler",'Members Data'!A95,0)</f>
        <v>0</v>
      </c>
      <c r="B95" s="39">
        <f t="shared" si="1"/>
        <v>0</v>
      </c>
      <c r="C95" s="129">
        <f>IF(A95=0,0,'wk1'!I103+'wk2'!I103+'wk3'!I103+'wk4'!I103+'wk5'!I103)</f>
        <v>0</v>
      </c>
      <c r="D95" s="125">
        <f>IF(A95=0,0,'wk1'!J103+'wk2'!J103+'wk3'!J103+'wk4'!J103+'wk5'!J103)</f>
        <v>0</v>
      </c>
      <c r="E95" s="46">
        <f>IF(A95=0,0,'wk1'!K103+'wk2'!K103+'wk3'!K103+'wk4'!K103+'wk5'!K103)</f>
        <v>0</v>
      </c>
      <c r="F95" s="132"/>
      <c r="G95" s="43"/>
      <c r="H95" s="43"/>
    </row>
    <row r="96" spans="1:8" ht="15" hidden="1" customHeight="1">
      <c r="A96" s="44">
        <f>IF('Members Data'!B96="Traveler",'Members Data'!A96,0)</f>
        <v>0</v>
      </c>
      <c r="B96" s="39">
        <f t="shared" si="1"/>
        <v>0</v>
      </c>
      <c r="C96" s="129">
        <f>IF(A96=0,0,'wk1'!I104+'wk2'!I104+'wk3'!I104+'wk4'!I104+'wk5'!I104)</f>
        <v>0</v>
      </c>
      <c r="D96" s="125">
        <f>IF(A96=0,0,'wk1'!J104+'wk2'!J104+'wk3'!J104+'wk4'!J104+'wk5'!J104)</f>
        <v>0</v>
      </c>
      <c r="E96" s="46">
        <f>IF(A96=0,0,'wk1'!K104+'wk2'!K104+'wk3'!K104+'wk4'!K104+'wk5'!K104)</f>
        <v>0</v>
      </c>
      <c r="F96" s="132"/>
      <c r="G96" s="43"/>
      <c r="H96" s="43"/>
    </row>
    <row r="97" spans="1:8" ht="15" hidden="1" customHeight="1">
      <c r="A97" s="44">
        <f>IF('Members Data'!B97="Traveler",'Members Data'!A97,0)</f>
        <v>0</v>
      </c>
      <c r="B97" s="39">
        <f t="shared" si="1"/>
        <v>0</v>
      </c>
      <c r="C97" s="129">
        <f>IF(A97=0,0,'wk1'!I105+'wk2'!I105+'wk3'!I105+'wk4'!I105+'wk5'!I105)</f>
        <v>0</v>
      </c>
      <c r="D97" s="125">
        <f>IF(A97=0,0,'wk1'!J105+'wk2'!J105+'wk3'!J105+'wk4'!J105+'wk5'!J105)</f>
        <v>0</v>
      </c>
      <c r="E97" s="46">
        <f>IF(A97=0,0,'wk1'!K105+'wk2'!K105+'wk3'!K105+'wk4'!K105+'wk5'!K105)</f>
        <v>0</v>
      </c>
      <c r="F97" s="132"/>
      <c r="G97" s="43"/>
      <c r="H97" s="43"/>
    </row>
    <row r="98" spans="1:8" ht="15" hidden="1" customHeight="1">
      <c r="A98" s="44">
        <f>IF('Members Data'!B98="Traveler",'Members Data'!A98,0)</f>
        <v>0</v>
      </c>
      <c r="B98" s="39">
        <f t="shared" si="1"/>
        <v>0</v>
      </c>
      <c r="C98" s="129">
        <f>IF(A98=0,0,'wk1'!I106+'wk2'!I106+'wk3'!I106+'wk4'!I106+'wk5'!I106)</f>
        <v>0</v>
      </c>
      <c r="D98" s="125">
        <f>IF(A98=0,0,'wk1'!J106+'wk2'!J106+'wk3'!J106+'wk4'!J106+'wk5'!J106)</f>
        <v>0</v>
      </c>
      <c r="E98" s="46">
        <f>IF(A98=0,0,'wk1'!K106+'wk2'!K106+'wk3'!K106+'wk4'!K106+'wk5'!K106)</f>
        <v>0</v>
      </c>
      <c r="F98" s="132"/>
      <c r="G98" s="43"/>
      <c r="H98" s="43"/>
    </row>
    <row r="99" spans="1:8" ht="15" hidden="1" customHeight="1">
      <c r="A99" s="44">
        <f>IF('Members Data'!B99="Traveler",'Members Data'!A99,0)</f>
        <v>0</v>
      </c>
      <c r="B99" s="39">
        <f t="shared" si="1"/>
        <v>0</v>
      </c>
      <c r="C99" s="129">
        <f>IF(A99=0,0,'wk1'!I107+'wk2'!I107+'wk3'!I107+'wk4'!I107+'wk5'!I107)</f>
        <v>0</v>
      </c>
      <c r="D99" s="125">
        <f>IF(A99=0,0,'wk1'!J107+'wk2'!J107+'wk3'!J107+'wk4'!J107+'wk5'!J107)</f>
        <v>0</v>
      </c>
      <c r="E99" s="46">
        <f>IF(A99=0,0,'wk1'!K107+'wk2'!K107+'wk3'!K107+'wk4'!K107+'wk5'!K107)</f>
        <v>0</v>
      </c>
      <c r="F99" s="132"/>
      <c r="G99" s="43"/>
      <c r="H99" s="43"/>
    </row>
    <row r="100" spans="1:8" ht="15" hidden="1" customHeight="1" thickBot="1">
      <c r="A100" s="211">
        <f>IF('Members Data'!B100="Traveler",'Members Data'!A100,0)</f>
        <v>0</v>
      </c>
      <c r="B100" s="47">
        <f t="shared" si="1"/>
        <v>0</v>
      </c>
      <c r="C100" s="130">
        <f>IF(A100=0,0,'wk1'!I108+'wk2'!I108+'wk3'!I108+'wk4'!I108+'wk5'!I108)</f>
        <v>0</v>
      </c>
      <c r="D100" s="126">
        <f>IF(A100=0,0,'wk1'!J108+'wk2'!J108+'wk3'!J108+'wk4'!J108+'wk5'!J108)</f>
        <v>0</v>
      </c>
      <c r="E100" s="126">
        <f>IF(A100=0,0,'wk1'!K108+'wk2'!K108+'wk3'!K108+'wk4'!K108+'wk5'!K108)</f>
        <v>0</v>
      </c>
      <c r="F100" s="133"/>
      <c r="G100" s="43"/>
      <c r="H100" s="43"/>
    </row>
    <row r="101" spans="1:8" ht="15" customHeight="1" thickBot="1">
      <c r="A101" s="439"/>
      <c r="B101" s="440"/>
      <c r="C101" s="440"/>
      <c r="D101" s="440"/>
      <c r="E101" s="440"/>
      <c r="F101" s="441"/>
      <c r="G101" s="43"/>
      <c r="H101" s="43"/>
    </row>
    <row r="102" spans="1:8" ht="15" customHeight="1">
      <c r="C102" s="43"/>
      <c r="D102" s="43"/>
      <c r="F102" s="43"/>
      <c r="G102" s="43"/>
      <c r="H102" s="43"/>
    </row>
    <row r="103" spans="1:8" ht="15" customHeight="1">
      <c r="C103" s="43"/>
      <c r="D103" s="43"/>
      <c r="F103" s="43"/>
      <c r="G103" s="43"/>
      <c r="H103" s="43"/>
    </row>
  </sheetData>
  <autoFilter ref="A1:A103">
    <filterColumn colId="0">
      <filters blank="1">
        <filter val="Ablon"/>
        <filter val="Akilta"/>
        <filter val="Althonios"/>
        <filter val="Amaras"/>
        <filter val="Avane"/>
        <filter val="Axit"/>
        <filter val="Blackcheeta"/>
        <filter val="Bofe"/>
        <filter val="Brownale"/>
        <filter val="Craving"/>
        <filter val="Desor"/>
        <filter val="Dracoar"/>
        <filter val="Drakodin"/>
        <filter val="Drewie"/>
        <filter val="Firefoxy"/>
        <filter val="Garkosh"/>
        <filter val="Hemira"/>
        <filter val="Hyperïon"/>
        <filter val="Jimentoez"/>
        <filter val="Littlexan"/>
        <filter val="Madlips"/>
        <filter val="Madros"/>
        <filter val="Moonhoof"/>
        <filter val="Muckyfloor"/>
        <filter val="Nazgol"/>
        <filter val="Rcane"/>
        <filter val="Salti"/>
        <filter val="Sanaa"/>
        <filter val="Shikarey"/>
        <filter val="Snowies"/>
        <filter val="Tsali"/>
        <filter val="Whapap"/>
        <filter val="Yse"/>
      </filters>
    </filterColumn>
  </autoFilter>
  <conditionalFormatting sqref="A2:A100">
    <cfRule type="expression" dxfId="29" priority="7" stopIfTrue="1">
      <formula>IF(E2&gt;0,TRUE)</formula>
    </cfRule>
    <cfRule type="expression" dxfId="28" priority="8" stopIfTrue="1">
      <formula>IF(B2&gt;7,TRUE)</formula>
    </cfRule>
    <cfRule type="expression" dxfId="27" priority="9" stopIfTrue="1">
      <formula>IF(B2&lt;8,TRUE)</formula>
    </cfRule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sheetPr filterMode="1"/>
  <dimension ref="A1:H103"/>
  <sheetViews>
    <sheetView topLeftCell="A19" workbookViewId="0">
      <selection activeCell="D32" sqref="D32"/>
    </sheetView>
  </sheetViews>
  <sheetFormatPr defaultColWidth="8.7109375" defaultRowHeight="15"/>
  <cols>
    <col min="1" max="1" width="14.140625" style="1" customWidth="1"/>
    <col min="2" max="2" width="13.85546875" style="1" customWidth="1"/>
    <col min="3" max="3" width="10.85546875" style="1" bestFit="1" customWidth="1"/>
    <col min="4" max="4" width="10.140625" style="1" customWidth="1"/>
    <col min="5" max="5" width="13.85546875" style="1" customWidth="1"/>
    <col min="6" max="6" width="3.5703125" style="1" customWidth="1"/>
    <col min="7" max="16384" width="8.7109375" style="1"/>
  </cols>
  <sheetData>
    <row r="1" spans="1:8" ht="31.5" customHeight="1" thickBot="1">
      <c r="A1" s="40" t="s">
        <v>19</v>
      </c>
      <c r="B1" s="41" t="s">
        <v>25</v>
      </c>
      <c r="C1" s="127" t="s">
        <v>35</v>
      </c>
      <c r="D1" s="42" t="s">
        <v>34</v>
      </c>
      <c r="E1" s="42" t="s">
        <v>26</v>
      </c>
      <c r="F1" s="42"/>
      <c r="G1" s="43"/>
      <c r="H1" s="43"/>
    </row>
    <row r="2" spans="1:8" ht="15" hidden="1" customHeight="1">
      <c r="A2" s="44">
        <f>IF('Members Data'!B2="Errant",'Members Data'!A2,0)</f>
        <v>0</v>
      </c>
      <c r="B2" s="62">
        <f t="shared" ref="B2:B33" si="0">IF(A2=0,0,C2+D2)</f>
        <v>0</v>
      </c>
      <c r="C2" s="128">
        <f>IF(A2=0,0,'wk1'!I10+'wk2'!I10+'wk3'!I10+'wk4'!I10+'wk5'!I10)</f>
        <v>0</v>
      </c>
      <c r="D2" s="63">
        <f>IF(A2=0,0,'wk1'!J10+'wk2'!J10+'wk3'!J10+'wk4'!J10+'wk5'!J10)</f>
        <v>0</v>
      </c>
      <c r="E2" s="46">
        <f>IF(A2=0,0,'wk1'!K10+'wk2'!K10+'wk3'!K10+'wk4'!K10+'wk5'!K10)</f>
        <v>0</v>
      </c>
      <c r="F2" s="131"/>
      <c r="G2" s="43"/>
      <c r="H2" s="43"/>
    </row>
    <row r="3" spans="1:8" ht="15" hidden="1" customHeight="1">
      <c r="A3" s="44">
        <f>IF('Members Data'!B3="Errant",'Members Data'!A3,0)</f>
        <v>0</v>
      </c>
      <c r="B3" s="39">
        <f t="shared" si="0"/>
        <v>0</v>
      </c>
      <c r="C3" s="129">
        <f>IF(A3=0,0,'wk1'!I11+'wk2'!I11+'wk3'!I11+'wk4'!I11+'wk5'!I11)</f>
        <v>0</v>
      </c>
      <c r="D3" s="125">
        <f>IF(A3=0,0,'wk1'!J11+'wk2'!J11+'wk3'!J11+'wk4'!J11+'wk5'!J11)</f>
        <v>0</v>
      </c>
      <c r="E3" s="46">
        <f>IF(A3=0,0,'wk1'!K11+'wk2'!K11+'wk3'!K11+'wk4'!K11+'wk5'!K11)</f>
        <v>0</v>
      </c>
      <c r="F3" s="131"/>
      <c r="G3" s="43"/>
      <c r="H3" s="43"/>
    </row>
    <row r="4" spans="1:8" ht="15" customHeight="1">
      <c r="A4" s="44" t="str">
        <f>IF('Members Data'!B4="Errant",'Members Data'!A4,0)</f>
        <v>Akilta</v>
      </c>
      <c r="B4" s="39">
        <f t="shared" si="0"/>
        <v>0</v>
      </c>
      <c r="C4" s="129">
        <f>IF(A4=0,0,'wk1'!I12+'wk2'!I12+'wk3'!I12+'wk4'!I12+'wk5'!I12)</f>
        <v>0</v>
      </c>
      <c r="D4" s="125">
        <f>IF(A4=0,0,'wk1'!J12+'wk2'!J12+'wk3'!J12+'wk4'!J12+'wk5'!J12)</f>
        <v>0</v>
      </c>
      <c r="E4" s="46">
        <f>IF(A4=0,0,'wk1'!K12+'wk2'!K12+'wk3'!K12+'wk4'!K12+'wk5'!K12)</f>
        <v>0</v>
      </c>
      <c r="F4" s="131"/>
      <c r="G4" s="43"/>
      <c r="H4" s="43"/>
    </row>
    <row r="5" spans="1:8" ht="15" customHeight="1">
      <c r="A5" s="44">
        <f>IF('Members Data'!B5="Errant",'Members Data'!A5,0)</f>
        <v>0</v>
      </c>
      <c r="B5" s="39">
        <f t="shared" si="0"/>
        <v>0</v>
      </c>
      <c r="C5" s="129">
        <f>IF(A5=0,0,'wk1'!I13+'wk2'!I13+'wk3'!I13+'wk4'!I13+'wk5'!I13)</f>
        <v>0</v>
      </c>
      <c r="D5" s="125">
        <f>IF(A5=0,0,'wk1'!J13+'wk2'!J13+'wk3'!J13+'wk4'!J13+'wk5'!J13)</f>
        <v>0</v>
      </c>
      <c r="E5" s="46">
        <f>IF(A5=0,0,'wk1'!K13+'wk2'!K13+'wk3'!K13+'wk4'!K13+'wk5'!K13)</f>
        <v>0</v>
      </c>
      <c r="F5" s="132"/>
      <c r="G5" s="43"/>
      <c r="H5" s="43"/>
    </row>
    <row r="6" spans="1:8" ht="15" hidden="1" customHeight="1">
      <c r="A6" s="44">
        <f>IF('Members Data'!B6="Errant",'Members Data'!A6,0)</f>
        <v>0</v>
      </c>
      <c r="B6" s="39">
        <f t="shared" si="0"/>
        <v>0</v>
      </c>
      <c r="C6" s="129">
        <f>IF(A6=0,0,'wk1'!I14+'wk2'!I14+'wk3'!I14+'wk4'!I14+'wk5'!I14)</f>
        <v>0</v>
      </c>
      <c r="D6" s="125">
        <f>IF(A6=0,0,'wk1'!J14+'wk2'!J14+'wk3'!J14+'wk4'!J14+'wk5'!J14)</f>
        <v>0</v>
      </c>
      <c r="E6" s="46">
        <f>IF(A6=0,0,'wk1'!K14+'wk2'!K14+'wk3'!K14+'wk4'!K14+'wk5'!K14)</f>
        <v>0</v>
      </c>
      <c r="F6" s="132"/>
      <c r="G6" s="43"/>
      <c r="H6" s="43"/>
    </row>
    <row r="7" spans="1:8" ht="15" customHeight="1">
      <c r="A7" s="44" t="str">
        <f>IF('Members Data'!B7="Errant",'Members Data'!A7,0)</f>
        <v>Angelhoof</v>
      </c>
      <c r="B7" s="39">
        <f t="shared" si="0"/>
        <v>0</v>
      </c>
      <c r="C7" s="129">
        <f>IF(A7=0,0,'wk1'!I15+'wk2'!I15+'wk3'!I15+'wk4'!I15+'wk5'!I15)</f>
        <v>0</v>
      </c>
      <c r="D7" s="125">
        <f>IF(A7=0,0,'wk1'!J15+'wk2'!J15+'wk3'!J15+'wk4'!J15+'wk5'!J15)</f>
        <v>0</v>
      </c>
      <c r="E7" s="46">
        <f>IF(A7=0,0,'wk1'!K15+'wk2'!K15+'wk3'!K15+'wk4'!K15+'wk5'!K15)</f>
        <v>0</v>
      </c>
      <c r="F7" s="132"/>
      <c r="G7" s="43"/>
      <c r="H7" s="43"/>
    </row>
    <row r="8" spans="1:8" ht="15" hidden="1" customHeight="1">
      <c r="A8" s="44">
        <f>IF('Members Data'!B8="Errant",'Members Data'!A8,0)</f>
        <v>0</v>
      </c>
      <c r="B8" s="39">
        <f t="shared" si="0"/>
        <v>0</v>
      </c>
      <c r="C8" s="129">
        <f>IF(A8=0,0,'wk1'!I16+'wk2'!I16+'wk3'!I16+'wk4'!I16+'wk5'!I16)</f>
        <v>0</v>
      </c>
      <c r="D8" s="125">
        <f>IF(A8=0,0,'wk1'!J16+'wk2'!J16+'wk3'!J16+'wk4'!J16+'wk5'!J16)</f>
        <v>0</v>
      </c>
      <c r="E8" s="46">
        <f>IF(A8=0,0,'wk1'!K16+'wk2'!K16+'wk3'!K16+'wk4'!K16+'wk5'!K16)</f>
        <v>0</v>
      </c>
      <c r="F8" s="132"/>
      <c r="G8" s="43"/>
      <c r="H8" s="43"/>
    </row>
    <row r="9" spans="1:8" ht="15" customHeight="1">
      <c r="A9" s="44" t="str">
        <f>IF('Members Data'!B9="Errant",'Members Data'!A9,0)</f>
        <v>Asch</v>
      </c>
      <c r="B9" s="39">
        <f t="shared" si="0"/>
        <v>0</v>
      </c>
      <c r="C9" s="129">
        <f>IF(A9=0,0,'wk1'!I17+'wk2'!I17+'wk3'!I17+'wk4'!I17+'wk5'!I17)</f>
        <v>0</v>
      </c>
      <c r="D9" s="125">
        <f>IF(A9=0,0,'wk1'!J17+'wk2'!J17+'wk3'!J17+'wk4'!J17+'wk5'!J17)</f>
        <v>0</v>
      </c>
      <c r="E9" s="46">
        <f>IF(A9=0,0,'wk1'!K17+'wk2'!K17+'wk3'!K17+'wk4'!K17+'wk5'!K17)</f>
        <v>0</v>
      </c>
      <c r="F9" s="132"/>
      <c r="G9" s="43"/>
      <c r="H9" s="43"/>
    </row>
    <row r="10" spans="1:8" ht="15" hidden="1" customHeight="1">
      <c r="A10" s="44">
        <f>IF('Members Data'!B10="Errant",'Members Data'!A10,0)</f>
        <v>0</v>
      </c>
      <c r="B10" s="39">
        <f t="shared" si="0"/>
        <v>0</v>
      </c>
      <c r="C10" s="129">
        <f>IF(A10=0,0,'wk1'!I18+'wk2'!I18+'wk3'!I18+'wk4'!I18+'wk5'!I18)</f>
        <v>0</v>
      </c>
      <c r="D10" s="125">
        <f>IF(A10=0,0,'wk1'!J18+'wk2'!J18+'wk3'!J18+'wk4'!J18+'wk5'!J18)</f>
        <v>0</v>
      </c>
      <c r="E10" s="46">
        <f>IF(A10=0,0,'wk1'!K18+'wk2'!K18+'wk3'!K18+'wk4'!K18+'wk5'!K18)</f>
        <v>0</v>
      </c>
      <c r="F10" s="132"/>
      <c r="G10" s="43"/>
      <c r="H10" s="43"/>
    </row>
    <row r="11" spans="1:8" ht="15" hidden="1" customHeight="1">
      <c r="A11" s="44">
        <f>IF('Members Data'!B11="Errant",'Members Data'!A11,0)</f>
        <v>0</v>
      </c>
      <c r="B11" s="39">
        <f t="shared" si="0"/>
        <v>0</v>
      </c>
      <c r="C11" s="129">
        <f>IF(A11=0,0,'wk1'!I19+'wk2'!I19+'wk3'!I19+'wk4'!I19+'wk5'!I19)</f>
        <v>0</v>
      </c>
      <c r="D11" s="125">
        <f>IF(A11=0,0,'wk1'!J19+'wk2'!J19+'wk3'!J19+'wk4'!J19+'wk5'!J19)</f>
        <v>0</v>
      </c>
      <c r="E11" s="46">
        <f>IF(A11=0,0,'wk1'!K19+'wk2'!K19+'wk3'!K19+'wk4'!K19+'wk5'!K19)</f>
        <v>0</v>
      </c>
      <c r="F11" s="132"/>
      <c r="G11" s="43"/>
      <c r="H11" s="43"/>
    </row>
    <row r="12" spans="1:8" ht="15" customHeight="1">
      <c r="A12" s="44">
        <f>IF('Members Data'!B12="Errant",'Members Data'!A12,0)</f>
        <v>0</v>
      </c>
      <c r="B12" s="39">
        <f t="shared" si="0"/>
        <v>0</v>
      </c>
      <c r="C12" s="129">
        <f>IF(A12=0,0,'wk1'!I20+'wk2'!I20+'wk3'!I20+'wk4'!I20+'wk5'!I20)</f>
        <v>0</v>
      </c>
      <c r="D12" s="125">
        <f>IF(A12=0,0,'wk1'!J20+'wk2'!J20+'wk3'!J20+'wk4'!J20+'wk5'!J20)</f>
        <v>0</v>
      </c>
      <c r="E12" s="46">
        <f>IF(A12=0,0,'wk1'!K20+'wk2'!K20+'wk3'!K20+'wk4'!K20+'wk5'!K20)</f>
        <v>0</v>
      </c>
      <c r="F12" s="132"/>
      <c r="G12" s="43"/>
      <c r="H12" s="43"/>
    </row>
    <row r="13" spans="1:8" ht="15" customHeight="1">
      <c r="A13" s="44">
        <f>IF('Members Data'!B13="Errant",'Members Data'!A13,0)</f>
        <v>0</v>
      </c>
      <c r="B13" s="39">
        <f t="shared" si="0"/>
        <v>0</v>
      </c>
      <c r="C13" s="129">
        <f>IF(A13=0,0,'wk1'!I21+'wk2'!I21+'wk3'!I21+'wk4'!I21+'wk5'!I21)</f>
        <v>0</v>
      </c>
      <c r="D13" s="125">
        <f>IF(A13=0,0,'wk1'!J21+'wk2'!J21+'wk3'!J21+'wk4'!J21+'wk5'!J21)</f>
        <v>0</v>
      </c>
      <c r="E13" s="46">
        <f>IF(A13=0,0,'wk1'!K21+'wk2'!K21+'wk3'!K21+'wk4'!K21+'wk5'!K21)</f>
        <v>0</v>
      </c>
      <c r="F13" s="132"/>
      <c r="G13" s="43"/>
      <c r="H13" s="43"/>
    </row>
    <row r="14" spans="1:8" ht="15" customHeight="1">
      <c r="A14" s="44">
        <f>IF('Members Data'!B14="Errant",'Members Data'!A14,0)</f>
        <v>0</v>
      </c>
      <c r="B14" s="39">
        <f t="shared" si="0"/>
        <v>0</v>
      </c>
      <c r="C14" s="129">
        <f>IF(A14=0,0,'wk1'!I22+'wk2'!I22+'wk3'!I22+'wk4'!I22+'wk5'!I22)</f>
        <v>0</v>
      </c>
      <c r="D14" s="125">
        <f>IF(A14=0,0,'wk1'!J22+'wk2'!J22+'wk3'!J22+'wk4'!J22+'wk5'!J22)</f>
        <v>0</v>
      </c>
      <c r="E14" s="46">
        <f>IF(A14=0,0,'wk1'!K22+'wk2'!K22+'wk3'!K22+'wk4'!K22+'wk5'!K22)</f>
        <v>0</v>
      </c>
      <c r="F14" s="132"/>
      <c r="G14" s="43"/>
      <c r="H14" s="43"/>
    </row>
    <row r="15" spans="1:8" ht="15" customHeight="1">
      <c r="A15" s="44">
        <f>IF('Members Data'!B15="Errant",'Members Data'!A15,0)</f>
        <v>0</v>
      </c>
      <c r="B15" s="39">
        <f t="shared" si="0"/>
        <v>0</v>
      </c>
      <c r="C15" s="129">
        <f>IF(A15=0,0,'wk1'!I23+'wk2'!I23+'wk3'!I23+'wk4'!I23+'wk5'!I23)</f>
        <v>0</v>
      </c>
      <c r="D15" s="125">
        <f>IF(A15=0,0,'wk1'!J23+'wk2'!J23+'wk3'!J23+'wk4'!J23+'wk5'!J23)</f>
        <v>0</v>
      </c>
      <c r="E15" s="46">
        <f>IF(A15=0,0,'wk1'!K23+'wk2'!K23+'wk3'!K23+'wk4'!K23+'wk5'!K23)</f>
        <v>0</v>
      </c>
      <c r="F15" s="132"/>
      <c r="G15" s="43"/>
      <c r="H15" s="43"/>
    </row>
    <row r="16" spans="1:8" ht="15" hidden="1" customHeight="1">
      <c r="A16" s="44">
        <f>IF('Members Data'!B16="Errant",'Members Data'!A16,0)</f>
        <v>0</v>
      </c>
      <c r="B16" s="39">
        <f t="shared" si="0"/>
        <v>0</v>
      </c>
      <c r="C16" s="129">
        <f>IF(A16=0,0,'wk1'!I24+'wk2'!I24+'wk3'!I24+'wk4'!I24+'wk5'!I24)</f>
        <v>0</v>
      </c>
      <c r="D16" s="125">
        <f>IF(A16=0,0,'wk1'!J24+'wk2'!J24+'wk3'!J24+'wk4'!J24+'wk5'!J24)</f>
        <v>0</v>
      </c>
      <c r="E16" s="46">
        <f>IF(A16=0,0,'wk1'!K24+'wk2'!K24+'wk3'!K24+'wk4'!K24+'wk5'!K24)</f>
        <v>0</v>
      </c>
      <c r="F16" s="132"/>
      <c r="G16" s="43"/>
      <c r="H16" s="43"/>
    </row>
    <row r="17" spans="1:8" ht="15" hidden="1" customHeight="1">
      <c r="A17" s="44">
        <f>IF('Members Data'!B17="Errant",'Members Data'!A17,0)</f>
        <v>0</v>
      </c>
      <c r="B17" s="39">
        <f t="shared" si="0"/>
        <v>0</v>
      </c>
      <c r="C17" s="129">
        <f>IF(A17=0,0,'wk1'!I25+'wk2'!I25+'wk3'!I25+'wk4'!I25+'wk5'!I25)</f>
        <v>0</v>
      </c>
      <c r="D17" s="125">
        <f>IF(A17=0,0,'wk1'!J25+'wk2'!J25+'wk3'!J25+'wk4'!J25+'wk5'!J25)</f>
        <v>0</v>
      </c>
      <c r="E17" s="46">
        <f>IF(A17=0,0,'wk1'!K25+'wk2'!K25+'wk3'!K25+'wk4'!K25+'wk5'!K25)</f>
        <v>0</v>
      </c>
      <c r="F17" s="132"/>
      <c r="G17" s="43"/>
      <c r="H17" s="43"/>
    </row>
    <row r="18" spans="1:8" ht="15" hidden="1" customHeight="1">
      <c r="A18" s="44">
        <f>IF('Members Data'!B18="Errant",'Members Data'!A18,0)</f>
        <v>0</v>
      </c>
      <c r="B18" s="39">
        <f t="shared" si="0"/>
        <v>0</v>
      </c>
      <c r="C18" s="129">
        <f>IF(A18=0,0,'wk1'!I26+'wk2'!I26+'wk3'!I26+'wk4'!I26+'wk5'!I26)</f>
        <v>0</v>
      </c>
      <c r="D18" s="125">
        <f>IF(A18=0,0,'wk1'!J26+'wk2'!J26+'wk3'!J26+'wk4'!J26+'wk5'!J26)</f>
        <v>0</v>
      </c>
      <c r="E18" s="46">
        <f>IF(A18=0,0,'wk1'!K26+'wk2'!K26+'wk3'!K26+'wk4'!K26+'wk5'!K26)</f>
        <v>0</v>
      </c>
      <c r="F18" s="132"/>
      <c r="G18" s="43"/>
      <c r="H18" s="43"/>
    </row>
    <row r="19" spans="1:8" ht="15" customHeight="1">
      <c r="A19" s="44">
        <f>IF('Members Data'!B19="Errant",'Members Data'!A19,0)</f>
        <v>0</v>
      </c>
      <c r="B19" s="39">
        <f t="shared" si="0"/>
        <v>0</v>
      </c>
      <c r="C19" s="129">
        <f>IF(A19=0,0,'wk1'!I27+'wk2'!I27+'wk3'!I27+'wk4'!I27+'wk5'!I27)</f>
        <v>0</v>
      </c>
      <c r="D19" s="125">
        <f>IF(A19=0,0,'wk1'!J27+'wk2'!J27+'wk3'!J27+'wk4'!J27+'wk5'!J27)</f>
        <v>0</v>
      </c>
      <c r="E19" s="46">
        <f>IF(A19=0,0,'wk1'!K27+'wk2'!K27+'wk3'!K27+'wk4'!K27+'wk5'!K27)</f>
        <v>0</v>
      </c>
      <c r="F19" s="132"/>
      <c r="G19" s="43"/>
      <c r="H19" s="43"/>
    </row>
    <row r="20" spans="1:8" ht="15" hidden="1" customHeight="1">
      <c r="A20" s="44">
        <f>IF('Members Data'!B20="Errant",'Members Data'!A20,0)</f>
        <v>0</v>
      </c>
      <c r="B20" s="39">
        <f t="shared" si="0"/>
        <v>0</v>
      </c>
      <c r="C20" s="129">
        <f>IF(A20=0,0,'wk1'!I28+'wk2'!I28+'wk3'!I28+'wk4'!I28+'wk5'!I28)</f>
        <v>0</v>
      </c>
      <c r="D20" s="125">
        <f>IF(A20=0,0,'wk1'!J28+'wk2'!J28+'wk3'!J28+'wk4'!J28+'wk5'!J28)</f>
        <v>0</v>
      </c>
      <c r="E20" s="46">
        <f>IF(A20=0,0,'wk1'!K28+'wk2'!K28+'wk3'!K28+'wk4'!K28+'wk5'!K28)</f>
        <v>0</v>
      </c>
      <c r="F20" s="132"/>
      <c r="G20" s="43"/>
      <c r="H20" s="43"/>
    </row>
    <row r="21" spans="1:8" ht="15" customHeight="1">
      <c r="A21" s="44">
        <f>IF('Members Data'!B21="Errant",'Members Data'!A21,0)</f>
        <v>0</v>
      </c>
      <c r="B21" s="39">
        <f t="shared" si="0"/>
        <v>0</v>
      </c>
      <c r="C21" s="129">
        <f>IF(A21=0,0,'wk1'!I29+'wk2'!I29+'wk3'!I29+'wk4'!I29+'wk5'!I29)</f>
        <v>0</v>
      </c>
      <c r="D21" s="125">
        <f>IF(A21=0,0,'wk1'!J29+'wk2'!J29+'wk3'!J29+'wk4'!J29+'wk5'!J29)</f>
        <v>0</v>
      </c>
      <c r="E21" s="46">
        <f>IF(A21=0,0,'wk1'!K29+'wk2'!K29+'wk3'!K29+'wk4'!K29+'wk5'!K29)</f>
        <v>0</v>
      </c>
      <c r="F21" s="132"/>
      <c r="G21" s="43"/>
      <c r="H21" s="43"/>
    </row>
    <row r="22" spans="1:8" ht="15" customHeight="1">
      <c r="A22" s="44" t="str">
        <f>IF('Members Data'!B22="Errant",'Members Data'!A22,0)</f>
        <v>Emril</v>
      </c>
      <c r="B22" s="39">
        <f t="shared" si="0"/>
        <v>0</v>
      </c>
      <c r="C22" s="129">
        <f>IF(A22=0,0,'wk1'!I30+'wk2'!I30+'wk3'!I30+'wk4'!I30+'wk5'!I30)</f>
        <v>0</v>
      </c>
      <c r="D22" s="125">
        <f>IF(A22=0,0,'wk1'!J30+'wk2'!J30+'wk3'!J30+'wk4'!J30+'wk5'!J30)</f>
        <v>0</v>
      </c>
      <c r="E22" s="46">
        <f>IF(A22=0,0,'wk1'!K30+'wk2'!K30+'wk3'!K30+'wk4'!K30+'wk5'!K30)</f>
        <v>0</v>
      </c>
      <c r="F22" s="132"/>
      <c r="G22" s="43"/>
      <c r="H22" s="43"/>
    </row>
    <row r="23" spans="1:8" ht="15" customHeight="1">
      <c r="A23" s="44">
        <f>IF('Members Data'!B23="Errant",'Members Data'!A23,0)</f>
        <v>0</v>
      </c>
      <c r="B23" s="39">
        <f t="shared" si="0"/>
        <v>0</v>
      </c>
      <c r="C23" s="129">
        <f>IF(A23=0,0,'wk1'!I31+'wk2'!I31+'wk3'!I31+'wk4'!I31+'wk5'!I31)</f>
        <v>0</v>
      </c>
      <c r="D23" s="125">
        <f>IF(A23=0,0,'wk1'!J31+'wk2'!J31+'wk3'!J31+'wk4'!J31+'wk5'!J31)</f>
        <v>0</v>
      </c>
      <c r="E23" s="46">
        <f>IF(A23=0,0,'wk1'!K31+'wk2'!K31+'wk3'!K31+'wk4'!K31+'wk5'!K31)</f>
        <v>0</v>
      </c>
      <c r="F23" s="132"/>
      <c r="G23" s="43"/>
      <c r="H23" s="43"/>
    </row>
    <row r="24" spans="1:8" ht="15" hidden="1" customHeight="1">
      <c r="A24" s="44">
        <f>IF('Members Data'!B24="Errant",'Members Data'!A24,0)</f>
        <v>0</v>
      </c>
      <c r="B24" s="39">
        <f t="shared" si="0"/>
        <v>0</v>
      </c>
      <c r="C24" s="129">
        <f>IF(A24=0,0,'wk1'!I32+'wk2'!I32+'wk3'!I32+'wk4'!I32+'wk5'!I32)</f>
        <v>0</v>
      </c>
      <c r="D24" s="125">
        <f>IF(A24=0,0,'wk1'!J32+'wk2'!J32+'wk3'!J32+'wk4'!J32+'wk5'!J32)</f>
        <v>0</v>
      </c>
      <c r="E24" s="46">
        <f>IF(A24=0,0,'wk1'!K32+'wk2'!K32+'wk3'!K32+'wk4'!K32+'wk5'!K32)</f>
        <v>0</v>
      </c>
      <c r="F24" s="132"/>
      <c r="G24" s="43"/>
      <c r="H24" s="43"/>
    </row>
    <row r="25" spans="1:8" ht="15" hidden="1" customHeight="1">
      <c r="A25" s="44">
        <f>IF('Members Data'!B25="Errant",'Members Data'!A25,0)</f>
        <v>0</v>
      </c>
      <c r="B25" s="39">
        <f t="shared" si="0"/>
        <v>0</v>
      </c>
      <c r="C25" s="129">
        <f>IF(A25=0,0,'wk1'!I33+'wk2'!I33+'wk3'!I33+'wk4'!I33+'wk5'!I33)</f>
        <v>0</v>
      </c>
      <c r="D25" s="125">
        <f>IF(A25=0,0,'wk1'!J33+'wk2'!J33+'wk3'!J33+'wk4'!J33+'wk5'!J33)</f>
        <v>0</v>
      </c>
      <c r="E25" s="46">
        <f>IF(A25=0,0,'wk1'!K33+'wk2'!K33+'wk3'!K33+'wk4'!K33+'wk5'!K33)</f>
        <v>0</v>
      </c>
      <c r="F25" s="132"/>
      <c r="G25" s="43"/>
      <c r="H25" s="43"/>
    </row>
    <row r="26" spans="1:8" ht="15" customHeight="1">
      <c r="A26" s="44" t="str">
        <f>IF('Members Data'!B26="Errant",'Members Data'!A26,0)</f>
        <v>Hormones</v>
      </c>
      <c r="B26" s="39">
        <f t="shared" si="0"/>
        <v>0</v>
      </c>
      <c r="C26" s="129">
        <f>IF(A26=0,0,'wk1'!I34+'wk2'!I34+'wk3'!I34+'wk4'!I34+'wk5'!I34)</f>
        <v>0</v>
      </c>
      <c r="D26" s="125">
        <f>IF(A26=0,0,'wk1'!J34+'wk2'!J34+'wk3'!J34+'wk4'!J34+'wk5'!J34)</f>
        <v>0</v>
      </c>
      <c r="E26" s="46">
        <f>IF(A26=0,0,'wk1'!K34+'wk2'!K34+'wk3'!K34+'wk4'!K34+'wk5'!K34)</f>
        <v>0</v>
      </c>
      <c r="F26" s="132"/>
      <c r="G26" s="43"/>
      <c r="H26" s="43"/>
    </row>
    <row r="27" spans="1:8" ht="15" customHeight="1">
      <c r="A27" s="44">
        <f>IF('Members Data'!B27="Errant",'Members Data'!A27,0)</f>
        <v>0</v>
      </c>
      <c r="B27" s="39">
        <f t="shared" si="0"/>
        <v>0</v>
      </c>
      <c r="C27" s="129">
        <f>IF(A27=0,0,'wk1'!I35+'wk2'!I35+'wk3'!I35+'wk4'!I35+'wk5'!I35)</f>
        <v>0</v>
      </c>
      <c r="D27" s="125">
        <f>IF(A27=0,0,'wk1'!J35+'wk2'!J35+'wk3'!J35+'wk4'!J35+'wk5'!J35)</f>
        <v>0</v>
      </c>
      <c r="E27" s="46">
        <f>IF(A27=0,0,'wk1'!K35+'wk2'!K35+'wk3'!K35+'wk4'!K35+'wk5'!K35)</f>
        <v>0</v>
      </c>
      <c r="F27" s="132"/>
      <c r="G27" s="43"/>
      <c r="H27" s="43"/>
    </row>
    <row r="28" spans="1:8" ht="15" customHeight="1">
      <c r="A28" s="44" t="str">
        <f>IF('Members Data'!B28="Errant",'Members Data'!A28,0)</f>
        <v>Hyunâ</v>
      </c>
      <c r="B28" s="39">
        <f t="shared" si="0"/>
        <v>0</v>
      </c>
      <c r="C28" s="129">
        <f>IF(A28=0,0,'wk1'!I36+'wk2'!I36+'wk3'!I36+'wk4'!I36+'wk5'!I36)</f>
        <v>0</v>
      </c>
      <c r="D28" s="125">
        <f>IF(A28=0,0,'wk1'!J36+'wk2'!J36+'wk3'!J36+'wk4'!J36+'wk5'!J36)</f>
        <v>0</v>
      </c>
      <c r="E28" s="46">
        <f>IF(A28=0,0,'wk1'!K36+'wk2'!K36+'wk3'!K36+'wk4'!K36+'wk5'!K36)</f>
        <v>0</v>
      </c>
      <c r="F28" s="132"/>
      <c r="G28" s="43"/>
      <c r="H28" s="43"/>
    </row>
    <row r="29" spans="1:8" ht="15" customHeight="1">
      <c r="A29" s="44">
        <f>IF('Members Data'!B29="Errant",'Members Data'!A29,0)</f>
        <v>0</v>
      </c>
      <c r="B29" s="39">
        <f t="shared" si="0"/>
        <v>0</v>
      </c>
      <c r="C29" s="129">
        <f>IF(A29=0,0,'wk1'!I37+'wk2'!I37+'wk3'!I37+'wk4'!I37+'wk5'!I37)</f>
        <v>0</v>
      </c>
      <c r="D29" s="125">
        <f>IF(A29=0,0,'wk1'!J37+'wk2'!J37+'wk3'!J37+'wk4'!J37+'wk5'!J37)</f>
        <v>0</v>
      </c>
      <c r="E29" s="46">
        <f>IF(A29=0,0,'wk1'!K37+'wk2'!K37+'wk3'!K37+'wk4'!K37+'wk5'!K37)</f>
        <v>0</v>
      </c>
      <c r="F29" s="132"/>
      <c r="G29" s="43"/>
      <c r="H29" s="43"/>
    </row>
    <row r="30" spans="1:8" ht="15" hidden="1" customHeight="1">
      <c r="A30" s="44">
        <f>IF('Members Data'!B30="Errant",'Members Data'!A30,0)</f>
        <v>0</v>
      </c>
      <c r="B30" s="39">
        <f t="shared" si="0"/>
        <v>0</v>
      </c>
      <c r="C30" s="129">
        <f>IF(A30=0,0,'wk1'!I38+'wk2'!I38+'wk3'!I38+'wk4'!I38+'wk5'!I38)</f>
        <v>0</v>
      </c>
      <c r="D30" s="125">
        <f>IF(A30=0,0,'wk1'!J38+'wk2'!J38+'wk3'!J38+'wk4'!J38+'wk5'!J38)</f>
        <v>0</v>
      </c>
      <c r="E30" s="46">
        <f>IF(A30=0,0,'wk1'!K38+'wk2'!K38+'wk3'!K38+'wk4'!K38+'wk5'!K38)</f>
        <v>0</v>
      </c>
      <c r="F30" s="132"/>
      <c r="G30" s="43"/>
      <c r="H30" s="43"/>
    </row>
    <row r="31" spans="1:8" ht="15" hidden="1" customHeight="1">
      <c r="A31" s="44">
        <f>IF('Members Data'!B31="Errant",'Members Data'!A31,0)</f>
        <v>0</v>
      </c>
      <c r="B31" s="39">
        <f t="shared" si="0"/>
        <v>0</v>
      </c>
      <c r="C31" s="129">
        <f>IF(A31=0,0,'wk1'!I39+'wk2'!I39+'wk3'!I39+'wk4'!I39+'wk5'!I39)</f>
        <v>0</v>
      </c>
      <c r="D31" s="125">
        <f>IF(A31=0,0,'wk1'!J39+'wk2'!J39+'wk3'!J39+'wk4'!J39+'wk5'!J39)</f>
        <v>0</v>
      </c>
      <c r="E31" s="46">
        <f>IF(A31=0,0,'wk1'!K39+'wk2'!K39+'wk3'!K39+'wk4'!K39+'wk5'!K39)</f>
        <v>0</v>
      </c>
      <c r="F31" s="132"/>
      <c r="G31" s="43"/>
      <c r="H31" s="43"/>
    </row>
    <row r="32" spans="1:8" ht="15" customHeight="1">
      <c r="A32" s="44" t="str">
        <f>IF('Members Data'!B32="Errant",'Members Data'!A32,0)</f>
        <v>Kádiz</v>
      </c>
      <c r="B32" s="39">
        <f t="shared" si="0"/>
        <v>0</v>
      </c>
      <c r="C32" s="129">
        <f>IF(A32=0,0,'wk1'!I40+'wk2'!I40+'wk3'!I40+'wk4'!I40+'wk5'!I40)</f>
        <v>0</v>
      </c>
      <c r="D32" s="125">
        <f>IF(A32=0,0,'wk1'!J40+'wk2'!J40+'wk3'!J40+'wk4'!J40+'wk5'!J40)</f>
        <v>0</v>
      </c>
      <c r="E32" s="46">
        <f>IF(A32=0,0,'wk1'!K40+'wk2'!K40+'wk3'!K40+'wk4'!K40+'wk5'!K40)</f>
        <v>0</v>
      </c>
      <c r="F32" s="132"/>
      <c r="G32" s="43"/>
      <c r="H32" s="43"/>
    </row>
    <row r="33" spans="1:8" ht="15" customHeight="1">
      <c r="A33" s="44">
        <f>IF('Members Data'!B33="Errant",'Members Data'!A33,0)</f>
        <v>0</v>
      </c>
      <c r="B33" s="39">
        <f t="shared" si="0"/>
        <v>0</v>
      </c>
      <c r="C33" s="129">
        <f>IF(A33=0,0,'wk1'!I41+'wk2'!I41+'wk3'!I41+'wk4'!I41+'wk5'!I41)</f>
        <v>0</v>
      </c>
      <c r="D33" s="125">
        <f>IF(A33=0,0,'wk1'!J41+'wk2'!J41+'wk3'!J41+'wk4'!J41+'wk5'!J41)</f>
        <v>0</v>
      </c>
      <c r="E33" s="46">
        <f>IF(A33=0,0,'wk1'!K41+'wk2'!K41+'wk3'!K41+'wk4'!K41+'wk5'!K41)</f>
        <v>0</v>
      </c>
      <c r="F33" s="132"/>
      <c r="G33" s="43"/>
      <c r="H33" s="43"/>
    </row>
    <row r="34" spans="1:8" ht="15" customHeight="1">
      <c r="A34" s="44">
        <f>IF('Members Data'!B34="Errant",'Members Data'!A34,0)</f>
        <v>0</v>
      </c>
      <c r="B34" s="39">
        <f t="shared" ref="B34:B65" si="1">IF(A34=0,0,C34+D34)</f>
        <v>0</v>
      </c>
      <c r="C34" s="129">
        <f>IF(A34=0,0,'wk1'!I42+'wk2'!I42+'wk3'!I42+'wk4'!I42+'wk5'!I42)</f>
        <v>0</v>
      </c>
      <c r="D34" s="125">
        <f>IF(A34=0,0,'wk1'!J42+'wk2'!J42+'wk3'!J42+'wk4'!J42+'wk5'!J42)</f>
        <v>0</v>
      </c>
      <c r="E34" s="46">
        <f>IF(A34=0,0,'wk1'!K42+'wk2'!K42+'wk3'!K42+'wk4'!K42+'wk5'!K42)</f>
        <v>0</v>
      </c>
      <c r="F34" s="132"/>
      <c r="G34" s="43"/>
      <c r="H34" s="43"/>
    </row>
    <row r="35" spans="1:8" ht="15" customHeight="1">
      <c r="A35" s="44">
        <f>IF('Members Data'!B35="Errant",'Members Data'!A35,0)</f>
        <v>0</v>
      </c>
      <c r="B35" s="39">
        <f t="shared" si="1"/>
        <v>0</v>
      </c>
      <c r="C35" s="129">
        <f>IF(A35=0,0,'wk1'!I43+'wk2'!I43+'wk3'!I43+'wk4'!I43+'wk5'!I43)</f>
        <v>0</v>
      </c>
      <c r="D35" s="125">
        <f>IF(A35=0,0,'wk1'!J43+'wk2'!J43+'wk3'!J43+'wk4'!J43+'wk5'!J43)</f>
        <v>0</v>
      </c>
      <c r="E35" s="46">
        <f>IF(A35=0,0,'wk1'!K43+'wk2'!K43+'wk3'!K43+'wk4'!K43+'wk5'!K43)</f>
        <v>0</v>
      </c>
      <c r="F35" s="132"/>
      <c r="G35" s="43"/>
      <c r="H35" s="43"/>
    </row>
    <row r="36" spans="1:8" ht="15" customHeight="1">
      <c r="A36" s="44">
        <f>IF('Members Data'!B36="Errant",'Members Data'!A36,0)</f>
        <v>0</v>
      </c>
      <c r="B36" s="39">
        <f t="shared" si="1"/>
        <v>0</v>
      </c>
      <c r="C36" s="129">
        <f>IF(A36=0,0,'wk1'!I44+'wk2'!I44+'wk3'!I44+'wk4'!I44+'wk5'!I44)</f>
        <v>0</v>
      </c>
      <c r="D36" s="125">
        <f>IF(A36=0,0,'wk1'!J44+'wk2'!J44+'wk3'!J44+'wk4'!J44+'wk5'!J44)</f>
        <v>0</v>
      </c>
      <c r="E36" s="46">
        <f>IF(A36=0,0,'wk1'!K44+'wk2'!K44+'wk3'!K44+'wk4'!K44+'wk5'!K44)</f>
        <v>0</v>
      </c>
      <c r="F36" s="132"/>
      <c r="G36" s="43"/>
      <c r="H36" s="43"/>
    </row>
    <row r="37" spans="1:8" ht="15" hidden="1" customHeight="1">
      <c r="A37" s="44">
        <f>IF('Members Data'!B37="Errant",'Members Data'!A37,0)</f>
        <v>0</v>
      </c>
      <c r="B37" s="39">
        <f t="shared" si="1"/>
        <v>0</v>
      </c>
      <c r="C37" s="129">
        <f>IF(A37=0,0,'wk1'!I45+'wk2'!I45+'wk3'!I45+'wk4'!I45+'wk5'!I45)</f>
        <v>0</v>
      </c>
      <c r="D37" s="125">
        <f>IF(A37=0,0,'wk1'!J45+'wk2'!J45+'wk3'!J45+'wk4'!J45+'wk5'!J45)</f>
        <v>0</v>
      </c>
      <c r="E37" s="46">
        <f>IF(A37=0,0,'wk1'!K45+'wk2'!K45+'wk3'!K45+'wk4'!K45+'wk5'!K45)</f>
        <v>0</v>
      </c>
      <c r="F37" s="132"/>
      <c r="G37" s="43"/>
      <c r="H37" s="43"/>
    </row>
    <row r="38" spans="1:8" ht="15" hidden="1" customHeight="1">
      <c r="A38" s="44">
        <f>IF('Members Data'!B38="Errant",'Members Data'!A38,0)</f>
        <v>0</v>
      </c>
      <c r="B38" s="39">
        <f t="shared" si="1"/>
        <v>0</v>
      </c>
      <c r="C38" s="129">
        <f>IF(A38=0,0,'wk1'!I46+'wk2'!I46+'wk3'!I46+'wk4'!I46+'wk5'!I46)</f>
        <v>0</v>
      </c>
      <c r="D38" s="125">
        <f>IF(A38=0,0,'wk1'!J46+'wk2'!J46+'wk3'!J46+'wk4'!J46+'wk5'!J46)</f>
        <v>0</v>
      </c>
      <c r="E38" s="46">
        <f>IF(A38=0,0,'wk1'!K46+'wk2'!K46+'wk3'!K46+'wk4'!K46+'wk5'!K46)</f>
        <v>0</v>
      </c>
      <c r="F38" s="132"/>
      <c r="G38" s="43"/>
      <c r="H38" s="43"/>
    </row>
    <row r="39" spans="1:8" ht="15" customHeight="1">
      <c r="A39" s="44">
        <f>IF('Members Data'!B39="Errant",'Members Data'!A39,0)</f>
        <v>0</v>
      </c>
      <c r="B39" s="39">
        <f t="shared" si="1"/>
        <v>0</v>
      </c>
      <c r="C39" s="129">
        <f>IF(A39=0,0,'wk1'!I47+'wk2'!I47+'wk3'!I47+'wk4'!I47+'wk5'!I47)</f>
        <v>0</v>
      </c>
      <c r="D39" s="125">
        <f>IF(A39=0,0,'wk1'!J47+'wk2'!J47+'wk3'!J47+'wk4'!J47+'wk5'!J47)</f>
        <v>0</v>
      </c>
      <c r="E39" s="46">
        <f>IF(A39=0,0,'wk1'!K47+'wk2'!K47+'wk3'!K47+'wk4'!K47+'wk5'!K47)</f>
        <v>0</v>
      </c>
      <c r="F39" s="132"/>
      <c r="G39" s="43"/>
      <c r="H39" s="43"/>
    </row>
    <row r="40" spans="1:8" ht="15" customHeight="1">
      <c r="A40" s="44" t="str">
        <f>IF('Members Data'!B40="Errant",'Members Data'!A40,0)</f>
        <v>Mezzolina</v>
      </c>
      <c r="B40" s="39">
        <f t="shared" si="1"/>
        <v>0</v>
      </c>
      <c r="C40" s="129">
        <f>IF(A40=0,0,'wk1'!I48+'wk2'!I48+'wk3'!I48+'wk4'!I48+'wk5'!I48)</f>
        <v>0</v>
      </c>
      <c r="D40" s="125">
        <f>IF(A40=0,0,'wk1'!J48+'wk2'!J48+'wk3'!J48+'wk4'!J48+'wk5'!J48)</f>
        <v>0</v>
      </c>
      <c r="E40" s="46">
        <f>IF(A40=0,0,'wk1'!K48+'wk2'!K48+'wk3'!K48+'wk4'!K48+'wk5'!K48)</f>
        <v>0</v>
      </c>
      <c r="F40" s="132"/>
      <c r="G40" s="43"/>
      <c r="H40" s="43"/>
    </row>
    <row r="41" spans="1:8" ht="15" customHeight="1">
      <c r="A41" s="44">
        <f>IF('Members Data'!B41="Errant",'Members Data'!A41,0)</f>
        <v>0</v>
      </c>
      <c r="B41" s="39">
        <f t="shared" si="1"/>
        <v>0</v>
      </c>
      <c r="C41" s="129">
        <f>IF(A41=0,0,'wk1'!I49+'wk2'!I49+'wk3'!I49+'wk4'!I49+'wk5'!I49)</f>
        <v>0</v>
      </c>
      <c r="D41" s="125">
        <f>IF(A41=0,0,'wk1'!J49+'wk2'!J49+'wk3'!J49+'wk4'!J49+'wk5'!J49)</f>
        <v>0</v>
      </c>
      <c r="E41" s="46">
        <f>IF(A41=0,0,'wk1'!K49+'wk2'!K49+'wk3'!K49+'wk4'!K49+'wk5'!K49)</f>
        <v>0</v>
      </c>
      <c r="F41" s="132"/>
      <c r="G41" s="43"/>
      <c r="H41" s="43"/>
    </row>
    <row r="42" spans="1:8" ht="15" customHeight="1">
      <c r="A42" s="44">
        <f>IF('Members Data'!B42="Errant",'Members Data'!A42,0)</f>
        <v>0</v>
      </c>
      <c r="B42" s="39">
        <f t="shared" si="1"/>
        <v>0</v>
      </c>
      <c r="C42" s="129">
        <f>IF(A42=0,0,'wk1'!I50+'wk2'!I50+'wk3'!I50+'wk4'!I50+'wk5'!I50)</f>
        <v>0</v>
      </c>
      <c r="D42" s="125">
        <f>IF(A42=0,0,'wk1'!J50+'wk2'!J50+'wk3'!J50+'wk4'!J50+'wk5'!J50)</f>
        <v>0</v>
      </c>
      <c r="E42" s="46">
        <f>IF(A42=0,0,'wk1'!K50+'wk2'!K50+'wk3'!K50+'wk4'!K50+'wk5'!K50)</f>
        <v>0</v>
      </c>
      <c r="F42" s="132"/>
      <c r="G42" s="43"/>
      <c r="H42" s="43"/>
    </row>
    <row r="43" spans="1:8" ht="15" customHeight="1">
      <c r="A43" s="44" t="str">
        <f>IF('Members Data'!B43="Errant",'Members Data'!A43,0)</f>
        <v>Naliyas</v>
      </c>
      <c r="B43" s="39">
        <f t="shared" si="1"/>
        <v>0</v>
      </c>
      <c r="C43" s="129">
        <f>IF(A43=0,0,'wk1'!I51+'wk2'!I51+'wk3'!I51+'wk4'!I51+'wk5'!I51)</f>
        <v>0</v>
      </c>
      <c r="D43" s="125">
        <f>IF(A43=0,0,'wk1'!J51+'wk2'!J51+'wk3'!J51+'wk4'!J51+'wk5'!J51)</f>
        <v>0</v>
      </c>
      <c r="E43" s="46">
        <f>IF(A43=0,0,'wk1'!K51+'wk2'!K51+'wk3'!K51+'wk4'!K51+'wk5'!K51)</f>
        <v>0</v>
      </c>
      <c r="F43" s="132"/>
      <c r="G43" s="43"/>
      <c r="H43" s="43"/>
    </row>
    <row r="44" spans="1:8" ht="15" customHeight="1">
      <c r="A44" s="44">
        <f>IF('Members Data'!B44="Errant",'Members Data'!A44,0)</f>
        <v>0</v>
      </c>
      <c r="B44" s="39">
        <f t="shared" si="1"/>
        <v>0</v>
      </c>
      <c r="C44" s="129">
        <f>IF(A44=0,0,'wk1'!I52+'wk2'!I52+'wk3'!I52+'wk4'!I52+'wk5'!I52)</f>
        <v>0</v>
      </c>
      <c r="D44" s="125">
        <f>IF(A44=0,0,'wk1'!J52+'wk2'!J52+'wk3'!J52+'wk4'!J52+'wk5'!J52)</f>
        <v>0</v>
      </c>
      <c r="E44" s="46">
        <f>IF(A44=0,0,'wk1'!K52+'wk2'!K52+'wk3'!K52+'wk4'!K52+'wk5'!K52)</f>
        <v>0</v>
      </c>
      <c r="F44" s="132"/>
      <c r="G44" s="43"/>
      <c r="H44" s="43"/>
    </row>
    <row r="45" spans="1:8" ht="15" hidden="1" customHeight="1">
      <c r="A45" s="44">
        <f>IF('Members Data'!B45="Errant",'Members Data'!A45,0)</f>
        <v>0</v>
      </c>
      <c r="B45" s="39">
        <f t="shared" si="1"/>
        <v>0</v>
      </c>
      <c r="C45" s="129">
        <f>IF(A45=0,0,'wk1'!I53+'wk2'!I53+'wk3'!I53+'wk4'!I53+'wk5'!I53)</f>
        <v>0</v>
      </c>
      <c r="D45" s="125">
        <f>IF(A45=0,0,'wk1'!J53+'wk2'!J53+'wk3'!J53+'wk4'!J53+'wk5'!J53)</f>
        <v>0</v>
      </c>
      <c r="E45" s="46">
        <f>IF(A45=0,0,'wk1'!K53+'wk2'!K53+'wk3'!K53+'wk4'!K53+'wk5'!K53)</f>
        <v>0</v>
      </c>
      <c r="F45" s="132"/>
      <c r="G45" s="43"/>
      <c r="H45" s="43"/>
    </row>
    <row r="46" spans="1:8" ht="15" hidden="1" customHeight="1">
      <c r="A46" s="44">
        <f>IF('Members Data'!B46="Errant",'Members Data'!A46,0)</f>
        <v>0</v>
      </c>
      <c r="B46" s="39">
        <f t="shared" si="1"/>
        <v>0</v>
      </c>
      <c r="C46" s="129">
        <f>IF(A46=0,0,'wk1'!I54+'wk2'!I54+'wk3'!I54+'wk4'!I54+'wk5'!I54)</f>
        <v>0</v>
      </c>
      <c r="D46" s="125">
        <f>IF(A46=0,0,'wk1'!J54+'wk2'!J54+'wk3'!J54+'wk4'!J54+'wk5'!J54)</f>
        <v>0</v>
      </c>
      <c r="E46" s="46">
        <f>IF(A46=0,0,'wk1'!K54+'wk2'!K54+'wk3'!K54+'wk4'!K54+'wk5'!K54)</f>
        <v>0</v>
      </c>
      <c r="F46" s="132"/>
      <c r="G46" s="43"/>
      <c r="H46" s="43"/>
    </row>
    <row r="47" spans="1:8" ht="15" customHeight="1">
      <c r="A47" s="44">
        <f>IF('Members Data'!B47="Errant",'Members Data'!A47,0)</f>
        <v>0</v>
      </c>
      <c r="B47" s="39">
        <f t="shared" si="1"/>
        <v>0</v>
      </c>
      <c r="C47" s="129">
        <f>IF(A47=0,0,'wk1'!I55+'wk2'!I55+'wk3'!I55+'wk4'!I55+'wk5'!I55)</f>
        <v>0</v>
      </c>
      <c r="D47" s="125">
        <f>IF(A47=0,0,'wk1'!J55+'wk2'!J55+'wk3'!J55+'wk4'!J55+'wk5'!J55)</f>
        <v>0</v>
      </c>
      <c r="E47" s="46">
        <f>IF(A47=0,0,'wk1'!K55+'wk2'!K55+'wk3'!K55+'wk4'!K55+'wk5'!K55)</f>
        <v>0</v>
      </c>
      <c r="F47" s="132"/>
      <c r="G47" s="43"/>
      <c r="H47" s="43"/>
    </row>
    <row r="48" spans="1:8" ht="15" hidden="1" customHeight="1">
      <c r="A48" s="44">
        <f>IF('Members Data'!B48="Errant",'Members Data'!A48,0)</f>
        <v>0</v>
      </c>
      <c r="B48" s="39">
        <f t="shared" si="1"/>
        <v>0</v>
      </c>
      <c r="C48" s="129">
        <f>IF(A48=0,0,'wk1'!I56+'wk2'!I56+'wk3'!I56+'wk4'!I56+'wk5'!I56)</f>
        <v>0</v>
      </c>
      <c r="D48" s="125">
        <f>IF(A48=0,0,'wk1'!J56+'wk2'!J56+'wk3'!J56+'wk4'!J56+'wk5'!J56)</f>
        <v>0</v>
      </c>
      <c r="E48" s="46">
        <f>IF(A48=0,0,'wk1'!K56+'wk2'!K56+'wk3'!K56+'wk4'!K56+'wk5'!K56)</f>
        <v>0</v>
      </c>
      <c r="F48" s="132"/>
      <c r="G48" s="43"/>
      <c r="H48" s="43"/>
    </row>
    <row r="49" spans="1:8" ht="15" hidden="1" customHeight="1">
      <c r="A49" s="44">
        <f>IF('Members Data'!B49="Errant",'Members Data'!A49,0)</f>
        <v>0</v>
      </c>
      <c r="B49" s="39">
        <f t="shared" si="1"/>
        <v>0</v>
      </c>
      <c r="C49" s="129">
        <f>IF(A49=0,0,'wk1'!I57+'wk2'!I57+'wk3'!I57+'wk4'!I57+'wk5'!I57)</f>
        <v>0</v>
      </c>
      <c r="D49" s="125">
        <f>IF(A49=0,0,'wk1'!J57+'wk2'!J57+'wk3'!J57+'wk4'!J57+'wk5'!J57)</f>
        <v>0</v>
      </c>
      <c r="E49" s="46">
        <f>IF(A49=0,0,'wk1'!K57+'wk2'!K57+'wk3'!K57+'wk4'!K57+'wk5'!K57)</f>
        <v>0</v>
      </c>
      <c r="F49" s="132"/>
      <c r="G49" s="43"/>
      <c r="H49" s="43"/>
    </row>
    <row r="50" spans="1:8" ht="15" customHeight="1">
      <c r="A50" s="44">
        <f>IF('Members Data'!B50="Errant",'Members Data'!A50,0)</f>
        <v>0</v>
      </c>
      <c r="B50" s="39">
        <f t="shared" si="1"/>
        <v>0</v>
      </c>
      <c r="C50" s="129">
        <f>IF(A50=0,0,'wk1'!I58+'wk2'!I58+'wk3'!I58+'wk4'!I58+'wk5'!I58)</f>
        <v>0</v>
      </c>
      <c r="D50" s="125">
        <f>IF(A50=0,0,'wk1'!J58+'wk2'!J58+'wk3'!J58+'wk4'!J58+'wk5'!J58)</f>
        <v>0</v>
      </c>
      <c r="E50" s="46">
        <f>IF(A50=0,0,'wk1'!K58+'wk2'!K58+'wk3'!K58+'wk4'!K58+'wk5'!K58)</f>
        <v>0</v>
      </c>
      <c r="F50" s="132"/>
      <c r="G50" s="43"/>
      <c r="H50" s="43"/>
    </row>
    <row r="51" spans="1:8" ht="15" hidden="1" customHeight="1">
      <c r="A51" s="44">
        <f>IF('Members Data'!B51="Errant",'Members Data'!A51,0)</f>
        <v>0</v>
      </c>
      <c r="B51" s="39">
        <f t="shared" si="1"/>
        <v>0</v>
      </c>
      <c r="C51" s="129">
        <f>IF(A51=0,0,'wk1'!I59+'wk2'!I59+'wk3'!I59+'wk4'!I59+'wk5'!I59)</f>
        <v>0</v>
      </c>
      <c r="D51" s="125">
        <f>IF(A51=0,0,'wk1'!J59+'wk2'!J59+'wk3'!J59+'wk4'!J59+'wk5'!J59)</f>
        <v>0</v>
      </c>
      <c r="E51" s="46">
        <f>IF(A51=0,0,'wk1'!K59+'wk2'!K59+'wk3'!K59+'wk4'!K59+'wk5'!K59)</f>
        <v>0</v>
      </c>
      <c r="F51" s="132"/>
      <c r="G51" s="43"/>
      <c r="H51" s="43"/>
    </row>
    <row r="52" spans="1:8" ht="15" customHeight="1">
      <c r="A52" s="44" t="str">
        <f>IF('Members Data'!B52="Errant",'Members Data'!A52,0)</f>
        <v>Rhinoru</v>
      </c>
      <c r="B52" s="39">
        <f t="shared" si="1"/>
        <v>0</v>
      </c>
      <c r="C52" s="129">
        <f>IF(A52=0,0,'wk1'!I60+'wk2'!I60+'wk3'!I60+'wk4'!I60+'wk5'!I60)</f>
        <v>0</v>
      </c>
      <c r="D52" s="125">
        <f>IF(A52=0,0,'wk1'!J60+'wk2'!J60+'wk3'!J60+'wk4'!J60+'wk5'!J60)</f>
        <v>0</v>
      </c>
      <c r="E52" s="46">
        <f>IF(A52=0,0,'wk1'!K60+'wk2'!K60+'wk3'!K60+'wk4'!K60+'wk5'!K60)</f>
        <v>0</v>
      </c>
      <c r="F52" s="132"/>
      <c r="G52" s="43"/>
      <c r="H52" s="43"/>
    </row>
    <row r="53" spans="1:8" ht="15" hidden="1" customHeight="1">
      <c r="A53" s="44">
        <f>IF('Members Data'!B53="Errant",'Members Data'!A53,0)</f>
        <v>0</v>
      </c>
      <c r="B53" s="39">
        <f t="shared" si="1"/>
        <v>0</v>
      </c>
      <c r="C53" s="129">
        <f>IF(A53=0,0,'wk1'!I61+'wk2'!I61+'wk3'!I61+'wk4'!I61+'wk5'!I61)</f>
        <v>0</v>
      </c>
      <c r="D53" s="125">
        <f>IF(A53=0,0,'wk1'!J61+'wk2'!J61+'wk3'!J61+'wk4'!J61+'wk5'!J61)</f>
        <v>0</v>
      </c>
      <c r="E53" s="46">
        <f>IF(A53=0,0,'wk1'!K61+'wk2'!K61+'wk3'!K61+'wk4'!K61+'wk5'!K61)</f>
        <v>0</v>
      </c>
      <c r="F53" s="132"/>
      <c r="G53" s="43"/>
      <c r="H53" s="43"/>
    </row>
    <row r="54" spans="1:8" ht="15" hidden="1" customHeight="1">
      <c r="A54" s="44">
        <f>IF('Members Data'!B54="Errant",'Members Data'!A54,0)</f>
        <v>0</v>
      </c>
      <c r="B54" s="39">
        <f t="shared" si="1"/>
        <v>0</v>
      </c>
      <c r="C54" s="129">
        <f>IF(A54=0,0,'wk1'!I62+'wk2'!I62+'wk3'!I62+'wk4'!I62+'wk5'!I62)</f>
        <v>0</v>
      </c>
      <c r="D54" s="125">
        <f>IF(A54=0,0,'wk1'!J62+'wk2'!J62+'wk3'!J62+'wk4'!J62+'wk5'!J62)</f>
        <v>0</v>
      </c>
      <c r="E54" s="46">
        <f>IF(A54=0,0,'wk1'!K62+'wk2'!K62+'wk3'!K62+'wk4'!K62+'wk5'!K62)</f>
        <v>0</v>
      </c>
      <c r="F54" s="132"/>
      <c r="G54" s="43"/>
      <c r="H54" s="43"/>
    </row>
    <row r="55" spans="1:8" ht="15" hidden="1" customHeight="1">
      <c r="A55" s="44">
        <f>IF('Members Data'!B55="Errant",'Members Data'!A55,0)</f>
        <v>0</v>
      </c>
      <c r="B55" s="39">
        <f t="shared" si="1"/>
        <v>0</v>
      </c>
      <c r="C55" s="129">
        <f>IF(A55=0,0,'wk1'!I63+'wk2'!I63+'wk3'!I63+'wk4'!I63+'wk5'!I63)</f>
        <v>0</v>
      </c>
      <c r="D55" s="125">
        <f>IF(A55=0,0,'wk1'!J63+'wk2'!J63+'wk3'!J63+'wk4'!J63+'wk5'!J63)</f>
        <v>0</v>
      </c>
      <c r="E55" s="46">
        <f>IF(A55=0,0,'wk1'!K63+'wk2'!K63+'wk3'!K63+'wk4'!K63+'wk5'!K63)</f>
        <v>0</v>
      </c>
      <c r="F55" s="132"/>
      <c r="G55" s="43"/>
      <c r="H55" s="43"/>
    </row>
    <row r="56" spans="1:8" ht="15" hidden="1" customHeight="1">
      <c r="A56" s="44">
        <f>IF('Members Data'!B56="Errant",'Members Data'!A56,0)</f>
        <v>0</v>
      </c>
      <c r="B56" s="39">
        <f t="shared" si="1"/>
        <v>0</v>
      </c>
      <c r="C56" s="129">
        <f>IF(A56=0,0,'wk1'!I64+'wk2'!I64+'wk3'!I64+'wk4'!I64+'wk5'!I64)</f>
        <v>0</v>
      </c>
      <c r="D56" s="125">
        <f>IF(A56=0,0,'wk1'!J64+'wk2'!J64+'wk3'!J64+'wk4'!J64+'wk5'!J64)</f>
        <v>0</v>
      </c>
      <c r="E56" s="46">
        <f>IF(A56=0,0,'wk1'!K64+'wk2'!K64+'wk3'!K64+'wk4'!K64+'wk5'!K64)</f>
        <v>0</v>
      </c>
      <c r="F56" s="132"/>
      <c r="G56" s="43"/>
      <c r="H56" s="43"/>
    </row>
    <row r="57" spans="1:8" ht="15" customHeight="1">
      <c r="A57" s="44">
        <f>IF('Members Data'!B57="Errant",'Members Data'!A57,0)</f>
        <v>0</v>
      </c>
      <c r="B57" s="39">
        <f t="shared" si="1"/>
        <v>0</v>
      </c>
      <c r="C57" s="129">
        <f>IF(A57=0,0,'wk1'!I65+'wk2'!I65+'wk3'!I65+'wk4'!I65+'wk5'!I65)</f>
        <v>0</v>
      </c>
      <c r="D57" s="125">
        <f>IF(A57=0,0,'wk1'!J65+'wk2'!J65+'wk3'!J65+'wk4'!J65+'wk5'!J65)</f>
        <v>0</v>
      </c>
      <c r="E57" s="46">
        <f>IF(A57=0,0,'wk1'!K65+'wk2'!K65+'wk3'!K65+'wk4'!K65+'wk5'!K65)</f>
        <v>0</v>
      </c>
      <c r="F57" s="132"/>
      <c r="G57" s="43"/>
      <c r="H57" s="43"/>
    </row>
    <row r="58" spans="1:8" ht="15" customHeight="1">
      <c r="A58" s="44" t="str">
        <f>IF('Members Data'!B58="Errant",'Members Data'!A58,0)</f>
        <v>Sidac</v>
      </c>
      <c r="B58" s="39">
        <f t="shared" si="1"/>
        <v>0</v>
      </c>
      <c r="C58" s="129">
        <f>IF(A58=0,0,'wk1'!I66+'wk2'!I66+'wk3'!I66+'wk4'!I66+'wk5'!I66)</f>
        <v>0</v>
      </c>
      <c r="D58" s="125">
        <f>IF(A58=0,0,'wk1'!J66+'wk2'!J66+'wk3'!J66+'wk4'!J66+'wk5'!J66)</f>
        <v>0</v>
      </c>
      <c r="E58" s="46">
        <f>IF(A58=0,0,'wk1'!K66+'wk2'!K66+'wk3'!K66+'wk4'!K66+'wk5'!K66)</f>
        <v>0</v>
      </c>
      <c r="F58" s="132"/>
      <c r="G58" s="43"/>
      <c r="H58" s="43"/>
    </row>
    <row r="59" spans="1:8" ht="15" hidden="1" customHeight="1">
      <c r="A59" s="44">
        <f>IF('Members Data'!B59="Errant",'Members Data'!A59,0)</f>
        <v>0</v>
      </c>
      <c r="B59" s="39">
        <f t="shared" si="1"/>
        <v>0</v>
      </c>
      <c r="C59" s="129">
        <f>IF(A59=0,0,'wk1'!I67+'wk2'!I67+'wk3'!I67+'wk4'!I67+'wk5'!I67)</f>
        <v>0</v>
      </c>
      <c r="D59" s="125">
        <f>IF(A59=0,0,'wk1'!J67+'wk2'!J67+'wk3'!J67+'wk4'!J67+'wk5'!J67)</f>
        <v>0</v>
      </c>
      <c r="E59" s="46">
        <f>IF(A59=0,0,'wk1'!K67+'wk2'!K67+'wk3'!K67+'wk4'!K67+'wk5'!K67)</f>
        <v>0</v>
      </c>
      <c r="F59" s="132"/>
      <c r="G59" s="43"/>
      <c r="H59" s="43"/>
    </row>
    <row r="60" spans="1:8" ht="15" hidden="1" customHeight="1">
      <c r="A60" s="44">
        <f>IF('Members Data'!B60="Errant",'Members Data'!A60,0)</f>
        <v>0</v>
      </c>
      <c r="B60" s="39">
        <f t="shared" si="1"/>
        <v>0</v>
      </c>
      <c r="C60" s="129">
        <f>IF(A60=0,0,'wk1'!I68+'wk2'!I68+'wk3'!I68+'wk4'!I68+'wk5'!I68)</f>
        <v>0</v>
      </c>
      <c r="D60" s="125">
        <f>IF(A60=0,0,'wk1'!J68+'wk2'!J68+'wk3'!J68+'wk4'!J68+'wk5'!J68)</f>
        <v>0</v>
      </c>
      <c r="E60" s="46">
        <f>IF(A60=0,0,'wk1'!K68+'wk2'!K68+'wk3'!K68+'wk4'!K68+'wk5'!K68)</f>
        <v>0</v>
      </c>
      <c r="F60" s="132"/>
      <c r="G60" s="43"/>
      <c r="H60" s="43"/>
    </row>
    <row r="61" spans="1:8" ht="15" hidden="1" customHeight="1" thickBot="1">
      <c r="A61" s="136">
        <f>IF('Members Data'!B61="Errant",'Members Data'!A61,0)</f>
        <v>0</v>
      </c>
      <c r="B61" s="137">
        <f t="shared" si="1"/>
        <v>0</v>
      </c>
      <c r="C61" s="139">
        <f>IF(A61=0,0,'wk1'!I69+'wk2'!I69+'wk3'!I69+'wk4'!I69+'wk5'!I69)</f>
        <v>0</v>
      </c>
      <c r="D61" s="140">
        <f>IF(A61=0,0,'wk1'!J69+'wk2'!J69+'wk3'!J69+'wk4'!J69+'wk5'!J69)</f>
        <v>0</v>
      </c>
      <c r="E61" s="140">
        <f>IF(A61=0,0,'wk1'!K69+'wk2'!K69+'wk3'!K69+'wk4'!K69+'wk5'!K69)</f>
        <v>0</v>
      </c>
      <c r="F61" s="138"/>
      <c r="G61" s="43"/>
      <c r="H61" s="43"/>
    </row>
    <row r="62" spans="1:8" ht="15" hidden="1" customHeight="1" thickTop="1">
      <c r="A62" s="44">
        <f>IF('Members Data'!B62="Errant",'Members Data'!A62,0)</f>
        <v>0</v>
      </c>
      <c r="B62" s="45">
        <f t="shared" si="1"/>
        <v>0</v>
      </c>
      <c r="C62" s="135">
        <f>IF(A62=0,0,'wk1'!I70+'wk2'!I70+'wk3'!I70+'wk4'!I70+'wk5'!I70)</f>
        <v>0</v>
      </c>
      <c r="D62" s="46">
        <f>IF(A62=0,0,'wk1'!J70+'wk2'!J70+'wk3'!J70+'wk4'!J70+'wk5'!J70)</f>
        <v>0</v>
      </c>
      <c r="E62" s="212">
        <f>IF(A62=0,0,'wk1'!K70+'wk2'!K70+'wk3'!K70+'wk4'!K70+'wk5'!K70)</f>
        <v>0</v>
      </c>
      <c r="F62" s="132"/>
      <c r="G62" s="43"/>
      <c r="H62" s="43"/>
    </row>
    <row r="63" spans="1:8" ht="15" customHeight="1">
      <c r="A63" s="44" t="str">
        <f>IF('Members Data'!B63="Errant",'Members Data'!A63,0)</f>
        <v>Tomrexx</v>
      </c>
      <c r="B63" s="39">
        <f t="shared" si="1"/>
        <v>0</v>
      </c>
      <c r="C63" s="129">
        <f>IF(A63=0,0,'wk1'!I71+'wk2'!I71+'wk3'!I71+'wk4'!I71+'wk5'!I71)</f>
        <v>0</v>
      </c>
      <c r="D63" s="125">
        <f>IF(A63=0,0,'wk1'!J71+'wk2'!J71+'wk3'!J71+'wk4'!J71+'wk5'!J71)</f>
        <v>0</v>
      </c>
      <c r="E63" s="46">
        <f>IF(A63=0,0,'wk1'!K71+'wk2'!K71+'wk3'!K71+'wk4'!K71+'wk5'!K71)</f>
        <v>0</v>
      </c>
      <c r="F63" s="132"/>
      <c r="G63" s="43"/>
      <c r="H63" s="43"/>
    </row>
    <row r="64" spans="1:8" ht="15" hidden="1" customHeight="1">
      <c r="A64" s="44">
        <f>IF('Members Data'!B64="Errant",'Members Data'!A64,0)</f>
        <v>0</v>
      </c>
      <c r="B64" s="39">
        <f t="shared" si="1"/>
        <v>0</v>
      </c>
      <c r="C64" s="129">
        <f>IF(A64=0,0,'wk1'!I72+'wk2'!I72+'wk3'!I72+'wk4'!I72+'wk5'!I72)</f>
        <v>0</v>
      </c>
      <c r="D64" s="125">
        <f>IF(A64=0,0,'wk1'!J72+'wk2'!J72+'wk3'!J72+'wk4'!J72+'wk5'!J72)</f>
        <v>0</v>
      </c>
      <c r="E64" s="46">
        <f>IF(A64=0,0,'wk1'!K72+'wk2'!K72+'wk3'!K72+'wk4'!K72+'wk5'!K72)</f>
        <v>0</v>
      </c>
      <c r="F64" s="132"/>
      <c r="G64" s="43"/>
      <c r="H64" s="43"/>
    </row>
    <row r="65" spans="1:8" ht="15" hidden="1" customHeight="1">
      <c r="A65" s="44">
        <f>IF('Members Data'!B65="Errant",'Members Data'!A65,0)</f>
        <v>0</v>
      </c>
      <c r="B65" s="39">
        <f t="shared" si="1"/>
        <v>0</v>
      </c>
      <c r="C65" s="129">
        <f>IF(A65=0,0,'wk1'!I73+'wk2'!I73+'wk3'!I73+'wk4'!I73+'wk5'!I73)</f>
        <v>0</v>
      </c>
      <c r="D65" s="125">
        <f>IF(A65=0,0,'wk1'!J73+'wk2'!J73+'wk3'!J73+'wk4'!J73+'wk5'!J73)</f>
        <v>0</v>
      </c>
      <c r="E65" s="46">
        <f>IF(A65=0,0,'wk1'!K73+'wk2'!K73+'wk3'!K73+'wk4'!K73+'wk5'!K73)</f>
        <v>0</v>
      </c>
      <c r="F65" s="132"/>
      <c r="G65" s="43"/>
      <c r="H65" s="43"/>
    </row>
    <row r="66" spans="1:8" ht="15" hidden="1" customHeight="1">
      <c r="A66" s="44">
        <f>IF('Members Data'!B66="Errant",'Members Data'!A66,0)</f>
        <v>0</v>
      </c>
      <c r="B66" s="39">
        <f t="shared" ref="B66:B97" si="2">IF(A66=0,0,C66+D66)</f>
        <v>0</v>
      </c>
      <c r="C66" s="129">
        <f>IF(A66=0,0,'wk1'!I74+'wk2'!I74+'wk3'!I74+'wk4'!I74+'wk5'!I74)</f>
        <v>0</v>
      </c>
      <c r="D66" s="125">
        <f>IF(A66=0,0,'wk1'!J74+'wk2'!J74+'wk3'!J74+'wk4'!J74+'wk5'!J74)</f>
        <v>0</v>
      </c>
      <c r="E66" s="46">
        <f>IF(A66=0,0,'wk1'!K74+'wk2'!K74+'wk3'!K74+'wk4'!K74+'wk5'!K74)</f>
        <v>0</v>
      </c>
      <c r="F66" s="132"/>
      <c r="G66" s="43"/>
      <c r="H66" s="43"/>
    </row>
    <row r="67" spans="1:8" ht="15" hidden="1" customHeight="1">
      <c r="A67" s="44">
        <f>IF('Members Data'!B67="Errant",'Members Data'!A67,0)</f>
        <v>0</v>
      </c>
      <c r="B67" s="39">
        <f t="shared" si="2"/>
        <v>0</v>
      </c>
      <c r="C67" s="129">
        <f>IF(A67=0,0,'wk1'!I75+'wk2'!I75+'wk3'!I75+'wk4'!I75+'wk5'!I75)</f>
        <v>0</v>
      </c>
      <c r="D67" s="125">
        <f>IF(A67=0,0,'wk1'!J75+'wk2'!J75+'wk3'!J75+'wk4'!J75+'wk5'!J75)</f>
        <v>0</v>
      </c>
      <c r="E67" s="46">
        <f>IF(A67=0,0,'wk1'!K75+'wk2'!K75+'wk3'!K75+'wk4'!K75+'wk5'!K75)</f>
        <v>0</v>
      </c>
      <c r="F67" s="132"/>
      <c r="G67" s="43"/>
      <c r="H67" s="43"/>
    </row>
    <row r="68" spans="1:8" ht="15" customHeight="1">
      <c r="A68" s="44">
        <f>IF('Members Data'!B68="Errant",'Members Data'!A68,0)</f>
        <v>0</v>
      </c>
      <c r="B68" s="39">
        <f t="shared" si="2"/>
        <v>0</v>
      </c>
      <c r="C68" s="129">
        <f>IF(A68=0,0,'wk1'!I76+'wk2'!I76+'wk3'!I76+'wk4'!I76+'wk5'!I76)</f>
        <v>0</v>
      </c>
      <c r="D68" s="125">
        <f>IF(A68=0,0,'wk1'!J76+'wk2'!J76+'wk3'!J76+'wk4'!J76+'wk5'!J76)</f>
        <v>0</v>
      </c>
      <c r="E68" s="46">
        <f>IF(A68=0,0,'wk1'!K76+'wk2'!K76+'wk3'!K76+'wk4'!K76+'wk5'!K76)</f>
        <v>0</v>
      </c>
      <c r="F68" s="132"/>
      <c r="G68" s="43"/>
      <c r="H68" s="43"/>
    </row>
    <row r="69" spans="1:8" ht="15" hidden="1" customHeight="1">
      <c r="A69" s="44">
        <f>IF('Members Data'!B69="Errant",'Members Data'!A69,0)</f>
        <v>0</v>
      </c>
      <c r="B69" s="39">
        <f t="shared" si="2"/>
        <v>0</v>
      </c>
      <c r="C69" s="129">
        <f>IF(A69=0,0,'wk1'!I77+'wk2'!I77+'wk3'!I77+'wk4'!I77+'wk5'!I77)</f>
        <v>0</v>
      </c>
      <c r="D69" s="125">
        <f>IF(A69=0,0,'wk1'!J77+'wk2'!J77+'wk3'!J77+'wk4'!J77+'wk5'!J77)</f>
        <v>0</v>
      </c>
      <c r="E69" s="46">
        <f>IF(A69=0,0,'wk1'!K77+'wk2'!K77+'wk3'!K77+'wk4'!K77+'wk5'!K77)</f>
        <v>0</v>
      </c>
      <c r="F69" s="132"/>
      <c r="G69" s="43"/>
      <c r="H69" s="43"/>
    </row>
    <row r="70" spans="1:8" ht="15" customHeight="1">
      <c r="A70" s="44">
        <f>IF('Members Data'!B70="Errant",'Members Data'!A70,0)</f>
        <v>0</v>
      </c>
      <c r="B70" s="39">
        <f t="shared" si="2"/>
        <v>0</v>
      </c>
      <c r="C70" s="129">
        <f>IF(A70=0,0,'wk1'!I78+'wk2'!I78+'wk3'!I78+'wk4'!I78+'wk5'!I78)</f>
        <v>0</v>
      </c>
      <c r="D70" s="125">
        <f>IF(A70=0,0,'wk1'!J78+'wk2'!J78+'wk3'!J78+'wk4'!J78+'wk5'!J78)</f>
        <v>0</v>
      </c>
      <c r="E70" s="46">
        <f>IF(A70=0,0,'wk1'!K78+'wk2'!K78+'wk3'!K78+'wk4'!K78+'wk5'!K78)</f>
        <v>0</v>
      </c>
      <c r="F70" s="132"/>
      <c r="G70" s="43"/>
      <c r="H70" s="43"/>
    </row>
    <row r="71" spans="1:8" ht="15" hidden="1" customHeight="1">
      <c r="A71" s="44">
        <f>IF('Members Data'!B71="Errant",'Members Data'!A71,0)</f>
        <v>0</v>
      </c>
      <c r="B71" s="39">
        <f t="shared" si="2"/>
        <v>0</v>
      </c>
      <c r="C71" s="129">
        <f>IF(A71=0,0,'wk1'!I79+'wk2'!I79+'wk3'!I79+'wk4'!I79+'wk5'!I79)</f>
        <v>0</v>
      </c>
      <c r="D71" s="125">
        <f>IF(A71=0,0,'wk1'!J79+'wk2'!J79+'wk3'!J79+'wk4'!J79+'wk5'!J79)</f>
        <v>0</v>
      </c>
      <c r="E71" s="46">
        <f>IF(A71=0,0,'wk1'!K79+'wk2'!K79+'wk3'!K79+'wk4'!K79+'wk5'!K79)</f>
        <v>0</v>
      </c>
      <c r="F71" s="132"/>
      <c r="G71" s="43"/>
      <c r="H71" s="43"/>
    </row>
    <row r="72" spans="1:8" ht="15" hidden="1" customHeight="1">
      <c r="A72" s="44">
        <f>IF('Members Data'!B72="Errant",'Members Data'!A72,0)</f>
        <v>0</v>
      </c>
      <c r="B72" s="39">
        <f t="shared" si="2"/>
        <v>0</v>
      </c>
      <c r="C72" s="129">
        <f>IF(A72=0,0,'wk1'!I80+'wk2'!I80+'wk3'!I80+'wk4'!I80+'wk5'!I80)</f>
        <v>0</v>
      </c>
      <c r="D72" s="125">
        <f>IF(A72=0,0,'wk1'!J80+'wk2'!J80+'wk3'!J80+'wk4'!J80+'wk5'!J80)</f>
        <v>0</v>
      </c>
      <c r="E72" s="46">
        <f>IF(A72=0,0,'wk1'!K80+'wk2'!K80+'wk3'!K80+'wk4'!K80+'wk5'!K80)</f>
        <v>0</v>
      </c>
      <c r="F72" s="132"/>
      <c r="G72" s="43"/>
      <c r="H72" s="43"/>
    </row>
    <row r="73" spans="1:8" ht="15" customHeight="1" thickBot="1">
      <c r="A73" s="44">
        <f>IF('Members Data'!B73="Errant",'Members Data'!A73,0)</f>
        <v>0</v>
      </c>
      <c r="B73" s="39">
        <f t="shared" si="2"/>
        <v>0</v>
      </c>
      <c r="C73" s="129">
        <f>IF(A73=0,0,'wk1'!I81+'wk2'!I81+'wk3'!I81+'wk4'!I81+'wk5'!I81)</f>
        <v>0</v>
      </c>
      <c r="D73" s="125">
        <f>IF(A73=0,0,'wk1'!J81+'wk2'!J81+'wk3'!J81+'wk4'!J81+'wk5'!J81)</f>
        <v>0</v>
      </c>
      <c r="E73" s="46">
        <f>IF(A73=0,0,'wk1'!K81+'wk2'!K81+'wk3'!K81+'wk4'!K81+'wk5'!K81)</f>
        <v>0</v>
      </c>
      <c r="F73" s="132"/>
      <c r="G73" s="43"/>
      <c r="H73" s="43"/>
    </row>
    <row r="74" spans="1:8" ht="15" hidden="1" customHeight="1">
      <c r="A74" s="44">
        <f>IF('Members Data'!B74="Errant",'Members Data'!A74,0)</f>
        <v>0</v>
      </c>
      <c r="B74" s="39">
        <f t="shared" si="2"/>
        <v>0</v>
      </c>
      <c r="C74" s="129">
        <f>IF(A74=0,0,'wk1'!I82+'wk2'!I82+'wk3'!I82+'wk4'!I82+'wk5'!I82)</f>
        <v>0</v>
      </c>
      <c r="D74" s="125">
        <f>IF(A74=0,0,'wk1'!J82+'wk2'!J82+'wk3'!J82+'wk4'!J82+'wk5'!J82)</f>
        <v>0</v>
      </c>
      <c r="E74" s="46">
        <f>IF(A74=0,0,'wk1'!K82+'wk2'!K82+'wk3'!K82+'wk4'!K82+'wk5'!K82)</f>
        <v>0</v>
      </c>
      <c r="F74" s="132"/>
      <c r="G74" s="43"/>
      <c r="H74" s="43"/>
    </row>
    <row r="75" spans="1:8" ht="15" hidden="1" customHeight="1">
      <c r="A75" s="44">
        <f>IF('Members Data'!B75="Errant",'Members Data'!A75,0)</f>
        <v>0</v>
      </c>
      <c r="B75" s="39">
        <f t="shared" si="2"/>
        <v>0</v>
      </c>
      <c r="C75" s="129">
        <f>IF(A75=0,0,'wk1'!I83+'wk2'!I83+'wk3'!I83+'wk4'!I83+'wk5'!I83)</f>
        <v>0</v>
      </c>
      <c r="D75" s="125">
        <f>IF(A75=0,0,'wk1'!J83+'wk2'!J83+'wk3'!J83+'wk4'!J83+'wk5'!J83)</f>
        <v>0</v>
      </c>
      <c r="E75" s="46">
        <f>IF(A75=0,0,'wk1'!K83+'wk2'!K83+'wk3'!K83+'wk4'!K83+'wk5'!K83)</f>
        <v>0</v>
      </c>
      <c r="F75" s="132"/>
      <c r="G75" s="43"/>
      <c r="H75" s="43"/>
    </row>
    <row r="76" spans="1:8" ht="15" hidden="1" customHeight="1">
      <c r="A76" s="44">
        <f>IF('Members Data'!B76="Errant",'Members Data'!A76,0)</f>
        <v>0</v>
      </c>
      <c r="B76" s="39">
        <f t="shared" si="2"/>
        <v>0</v>
      </c>
      <c r="C76" s="129">
        <f>IF(A76=0,0,'wk1'!I84+'wk2'!I84+'wk3'!I84+'wk4'!I84+'wk5'!I84)</f>
        <v>0</v>
      </c>
      <c r="D76" s="125">
        <f>IF(A76=0,0,'wk1'!J84+'wk2'!J84+'wk3'!J84+'wk4'!J84+'wk5'!J84)</f>
        <v>0</v>
      </c>
      <c r="E76" s="46">
        <f>IF(A76=0,0,'wk1'!K84+'wk2'!K84+'wk3'!K84+'wk4'!K84+'wk5'!K84)</f>
        <v>0</v>
      </c>
      <c r="F76" s="132"/>
      <c r="G76" s="43"/>
      <c r="H76" s="43"/>
    </row>
    <row r="77" spans="1:8" ht="15" hidden="1" customHeight="1">
      <c r="A77" s="44">
        <f>IF('Members Data'!B77="Errant",'Members Data'!A77,0)</f>
        <v>0</v>
      </c>
      <c r="B77" s="39">
        <f t="shared" si="2"/>
        <v>0</v>
      </c>
      <c r="C77" s="129">
        <f>IF(A77=0,0,'wk1'!I85+'wk2'!I85+'wk3'!I85+'wk4'!I85+'wk5'!I85)</f>
        <v>0</v>
      </c>
      <c r="D77" s="125">
        <f>IF(A77=0,0,'wk1'!J85+'wk2'!J85+'wk3'!J85+'wk4'!J85+'wk5'!J85)</f>
        <v>0</v>
      </c>
      <c r="E77" s="46">
        <f>IF(A77=0,0,'wk1'!K85+'wk2'!K85+'wk3'!K85+'wk4'!K85+'wk5'!K85)</f>
        <v>0</v>
      </c>
      <c r="F77" s="132"/>
      <c r="G77" s="43"/>
      <c r="H77" s="43"/>
    </row>
    <row r="78" spans="1:8" ht="15" hidden="1" customHeight="1">
      <c r="A78" s="44">
        <f>IF('Members Data'!B78="Errant",'Members Data'!A78,0)</f>
        <v>0</v>
      </c>
      <c r="B78" s="39">
        <f t="shared" si="2"/>
        <v>0</v>
      </c>
      <c r="C78" s="129">
        <f>IF(A78=0,0,'wk1'!I86+'wk2'!I86+'wk3'!I86+'wk4'!I86+'wk5'!I86)</f>
        <v>0</v>
      </c>
      <c r="D78" s="125">
        <f>IF(A78=0,0,'wk1'!J86+'wk2'!J86+'wk3'!J86+'wk4'!J86+'wk5'!J86)</f>
        <v>0</v>
      </c>
      <c r="E78" s="46">
        <f>IF(A78=0,0,'wk1'!K86+'wk2'!K86+'wk3'!K86+'wk4'!K86+'wk5'!K86)</f>
        <v>0</v>
      </c>
      <c r="F78" s="132"/>
      <c r="G78" s="43"/>
      <c r="H78" s="43"/>
    </row>
    <row r="79" spans="1:8" ht="15" hidden="1" customHeight="1">
      <c r="A79" s="44">
        <f>IF('Members Data'!B79="Errant",'Members Data'!A79,0)</f>
        <v>0</v>
      </c>
      <c r="B79" s="39">
        <f t="shared" si="2"/>
        <v>0</v>
      </c>
      <c r="C79" s="129">
        <f>IF(A79=0,0,'wk1'!I87+'wk2'!I87+'wk3'!I87+'wk4'!I87+'wk5'!I87)</f>
        <v>0</v>
      </c>
      <c r="D79" s="125">
        <f>IF(A79=0,0,'wk1'!J87+'wk2'!J87+'wk3'!J87+'wk4'!J87+'wk5'!J87)</f>
        <v>0</v>
      </c>
      <c r="E79" s="46">
        <f>IF(A79=0,0,'wk1'!K87+'wk2'!K87+'wk3'!K87+'wk4'!K87+'wk5'!K87)</f>
        <v>0</v>
      </c>
      <c r="F79" s="132"/>
      <c r="G79" s="43"/>
      <c r="H79" s="43"/>
    </row>
    <row r="80" spans="1:8" ht="15" hidden="1" customHeight="1">
      <c r="A80" s="44">
        <f>IF('Members Data'!B80="Errant",'Members Data'!A80,0)</f>
        <v>0</v>
      </c>
      <c r="B80" s="39">
        <f t="shared" si="2"/>
        <v>0</v>
      </c>
      <c r="C80" s="129">
        <f>IF(A80=0,0,'wk1'!I88+'wk2'!I88+'wk3'!I88+'wk4'!I88+'wk5'!I88)</f>
        <v>0</v>
      </c>
      <c r="D80" s="125">
        <f>IF(A80=0,0,'wk1'!J88+'wk2'!J88+'wk3'!J88+'wk4'!J88+'wk5'!J88)</f>
        <v>0</v>
      </c>
      <c r="E80" s="46">
        <f>IF(A80=0,0,'wk1'!K88+'wk2'!K88+'wk3'!K88+'wk4'!K88+'wk5'!K88)</f>
        <v>0</v>
      </c>
      <c r="F80" s="132"/>
      <c r="G80" s="43"/>
      <c r="H80" s="43"/>
    </row>
    <row r="81" spans="1:8" ht="15" hidden="1" customHeight="1">
      <c r="A81" s="44">
        <f>IF('Members Data'!B81="Errant",'Members Data'!A81,0)</f>
        <v>0</v>
      </c>
      <c r="B81" s="39">
        <f t="shared" si="2"/>
        <v>0</v>
      </c>
      <c r="C81" s="129">
        <f>IF(A81=0,0,'wk1'!I89+'wk2'!I89+'wk3'!I89+'wk4'!I89+'wk5'!I89)</f>
        <v>0</v>
      </c>
      <c r="D81" s="125">
        <f>IF(A81=0,0,'wk1'!J89+'wk2'!J89+'wk3'!J89+'wk4'!J89+'wk5'!J89)</f>
        <v>0</v>
      </c>
      <c r="E81" s="46">
        <f>IF(A81=0,0,'wk1'!K89+'wk2'!K89+'wk3'!K89+'wk4'!K89+'wk5'!K89)</f>
        <v>0</v>
      </c>
      <c r="F81" s="132"/>
      <c r="G81" s="43"/>
      <c r="H81" s="43"/>
    </row>
    <row r="82" spans="1:8" ht="15" hidden="1" customHeight="1">
      <c r="A82" s="44">
        <f>IF('Members Data'!B82="Errant",'Members Data'!A82,0)</f>
        <v>0</v>
      </c>
      <c r="B82" s="39">
        <f t="shared" si="2"/>
        <v>0</v>
      </c>
      <c r="C82" s="129">
        <f>IF(A82=0,0,'wk1'!I90+'wk2'!I90+'wk3'!I90+'wk4'!I90+'wk5'!I90)</f>
        <v>0</v>
      </c>
      <c r="D82" s="125">
        <f>IF(A82=0,0,'wk1'!J90+'wk2'!J90+'wk3'!J90+'wk4'!J90+'wk5'!J90)</f>
        <v>0</v>
      </c>
      <c r="E82" s="46">
        <f>IF(A82=0,0,'wk1'!K90+'wk2'!K90+'wk3'!K90+'wk4'!K90+'wk5'!K90)</f>
        <v>0</v>
      </c>
      <c r="F82" s="132"/>
      <c r="G82" s="43"/>
      <c r="H82" s="43"/>
    </row>
    <row r="83" spans="1:8" ht="15" hidden="1" customHeight="1">
      <c r="A83" s="44">
        <f>IF('Members Data'!B83="Errant",'Members Data'!A83,0)</f>
        <v>0</v>
      </c>
      <c r="B83" s="39">
        <f t="shared" si="2"/>
        <v>0</v>
      </c>
      <c r="C83" s="129">
        <f>IF(A83=0,0,'wk1'!I91+'wk2'!I91+'wk3'!I91+'wk4'!I91+'wk5'!I91)</f>
        <v>0</v>
      </c>
      <c r="D83" s="125">
        <f>IF(A83=0,0,'wk1'!J91+'wk2'!J91+'wk3'!J91+'wk4'!J91+'wk5'!J91)</f>
        <v>0</v>
      </c>
      <c r="E83" s="46">
        <f>IF(A83=0,0,'wk1'!K91+'wk2'!K91+'wk3'!K91+'wk4'!K91+'wk5'!K91)</f>
        <v>0</v>
      </c>
      <c r="F83" s="132"/>
      <c r="G83" s="43"/>
      <c r="H83" s="43"/>
    </row>
    <row r="84" spans="1:8" ht="15" hidden="1" customHeight="1">
      <c r="A84" s="44">
        <f>IF('Members Data'!B84="Errant",'Members Data'!A84,0)</f>
        <v>0</v>
      </c>
      <c r="B84" s="39">
        <f t="shared" si="2"/>
        <v>0</v>
      </c>
      <c r="C84" s="129">
        <f>IF(A84=0,0,'wk1'!I92+'wk2'!I92+'wk3'!I92+'wk4'!I92+'wk5'!I92)</f>
        <v>0</v>
      </c>
      <c r="D84" s="125">
        <f>IF(A84=0,0,'wk1'!J92+'wk2'!J92+'wk3'!J92+'wk4'!J92+'wk5'!J92)</f>
        <v>0</v>
      </c>
      <c r="E84" s="46">
        <f>IF(A84=0,0,'wk1'!K92+'wk2'!K92+'wk3'!K92+'wk4'!K92+'wk5'!K92)</f>
        <v>0</v>
      </c>
      <c r="F84" s="132"/>
      <c r="G84" s="43"/>
      <c r="H84" s="43"/>
    </row>
    <row r="85" spans="1:8" ht="15" hidden="1" customHeight="1">
      <c r="A85" s="44">
        <f>IF('Members Data'!B85="Errant",'Members Data'!A85,0)</f>
        <v>0</v>
      </c>
      <c r="B85" s="39">
        <f t="shared" si="2"/>
        <v>0</v>
      </c>
      <c r="C85" s="129">
        <f>IF(A85=0,0,'wk1'!I93+'wk2'!I93+'wk3'!I93+'wk4'!I93+'wk5'!I93)</f>
        <v>0</v>
      </c>
      <c r="D85" s="125">
        <f>IF(A85=0,0,'wk1'!J93+'wk2'!J93+'wk3'!J93+'wk4'!J93+'wk5'!J93)</f>
        <v>0</v>
      </c>
      <c r="E85" s="46">
        <f>IF(A85=0,0,'wk1'!K93+'wk2'!K93+'wk3'!K93+'wk4'!K93+'wk5'!K93)</f>
        <v>0</v>
      </c>
      <c r="F85" s="132"/>
      <c r="G85" s="43"/>
      <c r="H85" s="43"/>
    </row>
    <row r="86" spans="1:8" ht="15" hidden="1" customHeight="1">
      <c r="A86" s="44">
        <f>IF('Members Data'!B86="Errant",'Members Data'!A86,0)</f>
        <v>0</v>
      </c>
      <c r="B86" s="39">
        <f t="shared" si="2"/>
        <v>0</v>
      </c>
      <c r="C86" s="129">
        <f>IF(A86=0,0,'wk1'!I94+'wk2'!I94+'wk3'!I94+'wk4'!I94+'wk5'!I94)</f>
        <v>0</v>
      </c>
      <c r="D86" s="125">
        <f>IF(A86=0,0,'wk1'!J94+'wk2'!J94+'wk3'!J94+'wk4'!J94+'wk5'!J94)</f>
        <v>0</v>
      </c>
      <c r="E86" s="46">
        <f>IF(A86=0,0,'wk1'!K94+'wk2'!K94+'wk3'!K94+'wk4'!K94+'wk5'!K94)</f>
        <v>0</v>
      </c>
      <c r="F86" s="132"/>
      <c r="G86" s="43"/>
      <c r="H86" s="43"/>
    </row>
    <row r="87" spans="1:8" ht="15" hidden="1" customHeight="1">
      <c r="A87" s="44">
        <f>IF('Members Data'!B87="Errant",'Members Data'!A87,0)</f>
        <v>0</v>
      </c>
      <c r="B87" s="39">
        <f t="shared" si="2"/>
        <v>0</v>
      </c>
      <c r="C87" s="129">
        <f>IF(A87=0,0,'wk1'!I95+'wk2'!I95+'wk3'!I95+'wk4'!I95+'wk5'!I95)</f>
        <v>0</v>
      </c>
      <c r="D87" s="125">
        <f>IF(A87=0,0,'wk1'!J95+'wk2'!J95+'wk3'!J95+'wk4'!J95+'wk5'!J95)</f>
        <v>0</v>
      </c>
      <c r="E87" s="46">
        <f>IF(A87=0,0,'wk1'!K95+'wk2'!K95+'wk3'!K95+'wk4'!K95+'wk5'!K95)</f>
        <v>0</v>
      </c>
      <c r="F87" s="132"/>
      <c r="G87" s="43"/>
      <c r="H87" s="43"/>
    </row>
    <row r="88" spans="1:8" ht="15" hidden="1" customHeight="1">
      <c r="A88" s="44">
        <f>IF('Members Data'!B88="Errant",'Members Data'!A88,0)</f>
        <v>0</v>
      </c>
      <c r="B88" s="39">
        <f t="shared" si="2"/>
        <v>0</v>
      </c>
      <c r="C88" s="129">
        <f>IF(A88=0,0,'wk1'!I96+'wk2'!I96+'wk3'!I96+'wk4'!I96+'wk5'!I96)</f>
        <v>0</v>
      </c>
      <c r="D88" s="125">
        <f>IF(A88=0,0,'wk1'!J96+'wk2'!J96+'wk3'!J96+'wk4'!J96+'wk5'!J96)</f>
        <v>0</v>
      </c>
      <c r="E88" s="46">
        <f>IF(A88=0,0,'wk1'!K96+'wk2'!K96+'wk3'!K96+'wk4'!K96+'wk5'!K96)</f>
        <v>0</v>
      </c>
      <c r="F88" s="132"/>
      <c r="G88" s="43"/>
      <c r="H88" s="43"/>
    </row>
    <row r="89" spans="1:8" ht="15" hidden="1" customHeight="1">
      <c r="A89" s="44">
        <f>IF('Members Data'!B89="Errant",'Members Data'!A89,0)</f>
        <v>0</v>
      </c>
      <c r="B89" s="39">
        <f t="shared" si="2"/>
        <v>0</v>
      </c>
      <c r="C89" s="129">
        <f>IF(A89=0,0,'wk1'!I97+'wk2'!I97+'wk3'!I97+'wk4'!I97+'wk5'!I97)</f>
        <v>0</v>
      </c>
      <c r="D89" s="125">
        <f>IF(A89=0,0,'wk1'!J97+'wk2'!J97+'wk3'!J97+'wk4'!J97+'wk5'!J97)</f>
        <v>0</v>
      </c>
      <c r="E89" s="46">
        <f>IF(A89=0,0,'wk1'!K97+'wk2'!K97+'wk3'!K97+'wk4'!K97+'wk5'!K97)</f>
        <v>0</v>
      </c>
      <c r="F89" s="132"/>
      <c r="G89" s="43"/>
      <c r="H89" s="43"/>
    </row>
    <row r="90" spans="1:8" ht="15" hidden="1" customHeight="1">
      <c r="A90" s="44">
        <f>IF('Members Data'!B90="Errant",'Members Data'!A90,0)</f>
        <v>0</v>
      </c>
      <c r="B90" s="39">
        <f t="shared" si="2"/>
        <v>0</v>
      </c>
      <c r="C90" s="129">
        <f>IF(A90=0,0,'wk1'!I98+'wk2'!I98+'wk3'!I98+'wk4'!I98+'wk5'!I98)</f>
        <v>0</v>
      </c>
      <c r="D90" s="125">
        <f>IF(A90=0,0,'wk1'!J98+'wk2'!J98+'wk3'!J98+'wk4'!J98+'wk5'!J98)</f>
        <v>0</v>
      </c>
      <c r="E90" s="46">
        <f>IF(A90=0,0,'wk1'!K98+'wk2'!K98+'wk3'!K98+'wk4'!K98+'wk5'!K98)</f>
        <v>0</v>
      </c>
      <c r="F90" s="132"/>
      <c r="G90" s="43"/>
      <c r="H90" s="43"/>
    </row>
    <row r="91" spans="1:8" ht="15" hidden="1" customHeight="1">
      <c r="A91" s="44">
        <f>IF('Members Data'!B91="Errant",'Members Data'!A91,0)</f>
        <v>0</v>
      </c>
      <c r="B91" s="39">
        <f t="shared" si="2"/>
        <v>0</v>
      </c>
      <c r="C91" s="129">
        <f>IF(A91=0,0,'wk1'!I99+'wk2'!I99+'wk3'!I99+'wk4'!I99+'wk5'!I99)</f>
        <v>0</v>
      </c>
      <c r="D91" s="125">
        <f>IF(A91=0,0,'wk1'!J99+'wk2'!J99+'wk3'!J99+'wk4'!J99+'wk5'!J99)</f>
        <v>0</v>
      </c>
      <c r="E91" s="46">
        <f>IF(A91=0,0,'wk1'!K99+'wk2'!K99+'wk3'!K99+'wk4'!K99+'wk5'!K99)</f>
        <v>0</v>
      </c>
      <c r="F91" s="132"/>
      <c r="G91" s="43"/>
      <c r="H91" s="43"/>
    </row>
    <row r="92" spans="1:8" ht="15" hidden="1" customHeight="1">
      <c r="A92" s="44">
        <f>IF('Members Data'!B92="Errant",'Members Data'!A92,0)</f>
        <v>0</v>
      </c>
      <c r="B92" s="39">
        <f t="shared" si="2"/>
        <v>0</v>
      </c>
      <c r="C92" s="129">
        <f>IF(A92=0,0,'wk1'!I100+'wk2'!I100+'wk3'!I100+'wk4'!I100+'wk5'!I100)</f>
        <v>0</v>
      </c>
      <c r="D92" s="125">
        <f>IF(A92=0,0,'wk1'!J100+'wk2'!J100+'wk3'!J100+'wk4'!J100+'wk5'!J100)</f>
        <v>0</v>
      </c>
      <c r="E92" s="46">
        <f>IF(A92=0,0,'wk1'!K100+'wk2'!K100+'wk3'!K100+'wk4'!K100+'wk5'!K100)</f>
        <v>0</v>
      </c>
      <c r="F92" s="132"/>
      <c r="G92" s="43"/>
      <c r="H92" s="43"/>
    </row>
    <row r="93" spans="1:8" ht="15" hidden="1" customHeight="1">
      <c r="A93" s="44">
        <f>IF('Members Data'!B93="Errant",'Members Data'!A93,0)</f>
        <v>0</v>
      </c>
      <c r="B93" s="39">
        <f t="shared" si="2"/>
        <v>0</v>
      </c>
      <c r="C93" s="129">
        <f>IF(A93=0,0,'wk1'!I101+'wk2'!I101+'wk3'!I101+'wk4'!I101+'wk5'!I101)</f>
        <v>0</v>
      </c>
      <c r="D93" s="125">
        <f>IF(A93=0,0,'wk1'!J101+'wk2'!J101+'wk3'!J101+'wk4'!J101+'wk5'!J101)</f>
        <v>0</v>
      </c>
      <c r="E93" s="46">
        <f>IF(A93=0,0,'wk1'!K101+'wk2'!K101+'wk3'!K101+'wk4'!K101+'wk5'!K101)</f>
        <v>0</v>
      </c>
      <c r="F93" s="132"/>
      <c r="G93" s="43"/>
      <c r="H93" s="43"/>
    </row>
    <row r="94" spans="1:8" ht="15" hidden="1" customHeight="1">
      <c r="A94" s="44">
        <f>IF('Members Data'!B94="Errant",'Members Data'!A94,0)</f>
        <v>0</v>
      </c>
      <c r="B94" s="39">
        <f t="shared" si="2"/>
        <v>0</v>
      </c>
      <c r="C94" s="129">
        <f>IF(A94=0,0,'wk1'!I102+'wk2'!I102+'wk3'!I102+'wk4'!I102+'wk5'!I102)</f>
        <v>0</v>
      </c>
      <c r="D94" s="125">
        <f>IF(A94=0,0,'wk1'!J102+'wk2'!J102+'wk3'!J102+'wk4'!J102+'wk5'!J102)</f>
        <v>0</v>
      </c>
      <c r="E94" s="46">
        <f>IF(A94=0,0,'wk1'!K102+'wk2'!K102+'wk3'!K102+'wk4'!K102+'wk5'!K102)</f>
        <v>0</v>
      </c>
      <c r="F94" s="132"/>
      <c r="G94" s="43"/>
      <c r="H94" s="43"/>
    </row>
    <row r="95" spans="1:8" ht="15" hidden="1" customHeight="1">
      <c r="A95" s="44">
        <f>IF('Members Data'!B95="Errant",'Members Data'!A95,0)</f>
        <v>0</v>
      </c>
      <c r="B95" s="39">
        <f t="shared" si="2"/>
        <v>0</v>
      </c>
      <c r="C95" s="129">
        <f>IF(A95=0,0,'wk1'!I103+'wk2'!I103+'wk3'!I103+'wk4'!I103+'wk5'!I103)</f>
        <v>0</v>
      </c>
      <c r="D95" s="125">
        <f>IF(A95=0,0,'wk1'!J103+'wk2'!J103+'wk3'!J103+'wk4'!J103+'wk5'!J103)</f>
        <v>0</v>
      </c>
      <c r="E95" s="46">
        <f>IF(A95=0,0,'wk1'!K103+'wk2'!K103+'wk3'!K103+'wk4'!K103+'wk5'!K103)</f>
        <v>0</v>
      </c>
      <c r="F95" s="132"/>
      <c r="G95" s="43"/>
      <c r="H95" s="43"/>
    </row>
    <row r="96" spans="1:8" ht="15" hidden="1" customHeight="1">
      <c r="A96" s="44">
        <f>IF('Members Data'!B96="Errant",'Members Data'!A96,0)</f>
        <v>0</v>
      </c>
      <c r="B96" s="39">
        <f t="shared" si="2"/>
        <v>0</v>
      </c>
      <c r="C96" s="129">
        <f>IF(A96=0,0,'wk1'!I104+'wk2'!I104+'wk3'!I104+'wk4'!I104+'wk5'!I104)</f>
        <v>0</v>
      </c>
      <c r="D96" s="125">
        <f>IF(A96=0,0,'wk1'!J104+'wk2'!J104+'wk3'!J104+'wk4'!J104+'wk5'!J104)</f>
        <v>0</v>
      </c>
      <c r="E96" s="46">
        <f>IF(A96=0,0,'wk1'!K104+'wk2'!K104+'wk3'!K104+'wk4'!K104+'wk5'!K104)</f>
        <v>0</v>
      </c>
      <c r="F96" s="132"/>
      <c r="G96" s="43"/>
      <c r="H96" s="43"/>
    </row>
    <row r="97" spans="1:8" ht="15" hidden="1" customHeight="1">
      <c r="A97" s="44">
        <f>IF('Members Data'!B97="Errant",'Members Data'!A97,0)</f>
        <v>0</v>
      </c>
      <c r="B97" s="39">
        <f t="shared" si="2"/>
        <v>0</v>
      </c>
      <c r="C97" s="129">
        <f>IF(A97=0,0,'wk1'!I105+'wk2'!I105+'wk3'!I105+'wk4'!I105+'wk5'!I105)</f>
        <v>0</v>
      </c>
      <c r="D97" s="125">
        <f>IF(A97=0,0,'wk1'!J105+'wk2'!J105+'wk3'!J105+'wk4'!J105+'wk5'!J105)</f>
        <v>0</v>
      </c>
      <c r="E97" s="46">
        <f>IF(A97=0,0,'wk1'!K105+'wk2'!K105+'wk3'!K105+'wk4'!K105+'wk5'!K105)</f>
        <v>0</v>
      </c>
      <c r="F97" s="132"/>
      <c r="G97" s="43"/>
      <c r="H97" s="43"/>
    </row>
    <row r="98" spans="1:8" ht="15" hidden="1" customHeight="1">
      <c r="A98" s="44">
        <f>IF('Members Data'!B98="Errant",'Members Data'!A98,0)</f>
        <v>0</v>
      </c>
      <c r="B98" s="39">
        <f t="shared" ref="B98:B100" si="3">IF(A98=0,0,C98+D98)</f>
        <v>0</v>
      </c>
      <c r="C98" s="129">
        <f>IF(A98=0,0,'wk1'!I106+'wk2'!I106+'wk3'!I106+'wk4'!I106+'wk5'!I106)</f>
        <v>0</v>
      </c>
      <c r="D98" s="125">
        <f>IF(A98=0,0,'wk1'!J106+'wk2'!J106+'wk3'!J106+'wk4'!J106+'wk5'!J106)</f>
        <v>0</v>
      </c>
      <c r="E98" s="46">
        <f>IF(A98=0,0,'wk1'!K106+'wk2'!K106+'wk3'!K106+'wk4'!K106+'wk5'!K106)</f>
        <v>0</v>
      </c>
      <c r="F98" s="132"/>
      <c r="G98" s="43"/>
      <c r="H98" s="43"/>
    </row>
    <row r="99" spans="1:8" ht="15" hidden="1" customHeight="1">
      <c r="A99" s="44">
        <f>IF('Members Data'!B99="Errant",'Members Data'!A99,0)</f>
        <v>0</v>
      </c>
      <c r="B99" s="39">
        <f t="shared" si="3"/>
        <v>0</v>
      </c>
      <c r="C99" s="129">
        <f>IF(A99=0,0,'wk1'!I107+'wk2'!I107+'wk3'!I107+'wk4'!I107+'wk5'!I107)</f>
        <v>0</v>
      </c>
      <c r="D99" s="125">
        <f>IF(A99=0,0,'wk1'!J107+'wk2'!J107+'wk3'!J107+'wk4'!J107+'wk5'!J107)</f>
        <v>0</v>
      </c>
      <c r="E99" s="46">
        <f>IF(A99=0,0,'wk1'!K107+'wk2'!K107+'wk3'!K107+'wk4'!K107+'wk5'!K107)</f>
        <v>0</v>
      </c>
      <c r="F99" s="132"/>
      <c r="G99" s="43"/>
      <c r="H99" s="43"/>
    </row>
    <row r="100" spans="1:8" ht="15" hidden="1" customHeight="1" thickBot="1">
      <c r="A100" s="431">
        <f>IF('Members Data'!B100="Errant",'Members Data'!A100,0)</f>
        <v>0</v>
      </c>
      <c r="B100" s="432">
        <f t="shared" si="3"/>
        <v>0</v>
      </c>
      <c r="C100" s="433">
        <f>IF(A100=0,0,'wk1'!I108+'wk2'!I108+'wk3'!I108+'wk4'!I108+'wk5'!I108)</f>
        <v>0</v>
      </c>
      <c r="D100" s="434">
        <f>IF(A100=0,0,'wk1'!J108+'wk2'!J108+'wk3'!J108+'wk4'!J108+'wk5'!J108)</f>
        <v>0</v>
      </c>
      <c r="E100" s="434">
        <f>IF(A100=0,0,'wk1'!K108+'wk2'!K108+'wk3'!K108+'wk4'!K108+'wk5'!K108)</f>
        <v>0</v>
      </c>
      <c r="F100" s="435"/>
      <c r="G100" s="43"/>
      <c r="H100" s="43"/>
    </row>
    <row r="101" spans="1:8" ht="15" customHeight="1" thickBot="1">
      <c r="A101" s="436"/>
      <c r="B101" s="438"/>
      <c r="C101" s="438"/>
      <c r="D101" s="438"/>
      <c r="E101" s="438"/>
      <c r="F101" s="437"/>
      <c r="G101" s="43"/>
      <c r="H101" s="43"/>
    </row>
    <row r="102" spans="1:8" ht="15" customHeight="1">
      <c r="C102" s="43"/>
      <c r="D102" s="43"/>
      <c r="F102" s="43"/>
      <c r="G102" s="43"/>
      <c r="H102" s="43"/>
    </row>
    <row r="103" spans="1:8" ht="15" customHeight="1">
      <c r="C103" s="43"/>
      <c r="D103" s="43"/>
      <c r="F103" s="43"/>
      <c r="G103" s="43"/>
      <c r="H103" s="43"/>
    </row>
  </sheetData>
  <autoFilter ref="A1:A103">
    <filterColumn colId="0">
      <filters blank="1">
        <filter val="Akilta"/>
        <filter val="Altrezza"/>
        <filter val="Angelhoof"/>
        <filter val="Asch"/>
        <filter val="Blackcheeta"/>
        <filter val="Bloodfrost"/>
        <filter val="Brownale"/>
        <filter val="Brucelethal"/>
        <filter val="Drakodin"/>
        <filter val="Eárendíl"/>
        <filter val="Emril"/>
        <filter val="Halfthings"/>
        <filter val="Hormones"/>
        <filter val="Hyperïon"/>
        <filter val="Hyunâ"/>
        <filter val="Izzabelle"/>
        <filter val="Kádiz"/>
        <filter val="Kanoni"/>
        <filter val="Kristofix"/>
        <filter val="Landforce"/>
        <filter val="Lilmisfairy"/>
        <filter val="Mardazur"/>
        <filter val="Mezzolina"/>
        <filter val="Moonhoof"/>
        <filter val="Morenna"/>
        <filter val="Naliyas"/>
        <filter val="Narcotik"/>
        <filter val="Octavìus"/>
        <filter val="Páula"/>
        <filter val="Rhinoru"/>
        <filter val="Shinkai"/>
        <filter val="Sidac"/>
        <filter val="Tomrexx"/>
        <filter val="Xanadaria"/>
        <filter val="Xytree"/>
        <filter val="Zantias"/>
      </filters>
    </filterColumn>
  </autoFilter>
  <conditionalFormatting sqref="A2:A100">
    <cfRule type="expression" dxfId="26" priority="7" stopIfTrue="1">
      <formula>IF(E2&gt;0,TRUE)</formula>
    </cfRule>
    <cfRule type="expression" dxfId="25" priority="8" stopIfTrue="1">
      <formula>IF(B2&gt;7,TRUE)</formula>
    </cfRule>
    <cfRule type="expression" dxfId="24" priority="9" stopIfTrue="1">
      <formula>IF(B2&lt;8,TRUE)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H103"/>
  <sheetViews>
    <sheetView zoomScale="101" zoomScaleNormal="101" workbookViewId="0">
      <pane xSplit="1" ySplit="1" topLeftCell="B2" activePane="bottomRight" state="frozen"/>
      <selection activeCell="F51" sqref="F47:F51"/>
      <selection pane="topRight" activeCell="F51" sqref="F47:F51"/>
      <selection pane="bottomLeft" activeCell="F51" sqref="F47:F51"/>
      <selection pane="bottomRight" activeCell="G101" sqref="G101"/>
    </sheetView>
  </sheetViews>
  <sheetFormatPr defaultColWidth="8.7109375" defaultRowHeight="15" customHeight="1"/>
  <cols>
    <col min="1" max="1" width="14.140625" style="1" customWidth="1"/>
    <col min="2" max="2" width="13.85546875" style="1" customWidth="1"/>
    <col min="3" max="3" width="10.85546875" style="1" bestFit="1" customWidth="1"/>
    <col min="4" max="4" width="10.140625" style="1" customWidth="1"/>
    <col min="5" max="5" width="13.85546875" style="1" customWidth="1"/>
    <col min="6" max="6" width="3.5703125" style="1" customWidth="1"/>
    <col min="7" max="16384" width="8.7109375" style="1"/>
  </cols>
  <sheetData>
    <row r="1" spans="1:8" ht="31.5" customHeight="1" thickBot="1">
      <c r="A1" s="40" t="s">
        <v>19</v>
      </c>
      <c r="B1" s="41" t="s">
        <v>25</v>
      </c>
      <c r="C1" s="127" t="s">
        <v>35</v>
      </c>
      <c r="D1" s="42" t="s">
        <v>34</v>
      </c>
      <c r="E1" s="42" t="s">
        <v>26</v>
      </c>
      <c r="F1" s="42"/>
      <c r="G1" s="43"/>
      <c r="H1" s="43"/>
    </row>
    <row r="2" spans="1:8" ht="15" customHeight="1">
      <c r="A2" s="44">
        <f>IF('Members Data'!B2="Venturer",'Members Data'!A2,0)</f>
        <v>0</v>
      </c>
      <c r="B2" s="62">
        <f t="shared" ref="B2:B33" si="0">IF(A2=0,0,C2+D2)</f>
        <v>0</v>
      </c>
      <c r="C2" s="128">
        <f>IF(A2=0,0,'wk1'!I10+'wk2'!I10+'wk3'!I10+'wk4'!I10+'wk5'!I10)</f>
        <v>0</v>
      </c>
      <c r="D2" s="63">
        <f>IF(A2=0,0,'wk1'!J10+'wk2'!J10+'wk3'!J10+'wk4'!J10+'wk5'!J10)</f>
        <v>0</v>
      </c>
      <c r="E2" s="46">
        <f>IF(A2=0,0,'wk1'!K10+'wk2'!K10+'wk3'!K10+'wk4'!K10+'wk5'!K10)</f>
        <v>0</v>
      </c>
      <c r="F2" s="131"/>
      <c r="G2" s="43"/>
      <c r="H2" s="43"/>
    </row>
    <row r="3" spans="1:8" ht="15" customHeight="1">
      <c r="A3" s="44">
        <f>IF('Members Data'!B3="Venturer",'Members Data'!A3,0)</f>
        <v>0</v>
      </c>
      <c r="B3" s="39">
        <f t="shared" si="0"/>
        <v>0</v>
      </c>
      <c r="C3" s="129">
        <f>IF(A3=0,0,'wk1'!I11+'wk2'!I11+'wk3'!I11+'wk4'!I11+'wk5'!I11)</f>
        <v>0</v>
      </c>
      <c r="D3" s="125">
        <f>IF(A3=0,0,'wk1'!J11+'wk2'!J11+'wk3'!J11+'wk4'!J11+'wk5'!J11)</f>
        <v>0</v>
      </c>
      <c r="E3" s="46">
        <f>IF(A3=0,0,'wk1'!K11+'wk2'!K11+'wk3'!K11+'wk4'!K11+'wk5'!K11)</f>
        <v>0</v>
      </c>
      <c r="F3" s="131"/>
      <c r="G3" s="43"/>
      <c r="H3" s="43"/>
    </row>
    <row r="4" spans="1:8" ht="15" customHeight="1">
      <c r="A4" s="44">
        <f>IF('Members Data'!B4="Venturer",'Members Data'!A4,0)</f>
        <v>0</v>
      </c>
      <c r="B4" s="39">
        <f t="shared" si="0"/>
        <v>0</v>
      </c>
      <c r="C4" s="129">
        <f>IF(A4=0,0,'wk1'!I12+'wk2'!I12+'wk3'!I12+'wk4'!I12+'wk5'!I12)</f>
        <v>0</v>
      </c>
      <c r="D4" s="125">
        <f>IF(A4=0,0,'wk1'!J12+'wk2'!J12+'wk3'!J12+'wk4'!J12+'wk5'!J12)</f>
        <v>0</v>
      </c>
      <c r="E4" s="46">
        <f>IF(A4=0,0,'wk1'!K12+'wk2'!K12+'wk3'!K12+'wk4'!K12+'wk5'!K12)</f>
        <v>0</v>
      </c>
      <c r="F4" s="131"/>
      <c r="G4" s="43"/>
      <c r="H4" s="43"/>
    </row>
    <row r="5" spans="1:8" ht="15" customHeight="1">
      <c r="A5" s="44" t="str">
        <f>IF('Members Data'!B5="Venturer",'Members Data'!A5,0)</f>
        <v>Altrezza</v>
      </c>
      <c r="B5" s="39">
        <f t="shared" si="0"/>
        <v>1</v>
      </c>
      <c r="C5" s="129">
        <f>IF(A5=0,0,'wk1'!I13+'wk2'!I13+'wk3'!I13+'wk4'!I13+'wk5'!I13)</f>
        <v>1</v>
      </c>
      <c r="D5" s="125">
        <f>IF(A5=0,0,'wk1'!J13+'wk2'!J13+'wk3'!J13+'wk4'!J13+'wk5'!J13)</f>
        <v>0</v>
      </c>
      <c r="E5" s="46">
        <f>IF(A5=0,0,'wk1'!K13+'wk2'!K13+'wk3'!K13+'wk4'!K13+'wk5'!K13)</f>
        <v>0</v>
      </c>
      <c r="F5" s="132"/>
      <c r="G5" s="43"/>
      <c r="H5" s="43"/>
    </row>
    <row r="6" spans="1:8" ht="15" customHeight="1">
      <c r="A6" s="44">
        <f>IF('Members Data'!B6="Venturer",'Members Data'!A6,0)</f>
        <v>0</v>
      </c>
      <c r="B6" s="39">
        <f t="shared" si="0"/>
        <v>0</v>
      </c>
      <c r="C6" s="129">
        <f>IF(A6=0,0,'wk1'!I14+'wk2'!I14+'wk3'!I14+'wk4'!I14+'wk5'!I14)</f>
        <v>0</v>
      </c>
      <c r="D6" s="125">
        <f>IF(A6=0,0,'wk1'!J14+'wk2'!J14+'wk3'!J14+'wk4'!J14+'wk5'!J14)</f>
        <v>0</v>
      </c>
      <c r="E6" s="46">
        <f>IF(A6=0,0,'wk1'!K14+'wk2'!K14+'wk3'!K14+'wk4'!K14+'wk5'!K14)</f>
        <v>0</v>
      </c>
      <c r="F6" s="132"/>
      <c r="G6" s="43"/>
      <c r="H6" s="43"/>
    </row>
    <row r="7" spans="1:8" ht="15" customHeight="1">
      <c r="A7" s="44">
        <f>IF('Members Data'!B7="Venturer",'Members Data'!A7,0)</f>
        <v>0</v>
      </c>
      <c r="B7" s="39">
        <f t="shared" si="0"/>
        <v>0</v>
      </c>
      <c r="C7" s="129">
        <f>IF(A7=0,0,'wk1'!I15+'wk2'!I15+'wk3'!I15+'wk4'!I15+'wk5'!I15)</f>
        <v>0</v>
      </c>
      <c r="D7" s="125">
        <f>IF(A7=0,0,'wk1'!J15+'wk2'!J15+'wk3'!J15+'wk4'!J15+'wk5'!J15)</f>
        <v>0</v>
      </c>
      <c r="E7" s="46">
        <f>IF(A7=0,0,'wk1'!K15+'wk2'!K15+'wk3'!K15+'wk4'!K15+'wk5'!K15)</f>
        <v>0</v>
      </c>
      <c r="F7" s="132"/>
      <c r="G7" s="43"/>
      <c r="H7" s="43"/>
    </row>
    <row r="8" spans="1:8" ht="15" customHeight="1">
      <c r="A8" s="44" t="str">
        <f>IF('Members Data'!B8="Venturer",'Members Data'!A8,0)</f>
        <v>Ánja</v>
      </c>
      <c r="B8" s="39">
        <f t="shared" si="0"/>
        <v>2</v>
      </c>
      <c r="C8" s="129">
        <f>IF(A8=0,0,'wk1'!I16+'wk2'!I16+'wk3'!I16+'wk4'!I16+'wk5'!I16)</f>
        <v>2</v>
      </c>
      <c r="D8" s="125">
        <f>IF(A8=0,0,'wk1'!J16+'wk2'!J16+'wk3'!J16+'wk4'!J16+'wk5'!J16)</f>
        <v>0</v>
      </c>
      <c r="E8" s="46">
        <f>IF(A8=0,0,'wk1'!K16+'wk2'!K16+'wk3'!K16+'wk4'!K16+'wk5'!K16)</f>
        <v>0</v>
      </c>
      <c r="F8" s="132"/>
      <c r="G8" s="43"/>
      <c r="H8" s="43"/>
    </row>
    <row r="9" spans="1:8" ht="15" customHeight="1">
      <c r="A9" s="44">
        <f>IF('Members Data'!B9="Venturer",'Members Data'!A9,0)</f>
        <v>0</v>
      </c>
      <c r="B9" s="39">
        <f t="shared" si="0"/>
        <v>0</v>
      </c>
      <c r="C9" s="129">
        <f>IF(A9=0,0,'wk1'!I17+'wk2'!I17+'wk3'!I17+'wk4'!I17+'wk5'!I17)</f>
        <v>0</v>
      </c>
      <c r="D9" s="125">
        <f>IF(A9=0,0,'wk1'!J17+'wk2'!J17+'wk3'!J17+'wk4'!J17+'wk5'!J17)</f>
        <v>0</v>
      </c>
      <c r="E9" s="46">
        <f>IF(A9=0,0,'wk1'!K17+'wk2'!K17+'wk3'!K17+'wk4'!K17+'wk5'!K17)</f>
        <v>0</v>
      </c>
      <c r="F9" s="132"/>
      <c r="G9" s="43"/>
      <c r="H9" s="43"/>
    </row>
    <row r="10" spans="1:8" ht="15" customHeight="1">
      <c r="A10" s="44">
        <f>IF('Members Data'!B10="Venturer",'Members Data'!A10,0)</f>
        <v>0</v>
      </c>
      <c r="B10" s="39">
        <f t="shared" si="0"/>
        <v>0</v>
      </c>
      <c r="C10" s="129">
        <f>IF(A10=0,0,'wk1'!I18+'wk2'!I18+'wk3'!I18+'wk4'!I18+'wk5'!I18)</f>
        <v>0</v>
      </c>
      <c r="D10" s="125">
        <f>IF(A10=0,0,'wk1'!J18+'wk2'!J18+'wk3'!J18+'wk4'!J18+'wk5'!J18)</f>
        <v>0</v>
      </c>
      <c r="E10" s="46">
        <f>IF(A10=0,0,'wk1'!K18+'wk2'!K18+'wk3'!K18+'wk4'!K18+'wk5'!K18)</f>
        <v>0</v>
      </c>
      <c r="F10" s="132"/>
      <c r="G10" s="43"/>
      <c r="H10" s="43"/>
    </row>
    <row r="11" spans="1:8" ht="15" customHeight="1">
      <c r="A11" s="44">
        <f>IF('Members Data'!B11="Venturer",'Members Data'!A11,0)</f>
        <v>0</v>
      </c>
      <c r="B11" s="39">
        <f t="shared" si="0"/>
        <v>0</v>
      </c>
      <c r="C11" s="129">
        <f>IF(A11=0,0,'wk1'!I19+'wk2'!I19+'wk3'!I19+'wk4'!I19+'wk5'!I19)</f>
        <v>0</v>
      </c>
      <c r="D11" s="125">
        <f>IF(A11=0,0,'wk1'!J19+'wk2'!J19+'wk3'!J19+'wk4'!J19+'wk5'!J19)</f>
        <v>0</v>
      </c>
      <c r="E11" s="46">
        <f>IF(A11=0,0,'wk1'!K19+'wk2'!K19+'wk3'!K19+'wk4'!K19+'wk5'!K19)</f>
        <v>0</v>
      </c>
      <c r="F11" s="132"/>
      <c r="G11" s="43"/>
      <c r="H11" s="43"/>
    </row>
    <row r="12" spans="1:8" ht="15" customHeight="1">
      <c r="A12" s="44" t="str">
        <f>IF('Members Data'!B12="Venturer",'Members Data'!A12,0)</f>
        <v>Blackcheeta</v>
      </c>
      <c r="B12" s="39">
        <f t="shared" si="0"/>
        <v>2</v>
      </c>
      <c r="C12" s="129">
        <f>IF(A12=0,0,'wk1'!I20+'wk2'!I20+'wk3'!I20+'wk4'!I20+'wk5'!I20)</f>
        <v>2</v>
      </c>
      <c r="D12" s="125">
        <f>IF(A12=0,0,'wk1'!J20+'wk2'!J20+'wk3'!J20+'wk4'!J20+'wk5'!J20)</f>
        <v>0</v>
      </c>
      <c r="E12" s="46">
        <f>IF(A12=0,0,'wk1'!K20+'wk2'!K20+'wk3'!K20+'wk4'!K20+'wk5'!K20)</f>
        <v>0</v>
      </c>
      <c r="F12" s="132"/>
      <c r="G12" s="43"/>
      <c r="H12" s="43"/>
    </row>
    <row r="13" spans="1:8" ht="15" customHeight="1">
      <c r="A13" s="44">
        <f>IF('Members Data'!B13="Venturer",'Members Data'!A13,0)</f>
        <v>0</v>
      </c>
      <c r="B13" s="39">
        <f t="shared" si="0"/>
        <v>0</v>
      </c>
      <c r="C13" s="129">
        <f>IF(A13=0,0,'wk1'!I21+'wk2'!I21+'wk3'!I21+'wk4'!I21+'wk5'!I21)</f>
        <v>0</v>
      </c>
      <c r="D13" s="125">
        <f>IF(A13=0,0,'wk1'!J21+'wk2'!J21+'wk3'!J21+'wk4'!J21+'wk5'!J21)</f>
        <v>0</v>
      </c>
      <c r="E13" s="46">
        <f>IF(A13=0,0,'wk1'!K21+'wk2'!K21+'wk3'!K21+'wk4'!K21+'wk5'!K21)</f>
        <v>0</v>
      </c>
      <c r="F13" s="132"/>
      <c r="G13" s="43"/>
      <c r="H13" s="43"/>
    </row>
    <row r="14" spans="1:8" ht="15" customHeight="1">
      <c r="A14" s="44" t="str">
        <f>IF('Members Data'!B14="Venturer",'Members Data'!A14,0)</f>
        <v>Brownale</v>
      </c>
      <c r="B14" s="39">
        <f t="shared" si="0"/>
        <v>2</v>
      </c>
      <c r="C14" s="129">
        <f>IF(A14=0,0,'wk1'!I22+'wk2'!I22+'wk3'!I22+'wk4'!I22+'wk5'!I22)</f>
        <v>2</v>
      </c>
      <c r="D14" s="125">
        <f>IF(A14=0,0,'wk1'!J22+'wk2'!J22+'wk3'!J22+'wk4'!J22+'wk5'!J22)</f>
        <v>0</v>
      </c>
      <c r="E14" s="46">
        <f>IF(A14=0,0,'wk1'!K22+'wk2'!K22+'wk3'!K22+'wk4'!K22+'wk5'!K22)</f>
        <v>0</v>
      </c>
      <c r="F14" s="132"/>
      <c r="G14" s="43"/>
      <c r="H14" s="43"/>
    </row>
    <row r="15" spans="1:8" ht="15" customHeight="1">
      <c r="A15" s="44">
        <f>IF('Members Data'!B15="Venturer",'Members Data'!A15,0)</f>
        <v>0</v>
      </c>
      <c r="B15" s="39">
        <f t="shared" si="0"/>
        <v>0</v>
      </c>
      <c r="C15" s="129">
        <f>IF(A15=0,0,'wk1'!I23+'wk2'!I23+'wk3'!I23+'wk4'!I23+'wk5'!I23)</f>
        <v>0</v>
      </c>
      <c r="D15" s="125">
        <f>IF(A15=0,0,'wk1'!J23+'wk2'!J23+'wk3'!J23+'wk4'!J23+'wk5'!J23)</f>
        <v>0</v>
      </c>
      <c r="E15" s="46">
        <f>IF(A15=0,0,'wk1'!K23+'wk2'!K23+'wk3'!K23+'wk4'!K23+'wk5'!K23)</f>
        <v>0</v>
      </c>
      <c r="F15" s="132"/>
      <c r="G15" s="43"/>
      <c r="H15" s="43"/>
    </row>
    <row r="16" spans="1:8" ht="15" customHeight="1">
      <c r="A16" s="44">
        <f>IF('Members Data'!B16="Venturer",'Members Data'!A16,0)</f>
        <v>0</v>
      </c>
      <c r="B16" s="39">
        <f t="shared" si="0"/>
        <v>0</v>
      </c>
      <c r="C16" s="129">
        <f>IF(A16=0,0,'wk1'!I24+'wk2'!I24+'wk3'!I24+'wk4'!I24+'wk5'!I24)</f>
        <v>0</v>
      </c>
      <c r="D16" s="125">
        <f>IF(A16=0,0,'wk1'!J24+'wk2'!J24+'wk3'!J24+'wk4'!J24+'wk5'!J24)</f>
        <v>0</v>
      </c>
      <c r="E16" s="46">
        <f>IF(A16=0,0,'wk1'!K24+'wk2'!K24+'wk3'!K24+'wk4'!K24+'wk5'!K24)</f>
        <v>0</v>
      </c>
      <c r="F16" s="132"/>
      <c r="G16" s="43"/>
      <c r="H16" s="43"/>
    </row>
    <row r="17" spans="1:8" ht="15" customHeight="1">
      <c r="A17" s="44" t="str">
        <f>IF('Members Data'!B17="Venturer",'Members Data'!A17,0)</f>
        <v>Dottiee</v>
      </c>
      <c r="B17" s="39">
        <f t="shared" si="0"/>
        <v>2</v>
      </c>
      <c r="C17" s="129">
        <f>IF(A17=0,0,'wk1'!I25+'wk2'!I25+'wk3'!I25+'wk4'!I25+'wk5'!I25)</f>
        <v>2</v>
      </c>
      <c r="D17" s="125">
        <f>IF(A17=0,0,'wk1'!J25+'wk2'!J25+'wk3'!J25+'wk4'!J25+'wk5'!J25)</f>
        <v>0</v>
      </c>
      <c r="E17" s="46">
        <f>IF(A17=0,0,'wk1'!K25+'wk2'!K25+'wk3'!K25+'wk4'!K25+'wk5'!K25)</f>
        <v>0</v>
      </c>
      <c r="F17" s="132"/>
      <c r="G17" s="43"/>
      <c r="H17" s="43"/>
    </row>
    <row r="18" spans="1:8" ht="15" customHeight="1">
      <c r="A18" s="44">
        <f>IF('Members Data'!B18="Venturer",'Members Data'!A18,0)</f>
        <v>0</v>
      </c>
      <c r="B18" s="39">
        <f t="shared" si="0"/>
        <v>0</v>
      </c>
      <c r="C18" s="129">
        <f>IF(A18=0,0,'wk1'!I26+'wk2'!I26+'wk3'!I26+'wk4'!I26+'wk5'!I26)</f>
        <v>0</v>
      </c>
      <c r="D18" s="125">
        <f>IF(A18=0,0,'wk1'!J26+'wk2'!J26+'wk3'!J26+'wk4'!J26+'wk5'!J26)</f>
        <v>0</v>
      </c>
      <c r="E18" s="46">
        <f>IF(A18=0,0,'wk1'!K26+'wk2'!K26+'wk3'!K26+'wk4'!K26+'wk5'!K26)</f>
        <v>0</v>
      </c>
      <c r="F18" s="132"/>
      <c r="G18" s="43"/>
      <c r="H18" s="43"/>
    </row>
    <row r="19" spans="1:8" ht="15" customHeight="1">
      <c r="A19" s="44" t="str">
        <f>IF('Members Data'!B19="Venturer",'Members Data'!A19,0)</f>
        <v>Drakodin</v>
      </c>
      <c r="B19" s="39">
        <f t="shared" si="0"/>
        <v>2</v>
      </c>
      <c r="C19" s="129">
        <f>IF(A19=0,0,'wk1'!I27+'wk2'!I27+'wk3'!I27+'wk4'!I27+'wk5'!I27)</f>
        <v>2</v>
      </c>
      <c r="D19" s="125">
        <f>IF(A19=0,0,'wk1'!J27+'wk2'!J27+'wk3'!J27+'wk4'!J27+'wk5'!J27)</f>
        <v>0</v>
      </c>
      <c r="E19" s="46">
        <f>IF(A19=0,0,'wk1'!K27+'wk2'!K27+'wk3'!K27+'wk4'!K27+'wk5'!K27)</f>
        <v>0</v>
      </c>
      <c r="F19" s="132"/>
      <c r="G19" s="43"/>
      <c r="H19" s="43"/>
    </row>
    <row r="20" spans="1:8" ht="15" customHeight="1">
      <c r="A20" s="44" t="str">
        <f>IF('Members Data'!B20="Venturer",'Members Data'!A20,0)</f>
        <v>Drugged</v>
      </c>
      <c r="B20" s="39">
        <f t="shared" si="0"/>
        <v>2</v>
      </c>
      <c r="C20" s="129">
        <f>IF(A20=0,0,'wk1'!I28+'wk2'!I28+'wk3'!I28+'wk4'!I28+'wk5'!I28)</f>
        <v>2</v>
      </c>
      <c r="D20" s="125">
        <f>IF(A20=0,0,'wk1'!J28+'wk2'!J28+'wk3'!J28+'wk4'!J28+'wk5'!J28)</f>
        <v>0</v>
      </c>
      <c r="E20" s="46">
        <f>IF(A20=0,0,'wk1'!K28+'wk2'!K28+'wk3'!K28+'wk4'!K28+'wk5'!K28)</f>
        <v>0</v>
      </c>
      <c r="F20" s="132"/>
      <c r="G20" s="43"/>
      <c r="H20" s="43"/>
    </row>
    <row r="21" spans="1:8" ht="15" customHeight="1">
      <c r="A21" s="44" t="str">
        <f>IF('Members Data'!B21="Venturer",'Members Data'!A21,0)</f>
        <v>Eárendíl</v>
      </c>
      <c r="B21" s="39">
        <f t="shared" si="0"/>
        <v>2</v>
      </c>
      <c r="C21" s="129">
        <f>IF(A21=0,0,'wk1'!I29+'wk2'!I29+'wk3'!I29+'wk4'!I29+'wk5'!I29)</f>
        <v>2</v>
      </c>
      <c r="D21" s="125">
        <f>IF(A21=0,0,'wk1'!J29+'wk2'!J29+'wk3'!J29+'wk4'!J29+'wk5'!J29)</f>
        <v>0</v>
      </c>
      <c r="E21" s="46">
        <f>IF(A21=0,0,'wk1'!K29+'wk2'!K29+'wk3'!K29+'wk4'!K29+'wk5'!K29)</f>
        <v>0</v>
      </c>
      <c r="F21" s="132"/>
      <c r="G21" s="43"/>
      <c r="H21" s="43"/>
    </row>
    <row r="22" spans="1:8" ht="15" customHeight="1">
      <c r="A22" s="44">
        <f>IF('Members Data'!B22="Venturer",'Members Data'!A22,0)</f>
        <v>0</v>
      </c>
      <c r="B22" s="39">
        <f t="shared" si="0"/>
        <v>0</v>
      </c>
      <c r="C22" s="129">
        <f>IF(A22=0,0,'wk1'!I30+'wk2'!I30+'wk3'!I30+'wk4'!I30+'wk5'!I30)</f>
        <v>0</v>
      </c>
      <c r="D22" s="125">
        <f>IF(A22=0,0,'wk1'!J30+'wk2'!J30+'wk3'!J30+'wk4'!J30+'wk5'!J30)</f>
        <v>0</v>
      </c>
      <c r="E22" s="46">
        <f>IF(A22=0,0,'wk1'!K30+'wk2'!K30+'wk3'!K30+'wk4'!K30+'wk5'!K30)</f>
        <v>0</v>
      </c>
      <c r="F22" s="132"/>
      <c r="G22" s="43"/>
      <c r="H22" s="43"/>
    </row>
    <row r="23" spans="1:8" ht="15" customHeight="1">
      <c r="A23" s="44" t="str">
        <f>IF('Members Data'!B23="Venturer",'Members Data'!A23,0)</f>
        <v>Halfthings</v>
      </c>
      <c r="B23" s="39">
        <f t="shared" si="0"/>
        <v>0</v>
      </c>
      <c r="C23" s="129">
        <f>IF(A23=0,0,'wk1'!I31+'wk2'!I31+'wk3'!I31+'wk4'!I31+'wk5'!I31)</f>
        <v>0</v>
      </c>
      <c r="D23" s="125">
        <f>IF(A23=0,0,'wk1'!J31+'wk2'!J31+'wk3'!J31+'wk4'!J31+'wk5'!J31)</f>
        <v>0</v>
      </c>
      <c r="E23" s="46">
        <f>IF(A23=0,0,'wk1'!K31+'wk2'!K31+'wk3'!K31+'wk4'!K31+'wk5'!K31)</f>
        <v>0</v>
      </c>
      <c r="F23" s="132"/>
      <c r="G23" s="43"/>
      <c r="H23" s="43"/>
    </row>
    <row r="24" spans="1:8" ht="15" customHeight="1">
      <c r="A24" s="44" t="str">
        <f>IF('Members Data'!B24="Venturer",'Members Data'!A24,0)</f>
        <v>Harkar</v>
      </c>
      <c r="B24" s="39">
        <f t="shared" si="0"/>
        <v>1</v>
      </c>
      <c r="C24" s="129">
        <f>IF(A24=0,0,'wk1'!I32+'wk2'!I32+'wk3'!I32+'wk4'!I32+'wk5'!I32)</f>
        <v>1</v>
      </c>
      <c r="D24" s="125">
        <f>IF(A24=0,0,'wk1'!J32+'wk2'!J32+'wk3'!J32+'wk4'!J32+'wk5'!J32)</f>
        <v>0</v>
      </c>
      <c r="E24" s="46">
        <f>IF(A24=0,0,'wk1'!K32+'wk2'!K32+'wk3'!K32+'wk4'!K32+'wk5'!K32)</f>
        <v>0</v>
      </c>
      <c r="F24" s="132"/>
      <c r="G24" s="43"/>
      <c r="H24" s="43"/>
    </row>
    <row r="25" spans="1:8" ht="15" customHeight="1">
      <c r="A25" s="44" t="str">
        <f>IF('Members Data'!B25="Venturer",'Members Data'!A25,0)</f>
        <v>Hlianna</v>
      </c>
      <c r="B25" s="39">
        <f t="shared" si="0"/>
        <v>2</v>
      </c>
      <c r="C25" s="129">
        <f>IF(A25=0,0,'wk1'!I33+'wk2'!I33+'wk3'!I33+'wk4'!I33+'wk5'!I33)</f>
        <v>2</v>
      </c>
      <c r="D25" s="125">
        <f>IF(A25=0,0,'wk1'!J33+'wk2'!J33+'wk3'!J33+'wk4'!J33+'wk5'!J33)</f>
        <v>0</v>
      </c>
      <c r="E25" s="46">
        <f>IF(A25=0,0,'wk1'!K33+'wk2'!K33+'wk3'!K33+'wk4'!K33+'wk5'!K33)</f>
        <v>0</v>
      </c>
      <c r="F25" s="132"/>
      <c r="G25" s="43"/>
      <c r="H25" s="43"/>
    </row>
    <row r="26" spans="1:8" ht="15" customHeight="1">
      <c r="A26" s="44">
        <f>IF('Members Data'!B26="Venturer",'Members Data'!A26,0)</f>
        <v>0</v>
      </c>
      <c r="B26" s="39">
        <f t="shared" si="0"/>
        <v>0</v>
      </c>
      <c r="C26" s="129">
        <f>IF(A26=0,0,'wk1'!I34+'wk2'!I34+'wk3'!I34+'wk4'!I34+'wk5'!I34)</f>
        <v>0</v>
      </c>
      <c r="D26" s="125">
        <f>IF(A26=0,0,'wk1'!J34+'wk2'!J34+'wk3'!J34+'wk4'!J34+'wk5'!J34)</f>
        <v>0</v>
      </c>
      <c r="E26" s="46">
        <f>IF(A26=0,0,'wk1'!K34+'wk2'!K34+'wk3'!K34+'wk4'!K34+'wk5'!K34)</f>
        <v>0</v>
      </c>
      <c r="F26" s="132"/>
      <c r="G26" s="43"/>
      <c r="H26" s="43"/>
    </row>
    <row r="27" spans="1:8" ht="15" customHeight="1">
      <c r="A27" s="44" t="str">
        <f>IF('Members Data'!B27="Venturer",'Members Data'!A27,0)</f>
        <v>Hyperïon</v>
      </c>
      <c r="B27" s="39">
        <f t="shared" si="0"/>
        <v>0</v>
      </c>
      <c r="C27" s="129">
        <f>IF(A27=0,0,'wk1'!I35+'wk2'!I35+'wk3'!I35+'wk4'!I35+'wk5'!I35)</f>
        <v>0</v>
      </c>
      <c r="D27" s="125">
        <f>IF(A27=0,0,'wk1'!J35+'wk2'!J35+'wk3'!J35+'wk4'!J35+'wk5'!J35)</f>
        <v>0</v>
      </c>
      <c r="E27" s="46">
        <f>IF(A27=0,0,'wk1'!K35+'wk2'!K35+'wk3'!K35+'wk4'!K35+'wk5'!K35)</f>
        <v>0</v>
      </c>
      <c r="F27" s="132"/>
      <c r="G27" s="43"/>
      <c r="H27" s="43"/>
    </row>
    <row r="28" spans="1:8" ht="15" customHeight="1">
      <c r="A28" s="44">
        <f>IF('Members Data'!B28="Venturer",'Members Data'!A28,0)</f>
        <v>0</v>
      </c>
      <c r="B28" s="39">
        <f t="shared" si="0"/>
        <v>0</v>
      </c>
      <c r="C28" s="129">
        <f>IF(A28=0,0,'wk1'!I36+'wk2'!I36+'wk3'!I36+'wk4'!I36+'wk5'!I36)</f>
        <v>0</v>
      </c>
      <c r="D28" s="125">
        <f>IF(A28=0,0,'wk1'!J36+'wk2'!J36+'wk3'!J36+'wk4'!J36+'wk5'!J36)</f>
        <v>0</v>
      </c>
      <c r="E28" s="46">
        <f>IF(A28=0,0,'wk1'!K36+'wk2'!K36+'wk3'!K36+'wk4'!K36+'wk5'!K36)</f>
        <v>0</v>
      </c>
      <c r="F28" s="132"/>
      <c r="G28" s="43"/>
      <c r="H28" s="43"/>
    </row>
    <row r="29" spans="1:8" ht="15" customHeight="1">
      <c r="A29" s="44" t="str">
        <f>IF('Members Data'!B29="Venturer",'Members Data'!A29,0)</f>
        <v>Izzabelle</v>
      </c>
      <c r="B29" s="39">
        <f t="shared" si="0"/>
        <v>0</v>
      </c>
      <c r="C29" s="129">
        <f>IF(A29=0,0,'wk1'!I37+'wk2'!I37+'wk3'!I37+'wk4'!I37+'wk5'!I37)</f>
        <v>0</v>
      </c>
      <c r="D29" s="125">
        <f>IF(A29=0,0,'wk1'!J37+'wk2'!J37+'wk3'!J37+'wk4'!J37+'wk5'!J37)</f>
        <v>0</v>
      </c>
      <c r="E29" s="46">
        <f>IF(A29=0,0,'wk1'!K37+'wk2'!K37+'wk3'!K37+'wk4'!K37+'wk5'!K37)</f>
        <v>0</v>
      </c>
      <c r="F29" s="132"/>
      <c r="G29" s="43"/>
      <c r="H29" s="43"/>
    </row>
    <row r="30" spans="1:8" ht="15" customHeight="1">
      <c r="A30" s="44" t="str">
        <f>IF('Members Data'!B30="Venturer",'Members Data'!A30,0)</f>
        <v>Jimentoez</v>
      </c>
      <c r="B30" s="39">
        <f t="shared" si="0"/>
        <v>2</v>
      </c>
      <c r="C30" s="129">
        <f>IF(A30=0,0,'wk1'!I38+'wk2'!I38+'wk3'!I38+'wk4'!I38+'wk5'!I38)</f>
        <v>2</v>
      </c>
      <c r="D30" s="125">
        <f>IF(A30=0,0,'wk1'!J38+'wk2'!J38+'wk3'!J38+'wk4'!J38+'wk5'!J38)</f>
        <v>0</v>
      </c>
      <c r="E30" s="46">
        <f>IF(A30=0,0,'wk1'!K38+'wk2'!K38+'wk3'!K38+'wk4'!K38+'wk5'!K38)</f>
        <v>0</v>
      </c>
      <c r="F30" s="132"/>
      <c r="G30" s="43"/>
      <c r="H30" s="43"/>
    </row>
    <row r="31" spans="1:8" ht="15" customHeight="1">
      <c r="A31" s="44" t="str">
        <f>IF('Members Data'!B31="Venturer",'Members Data'!A31,0)</f>
        <v>Judge</v>
      </c>
      <c r="B31" s="39">
        <f t="shared" si="0"/>
        <v>2</v>
      </c>
      <c r="C31" s="129">
        <f>IF(A31=0,0,'wk1'!I39+'wk2'!I39+'wk3'!I39+'wk4'!I39+'wk5'!I39)</f>
        <v>2</v>
      </c>
      <c r="D31" s="125">
        <f>IF(A31=0,0,'wk1'!J39+'wk2'!J39+'wk3'!J39+'wk4'!J39+'wk5'!J39)</f>
        <v>0</v>
      </c>
      <c r="E31" s="46">
        <f>IF(A31=0,0,'wk1'!K39+'wk2'!K39+'wk3'!K39+'wk4'!K39+'wk5'!K39)</f>
        <v>0</v>
      </c>
      <c r="F31" s="132"/>
      <c r="G31" s="43"/>
      <c r="H31" s="43"/>
    </row>
    <row r="32" spans="1:8" ht="15" customHeight="1">
      <c r="A32" s="44">
        <f>IF('Members Data'!B32="Venturer",'Members Data'!A32,0)</f>
        <v>0</v>
      </c>
      <c r="B32" s="39">
        <f t="shared" si="0"/>
        <v>0</v>
      </c>
      <c r="C32" s="129">
        <f>IF(A32=0,0,'wk1'!I40+'wk2'!I40+'wk3'!I40+'wk4'!I40+'wk5'!I40)</f>
        <v>0</v>
      </c>
      <c r="D32" s="125">
        <f>IF(A32=0,0,'wk1'!J40+'wk2'!J40+'wk3'!J40+'wk4'!J40+'wk5'!J40)</f>
        <v>0</v>
      </c>
      <c r="E32" s="46">
        <f>IF(A32=0,0,'wk1'!K40+'wk2'!K40+'wk3'!K40+'wk4'!K40+'wk5'!K40)</f>
        <v>0</v>
      </c>
      <c r="F32" s="132"/>
      <c r="G32" s="43"/>
      <c r="H32" s="43"/>
    </row>
    <row r="33" spans="1:8" ht="15" customHeight="1">
      <c r="A33" s="44" t="str">
        <f>IF('Members Data'!B33="Venturer",'Members Data'!A33,0)</f>
        <v>Kanoni</v>
      </c>
      <c r="B33" s="39">
        <f t="shared" si="0"/>
        <v>2</v>
      </c>
      <c r="C33" s="129">
        <f>IF(A33=0,0,'wk1'!I41+'wk2'!I41+'wk3'!I41+'wk4'!I41+'wk5'!I41)</f>
        <v>2</v>
      </c>
      <c r="D33" s="125">
        <f>IF(A33=0,0,'wk1'!J41+'wk2'!J41+'wk3'!J41+'wk4'!J41+'wk5'!J41)</f>
        <v>0</v>
      </c>
      <c r="E33" s="46">
        <f>IF(A33=0,0,'wk1'!K41+'wk2'!K41+'wk3'!K41+'wk4'!K41+'wk5'!K41)</f>
        <v>0</v>
      </c>
      <c r="F33" s="132"/>
      <c r="G33" s="43"/>
      <c r="H33" s="43"/>
    </row>
    <row r="34" spans="1:8" ht="15" customHeight="1">
      <c r="A34" s="44" t="str">
        <f>IF('Members Data'!B34="Venturer",'Members Data'!A34,0)</f>
        <v>Kristofix</v>
      </c>
      <c r="B34" s="39">
        <f t="shared" ref="B34:B65" si="1">IF(A34=0,0,C34+D34)</f>
        <v>0</v>
      </c>
      <c r="C34" s="129">
        <f>IF(A34=0,0,'wk1'!I42+'wk2'!I42+'wk3'!I42+'wk4'!I42+'wk5'!I42)</f>
        <v>0</v>
      </c>
      <c r="D34" s="125">
        <f>IF(A34=0,0,'wk1'!J42+'wk2'!J42+'wk3'!J42+'wk4'!J42+'wk5'!J42)</f>
        <v>0</v>
      </c>
      <c r="E34" s="46">
        <f>IF(A34=0,0,'wk1'!K42+'wk2'!K42+'wk3'!K42+'wk4'!K42+'wk5'!K42)</f>
        <v>0</v>
      </c>
      <c r="F34" s="132"/>
      <c r="G34" s="43"/>
      <c r="H34" s="43"/>
    </row>
    <row r="35" spans="1:8" ht="15" customHeight="1">
      <c r="A35" s="44">
        <f>IF('Members Data'!B35="Venturer",'Members Data'!A35,0)</f>
        <v>0</v>
      </c>
      <c r="B35" s="39">
        <f t="shared" si="1"/>
        <v>0</v>
      </c>
      <c r="C35" s="129">
        <f>IF(A35=0,0,'wk1'!I43+'wk2'!I43+'wk3'!I43+'wk4'!I43+'wk5'!I43)</f>
        <v>0</v>
      </c>
      <c r="D35" s="125">
        <f>IF(A35=0,0,'wk1'!J43+'wk2'!J43+'wk3'!J43+'wk4'!J43+'wk5'!J43)</f>
        <v>0</v>
      </c>
      <c r="E35" s="46">
        <f>IF(A35=0,0,'wk1'!K43+'wk2'!K43+'wk3'!K43+'wk4'!K43+'wk5'!K43)</f>
        <v>0</v>
      </c>
      <c r="F35" s="132"/>
      <c r="G35" s="43"/>
      <c r="H35" s="43"/>
    </row>
    <row r="36" spans="1:8" ht="15" customHeight="1">
      <c r="A36" s="44">
        <f>IF('Members Data'!B36="Venturer",'Members Data'!A36,0)</f>
        <v>0</v>
      </c>
      <c r="B36" s="39">
        <f t="shared" si="1"/>
        <v>0</v>
      </c>
      <c r="C36" s="129">
        <f>IF(A36=0,0,'wk1'!I44+'wk2'!I44+'wk3'!I44+'wk4'!I44+'wk5'!I44)</f>
        <v>0</v>
      </c>
      <c r="D36" s="125">
        <f>IF(A36=0,0,'wk1'!J44+'wk2'!J44+'wk3'!J44+'wk4'!J44+'wk5'!J44)</f>
        <v>0</v>
      </c>
      <c r="E36" s="46">
        <f>IF(A36=0,0,'wk1'!K44+'wk2'!K44+'wk3'!K44+'wk4'!K44+'wk5'!K44)</f>
        <v>0</v>
      </c>
      <c r="F36" s="132"/>
      <c r="G36" s="43"/>
      <c r="H36" s="43"/>
    </row>
    <row r="37" spans="1:8" ht="15" customHeight="1">
      <c r="A37" s="44">
        <f>IF('Members Data'!B37="Venturer",'Members Data'!A37,0)</f>
        <v>0</v>
      </c>
      <c r="B37" s="39">
        <f t="shared" si="1"/>
        <v>0</v>
      </c>
      <c r="C37" s="129">
        <f>IF(A37=0,0,'wk1'!I45+'wk2'!I45+'wk3'!I45+'wk4'!I45+'wk5'!I45)</f>
        <v>0</v>
      </c>
      <c r="D37" s="125">
        <f>IF(A37=0,0,'wk1'!J45+'wk2'!J45+'wk3'!J45+'wk4'!J45+'wk5'!J45)</f>
        <v>0</v>
      </c>
      <c r="E37" s="46">
        <f>IF(A37=0,0,'wk1'!K45+'wk2'!K45+'wk3'!K45+'wk4'!K45+'wk5'!K45)</f>
        <v>0</v>
      </c>
      <c r="F37" s="132"/>
      <c r="G37" s="43"/>
      <c r="H37" s="43"/>
    </row>
    <row r="38" spans="1:8" ht="15" customHeight="1">
      <c r="A38" s="44">
        <f>IF('Members Data'!B38="Venturer",'Members Data'!A38,0)</f>
        <v>0</v>
      </c>
      <c r="B38" s="39">
        <f t="shared" si="1"/>
        <v>0</v>
      </c>
      <c r="C38" s="129">
        <f>IF(A38=0,0,'wk1'!I46+'wk2'!I46+'wk3'!I46+'wk4'!I46+'wk5'!I46)</f>
        <v>0</v>
      </c>
      <c r="D38" s="125">
        <f>IF(A38=0,0,'wk1'!J46+'wk2'!J46+'wk3'!J46+'wk4'!J46+'wk5'!J46)</f>
        <v>0</v>
      </c>
      <c r="E38" s="46">
        <f>IF(A38=0,0,'wk1'!K46+'wk2'!K46+'wk3'!K46+'wk4'!K46+'wk5'!K46)</f>
        <v>0</v>
      </c>
      <c r="F38" s="132"/>
      <c r="G38" s="43"/>
      <c r="H38" s="43"/>
    </row>
    <row r="39" spans="1:8" ht="15" customHeight="1">
      <c r="A39" s="44" t="str">
        <f>IF('Members Data'!B39="Venturer",'Members Data'!A39,0)</f>
        <v>Mardazur</v>
      </c>
      <c r="B39" s="39">
        <f t="shared" si="1"/>
        <v>0</v>
      </c>
      <c r="C39" s="129">
        <f>IF(A39=0,0,'wk1'!I47+'wk2'!I47+'wk3'!I47+'wk4'!I47+'wk5'!I47)</f>
        <v>0</v>
      </c>
      <c r="D39" s="125">
        <f>IF(A39=0,0,'wk1'!J47+'wk2'!J47+'wk3'!J47+'wk4'!J47+'wk5'!J47)</f>
        <v>0</v>
      </c>
      <c r="E39" s="46">
        <f>IF(A39=0,0,'wk1'!K47+'wk2'!K47+'wk3'!K47+'wk4'!K47+'wk5'!K47)</f>
        <v>0</v>
      </c>
      <c r="F39" s="132"/>
      <c r="G39" s="43"/>
      <c r="H39" s="43"/>
    </row>
    <row r="40" spans="1:8" ht="15" customHeight="1">
      <c r="A40" s="44">
        <f>IF('Members Data'!B40="Venturer",'Members Data'!A40,0)</f>
        <v>0</v>
      </c>
      <c r="B40" s="39">
        <f t="shared" si="1"/>
        <v>0</v>
      </c>
      <c r="C40" s="129">
        <f>IF(A40=0,0,'wk1'!I48+'wk2'!I48+'wk3'!I48+'wk4'!I48+'wk5'!I48)</f>
        <v>0</v>
      </c>
      <c r="D40" s="125">
        <f>IF(A40=0,0,'wk1'!J48+'wk2'!J48+'wk3'!J48+'wk4'!J48+'wk5'!J48)</f>
        <v>0</v>
      </c>
      <c r="E40" s="46">
        <f>IF(A40=0,0,'wk1'!K48+'wk2'!K48+'wk3'!K48+'wk4'!K48+'wk5'!K48)</f>
        <v>0</v>
      </c>
      <c r="F40" s="132"/>
      <c r="G40" s="43"/>
      <c r="H40" s="43"/>
    </row>
    <row r="41" spans="1:8" ht="15" customHeight="1">
      <c r="A41" s="44">
        <f>IF('Members Data'!B41="Venturer",'Members Data'!A41,0)</f>
        <v>0</v>
      </c>
      <c r="B41" s="39">
        <f t="shared" si="1"/>
        <v>0</v>
      </c>
      <c r="C41" s="129">
        <f>IF(A41=0,0,'wk1'!I49+'wk2'!I49+'wk3'!I49+'wk4'!I49+'wk5'!I49)</f>
        <v>0</v>
      </c>
      <c r="D41" s="125">
        <f>IF(A41=0,0,'wk1'!J49+'wk2'!J49+'wk3'!J49+'wk4'!J49+'wk5'!J49)</f>
        <v>0</v>
      </c>
      <c r="E41" s="46">
        <f>IF(A41=0,0,'wk1'!K49+'wk2'!K49+'wk3'!K49+'wk4'!K49+'wk5'!K49)</f>
        <v>0</v>
      </c>
      <c r="F41" s="132"/>
      <c r="G41" s="43"/>
      <c r="H41" s="43"/>
    </row>
    <row r="42" spans="1:8" ht="15" customHeight="1">
      <c r="A42" s="44" t="str">
        <f>IF('Members Data'!B42="Venturer",'Members Data'!A42,0)</f>
        <v>Morenna</v>
      </c>
      <c r="B42" s="39">
        <f t="shared" si="1"/>
        <v>0</v>
      </c>
      <c r="C42" s="129">
        <f>IF(A42=0,0,'wk1'!I50+'wk2'!I50+'wk3'!I50+'wk4'!I50+'wk5'!I50)</f>
        <v>0</v>
      </c>
      <c r="D42" s="125">
        <f>IF(A42=0,0,'wk1'!J50+'wk2'!J50+'wk3'!J50+'wk4'!J50+'wk5'!J50)</f>
        <v>0</v>
      </c>
      <c r="E42" s="46">
        <f>IF(A42=0,0,'wk1'!K50+'wk2'!K50+'wk3'!K50+'wk4'!K50+'wk5'!K50)</f>
        <v>0</v>
      </c>
      <c r="F42" s="132"/>
      <c r="G42" s="43"/>
      <c r="H42" s="43"/>
    </row>
    <row r="43" spans="1:8" ht="15" customHeight="1">
      <c r="A43" s="44">
        <f>IF('Members Data'!B43="Venturer",'Members Data'!A43,0)</f>
        <v>0</v>
      </c>
      <c r="B43" s="39">
        <f t="shared" si="1"/>
        <v>0</v>
      </c>
      <c r="C43" s="129">
        <f>IF(A43=0,0,'wk1'!I51+'wk2'!I51+'wk3'!I51+'wk4'!I51+'wk5'!I51)</f>
        <v>0</v>
      </c>
      <c r="D43" s="125">
        <f>IF(A43=0,0,'wk1'!J51+'wk2'!J51+'wk3'!J51+'wk4'!J51+'wk5'!J51)</f>
        <v>0</v>
      </c>
      <c r="E43" s="46">
        <f>IF(A43=0,0,'wk1'!K51+'wk2'!K51+'wk3'!K51+'wk4'!K51+'wk5'!K51)</f>
        <v>0</v>
      </c>
      <c r="F43" s="132"/>
      <c r="G43" s="43"/>
      <c r="H43" s="43"/>
    </row>
    <row r="44" spans="1:8" ht="15" customHeight="1">
      <c r="A44" s="44">
        <f>IF('Members Data'!B44="Venturer",'Members Data'!A44,0)</f>
        <v>0</v>
      </c>
      <c r="B44" s="39">
        <f t="shared" si="1"/>
        <v>0</v>
      </c>
      <c r="C44" s="129">
        <f>IF(A44=0,0,'wk1'!I52+'wk2'!I52+'wk3'!I52+'wk4'!I52+'wk5'!I52)</f>
        <v>0</v>
      </c>
      <c r="D44" s="125">
        <f>IF(A44=0,0,'wk1'!J52+'wk2'!J52+'wk3'!J52+'wk4'!J52+'wk5'!J52)</f>
        <v>0</v>
      </c>
      <c r="E44" s="46">
        <f>IF(A44=0,0,'wk1'!K52+'wk2'!K52+'wk3'!K52+'wk4'!K52+'wk5'!K52)</f>
        <v>0</v>
      </c>
      <c r="F44" s="132"/>
      <c r="G44" s="43"/>
      <c r="H44" s="43"/>
    </row>
    <row r="45" spans="1:8" ht="15" customHeight="1">
      <c r="A45" s="44">
        <f>IF('Members Data'!B45="Venturer",'Members Data'!A45,0)</f>
        <v>0</v>
      </c>
      <c r="B45" s="39">
        <f t="shared" si="1"/>
        <v>0</v>
      </c>
      <c r="C45" s="129">
        <f>IF(A45=0,0,'wk1'!I53+'wk2'!I53+'wk3'!I53+'wk4'!I53+'wk5'!I53)</f>
        <v>0</v>
      </c>
      <c r="D45" s="125">
        <f>IF(A45=0,0,'wk1'!J53+'wk2'!J53+'wk3'!J53+'wk4'!J53+'wk5'!J53)</f>
        <v>0</v>
      </c>
      <c r="E45" s="46">
        <f>IF(A45=0,0,'wk1'!K53+'wk2'!K53+'wk3'!K53+'wk4'!K53+'wk5'!K53)</f>
        <v>0</v>
      </c>
      <c r="F45" s="132"/>
      <c r="G45" s="43"/>
      <c r="H45" s="43"/>
    </row>
    <row r="46" spans="1:8" ht="15" customHeight="1">
      <c r="A46" s="44" t="str">
        <f>IF('Members Data'!B46="Venturer",'Members Data'!A46,0)</f>
        <v>Niiwa</v>
      </c>
      <c r="B46" s="39">
        <f t="shared" si="1"/>
        <v>2</v>
      </c>
      <c r="C46" s="129">
        <f>IF(A46=0,0,'wk1'!I54+'wk2'!I54+'wk3'!I54+'wk4'!I54+'wk5'!I54)</f>
        <v>2</v>
      </c>
      <c r="D46" s="125">
        <f>IF(A46=0,0,'wk1'!J54+'wk2'!J54+'wk3'!J54+'wk4'!J54+'wk5'!J54)</f>
        <v>0</v>
      </c>
      <c r="E46" s="46">
        <f>IF(A46=0,0,'wk1'!K54+'wk2'!K54+'wk3'!K54+'wk4'!K54+'wk5'!K54)</f>
        <v>0</v>
      </c>
      <c r="F46" s="132"/>
      <c r="G46" s="43"/>
      <c r="H46" s="43"/>
    </row>
    <row r="47" spans="1:8" ht="15" customHeight="1">
      <c r="A47" s="44" t="str">
        <f>IF('Members Data'!B47="Venturer",'Members Data'!A47,0)</f>
        <v>Octavìus</v>
      </c>
      <c r="B47" s="39">
        <f t="shared" si="1"/>
        <v>2</v>
      </c>
      <c r="C47" s="129">
        <f>IF(A47=0,0,'wk1'!I55+'wk2'!I55+'wk3'!I55+'wk4'!I55+'wk5'!I55)</f>
        <v>2</v>
      </c>
      <c r="D47" s="125">
        <f>IF(A47=0,0,'wk1'!J55+'wk2'!J55+'wk3'!J55+'wk4'!J55+'wk5'!J55)</f>
        <v>0</v>
      </c>
      <c r="E47" s="46">
        <f>IF(A47=0,0,'wk1'!K55+'wk2'!K55+'wk3'!K55+'wk4'!K55+'wk5'!K55)</f>
        <v>0</v>
      </c>
      <c r="F47" s="132"/>
      <c r="G47" s="43"/>
      <c r="H47" s="43"/>
    </row>
    <row r="48" spans="1:8" ht="15" customHeight="1">
      <c r="A48" s="44" t="str">
        <f>IF('Members Data'!B48="Venturer",'Members Data'!A48,0)</f>
        <v>Overtake</v>
      </c>
      <c r="B48" s="39">
        <f t="shared" si="1"/>
        <v>2</v>
      </c>
      <c r="C48" s="129">
        <f>IF(A48=0,0,'wk1'!I56+'wk2'!I56+'wk3'!I56+'wk4'!I56+'wk5'!I56)</f>
        <v>2</v>
      </c>
      <c r="D48" s="125">
        <f>IF(A48=0,0,'wk1'!J56+'wk2'!J56+'wk3'!J56+'wk4'!J56+'wk5'!J56)</f>
        <v>0</v>
      </c>
      <c r="E48" s="46">
        <f>IF(A48=0,0,'wk1'!K56+'wk2'!K56+'wk3'!K56+'wk4'!K56+'wk5'!K56)</f>
        <v>0</v>
      </c>
      <c r="F48" s="132"/>
      <c r="G48" s="43"/>
      <c r="H48" s="43"/>
    </row>
    <row r="49" spans="1:8" ht="15" customHeight="1">
      <c r="A49" s="44">
        <f>IF('Members Data'!B49="Venturer",'Members Data'!A49,0)</f>
        <v>0</v>
      </c>
      <c r="B49" s="39">
        <f t="shared" si="1"/>
        <v>0</v>
      </c>
      <c r="C49" s="129">
        <f>IF(A49=0,0,'wk1'!I57+'wk2'!I57+'wk3'!I57+'wk4'!I57+'wk5'!I57)</f>
        <v>0</v>
      </c>
      <c r="D49" s="125">
        <f>IF(A49=0,0,'wk1'!J57+'wk2'!J57+'wk3'!J57+'wk4'!J57+'wk5'!J57)</f>
        <v>0</v>
      </c>
      <c r="E49" s="46">
        <f>IF(A49=0,0,'wk1'!K57+'wk2'!K57+'wk3'!K57+'wk4'!K57+'wk5'!K57)</f>
        <v>0</v>
      </c>
      <c r="F49" s="132"/>
      <c r="G49" s="43"/>
      <c r="H49" s="43"/>
    </row>
    <row r="50" spans="1:8" ht="15" customHeight="1">
      <c r="A50" s="44" t="str">
        <f>IF('Members Data'!B50="Venturer",'Members Data'!A50,0)</f>
        <v>Páula</v>
      </c>
      <c r="B50" s="39">
        <f t="shared" si="1"/>
        <v>2</v>
      </c>
      <c r="C50" s="129">
        <f>IF(A50=0,0,'wk1'!I58+'wk2'!I58+'wk3'!I58+'wk4'!I58+'wk5'!I58)</f>
        <v>2</v>
      </c>
      <c r="D50" s="125">
        <f>IF(A50=0,0,'wk1'!J58+'wk2'!J58+'wk3'!J58+'wk4'!J58+'wk5'!J58)</f>
        <v>0</v>
      </c>
      <c r="E50" s="46">
        <f>IF(A50=0,0,'wk1'!K58+'wk2'!K58+'wk3'!K58+'wk4'!K58+'wk5'!K58)</f>
        <v>0</v>
      </c>
      <c r="F50" s="132"/>
      <c r="G50" s="43"/>
      <c r="H50" s="43"/>
    </row>
    <row r="51" spans="1:8" ht="15" customHeight="1">
      <c r="A51" s="44" t="str">
        <f>IF('Members Data'!B51="Venturer",'Members Data'!A51,0)</f>
        <v>Predictable</v>
      </c>
      <c r="B51" s="39">
        <f t="shared" si="1"/>
        <v>2</v>
      </c>
      <c r="C51" s="129">
        <f>IF(A51=0,0,'wk1'!I59+'wk2'!I59+'wk3'!I59+'wk4'!I59+'wk5'!I59)</f>
        <v>2</v>
      </c>
      <c r="D51" s="125">
        <f>IF(A51=0,0,'wk1'!J59+'wk2'!J59+'wk3'!J59+'wk4'!J59+'wk5'!J59)</f>
        <v>0</v>
      </c>
      <c r="E51" s="46">
        <f>IF(A51=0,0,'wk1'!K59+'wk2'!K59+'wk3'!K59+'wk4'!K59+'wk5'!K59)</f>
        <v>0</v>
      </c>
      <c r="F51" s="132"/>
      <c r="G51" s="43"/>
      <c r="H51" s="43"/>
    </row>
    <row r="52" spans="1:8" ht="15" customHeight="1">
      <c r="A52" s="44">
        <f>IF('Members Data'!B52="Venturer",'Members Data'!A52,0)</f>
        <v>0</v>
      </c>
      <c r="B52" s="39">
        <f t="shared" si="1"/>
        <v>0</v>
      </c>
      <c r="C52" s="129">
        <f>IF(A52=0,0,'wk1'!I60+'wk2'!I60+'wk3'!I60+'wk4'!I60+'wk5'!I60)</f>
        <v>0</v>
      </c>
      <c r="D52" s="125">
        <f>IF(A52=0,0,'wk1'!J60+'wk2'!J60+'wk3'!J60+'wk4'!J60+'wk5'!J60)</f>
        <v>0</v>
      </c>
      <c r="E52" s="46">
        <f>IF(A52=0,0,'wk1'!K60+'wk2'!K60+'wk3'!K60+'wk4'!K60+'wk5'!K60)</f>
        <v>0</v>
      </c>
      <c r="F52" s="132"/>
      <c r="G52" s="43"/>
      <c r="H52" s="43"/>
    </row>
    <row r="53" spans="1:8" ht="15" customHeight="1">
      <c r="A53" s="44">
        <f>IF('Members Data'!B53="Venturer",'Members Data'!A53,0)</f>
        <v>0</v>
      </c>
      <c r="B53" s="39">
        <f t="shared" si="1"/>
        <v>0</v>
      </c>
      <c r="C53" s="129">
        <f>IF(A53=0,0,'wk1'!I61+'wk2'!I61+'wk3'!I61+'wk4'!I61+'wk5'!I61)</f>
        <v>0</v>
      </c>
      <c r="D53" s="125">
        <f>IF(A53=0,0,'wk1'!J61+'wk2'!J61+'wk3'!J61+'wk4'!J61+'wk5'!J61)</f>
        <v>0</v>
      </c>
      <c r="E53" s="46">
        <f>IF(A53=0,0,'wk1'!K61+'wk2'!K61+'wk3'!K61+'wk4'!K61+'wk5'!K61)</f>
        <v>0</v>
      </c>
      <c r="F53" s="132"/>
      <c r="G53" s="43"/>
      <c r="H53" s="43"/>
    </row>
    <row r="54" spans="1:8" ht="15" customHeight="1">
      <c r="A54" s="44" t="str">
        <f>IF('Members Data'!B54="Venturer",'Members Data'!A54,0)</f>
        <v>Saltycream</v>
      </c>
      <c r="B54" s="39">
        <f t="shared" si="1"/>
        <v>2</v>
      </c>
      <c r="C54" s="129">
        <f>IF(A54=0,0,'wk1'!I62+'wk2'!I62+'wk3'!I62+'wk4'!I62+'wk5'!I62)</f>
        <v>2</v>
      </c>
      <c r="D54" s="125">
        <f>IF(A54=0,0,'wk1'!J62+'wk2'!J62+'wk3'!J62+'wk4'!J62+'wk5'!J62)</f>
        <v>0</v>
      </c>
      <c r="E54" s="46">
        <f>IF(A54=0,0,'wk1'!K62+'wk2'!K62+'wk3'!K62+'wk4'!K62+'wk5'!K62)</f>
        <v>0</v>
      </c>
      <c r="F54" s="132"/>
      <c r="G54" s="43"/>
      <c r="H54" s="43"/>
    </row>
    <row r="55" spans="1:8" ht="15" customHeight="1">
      <c r="A55" s="44" t="str">
        <f>IF('Members Data'!B55="Venturer",'Members Data'!A55,0)</f>
        <v>Sarjezzar</v>
      </c>
      <c r="B55" s="39">
        <f t="shared" si="1"/>
        <v>1</v>
      </c>
      <c r="C55" s="129">
        <f>IF(A55=0,0,'wk1'!I63+'wk2'!I63+'wk3'!I63+'wk4'!I63+'wk5'!I63)</f>
        <v>1</v>
      </c>
      <c r="D55" s="125">
        <f>IF(A55=0,0,'wk1'!J63+'wk2'!J63+'wk3'!J63+'wk4'!J63+'wk5'!J63)</f>
        <v>0</v>
      </c>
      <c r="E55" s="46">
        <f>IF(A55=0,0,'wk1'!K63+'wk2'!K63+'wk3'!K63+'wk4'!K63+'wk5'!K63)</f>
        <v>0</v>
      </c>
      <c r="F55" s="132"/>
      <c r="G55" s="43"/>
      <c r="H55" s="43"/>
    </row>
    <row r="56" spans="1:8" ht="15" customHeight="1">
      <c r="A56" s="44">
        <f>IF('Members Data'!B56="Venturer",'Members Data'!A56,0)</f>
        <v>0</v>
      </c>
      <c r="B56" s="39">
        <f t="shared" si="1"/>
        <v>0</v>
      </c>
      <c r="C56" s="129">
        <f>IF(A56=0,0,'wk1'!I64+'wk2'!I64+'wk3'!I64+'wk4'!I64+'wk5'!I64)</f>
        <v>0</v>
      </c>
      <c r="D56" s="125">
        <f>IF(A56=0,0,'wk1'!J64+'wk2'!J64+'wk3'!J64+'wk4'!J64+'wk5'!J64)</f>
        <v>0</v>
      </c>
      <c r="E56" s="46">
        <f>IF(A56=0,0,'wk1'!K64+'wk2'!K64+'wk3'!K64+'wk4'!K64+'wk5'!K64)</f>
        <v>0</v>
      </c>
      <c r="F56" s="132"/>
      <c r="G56" s="43"/>
      <c r="H56" s="43"/>
    </row>
    <row r="57" spans="1:8" ht="15" customHeight="1">
      <c r="A57" s="44" t="str">
        <f>IF('Members Data'!B57="Venturer",'Members Data'!A57,0)</f>
        <v>Shinkai</v>
      </c>
      <c r="B57" s="39">
        <f t="shared" si="1"/>
        <v>0</v>
      </c>
      <c r="C57" s="129">
        <f>IF(A57=0,0,'wk1'!I65+'wk2'!I65+'wk3'!I65+'wk4'!I65+'wk5'!I65)</f>
        <v>0</v>
      </c>
      <c r="D57" s="125">
        <f>IF(A57=0,0,'wk1'!J65+'wk2'!J65+'wk3'!J65+'wk4'!J65+'wk5'!J65)</f>
        <v>0</v>
      </c>
      <c r="E57" s="46">
        <f>IF(A57=0,0,'wk1'!K65+'wk2'!K65+'wk3'!K65+'wk4'!K65+'wk5'!K65)</f>
        <v>0</v>
      </c>
      <c r="F57" s="132"/>
      <c r="G57" s="43"/>
      <c r="H57" s="43"/>
    </row>
    <row r="58" spans="1:8" ht="15" customHeight="1">
      <c r="A58" s="44">
        <f>IF('Members Data'!B58="Venturer",'Members Data'!A58,0)</f>
        <v>0</v>
      </c>
      <c r="B58" s="39">
        <f t="shared" si="1"/>
        <v>0</v>
      </c>
      <c r="C58" s="129">
        <f>IF(A58=0,0,'wk1'!I66+'wk2'!I66+'wk3'!I66+'wk4'!I66+'wk5'!I66)</f>
        <v>0</v>
      </c>
      <c r="D58" s="125">
        <f>IF(A58=0,0,'wk1'!J66+'wk2'!J66+'wk3'!J66+'wk4'!J66+'wk5'!J66)</f>
        <v>0</v>
      </c>
      <c r="E58" s="46">
        <f>IF(A58=0,0,'wk1'!K66+'wk2'!K66+'wk3'!K66+'wk4'!K66+'wk5'!K66)</f>
        <v>0</v>
      </c>
      <c r="F58" s="132"/>
      <c r="G58" s="43"/>
      <c r="H58" s="43"/>
    </row>
    <row r="59" spans="1:8" ht="15" customHeight="1">
      <c r="A59" s="44" t="str">
        <f>IF('Members Data'!B59="Venturer",'Members Data'!A59,0)</f>
        <v>Snowies</v>
      </c>
      <c r="B59" s="39">
        <f t="shared" si="1"/>
        <v>2</v>
      </c>
      <c r="C59" s="129">
        <f>IF(A59=0,0,'wk1'!I67+'wk2'!I67+'wk3'!I67+'wk4'!I67+'wk5'!I67)</f>
        <v>2</v>
      </c>
      <c r="D59" s="125">
        <f>IF(A59=0,0,'wk1'!J67+'wk2'!J67+'wk3'!J67+'wk4'!J67+'wk5'!J67)</f>
        <v>0</v>
      </c>
      <c r="E59" s="46">
        <f>IF(A59=0,0,'wk1'!K67+'wk2'!K67+'wk3'!K67+'wk4'!K67+'wk5'!K67)</f>
        <v>0</v>
      </c>
      <c r="F59" s="132"/>
      <c r="G59" s="43"/>
      <c r="H59" s="43"/>
    </row>
    <row r="60" spans="1:8" ht="15" customHeight="1">
      <c r="A60" s="44" t="str">
        <f>IF('Members Data'!B60="Venturer",'Members Data'!A60,0)</f>
        <v>Spruch</v>
      </c>
      <c r="B60" s="39">
        <f t="shared" si="1"/>
        <v>2</v>
      </c>
      <c r="C60" s="129">
        <f>IF(A60=0,0,'wk1'!I68+'wk2'!I68+'wk3'!I68+'wk4'!I68+'wk5'!I68)</f>
        <v>2</v>
      </c>
      <c r="D60" s="125">
        <f>IF(A60=0,0,'wk1'!J68+'wk2'!J68+'wk3'!J68+'wk4'!J68+'wk5'!J68)</f>
        <v>0</v>
      </c>
      <c r="E60" s="46">
        <f>IF(A60=0,0,'wk1'!K68+'wk2'!K68+'wk3'!K68+'wk4'!K68+'wk5'!K68)</f>
        <v>0</v>
      </c>
      <c r="F60" s="132"/>
      <c r="G60" s="43"/>
      <c r="H60" s="43"/>
    </row>
    <row r="61" spans="1:8" ht="15" customHeight="1" thickBot="1">
      <c r="A61" s="136" t="str">
        <f>IF('Members Data'!B61="Venturer",'Members Data'!A61,0)</f>
        <v>Svicane</v>
      </c>
      <c r="B61" s="137">
        <f t="shared" si="1"/>
        <v>2</v>
      </c>
      <c r="C61" s="139">
        <f>IF(A61=0,0,'wk1'!I69+'wk2'!I69+'wk3'!I69+'wk4'!I69+'wk5'!I69)</f>
        <v>2</v>
      </c>
      <c r="D61" s="140">
        <f>IF(A61=0,0,'wk1'!J69+'wk2'!J69+'wk3'!J69+'wk4'!J69+'wk5'!J69)</f>
        <v>0</v>
      </c>
      <c r="E61" s="140">
        <f>IF(A61=0,0,'wk1'!K69+'wk2'!K69+'wk3'!K69+'wk4'!K69+'wk5'!K69)</f>
        <v>0</v>
      </c>
      <c r="F61" s="138"/>
      <c r="G61" s="43"/>
      <c r="H61" s="43"/>
    </row>
    <row r="62" spans="1:8" ht="15" customHeight="1" thickTop="1">
      <c r="A62" s="44" t="str">
        <f>IF('Members Data'!B62="Venturer",'Members Data'!A62,0)</f>
        <v>Téasey</v>
      </c>
      <c r="B62" s="45">
        <f t="shared" si="1"/>
        <v>2</v>
      </c>
      <c r="C62" s="135">
        <f>IF(A62=0,0,'wk1'!I70+'wk2'!I70+'wk3'!I70+'wk4'!I70+'wk5'!I70)</f>
        <v>2</v>
      </c>
      <c r="D62" s="46">
        <f>IF(A62=0,0,'wk1'!J70+'wk2'!J70+'wk3'!J70+'wk4'!J70+'wk5'!J70)</f>
        <v>0</v>
      </c>
      <c r="E62" s="212">
        <f>IF(A62=0,0,'wk1'!K70+'wk2'!K70+'wk3'!K70+'wk4'!K70+'wk5'!K70)</f>
        <v>0</v>
      </c>
      <c r="F62" s="132"/>
      <c r="G62" s="43"/>
      <c r="H62" s="43"/>
    </row>
    <row r="63" spans="1:8" ht="15" customHeight="1">
      <c r="A63" s="44">
        <f>IF('Members Data'!B63="Venturer",'Members Data'!A63,0)</f>
        <v>0</v>
      </c>
      <c r="B63" s="39">
        <f t="shared" si="1"/>
        <v>0</v>
      </c>
      <c r="C63" s="129">
        <f>IF(A63=0,0,'wk1'!I71+'wk2'!I71+'wk3'!I71+'wk4'!I71+'wk5'!I71)</f>
        <v>0</v>
      </c>
      <c r="D63" s="125">
        <f>IF(A63=0,0,'wk1'!J71+'wk2'!J71+'wk3'!J71+'wk4'!J71+'wk5'!J71)</f>
        <v>0</v>
      </c>
      <c r="E63" s="46">
        <f>IF(A63=0,0,'wk1'!K71+'wk2'!K71+'wk3'!K71+'wk4'!K71+'wk5'!K71)</f>
        <v>0</v>
      </c>
      <c r="F63" s="132"/>
      <c r="G63" s="43"/>
      <c r="H63" s="43"/>
    </row>
    <row r="64" spans="1:8" ht="15" customHeight="1">
      <c r="A64" s="44" t="str">
        <f>IF('Members Data'!B64="Venturer",'Members Data'!A64,0)</f>
        <v>Tonitrum</v>
      </c>
      <c r="B64" s="39">
        <f t="shared" si="1"/>
        <v>2</v>
      </c>
      <c r="C64" s="129">
        <f>IF(A64=0,0,'wk1'!I72+'wk2'!I72+'wk3'!I72+'wk4'!I72+'wk5'!I72)</f>
        <v>2</v>
      </c>
      <c r="D64" s="125">
        <f>IF(A64=0,0,'wk1'!J72+'wk2'!J72+'wk3'!J72+'wk4'!J72+'wk5'!J72)</f>
        <v>0</v>
      </c>
      <c r="E64" s="46">
        <f>IF(A64=0,0,'wk1'!K72+'wk2'!K72+'wk3'!K72+'wk4'!K72+'wk5'!K72)</f>
        <v>0</v>
      </c>
      <c r="F64" s="132"/>
      <c r="G64" s="43"/>
      <c r="H64" s="43"/>
    </row>
    <row r="65" spans="1:8" ht="15" customHeight="1">
      <c r="A65" s="44">
        <f>IF('Members Data'!B65="Venturer",'Members Data'!A65,0)</f>
        <v>0</v>
      </c>
      <c r="B65" s="39">
        <f t="shared" si="1"/>
        <v>0</v>
      </c>
      <c r="C65" s="129">
        <f>IF(A65=0,0,'wk1'!I73+'wk2'!I73+'wk3'!I73+'wk4'!I73+'wk5'!I73)</f>
        <v>0</v>
      </c>
      <c r="D65" s="125">
        <f>IF(A65=0,0,'wk1'!J73+'wk2'!J73+'wk3'!J73+'wk4'!J73+'wk5'!J73)</f>
        <v>0</v>
      </c>
      <c r="E65" s="46">
        <f>IF(A65=0,0,'wk1'!K73+'wk2'!K73+'wk3'!K73+'wk4'!K73+'wk5'!K73)</f>
        <v>0</v>
      </c>
      <c r="F65" s="132"/>
      <c r="G65" s="43"/>
      <c r="H65" s="43"/>
    </row>
    <row r="66" spans="1:8" ht="15" customHeight="1">
      <c r="A66" s="44" t="str">
        <f>IF('Members Data'!B66="Venturer",'Members Data'!A66,0)</f>
        <v>Twicemore</v>
      </c>
      <c r="B66" s="39">
        <f t="shared" ref="B66:B97" si="2">IF(A66=0,0,C66+D66)</f>
        <v>2</v>
      </c>
      <c r="C66" s="129">
        <f>IF(A66=0,0,'wk1'!I74+'wk2'!I74+'wk3'!I74+'wk4'!I74+'wk5'!I74)</f>
        <v>2</v>
      </c>
      <c r="D66" s="125">
        <f>IF(A66=0,0,'wk1'!J74+'wk2'!J74+'wk3'!J74+'wk4'!J74+'wk5'!J74)</f>
        <v>0</v>
      </c>
      <c r="E66" s="46">
        <f>IF(A66=0,0,'wk1'!K74+'wk2'!K74+'wk3'!K74+'wk4'!K74+'wk5'!K74)</f>
        <v>0</v>
      </c>
      <c r="F66" s="132"/>
      <c r="G66" s="43"/>
      <c r="H66" s="43"/>
    </row>
    <row r="67" spans="1:8" ht="15" customHeight="1">
      <c r="A67" s="44">
        <f>IF('Members Data'!B67="Venturer",'Members Data'!A67,0)</f>
        <v>0</v>
      </c>
      <c r="B67" s="39">
        <f t="shared" si="2"/>
        <v>0</v>
      </c>
      <c r="C67" s="129">
        <f>IF(A67=0,0,'wk1'!I75+'wk2'!I75+'wk3'!I75+'wk4'!I75+'wk5'!I75)</f>
        <v>0</v>
      </c>
      <c r="D67" s="125">
        <f>IF(A67=0,0,'wk1'!J75+'wk2'!J75+'wk3'!J75+'wk4'!J75+'wk5'!J75)</f>
        <v>0</v>
      </c>
      <c r="E67" s="46">
        <f>IF(A67=0,0,'wk1'!K75+'wk2'!K75+'wk3'!K75+'wk4'!K75+'wk5'!K75)</f>
        <v>0</v>
      </c>
      <c r="F67" s="132"/>
      <c r="G67" s="43"/>
      <c r="H67" s="43"/>
    </row>
    <row r="68" spans="1:8" ht="15" customHeight="1">
      <c r="A68" s="44" t="str">
        <f>IF('Members Data'!B68="Venturer",'Members Data'!A68,0)</f>
        <v>Xanadaria</v>
      </c>
      <c r="B68" s="39">
        <f t="shared" si="2"/>
        <v>2</v>
      </c>
      <c r="C68" s="129">
        <f>IF(A68=0,0,'wk1'!I76+'wk2'!I76+'wk3'!I76+'wk4'!I76+'wk5'!I76)</f>
        <v>2</v>
      </c>
      <c r="D68" s="125">
        <f>IF(A68=0,0,'wk1'!J76+'wk2'!J76+'wk3'!J76+'wk4'!J76+'wk5'!J76)</f>
        <v>0</v>
      </c>
      <c r="E68" s="46">
        <f>IF(A68=0,0,'wk1'!K76+'wk2'!K76+'wk3'!K76+'wk4'!K76+'wk5'!K76)</f>
        <v>0</v>
      </c>
      <c r="F68" s="132"/>
      <c r="G68" s="43"/>
      <c r="H68" s="43"/>
    </row>
    <row r="69" spans="1:8" ht="15" customHeight="1">
      <c r="A69" s="44">
        <f>IF('Members Data'!B69="Venturer",'Members Data'!A69,0)</f>
        <v>0</v>
      </c>
      <c r="B69" s="39">
        <f t="shared" si="2"/>
        <v>0</v>
      </c>
      <c r="C69" s="129">
        <f>IF(A69=0,0,'wk1'!I77+'wk2'!I77+'wk3'!I77+'wk4'!I77+'wk5'!I77)</f>
        <v>0</v>
      </c>
      <c r="D69" s="125">
        <f>IF(A69=0,0,'wk1'!J77+'wk2'!J77+'wk3'!J77+'wk4'!J77+'wk5'!J77)</f>
        <v>0</v>
      </c>
      <c r="E69" s="46">
        <f>IF(A69=0,0,'wk1'!K77+'wk2'!K77+'wk3'!K77+'wk4'!K77+'wk5'!K77)</f>
        <v>0</v>
      </c>
      <c r="F69" s="132"/>
      <c r="G69" s="43"/>
      <c r="H69" s="43"/>
    </row>
    <row r="70" spans="1:8" ht="15" customHeight="1">
      <c r="A70" s="44" t="str">
        <f>IF('Members Data'!B70="Venturer",'Members Data'!A70,0)</f>
        <v>Xytree</v>
      </c>
      <c r="B70" s="39">
        <f t="shared" si="2"/>
        <v>2</v>
      </c>
      <c r="C70" s="129">
        <f>IF(A70=0,0,'wk1'!I78+'wk2'!I78+'wk3'!I78+'wk4'!I78+'wk5'!I78)</f>
        <v>2</v>
      </c>
      <c r="D70" s="125">
        <f>IF(A70=0,0,'wk1'!J78+'wk2'!J78+'wk3'!J78+'wk4'!J78+'wk5'!J78)</f>
        <v>0</v>
      </c>
      <c r="E70" s="46">
        <f>IF(A70=0,0,'wk1'!K78+'wk2'!K78+'wk3'!K78+'wk4'!K78+'wk5'!K78)</f>
        <v>0</v>
      </c>
      <c r="F70" s="132"/>
      <c r="G70" s="43"/>
      <c r="H70" s="43"/>
    </row>
    <row r="71" spans="1:8" ht="15" customHeight="1">
      <c r="A71" s="44">
        <f>IF('Members Data'!B71="Venturer",'Members Data'!A71,0)</f>
        <v>0</v>
      </c>
      <c r="B71" s="39">
        <f t="shared" si="2"/>
        <v>0</v>
      </c>
      <c r="C71" s="129">
        <f>IF(A71=0,0,'wk1'!I79+'wk2'!I79+'wk3'!I79+'wk4'!I79+'wk5'!I79)</f>
        <v>0</v>
      </c>
      <c r="D71" s="125">
        <f>IF(A71=0,0,'wk1'!J79+'wk2'!J79+'wk3'!J79+'wk4'!J79+'wk5'!J79)</f>
        <v>0</v>
      </c>
      <c r="E71" s="46">
        <f>IF(A71=0,0,'wk1'!K79+'wk2'!K79+'wk3'!K79+'wk4'!K79+'wk5'!K79)</f>
        <v>0</v>
      </c>
      <c r="F71" s="132"/>
      <c r="G71" s="43"/>
      <c r="H71" s="43"/>
    </row>
    <row r="72" spans="1:8" ht="15" customHeight="1">
      <c r="A72" s="44">
        <f>IF('Members Data'!B72="Venturer",'Members Data'!A72,0)</f>
        <v>0</v>
      </c>
      <c r="B72" s="39">
        <f t="shared" si="2"/>
        <v>0</v>
      </c>
      <c r="C72" s="129">
        <f>IF(A72=0,0,'wk1'!I80+'wk2'!I80+'wk3'!I80+'wk4'!I80+'wk5'!I80)</f>
        <v>0</v>
      </c>
      <c r="D72" s="125">
        <f>IF(A72=0,0,'wk1'!J80+'wk2'!J80+'wk3'!J80+'wk4'!J80+'wk5'!J80)</f>
        <v>0</v>
      </c>
      <c r="E72" s="46">
        <f>IF(A72=0,0,'wk1'!K80+'wk2'!K80+'wk3'!K80+'wk4'!K80+'wk5'!K80)</f>
        <v>0</v>
      </c>
      <c r="F72" s="132"/>
      <c r="G72" s="43"/>
      <c r="H72" s="43"/>
    </row>
    <row r="73" spans="1:8" ht="15" customHeight="1">
      <c r="A73" s="44" t="str">
        <f>IF('Members Data'!B73="Venturer",'Members Data'!A73,0)</f>
        <v>Zantias</v>
      </c>
      <c r="B73" s="39">
        <f t="shared" si="2"/>
        <v>0</v>
      </c>
      <c r="C73" s="129">
        <f>IF(A73=0,0,'wk1'!I81+'wk2'!I81+'wk3'!I81+'wk4'!I81+'wk5'!I81)</f>
        <v>0</v>
      </c>
      <c r="D73" s="125">
        <f>IF(A73=0,0,'wk1'!J81+'wk2'!J81+'wk3'!J81+'wk4'!J81+'wk5'!J81)</f>
        <v>0</v>
      </c>
      <c r="E73" s="46">
        <f>IF(A73=0,0,'wk1'!K81+'wk2'!K81+'wk3'!K81+'wk4'!K81+'wk5'!K81)</f>
        <v>0</v>
      </c>
      <c r="F73" s="132"/>
      <c r="G73" s="43"/>
      <c r="H73" s="43"/>
    </row>
    <row r="74" spans="1:8" ht="15" customHeight="1">
      <c r="A74" s="44">
        <f>IF('Members Data'!B74="Venturer",'Members Data'!A74,0)</f>
        <v>0</v>
      </c>
      <c r="B74" s="39">
        <f t="shared" si="2"/>
        <v>0</v>
      </c>
      <c r="C74" s="129">
        <f>IF(A74=0,0,'wk1'!I82+'wk2'!I82+'wk3'!I82+'wk4'!I82+'wk5'!I82)</f>
        <v>0</v>
      </c>
      <c r="D74" s="125">
        <f>IF(A74=0,0,'wk1'!J82+'wk2'!J82+'wk3'!J82+'wk4'!J82+'wk5'!J82)</f>
        <v>0</v>
      </c>
      <c r="E74" s="46">
        <f>IF(A74=0,0,'wk1'!K82+'wk2'!K82+'wk3'!K82+'wk4'!K82+'wk5'!K82)</f>
        <v>0</v>
      </c>
      <c r="F74" s="132"/>
      <c r="G74" s="43"/>
      <c r="H74" s="43"/>
    </row>
    <row r="75" spans="1:8" ht="15" customHeight="1">
      <c r="A75" s="44">
        <f>IF('Members Data'!B75="Venturer",'Members Data'!A75,0)</f>
        <v>0</v>
      </c>
      <c r="B75" s="39">
        <f t="shared" si="2"/>
        <v>0</v>
      </c>
      <c r="C75" s="129">
        <f>IF(A75=0,0,'wk1'!I83+'wk2'!I83+'wk3'!I83+'wk4'!I83+'wk5'!I83)</f>
        <v>0</v>
      </c>
      <c r="D75" s="125">
        <f>IF(A75=0,0,'wk1'!J83+'wk2'!J83+'wk3'!J83+'wk4'!J83+'wk5'!J83)</f>
        <v>0</v>
      </c>
      <c r="E75" s="46">
        <f>IF(A75=0,0,'wk1'!K83+'wk2'!K83+'wk3'!K83+'wk4'!K83+'wk5'!K83)</f>
        <v>0</v>
      </c>
      <c r="F75" s="132"/>
      <c r="G75" s="43"/>
      <c r="H75" s="43"/>
    </row>
    <row r="76" spans="1:8" ht="15" customHeight="1">
      <c r="A76" s="44">
        <f>IF('Members Data'!B76="Venturer",'Members Data'!A76,0)</f>
        <v>0</v>
      </c>
      <c r="B76" s="39">
        <f t="shared" si="2"/>
        <v>0</v>
      </c>
      <c r="C76" s="129">
        <f>IF(A76=0,0,'wk1'!I84+'wk2'!I84+'wk3'!I84+'wk4'!I84+'wk5'!I84)</f>
        <v>0</v>
      </c>
      <c r="D76" s="125">
        <f>IF(A76=0,0,'wk1'!J84+'wk2'!J84+'wk3'!J84+'wk4'!J84+'wk5'!J84)</f>
        <v>0</v>
      </c>
      <c r="E76" s="46">
        <f>IF(A76=0,0,'wk1'!K84+'wk2'!K84+'wk3'!K84+'wk4'!K84+'wk5'!K84)</f>
        <v>0</v>
      </c>
      <c r="F76" s="132"/>
      <c r="G76" s="43"/>
      <c r="H76" s="43"/>
    </row>
    <row r="77" spans="1:8" ht="15" customHeight="1">
      <c r="A77" s="44">
        <f>IF('Members Data'!B77="Venturer",'Members Data'!A77,0)</f>
        <v>0</v>
      </c>
      <c r="B77" s="39">
        <f t="shared" si="2"/>
        <v>0</v>
      </c>
      <c r="C77" s="129">
        <f>IF(A77=0,0,'wk1'!I85+'wk2'!I85+'wk3'!I85+'wk4'!I85+'wk5'!I85)</f>
        <v>0</v>
      </c>
      <c r="D77" s="125">
        <f>IF(A77=0,0,'wk1'!J85+'wk2'!J85+'wk3'!J85+'wk4'!J85+'wk5'!J85)</f>
        <v>0</v>
      </c>
      <c r="E77" s="46">
        <f>IF(A77=0,0,'wk1'!K85+'wk2'!K85+'wk3'!K85+'wk4'!K85+'wk5'!K85)</f>
        <v>0</v>
      </c>
      <c r="F77" s="132"/>
      <c r="G77" s="43"/>
      <c r="H77" s="43"/>
    </row>
    <row r="78" spans="1:8" ht="15" customHeight="1">
      <c r="A78" s="44">
        <f>IF('Members Data'!B78="Venturer",'Members Data'!A78,0)</f>
        <v>0</v>
      </c>
      <c r="B78" s="39">
        <f t="shared" si="2"/>
        <v>0</v>
      </c>
      <c r="C78" s="129">
        <f>IF(A78=0,0,'wk1'!I86+'wk2'!I86+'wk3'!I86+'wk4'!I86+'wk5'!I86)</f>
        <v>0</v>
      </c>
      <c r="D78" s="125">
        <f>IF(A78=0,0,'wk1'!J86+'wk2'!J86+'wk3'!J86+'wk4'!J86+'wk5'!J86)</f>
        <v>0</v>
      </c>
      <c r="E78" s="46">
        <f>IF(A78=0,0,'wk1'!K86+'wk2'!K86+'wk3'!K86+'wk4'!K86+'wk5'!K86)</f>
        <v>0</v>
      </c>
      <c r="F78" s="132"/>
      <c r="G78" s="43"/>
      <c r="H78" s="43"/>
    </row>
    <row r="79" spans="1:8" ht="15" customHeight="1">
      <c r="A79" s="44">
        <f>IF('Members Data'!B79="Venturer",'Members Data'!A79,0)</f>
        <v>0</v>
      </c>
      <c r="B79" s="39">
        <f t="shared" si="2"/>
        <v>0</v>
      </c>
      <c r="C79" s="129">
        <f>IF(A79=0,0,'wk1'!I87+'wk2'!I87+'wk3'!I87+'wk4'!I87+'wk5'!I87)</f>
        <v>0</v>
      </c>
      <c r="D79" s="125">
        <f>IF(A79=0,0,'wk1'!J87+'wk2'!J87+'wk3'!J87+'wk4'!J87+'wk5'!J87)</f>
        <v>0</v>
      </c>
      <c r="E79" s="46">
        <f>IF(A79=0,0,'wk1'!K87+'wk2'!K87+'wk3'!K87+'wk4'!K87+'wk5'!K87)</f>
        <v>0</v>
      </c>
      <c r="F79" s="132"/>
      <c r="G79" s="43"/>
      <c r="H79" s="43"/>
    </row>
    <row r="80" spans="1:8" ht="15" customHeight="1">
      <c r="A80" s="44">
        <f>IF('Members Data'!B80="Venturer",'Members Data'!A80,0)</f>
        <v>0</v>
      </c>
      <c r="B80" s="39">
        <f t="shared" si="2"/>
        <v>0</v>
      </c>
      <c r="C80" s="129">
        <f>IF(A80=0,0,'wk1'!I88+'wk2'!I88+'wk3'!I88+'wk4'!I88+'wk5'!I88)</f>
        <v>0</v>
      </c>
      <c r="D80" s="125">
        <f>IF(A80=0,0,'wk1'!J88+'wk2'!J88+'wk3'!J88+'wk4'!J88+'wk5'!J88)</f>
        <v>0</v>
      </c>
      <c r="E80" s="46">
        <f>IF(A80=0,0,'wk1'!K88+'wk2'!K88+'wk3'!K88+'wk4'!K88+'wk5'!K88)</f>
        <v>0</v>
      </c>
      <c r="F80" s="132"/>
      <c r="G80" s="43"/>
      <c r="H80" s="43"/>
    </row>
    <row r="81" spans="1:8" ht="15" customHeight="1">
      <c r="A81" s="44">
        <f>IF('Members Data'!B81="Venturer",'Members Data'!A81,0)</f>
        <v>0</v>
      </c>
      <c r="B81" s="39">
        <f t="shared" si="2"/>
        <v>0</v>
      </c>
      <c r="C81" s="129">
        <f>IF(A81=0,0,'wk1'!I89+'wk2'!I89+'wk3'!I89+'wk4'!I89+'wk5'!I89)</f>
        <v>0</v>
      </c>
      <c r="D81" s="125">
        <f>IF(A81=0,0,'wk1'!J89+'wk2'!J89+'wk3'!J89+'wk4'!J89+'wk5'!J89)</f>
        <v>0</v>
      </c>
      <c r="E81" s="46">
        <f>IF(A81=0,0,'wk1'!K89+'wk2'!K89+'wk3'!K89+'wk4'!K89+'wk5'!K89)</f>
        <v>0</v>
      </c>
      <c r="F81" s="132"/>
      <c r="G81" s="43"/>
      <c r="H81" s="43"/>
    </row>
    <row r="82" spans="1:8" ht="15" customHeight="1">
      <c r="A82" s="44">
        <f>IF('Members Data'!B82="Venturer",'Members Data'!A82,0)</f>
        <v>0</v>
      </c>
      <c r="B82" s="39">
        <f t="shared" si="2"/>
        <v>0</v>
      </c>
      <c r="C82" s="129">
        <f>IF(A82=0,0,'wk1'!I90+'wk2'!I90+'wk3'!I90+'wk4'!I90+'wk5'!I90)</f>
        <v>0</v>
      </c>
      <c r="D82" s="125">
        <f>IF(A82=0,0,'wk1'!J90+'wk2'!J90+'wk3'!J90+'wk4'!J90+'wk5'!J90)</f>
        <v>0</v>
      </c>
      <c r="E82" s="46">
        <f>IF(A82=0,0,'wk1'!K90+'wk2'!K90+'wk3'!K90+'wk4'!K90+'wk5'!K90)</f>
        <v>0</v>
      </c>
      <c r="F82" s="132"/>
      <c r="G82" s="43"/>
      <c r="H82" s="43"/>
    </row>
    <row r="83" spans="1:8" ht="15" customHeight="1">
      <c r="A83" s="44">
        <f>IF('Members Data'!B83="Venturer",'Members Data'!A83,0)</f>
        <v>0</v>
      </c>
      <c r="B83" s="39">
        <f t="shared" si="2"/>
        <v>0</v>
      </c>
      <c r="C83" s="129">
        <f>IF(A83=0,0,'wk1'!I91+'wk2'!I91+'wk3'!I91+'wk4'!I91+'wk5'!I91)</f>
        <v>0</v>
      </c>
      <c r="D83" s="125">
        <f>IF(A83=0,0,'wk1'!J91+'wk2'!J91+'wk3'!J91+'wk4'!J91+'wk5'!J91)</f>
        <v>0</v>
      </c>
      <c r="E83" s="46">
        <f>IF(A83=0,0,'wk1'!K91+'wk2'!K91+'wk3'!K91+'wk4'!K91+'wk5'!K91)</f>
        <v>0</v>
      </c>
      <c r="F83" s="132"/>
      <c r="G83" s="43"/>
      <c r="H83" s="43"/>
    </row>
    <row r="84" spans="1:8" ht="15" customHeight="1">
      <c r="A84" s="44">
        <f>IF('Members Data'!B84="Venturer",'Members Data'!A84,0)</f>
        <v>0</v>
      </c>
      <c r="B84" s="39">
        <f t="shared" si="2"/>
        <v>0</v>
      </c>
      <c r="C84" s="129">
        <f>IF(A84=0,0,'wk1'!I92+'wk2'!I92+'wk3'!I92+'wk4'!I92+'wk5'!I92)</f>
        <v>0</v>
      </c>
      <c r="D84" s="125">
        <f>IF(A84=0,0,'wk1'!J92+'wk2'!J92+'wk3'!J92+'wk4'!J92+'wk5'!J92)</f>
        <v>0</v>
      </c>
      <c r="E84" s="46">
        <f>IF(A84=0,0,'wk1'!K92+'wk2'!K92+'wk3'!K92+'wk4'!K92+'wk5'!K92)</f>
        <v>0</v>
      </c>
      <c r="F84" s="132"/>
      <c r="G84" s="43"/>
      <c r="H84" s="43"/>
    </row>
    <row r="85" spans="1:8" ht="15" customHeight="1">
      <c r="A85" s="44">
        <f>IF('Members Data'!B85="Venturer",'Members Data'!A85,0)</f>
        <v>0</v>
      </c>
      <c r="B85" s="39">
        <f t="shared" si="2"/>
        <v>0</v>
      </c>
      <c r="C85" s="129">
        <f>IF(A85=0,0,'wk1'!I93+'wk2'!I93+'wk3'!I93+'wk4'!I93+'wk5'!I93)</f>
        <v>0</v>
      </c>
      <c r="D85" s="125">
        <f>IF(A85=0,0,'wk1'!J93+'wk2'!J93+'wk3'!J93+'wk4'!J93+'wk5'!J93)</f>
        <v>0</v>
      </c>
      <c r="E85" s="46">
        <f>IF(A85=0,0,'wk1'!K93+'wk2'!K93+'wk3'!K93+'wk4'!K93+'wk5'!K93)</f>
        <v>0</v>
      </c>
      <c r="F85" s="132"/>
      <c r="G85" s="43"/>
      <c r="H85" s="43"/>
    </row>
    <row r="86" spans="1:8" ht="15" customHeight="1">
      <c r="A86" s="44">
        <f>IF('Members Data'!B86="Venturer",'Members Data'!A86,0)</f>
        <v>0</v>
      </c>
      <c r="B86" s="39">
        <f t="shared" si="2"/>
        <v>0</v>
      </c>
      <c r="C86" s="129">
        <f>IF(A86=0,0,'wk1'!I94+'wk2'!I94+'wk3'!I94+'wk4'!I94+'wk5'!I94)</f>
        <v>0</v>
      </c>
      <c r="D86" s="125">
        <f>IF(A86=0,0,'wk1'!J94+'wk2'!J94+'wk3'!J94+'wk4'!J94+'wk5'!J94)</f>
        <v>0</v>
      </c>
      <c r="E86" s="46">
        <f>IF(A86=0,0,'wk1'!K94+'wk2'!K94+'wk3'!K94+'wk4'!K94+'wk5'!K94)</f>
        <v>0</v>
      </c>
      <c r="F86" s="132"/>
      <c r="G86" s="43"/>
      <c r="H86" s="43"/>
    </row>
    <row r="87" spans="1:8" ht="15" customHeight="1">
      <c r="A87" s="44">
        <f>IF('Members Data'!B87="Venturer",'Members Data'!A87,0)</f>
        <v>0</v>
      </c>
      <c r="B87" s="39">
        <f t="shared" si="2"/>
        <v>0</v>
      </c>
      <c r="C87" s="129">
        <f>IF(A87=0,0,'wk1'!I95+'wk2'!I95+'wk3'!I95+'wk4'!I95+'wk5'!I95)</f>
        <v>0</v>
      </c>
      <c r="D87" s="125">
        <f>IF(A87=0,0,'wk1'!J95+'wk2'!J95+'wk3'!J95+'wk4'!J95+'wk5'!J95)</f>
        <v>0</v>
      </c>
      <c r="E87" s="46">
        <f>IF(A87=0,0,'wk1'!K95+'wk2'!K95+'wk3'!K95+'wk4'!K95+'wk5'!K95)</f>
        <v>0</v>
      </c>
      <c r="F87" s="132"/>
      <c r="G87" s="43"/>
      <c r="H87" s="43"/>
    </row>
    <row r="88" spans="1:8" ht="15" customHeight="1">
      <c r="A88" s="44">
        <f>IF('Members Data'!B88="Venturer",'Members Data'!A88,0)</f>
        <v>0</v>
      </c>
      <c r="B88" s="39">
        <f t="shared" si="2"/>
        <v>0</v>
      </c>
      <c r="C88" s="129">
        <f>IF(A88=0,0,'wk1'!I96+'wk2'!I96+'wk3'!I96+'wk4'!I96+'wk5'!I96)</f>
        <v>0</v>
      </c>
      <c r="D88" s="125">
        <f>IF(A88=0,0,'wk1'!J96+'wk2'!J96+'wk3'!J96+'wk4'!J96+'wk5'!J96)</f>
        <v>0</v>
      </c>
      <c r="E88" s="46">
        <f>IF(A88=0,0,'wk1'!K96+'wk2'!K96+'wk3'!K96+'wk4'!K96+'wk5'!K96)</f>
        <v>0</v>
      </c>
      <c r="F88" s="132"/>
      <c r="G88" s="43"/>
      <c r="H88" s="43"/>
    </row>
    <row r="89" spans="1:8" ht="15" customHeight="1">
      <c r="A89" s="44">
        <f>IF('Members Data'!B89="Venturer",'Members Data'!A89,0)</f>
        <v>0</v>
      </c>
      <c r="B89" s="39">
        <f t="shared" si="2"/>
        <v>0</v>
      </c>
      <c r="C89" s="129">
        <f>IF(A89=0,0,'wk1'!I97+'wk2'!I97+'wk3'!I97+'wk4'!I97+'wk5'!I97)</f>
        <v>0</v>
      </c>
      <c r="D89" s="125">
        <f>IF(A89=0,0,'wk1'!J97+'wk2'!J97+'wk3'!J97+'wk4'!J97+'wk5'!J97)</f>
        <v>0</v>
      </c>
      <c r="E89" s="46">
        <f>IF(A89=0,0,'wk1'!K97+'wk2'!K97+'wk3'!K97+'wk4'!K97+'wk5'!K97)</f>
        <v>0</v>
      </c>
      <c r="F89" s="132"/>
      <c r="G89" s="43"/>
      <c r="H89" s="43"/>
    </row>
    <row r="90" spans="1:8" ht="15" customHeight="1">
      <c r="A90" s="44">
        <f>IF('Members Data'!B90="Venturer",'Members Data'!A90,0)</f>
        <v>0</v>
      </c>
      <c r="B90" s="39">
        <f t="shared" si="2"/>
        <v>0</v>
      </c>
      <c r="C90" s="129">
        <f>IF(A90=0,0,'wk1'!I98+'wk2'!I98+'wk3'!I98+'wk4'!I98+'wk5'!I98)</f>
        <v>0</v>
      </c>
      <c r="D90" s="125">
        <f>IF(A90=0,0,'wk1'!J98+'wk2'!J98+'wk3'!J98+'wk4'!J98+'wk5'!J98)</f>
        <v>0</v>
      </c>
      <c r="E90" s="46">
        <f>IF(A90=0,0,'wk1'!K98+'wk2'!K98+'wk3'!K98+'wk4'!K98+'wk5'!K98)</f>
        <v>0</v>
      </c>
      <c r="F90" s="132"/>
      <c r="G90" s="43"/>
      <c r="H90" s="43"/>
    </row>
    <row r="91" spans="1:8" ht="15" customHeight="1">
      <c r="A91" s="44">
        <f>IF('Members Data'!B91="Venturer",'Members Data'!A91,0)</f>
        <v>0</v>
      </c>
      <c r="B91" s="39">
        <f t="shared" si="2"/>
        <v>0</v>
      </c>
      <c r="C91" s="129">
        <f>IF(A91=0,0,'wk1'!I99+'wk2'!I99+'wk3'!I99+'wk4'!I99+'wk5'!I99)</f>
        <v>0</v>
      </c>
      <c r="D91" s="125">
        <f>IF(A91=0,0,'wk1'!J99+'wk2'!J99+'wk3'!J99+'wk4'!J99+'wk5'!J99)</f>
        <v>0</v>
      </c>
      <c r="E91" s="46">
        <f>IF(A91=0,0,'wk1'!K99+'wk2'!K99+'wk3'!K99+'wk4'!K99+'wk5'!K99)</f>
        <v>0</v>
      </c>
      <c r="F91" s="132"/>
      <c r="G91" s="43"/>
      <c r="H91" s="43"/>
    </row>
    <row r="92" spans="1:8" ht="15" customHeight="1">
      <c r="A92" s="44">
        <f>IF('Members Data'!B92="Venturer",'Members Data'!A92,0)</f>
        <v>0</v>
      </c>
      <c r="B92" s="39">
        <f t="shared" si="2"/>
        <v>0</v>
      </c>
      <c r="C92" s="129">
        <f>IF(A92=0,0,'wk1'!I100+'wk2'!I100+'wk3'!I100+'wk4'!I100+'wk5'!I100)</f>
        <v>0</v>
      </c>
      <c r="D92" s="125">
        <f>IF(A92=0,0,'wk1'!J100+'wk2'!J100+'wk3'!J100+'wk4'!J100+'wk5'!J100)</f>
        <v>0</v>
      </c>
      <c r="E92" s="46">
        <f>IF(A92=0,0,'wk1'!K100+'wk2'!K100+'wk3'!K100+'wk4'!K100+'wk5'!K100)</f>
        <v>0</v>
      </c>
      <c r="F92" s="132"/>
      <c r="G92" s="43"/>
      <c r="H92" s="43"/>
    </row>
    <row r="93" spans="1:8" ht="15" customHeight="1">
      <c r="A93" s="44">
        <f>IF('Members Data'!B93="Venturer",'Members Data'!A93,0)</f>
        <v>0</v>
      </c>
      <c r="B93" s="39">
        <f t="shared" si="2"/>
        <v>0</v>
      </c>
      <c r="C93" s="129">
        <f>IF(A93=0,0,'wk1'!I101+'wk2'!I101+'wk3'!I101+'wk4'!I101+'wk5'!I101)</f>
        <v>0</v>
      </c>
      <c r="D93" s="125">
        <f>IF(A93=0,0,'wk1'!J101+'wk2'!J101+'wk3'!J101+'wk4'!J101+'wk5'!J101)</f>
        <v>0</v>
      </c>
      <c r="E93" s="46">
        <f>IF(A93=0,0,'wk1'!K101+'wk2'!K101+'wk3'!K101+'wk4'!K101+'wk5'!K101)</f>
        <v>0</v>
      </c>
      <c r="F93" s="132"/>
      <c r="G93" s="43"/>
      <c r="H93" s="43"/>
    </row>
    <row r="94" spans="1:8" ht="15" customHeight="1">
      <c r="A94" s="44">
        <f>IF('Members Data'!B94="Venturer",'Members Data'!A94,0)</f>
        <v>0</v>
      </c>
      <c r="B94" s="39">
        <f t="shared" si="2"/>
        <v>0</v>
      </c>
      <c r="C94" s="129">
        <f>IF(A94=0,0,'wk1'!I102+'wk2'!I102+'wk3'!I102+'wk4'!I102+'wk5'!I102)</f>
        <v>0</v>
      </c>
      <c r="D94" s="125">
        <f>IF(A94=0,0,'wk1'!J102+'wk2'!J102+'wk3'!J102+'wk4'!J102+'wk5'!J102)</f>
        <v>0</v>
      </c>
      <c r="E94" s="46">
        <f>IF(A94=0,0,'wk1'!K102+'wk2'!K102+'wk3'!K102+'wk4'!K102+'wk5'!K102)</f>
        <v>0</v>
      </c>
      <c r="F94" s="132"/>
      <c r="G94" s="43"/>
      <c r="H94" s="43"/>
    </row>
    <row r="95" spans="1:8" ht="15" customHeight="1">
      <c r="A95" s="44">
        <f>IF('Members Data'!B95="Venturer",'Members Data'!A95,0)</f>
        <v>0</v>
      </c>
      <c r="B95" s="39">
        <f t="shared" si="2"/>
        <v>0</v>
      </c>
      <c r="C95" s="129">
        <f>IF(A95=0,0,'wk1'!I103+'wk2'!I103+'wk3'!I103+'wk4'!I103+'wk5'!I103)</f>
        <v>0</v>
      </c>
      <c r="D95" s="125">
        <f>IF(A95=0,0,'wk1'!J103+'wk2'!J103+'wk3'!J103+'wk4'!J103+'wk5'!J103)</f>
        <v>0</v>
      </c>
      <c r="E95" s="46">
        <f>IF(A95=0,0,'wk1'!K103+'wk2'!K103+'wk3'!K103+'wk4'!K103+'wk5'!K103)</f>
        <v>0</v>
      </c>
      <c r="F95" s="132"/>
      <c r="G95" s="43"/>
      <c r="H95" s="43"/>
    </row>
    <row r="96" spans="1:8" ht="15" customHeight="1">
      <c r="A96" s="44">
        <f>IF('Members Data'!B96="Venturer",'Members Data'!A96,0)</f>
        <v>0</v>
      </c>
      <c r="B96" s="39">
        <f t="shared" si="2"/>
        <v>0</v>
      </c>
      <c r="C96" s="129">
        <f>IF(A96=0,0,'wk1'!I104+'wk2'!I104+'wk3'!I104+'wk4'!I104+'wk5'!I104)</f>
        <v>0</v>
      </c>
      <c r="D96" s="125">
        <f>IF(A96=0,0,'wk1'!J104+'wk2'!J104+'wk3'!J104+'wk4'!J104+'wk5'!J104)</f>
        <v>0</v>
      </c>
      <c r="E96" s="46">
        <f>IF(A96=0,0,'wk1'!K104+'wk2'!K104+'wk3'!K104+'wk4'!K104+'wk5'!K104)</f>
        <v>0</v>
      </c>
      <c r="F96" s="132"/>
      <c r="G96" s="43"/>
      <c r="H96" s="43"/>
    </row>
    <row r="97" spans="1:8" ht="15" customHeight="1">
      <c r="A97" s="44">
        <f>IF('Members Data'!B97="Venturer",'Members Data'!A97,0)</f>
        <v>0</v>
      </c>
      <c r="B97" s="39">
        <f t="shared" si="2"/>
        <v>0</v>
      </c>
      <c r="C97" s="129">
        <f>IF(A97=0,0,'wk1'!I105+'wk2'!I105+'wk3'!I105+'wk4'!I105+'wk5'!I105)</f>
        <v>0</v>
      </c>
      <c r="D97" s="125">
        <f>IF(A97=0,0,'wk1'!J105+'wk2'!J105+'wk3'!J105+'wk4'!J105+'wk5'!J105)</f>
        <v>0</v>
      </c>
      <c r="E97" s="46">
        <f>IF(A97=0,0,'wk1'!K105+'wk2'!K105+'wk3'!K105+'wk4'!K105+'wk5'!K105)</f>
        <v>0</v>
      </c>
      <c r="F97" s="132"/>
      <c r="G97" s="43"/>
      <c r="H97" s="43"/>
    </row>
    <row r="98" spans="1:8" ht="15" customHeight="1">
      <c r="A98" s="44">
        <f>IF('Members Data'!B98="Venturer",'Members Data'!A98,0)</f>
        <v>0</v>
      </c>
      <c r="B98" s="39">
        <f t="shared" ref="B98:B100" si="3">IF(A98=0,0,C98+D98)</f>
        <v>0</v>
      </c>
      <c r="C98" s="129">
        <f>IF(A98=0,0,'wk1'!I106+'wk2'!I106+'wk3'!I106+'wk4'!I106+'wk5'!I106)</f>
        <v>0</v>
      </c>
      <c r="D98" s="125">
        <f>IF(A98=0,0,'wk1'!J106+'wk2'!J106+'wk3'!J106+'wk4'!J106+'wk5'!J106)</f>
        <v>0</v>
      </c>
      <c r="E98" s="46">
        <f>IF(A98=0,0,'wk1'!K106+'wk2'!K106+'wk3'!K106+'wk4'!K106+'wk5'!K106)</f>
        <v>0</v>
      </c>
      <c r="F98" s="132"/>
      <c r="G98" s="43"/>
      <c r="H98" s="43"/>
    </row>
    <row r="99" spans="1:8" ht="15" customHeight="1">
      <c r="A99" s="44">
        <f>IF('Members Data'!B99="Venturer",'Members Data'!A99,0)</f>
        <v>0</v>
      </c>
      <c r="B99" s="39">
        <f t="shared" si="3"/>
        <v>0</v>
      </c>
      <c r="C99" s="129">
        <f>IF(A99=0,0,'wk1'!I107+'wk2'!I107+'wk3'!I107+'wk4'!I107+'wk5'!I107)</f>
        <v>0</v>
      </c>
      <c r="D99" s="125">
        <f>IF(A99=0,0,'wk1'!J107+'wk2'!J107+'wk3'!J107+'wk4'!J107+'wk5'!J107)</f>
        <v>0</v>
      </c>
      <c r="E99" s="46">
        <f>IF(A99=0,0,'wk1'!K107+'wk2'!K107+'wk3'!K107+'wk4'!K107+'wk5'!K107)</f>
        <v>0</v>
      </c>
      <c r="F99" s="132"/>
      <c r="G99" s="43"/>
      <c r="H99" s="43"/>
    </row>
    <row r="100" spans="1:8" ht="15" customHeight="1" thickBot="1">
      <c r="A100" s="211">
        <f>IF('Members Data'!B100="Venturer",'Members Data'!A100,0)</f>
        <v>0</v>
      </c>
      <c r="B100" s="47">
        <f t="shared" si="3"/>
        <v>0</v>
      </c>
      <c r="C100" s="130">
        <f>IF(A100=0,0,'wk1'!I108+'wk2'!I108+'wk3'!I108+'wk4'!I108+'wk5'!I108)</f>
        <v>0</v>
      </c>
      <c r="D100" s="126">
        <f>IF(A100=0,0,'wk1'!J108+'wk2'!J108+'wk3'!J108+'wk4'!J108+'wk5'!J108)</f>
        <v>0</v>
      </c>
      <c r="E100" s="126">
        <f>IF(A100=0,0,'wk1'!K108+'wk2'!K108+'wk3'!K108+'wk4'!K108+'wk5'!K108)</f>
        <v>0</v>
      </c>
      <c r="F100" s="133"/>
      <c r="G100" s="43"/>
      <c r="H100" s="43"/>
    </row>
    <row r="101" spans="1:8" ht="15" customHeight="1" thickBot="1">
      <c r="A101" s="439"/>
      <c r="B101" s="440"/>
      <c r="C101" s="440"/>
      <c r="D101" s="440"/>
      <c r="E101" s="440"/>
      <c r="F101" s="441"/>
      <c r="G101" s="43"/>
      <c r="H101" s="43"/>
    </row>
    <row r="102" spans="1:8" ht="15" customHeight="1">
      <c r="C102" s="43"/>
      <c r="D102" s="43"/>
      <c r="F102" s="43"/>
      <c r="G102" s="43"/>
      <c r="H102" s="43"/>
    </row>
    <row r="103" spans="1:8" ht="15" customHeight="1">
      <c r="C103" s="43"/>
      <c r="D103" s="43"/>
      <c r="F103" s="43"/>
      <c r="G103" s="43"/>
      <c r="H103" s="43"/>
    </row>
  </sheetData>
  <autoFilter ref="A1:A103">
    <filterColumn colId="0"/>
  </autoFilter>
  <conditionalFormatting sqref="A2:A100">
    <cfRule type="expression" dxfId="23" priority="7" stopIfTrue="1">
      <formula>IF(E2&gt;0,TRUE)</formula>
    </cfRule>
    <cfRule type="expression" dxfId="22" priority="8" stopIfTrue="1">
      <formula>IF(B2&gt;7,TRUE)</formula>
    </cfRule>
    <cfRule type="expression" dxfId="21" priority="9" stopIfTrue="1">
      <formula>IF(B2&lt;8,TRUE)</formula>
    </cfRule>
  </conditionalFormatting>
  <pageMargins left="0.7" right="0.7" top="0.75" bottom="0.75" header="0.51180555555555551" footer="0.51180555555555551"/>
  <pageSetup firstPageNumber="0" orientation="portrait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sheetPr filterMode="1"/>
  <dimension ref="A1:V104"/>
  <sheetViews>
    <sheetView topLeftCell="B1" workbookViewId="0">
      <selection activeCell="X95" sqref="X95"/>
    </sheetView>
  </sheetViews>
  <sheetFormatPr defaultRowHeight="12.75"/>
  <cols>
    <col min="1" max="1" width="0" hidden="1" customWidth="1"/>
    <col min="2" max="2" width="12.5703125" bestFit="1" customWidth="1"/>
    <col min="3" max="3" width="12.5703125" style="111" hidden="1" customWidth="1"/>
    <col min="4" max="4" width="12.5703125" customWidth="1"/>
    <col min="5" max="5" width="12.5703125" style="321" hidden="1" customWidth="1"/>
    <col min="6" max="6" width="12.5703125" customWidth="1"/>
    <col min="7" max="7" width="12.5703125" style="321" hidden="1" customWidth="1"/>
    <col min="8" max="8" width="12.7109375" customWidth="1"/>
    <col min="9" max="9" width="12.7109375" style="321" hidden="1" customWidth="1"/>
    <col min="10" max="10" width="12.7109375" customWidth="1"/>
    <col min="11" max="11" width="12.7109375" style="321" hidden="1" customWidth="1"/>
    <col min="12" max="12" width="12.7109375" customWidth="1"/>
    <col min="13" max="13" width="12.7109375" style="321" hidden="1" customWidth="1"/>
    <col min="14" max="14" width="12.7109375" customWidth="1"/>
    <col min="15" max="15" width="12.7109375" style="321" hidden="1" customWidth="1"/>
    <col min="16" max="16" width="12.7109375" customWidth="1"/>
    <col min="17" max="17" width="0" hidden="1" customWidth="1"/>
    <col min="19" max="20" width="0" hidden="1" customWidth="1"/>
    <col min="22" max="22" width="0" hidden="1" customWidth="1"/>
  </cols>
  <sheetData>
    <row r="1" spans="1:22" ht="13.5" thickBot="1">
      <c r="E1" s="322"/>
      <c r="F1" s="111"/>
      <c r="G1" s="322"/>
      <c r="H1" s="111"/>
      <c r="I1" s="322"/>
      <c r="J1" s="111"/>
      <c r="K1" s="322"/>
      <c r="L1" s="111"/>
      <c r="M1" s="322"/>
      <c r="N1" s="111"/>
      <c r="O1" s="322"/>
    </row>
    <row r="2" spans="1:22" ht="14.25" thickTop="1" thickBot="1">
      <c r="A2" t="s">
        <v>114</v>
      </c>
      <c r="B2" s="323" t="s">
        <v>122</v>
      </c>
      <c r="C2" s="249" t="s">
        <v>116</v>
      </c>
      <c r="D2" s="323" t="s">
        <v>122</v>
      </c>
      <c r="E2" s="249" t="s">
        <v>116</v>
      </c>
      <c r="F2" s="323" t="s">
        <v>122</v>
      </c>
      <c r="G2" s="249" t="s">
        <v>116</v>
      </c>
      <c r="H2" s="317" t="s">
        <v>131</v>
      </c>
      <c r="I2" s="249" t="s">
        <v>116</v>
      </c>
      <c r="J2" s="318" t="s">
        <v>132</v>
      </c>
      <c r="K2" s="249" t="s">
        <v>116</v>
      </c>
      <c r="L2" s="318" t="s">
        <v>133</v>
      </c>
      <c r="M2" s="249" t="s">
        <v>116</v>
      </c>
      <c r="N2" s="318" t="s">
        <v>132</v>
      </c>
      <c r="O2" s="249" t="s">
        <v>116</v>
      </c>
      <c r="P2" s="323" t="s">
        <v>122</v>
      </c>
      <c r="Q2" t="s">
        <v>118</v>
      </c>
    </row>
    <row r="3" spans="1:22" ht="14.25" thickTop="1" thickBot="1">
      <c r="A3" t="s">
        <v>115</v>
      </c>
      <c r="B3" s="282" t="s">
        <v>19</v>
      </c>
      <c r="C3" t="s">
        <v>117</v>
      </c>
      <c r="D3" s="283" t="s">
        <v>124</v>
      </c>
      <c r="E3" t="s">
        <v>117</v>
      </c>
      <c r="F3" s="284" t="s">
        <v>126</v>
      </c>
      <c r="G3" t="s">
        <v>117</v>
      </c>
      <c r="H3" s="285" t="s">
        <v>125</v>
      </c>
      <c r="I3" t="s">
        <v>117</v>
      </c>
      <c r="J3" s="286" t="s">
        <v>34</v>
      </c>
      <c r="K3" t="s">
        <v>117</v>
      </c>
      <c r="L3" s="286" t="s">
        <v>125</v>
      </c>
      <c r="M3" t="s">
        <v>117</v>
      </c>
      <c r="N3" s="286" t="s">
        <v>34</v>
      </c>
      <c r="O3" t="s">
        <v>117</v>
      </c>
      <c r="P3" s="287" t="s">
        <v>123</v>
      </c>
      <c r="Q3" t="s">
        <v>119</v>
      </c>
      <c r="V3" t="s">
        <v>8</v>
      </c>
    </row>
    <row r="4" spans="1:22" hidden="1">
      <c r="A4" t="s">
        <v>115</v>
      </c>
      <c r="B4" s="273">
        <f>'Members Data'!A98</f>
        <v>0</v>
      </c>
      <c r="C4" s="413"/>
      <c r="D4" s="274">
        <f>'Members Data'!D98</f>
        <v>0</v>
      </c>
      <c r="E4" s="413"/>
      <c r="F4" s="275">
        <f>'Members Data'!B98</f>
        <v>0</v>
      </c>
      <c r="G4" s="413"/>
      <c r="H4" s="264">
        <f>VDCC!C98</f>
        <v>0</v>
      </c>
      <c r="I4" s="413"/>
      <c r="J4" s="265">
        <f>VDCC!D98</f>
        <v>0</v>
      </c>
      <c r="K4" s="413"/>
      <c r="L4" s="265">
        <f t="shared" ref="L4:L5" si="0">IF(ISNA(S4),0,S4)</f>
        <v>0</v>
      </c>
      <c r="M4" s="413"/>
      <c r="N4" s="265">
        <f t="shared" ref="N4:N5" si="1">IF(ISNA(T4),0,T4)</f>
        <v>0</v>
      </c>
      <c r="O4" s="413"/>
      <c r="P4" s="266">
        <f t="shared" ref="P4:P5" si="2">(H4*-2)+(J4*2)+(L4*-1)+(N4)</f>
        <v>0</v>
      </c>
      <c r="Q4" t="s">
        <v>119</v>
      </c>
      <c r="S4" t="e">
        <f>VLOOKUP($B4,'Look-up'!$E:$H,3,FALSE)</f>
        <v>#N/A</v>
      </c>
      <c r="T4" t="e">
        <f>VLOOKUP($B4,'Look-up'!$E:$H,4,FALSE)</f>
        <v>#N/A</v>
      </c>
      <c r="V4" t="s">
        <v>7</v>
      </c>
    </row>
    <row r="5" spans="1:22" hidden="1">
      <c r="A5" t="s">
        <v>115</v>
      </c>
      <c r="B5" s="276">
        <f>'Members Data'!A80</f>
        <v>0</v>
      </c>
      <c r="C5" s="413"/>
      <c r="D5" s="277">
        <f>'Members Data'!D80</f>
        <v>0</v>
      </c>
      <c r="E5" s="413"/>
      <c r="F5" s="278">
        <f>'Members Data'!B80</f>
        <v>0</v>
      </c>
      <c r="G5" s="413"/>
      <c r="H5" s="267">
        <f>VDCC!C80</f>
        <v>0</v>
      </c>
      <c r="I5" s="413"/>
      <c r="J5" s="268">
        <f>VDCC!D80</f>
        <v>0</v>
      </c>
      <c r="K5" s="413"/>
      <c r="L5" s="268">
        <f t="shared" si="0"/>
        <v>0</v>
      </c>
      <c r="M5" s="413"/>
      <c r="N5" s="268">
        <f t="shared" si="1"/>
        <v>0</v>
      </c>
      <c r="O5" s="413"/>
      <c r="P5" s="269">
        <f t="shared" si="2"/>
        <v>0</v>
      </c>
      <c r="Q5" t="s">
        <v>119</v>
      </c>
      <c r="S5" t="e">
        <f>VLOOKUP($B5,'Look-up'!$E:$H,3,FALSE)</f>
        <v>#N/A</v>
      </c>
      <c r="T5" t="e">
        <f>VLOOKUP($B5,'Look-up'!$E:$H,4,FALSE)</f>
        <v>#N/A</v>
      </c>
      <c r="V5" t="s">
        <v>51</v>
      </c>
    </row>
    <row r="6" spans="1:22">
      <c r="A6" t="s">
        <v>115</v>
      </c>
      <c r="B6" s="276" t="str">
        <f>'Members Data'!A7</f>
        <v>Angelhoof</v>
      </c>
      <c r="C6" s="298" t="s">
        <v>117</v>
      </c>
      <c r="D6" s="277" t="str">
        <f>'Members Data'!D7</f>
        <v>Healer</v>
      </c>
      <c r="E6" s="298" t="s">
        <v>117</v>
      </c>
      <c r="F6" s="278" t="str">
        <f>'Members Data'!B7</f>
        <v>Errant</v>
      </c>
      <c r="G6" s="298" t="s">
        <v>117</v>
      </c>
      <c r="H6" s="267">
        <f>VDCC!C7</f>
        <v>0</v>
      </c>
      <c r="I6" s="298" t="s">
        <v>117</v>
      </c>
      <c r="J6" s="268">
        <f>VDCC!D7</f>
        <v>0</v>
      </c>
      <c r="K6" s="298" t="s">
        <v>117</v>
      </c>
      <c r="L6" s="268">
        <f t="shared" ref="L6:L37" si="3">IF(ISNA(S6),0,S6)</f>
        <v>0</v>
      </c>
      <c r="M6" s="298" t="s">
        <v>117</v>
      </c>
      <c r="N6" s="268">
        <f t="shared" ref="N6:N37" si="4">IF(ISNA(T6),0,T6)</f>
        <v>0</v>
      </c>
      <c r="O6" s="298" t="s">
        <v>117</v>
      </c>
      <c r="P6" s="269">
        <f t="shared" ref="P6:P37" si="5">(H6*-2)+(J6*2)+(L6*-1)+(N6)</f>
        <v>0</v>
      </c>
      <c r="Q6" t="s">
        <v>119</v>
      </c>
      <c r="S6" t="e">
        <f>VLOOKUP($B6,'Look-up'!$E:$H,3,FALSE)</f>
        <v>#N/A</v>
      </c>
      <c r="T6" t="e">
        <f>VLOOKUP($B6,'Look-up'!$E:$H,4,FALSE)</f>
        <v>#N/A</v>
      </c>
      <c r="V6" t="s">
        <v>52</v>
      </c>
    </row>
    <row r="7" spans="1:22">
      <c r="A7" t="s">
        <v>115</v>
      </c>
      <c r="B7" s="276" t="str">
        <f>'Members Data'!A29</f>
        <v>Izzabelle</v>
      </c>
      <c r="C7" s="298" t="s">
        <v>117</v>
      </c>
      <c r="D7" s="277" t="str">
        <f>'Members Data'!D29</f>
        <v>Healer</v>
      </c>
      <c r="E7" s="298" t="s">
        <v>117</v>
      </c>
      <c r="F7" s="278" t="str">
        <f>'Members Data'!B29</f>
        <v>Venturer</v>
      </c>
      <c r="G7" s="298" t="s">
        <v>117</v>
      </c>
      <c r="H7" s="267">
        <f>VDCC!C29</f>
        <v>0</v>
      </c>
      <c r="I7" s="298" t="s">
        <v>117</v>
      </c>
      <c r="J7" s="268">
        <f>VDCC!D29</f>
        <v>0</v>
      </c>
      <c r="K7" s="298" t="s">
        <v>117</v>
      </c>
      <c r="L7" s="268">
        <f t="shared" si="3"/>
        <v>0</v>
      </c>
      <c r="M7" s="298" t="s">
        <v>117</v>
      </c>
      <c r="N7" s="268">
        <f t="shared" si="4"/>
        <v>0</v>
      </c>
      <c r="O7" s="298" t="s">
        <v>117</v>
      </c>
      <c r="P7" s="269">
        <f t="shared" si="5"/>
        <v>0</v>
      </c>
      <c r="Q7" t="s">
        <v>119</v>
      </c>
      <c r="S7" t="e">
        <f>VLOOKUP($B7,'Look-up'!$E:$H,3,FALSE)</f>
        <v>#N/A</v>
      </c>
      <c r="T7" t="e">
        <f>VLOOKUP($B7,'Look-up'!$E:$H,4,FALSE)</f>
        <v>#N/A</v>
      </c>
    </row>
    <row r="8" spans="1:22">
      <c r="A8" t="s">
        <v>115</v>
      </c>
      <c r="B8" s="276" t="str">
        <f>'Members Data'!A51</f>
        <v>Predictable</v>
      </c>
      <c r="C8" s="298" t="s">
        <v>117</v>
      </c>
      <c r="D8" s="277" t="str">
        <f>'Members Data'!D51</f>
        <v>Healer</v>
      </c>
      <c r="E8" s="298" t="s">
        <v>117</v>
      </c>
      <c r="F8" s="278" t="str">
        <f>'Members Data'!B51</f>
        <v>Venturer</v>
      </c>
      <c r="G8" s="298" t="s">
        <v>117</v>
      </c>
      <c r="H8" s="267">
        <f>VDCC!C51</f>
        <v>2</v>
      </c>
      <c r="I8" s="298" t="s">
        <v>117</v>
      </c>
      <c r="J8" s="268">
        <f>VDCC!D51</f>
        <v>0</v>
      </c>
      <c r="K8" s="298" t="s">
        <v>117</v>
      </c>
      <c r="L8" s="268">
        <f t="shared" si="3"/>
        <v>0</v>
      </c>
      <c r="M8" s="298" t="s">
        <v>117</v>
      </c>
      <c r="N8" s="268">
        <f t="shared" si="4"/>
        <v>0</v>
      </c>
      <c r="O8" s="298" t="s">
        <v>117</v>
      </c>
      <c r="P8" s="269">
        <f t="shared" si="5"/>
        <v>-4</v>
      </c>
      <c r="Q8" t="s">
        <v>119</v>
      </c>
      <c r="S8" t="e">
        <f>VLOOKUP($B8,'Look-up'!$E:$H,3,FALSE)</f>
        <v>#N/A</v>
      </c>
      <c r="T8" t="e">
        <f>VLOOKUP($B8,'Look-up'!$E:$H,4,FALSE)</f>
        <v>#N/A</v>
      </c>
    </row>
    <row r="9" spans="1:22">
      <c r="A9" t="s">
        <v>115</v>
      </c>
      <c r="B9" s="276" t="str">
        <f>'Members Data'!A52</f>
        <v>Rhinoru</v>
      </c>
      <c r="C9" s="298" t="s">
        <v>117</v>
      </c>
      <c r="D9" s="277" t="str">
        <f>'Members Data'!D52</f>
        <v>RDPS</v>
      </c>
      <c r="E9" s="298" t="s">
        <v>117</v>
      </c>
      <c r="F9" s="278" t="str">
        <f>'Members Data'!B52</f>
        <v>Errant</v>
      </c>
      <c r="G9" s="298" t="s">
        <v>117</v>
      </c>
      <c r="H9" s="267">
        <f>VDCC!C52</f>
        <v>0</v>
      </c>
      <c r="I9" s="298" t="s">
        <v>117</v>
      </c>
      <c r="J9" s="268">
        <f>VDCC!D52</f>
        <v>0</v>
      </c>
      <c r="K9" s="298" t="s">
        <v>117</v>
      </c>
      <c r="L9" s="268">
        <f t="shared" si="3"/>
        <v>0</v>
      </c>
      <c r="M9" s="298" t="s">
        <v>117</v>
      </c>
      <c r="N9" s="268">
        <f t="shared" si="4"/>
        <v>0</v>
      </c>
      <c r="O9" s="298" t="s">
        <v>117</v>
      </c>
      <c r="P9" s="269">
        <f t="shared" si="5"/>
        <v>0</v>
      </c>
      <c r="Q9" t="s">
        <v>119</v>
      </c>
      <c r="S9" t="e">
        <f>VLOOKUP($B9,'Look-up'!$E:$H,3,FALSE)</f>
        <v>#N/A</v>
      </c>
      <c r="T9" t="e">
        <f>VLOOKUP($B9,'Look-up'!$E:$H,4,FALSE)</f>
        <v>#N/A</v>
      </c>
    </row>
    <row r="10" spans="1:22">
      <c r="A10" t="s">
        <v>115</v>
      </c>
      <c r="B10" s="276">
        <f>'Members Data'!A53</f>
        <v>0</v>
      </c>
      <c r="C10" s="298" t="s">
        <v>117</v>
      </c>
      <c r="D10" s="277">
        <f>'Members Data'!D53</f>
        <v>0</v>
      </c>
      <c r="E10" s="298" t="s">
        <v>117</v>
      </c>
      <c r="F10" s="278">
        <f>'Members Data'!B53</f>
        <v>0</v>
      </c>
      <c r="G10" s="298" t="s">
        <v>117</v>
      </c>
      <c r="H10" s="267">
        <f>VDCC!C53</f>
        <v>0</v>
      </c>
      <c r="I10" s="298" t="s">
        <v>117</v>
      </c>
      <c r="J10" s="268">
        <f>VDCC!D53</f>
        <v>0</v>
      </c>
      <c r="K10" s="298" t="s">
        <v>117</v>
      </c>
      <c r="L10" s="268">
        <f t="shared" si="3"/>
        <v>0</v>
      </c>
      <c r="M10" s="298" t="s">
        <v>117</v>
      </c>
      <c r="N10" s="268">
        <f t="shared" si="4"/>
        <v>0</v>
      </c>
      <c r="O10" s="298" t="s">
        <v>117</v>
      </c>
      <c r="P10" s="269">
        <f t="shared" si="5"/>
        <v>0</v>
      </c>
      <c r="Q10" t="s">
        <v>119</v>
      </c>
      <c r="S10" t="e">
        <f>VLOOKUP($B10,'Look-up'!$E:$H,3,FALSE)</f>
        <v>#N/A</v>
      </c>
      <c r="T10" t="e">
        <f>VLOOKUP($B10,'Look-up'!$E:$H,4,FALSE)</f>
        <v>#N/A</v>
      </c>
    </row>
    <row r="11" spans="1:22">
      <c r="A11" t="s">
        <v>115</v>
      </c>
      <c r="B11" s="276" t="str">
        <f>'Members Data'!A54</f>
        <v>Saltycream</v>
      </c>
      <c r="C11" s="298" t="s">
        <v>117</v>
      </c>
      <c r="D11" s="277" t="str">
        <f>'Members Data'!D54</f>
        <v>RDPS</v>
      </c>
      <c r="E11" s="298" t="s">
        <v>117</v>
      </c>
      <c r="F11" s="278" t="str">
        <f>'Members Data'!B54</f>
        <v>Venturer</v>
      </c>
      <c r="G11" s="298" t="s">
        <v>117</v>
      </c>
      <c r="H11" s="267">
        <f>VDCC!C54</f>
        <v>2</v>
      </c>
      <c r="I11" s="298" t="s">
        <v>117</v>
      </c>
      <c r="J11" s="268">
        <f>VDCC!D54</f>
        <v>0</v>
      </c>
      <c r="K11" s="298" t="s">
        <v>117</v>
      </c>
      <c r="L11" s="268">
        <f t="shared" si="3"/>
        <v>0</v>
      </c>
      <c r="M11" s="298" t="s">
        <v>117</v>
      </c>
      <c r="N11" s="268">
        <f t="shared" si="4"/>
        <v>0</v>
      </c>
      <c r="O11" s="298" t="s">
        <v>117</v>
      </c>
      <c r="P11" s="269">
        <f t="shared" si="5"/>
        <v>-4</v>
      </c>
      <c r="Q11" t="s">
        <v>119</v>
      </c>
      <c r="S11" t="e">
        <f>VLOOKUP($B11,'Look-up'!$E:$H,3,FALSE)</f>
        <v>#N/A</v>
      </c>
      <c r="T11" t="e">
        <f>VLOOKUP($B11,'Look-up'!$E:$H,4,FALSE)</f>
        <v>#N/A</v>
      </c>
    </row>
    <row r="12" spans="1:22">
      <c r="A12" t="s">
        <v>115</v>
      </c>
      <c r="B12" s="276" t="str">
        <f>'Members Data'!A55</f>
        <v>Sarjezzar</v>
      </c>
      <c r="C12" s="298" t="s">
        <v>117</v>
      </c>
      <c r="D12" s="277" t="str">
        <f>'Members Data'!D55</f>
        <v>MDPS</v>
      </c>
      <c r="E12" s="298" t="s">
        <v>117</v>
      </c>
      <c r="F12" s="278" t="str">
        <f>'Members Data'!B55</f>
        <v>Venturer</v>
      </c>
      <c r="G12" s="298" t="s">
        <v>117</v>
      </c>
      <c r="H12" s="267">
        <f>VDCC!C55</f>
        <v>1</v>
      </c>
      <c r="I12" s="298" t="s">
        <v>117</v>
      </c>
      <c r="J12" s="268">
        <f>VDCC!D55</f>
        <v>0</v>
      </c>
      <c r="K12" s="298" t="s">
        <v>117</v>
      </c>
      <c r="L12" s="268">
        <f t="shared" si="3"/>
        <v>0</v>
      </c>
      <c r="M12" s="298" t="s">
        <v>117</v>
      </c>
      <c r="N12" s="268">
        <f t="shared" si="4"/>
        <v>0</v>
      </c>
      <c r="O12" s="298" t="s">
        <v>117</v>
      </c>
      <c r="P12" s="269">
        <f t="shared" si="5"/>
        <v>-2</v>
      </c>
      <c r="Q12" t="s">
        <v>119</v>
      </c>
      <c r="S12" t="e">
        <f>VLOOKUP($B12,'Look-up'!$E:$H,3,FALSE)</f>
        <v>#N/A</v>
      </c>
      <c r="T12" t="e">
        <f>VLOOKUP($B12,'Look-up'!$E:$H,4,FALSE)</f>
        <v>#N/A</v>
      </c>
    </row>
    <row r="13" spans="1:22">
      <c r="A13" t="s">
        <v>115</v>
      </c>
      <c r="B13" s="276">
        <f>'Members Data'!A56</f>
        <v>0</v>
      </c>
      <c r="C13" s="298" t="s">
        <v>117</v>
      </c>
      <c r="D13" s="277">
        <f>'Members Data'!D56</f>
        <v>0</v>
      </c>
      <c r="E13" s="298" t="s">
        <v>117</v>
      </c>
      <c r="F13" s="278">
        <f>'Members Data'!B56</f>
        <v>0</v>
      </c>
      <c r="G13" s="298" t="s">
        <v>117</v>
      </c>
      <c r="H13" s="267">
        <f>VDCC!C56</f>
        <v>0</v>
      </c>
      <c r="I13" s="298" t="s">
        <v>117</v>
      </c>
      <c r="J13" s="268">
        <f>VDCC!D56</f>
        <v>0</v>
      </c>
      <c r="K13" s="298" t="s">
        <v>117</v>
      </c>
      <c r="L13" s="268">
        <f t="shared" si="3"/>
        <v>0</v>
      </c>
      <c r="M13" s="298" t="s">
        <v>117</v>
      </c>
      <c r="N13" s="268">
        <f t="shared" si="4"/>
        <v>0</v>
      </c>
      <c r="O13" s="298" t="s">
        <v>117</v>
      </c>
      <c r="P13" s="269">
        <f t="shared" si="5"/>
        <v>0</v>
      </c>
      <c r="Q13" t="s">
        <v>119</v>
      </c>
      <c r="S13" t="e">
        <f>VLOOKUP($B13,'Look-up'!$E:$H,3,FALSE)</f>
        <v>#N/A</v>
      </c>
      <c r="T13" t="e">
        <f>VLOOKUP($B13,'Look-up'!$E:$H,4,FALSE)</f>
        <v>#N/A</v>
      </c>
    </row>
    <row r="14" spans="1:22">
      <c r="A14" t="s">
        <v>115</v>
      </c>
      <c r="B14" s="276" t="str">
        <f>'Members Data'!A57</f>
        <v>Shinkai</v>
      </c>
      <c r="C14" s="298" t="s">
        <v>117</v>
      </c>
      <c r="D14" s="277" t="str">
        <f>'Members Data'!D57</f>
        <v>MDPS</v>
      </c>
      <c r="E14" s="298" t="s">
        <v>117</v>
      </c>
      <c r="F14" s="278" t="str">
        <f>'Members Data'!B57</f>
        <v>Venturer</v>
      </c>
      <c r="G14" s="298" t="s">
        <v>117</v>
      </c>
      <c r="H14" s="267">
        <f>VDCC!C57</f>
        <v>0</v>
      </c>
      <c r="I14" s="298" t="s">
        <v>117</v>
      </c>
      <c r="J14" s="268">
        <f>VDCC!D57</f>
        <v>0</v>
      </c>
      <c r="K14" s="298" t="s">
        <v>117</v>
      </c>
      <c r="L14" s="268">
        <f t="shared" si="3"/>
        <v>0</v>
      </c>
      <c r="M14" s="298" t="s">
        <v>117</v>
      </c>
      <c r="N14" s="268">
        <f t="shared" si="4"/>
        <v>0</v>
      </c>
      <c r="O14" s="298" t="s">
        <v>117</v>
      </c>
      <c r="P14" s="269">
        <f t="shared" si="5"/>
        <v>0</v>
      </c>
      <c r="Q14" t="s">
        <v>119</v>
      </c>
      <c r="S14" t="e">
        <f>VLOOKUP($B14,'Look-up'!$E:$H,3,FALSE)</f>
        <v>#N/A</v>
      </c>
      <c r="T14" t="e">
        <f>VLOOKUP($B14,'Look-up'!$E:$H,4,FALSE)</f>
        <v>#N/A</v>
      </c>
    </row>
    <row r="15" spans="1:22">
      <c r="A15" t="s">
        <v>115</v>
      </c>
      <c r="B15" s="276" t="str">
        <f>'Members Data'!A58</f>
        <v>Sidac</v>
      </c>
      <c r="C15" s="298" t="s">
        <v>117</v>
      </c>
      <c r="D15" s="277" t="str">
        <f>'Members Data'!D58</f>
        <v>RDPS</v>
      </c>
      <c r="E15" s="298" t="s">
        <v>117</v>
      </c>
      <c r="F15" s="278" t="str">
        <f>'Members Data'!B58</f>
        <v>Errant</v>
      </c>
      <c r="G15" s="298" t="s">
        <v>117</v>
      </c>
      <c r="H15" s="267">
        <f>VDCC!C58</f>
        <v>0</v>
      </c>
      <c r="I15" s="298" t="s">
        <v>117</v>
      </c>
      <c r="J15" s="268">
        <f>VDCC!D58</f>
        <v>0</v>
      </c>
      <c r="K15" s="298" t="s">
        <v>117</v>
      </c>
      <c r="L15" s="268">
        <f t="shared" si="3"/>
        <v>0</v>
      </c>
      <c r="M15" s="298" t="s">
        <v>117</v>
      </c>
      <c r="N15" s="268">
        <f t="shared" si="4"/>
        <v>0</v>
      </c>
      <c r="O15" s="298" t="s">
        <v>117</v>
      </c>
      <c r="P15" s="269">
        <f t="shared" si="5"/>
        <v>0</v>
      </c>
      <c r="Q15" t="s">
        <v>119</v>
      </c>
      <c r="S15" t="e">
        <f>VLOOKUP($B15,'Look-up'!$E:$H,3,FALSE)</f>
        <v>#N/A</v>
      </c>
      <c r="T15" t="e">
        <f>VLOOKUP($B15,'Look-up'!$E:$H,4,FALSE)</f>
        <v>#N/A</v>
      </c>
    </row>
    <row r="16" spans="1:22">
      <c r="A16" t="s">
        <v>115</v>
      </c>
      <c r="B16" s="276" t="str">
        <f>'Members Data'!A59</f>
        <v>Snowies</v>
      </c>
      <c r="C16" s="298" t="s">
        <v>117</v>
      </c>
      <c r="D16" s="277" t="str">
        <f>'Members Data'!D59</f>
        <v>Healer</v>
      </c>
      <c r="E16" s="298" t="s">
        <v>117</v>
      </c>
      <c r="F16" s="278" t="str">
        <f>'Members Data'!B59</f>
        <v>Venturer</v>
      </c>
      <c r="G16" s="298" t="s">
        <v>117</v>
      </c>
      <c r="H16" s="267">
        <f>VDCC!C59</f>
        <v>2</v>
      </c>
      <c r="I16" s="298" t="s">
        <v>117</v>
      </c>
      <c r="J16" s="268">
        <f>VDCC!D59</f>
        <v>0</v>
      </c>
      <c r="K16" s="298" t="s">
        <v>117</v>
      </c>
      <c r="L16" s="268">
        <f t="shared" si="3"/>
        <v>0</v>
      </c>
      <c r="M16" s="298" t="s">
        <v>117</v>
      </c>
      <c r="N16" s="268">
        <f t="shared" si="4"/>
        <v>0</v>
      </c>
      <c r="O16" s="298" t="s">
        <v>117</v>
      </c>
      <c r="P16" s="269">
        <f t="shared" si="5"/>
        <v>-4</v>
      </c>
      <c r="Q16" t="s">
        <v>119</v>
      </c>
      <c r="S16" t="e">
        <f>VLOOKUP($B16,'Look-up'!$E:$H,3,FALSE)</f>
        <v>#N/A</v>
      </c>
      <c r="T16" t="e">
        <f>VLOOKUP($B16,'Look-up'!$E:$H,4,FALSE)</f>
        <v>#N/A</v>
      </c>
    </row>
    <row r="17" spans="1:20">
      <c r="A17" t="s">
        <v>115</v>
      </c>
      <c r="B17" s="276" t="str">
        <f>'Members Data'!A60</f>
        <v>Spruch</v>
      </c>
      <c r="C17" s="298" t="s">
        <v>117</v>
      </c>
      <c r="D17" s="277" t="str">
        <f>'Members Data'!D60</f>
        <v>RDPS</v>
      </c>
      <c r="E17" s="298" t="s">
        <v>117</v>
      </c>
      <c r="F17" s="278" t="str">
        <f>'Members Data'!B60</f>
        <v>Venturer</v>
      </c>
      <c r="G17" s="298" t="s">
        <v>117</v>
      </c>
      <c r="H17" s="267">
        <f>VDCC!C60</f>
        <v>2</v>
      </c>
      <c r="I17" s="298" t="s">
        <v>117</v>
      </c>
      <c r="J17" s="268">
        <f>VDCC!D60</f>
        <v>0</v>
      </c>
      <c r="K17" s="298" t="s">
        <v>117</v>
      </c>
      <c r="L17" s="268">
        <f t="shared" si="3"/>
        <v>0</v>
      </c>
      <c r="M17" s="298" t="s">
        <v>117</v>
      </c>
      <c r="N17" s="268">
        <f t="shared" si="4"/>
        <v>0</v>
      </c>
      <c r="O17" s="298" t="s">
        <v>117</v>
      </c>
      <c r="P17" s="269">
        <f t="shared" si="5"/>
        <v>-4</v>
      </c>
      <c r="Q17" t="s">
        <v>119</v>
      </c>
      <c r="S17" t="e">
        <f>VLOOKUP($B17,'Look-up'!$E:$H,3,FALSE)</f>
        <v>#N/A</v>
      </c>
      <c r="T17" t="e">
        <f>VLOOKUP($B17,'Look-up'!$E:$H,4,FALSE)</f>
        <v>#N/A</v>
      </c>
    </row>
    <row r="18" spans="1:20" hidden="1">
      <c r="A18" t="s">
        <v>115</v>
      </c>
      <c r="B18" s="276" t="str">
        <f>'Members Data'!A61</f>
        <v>Svicane</v>
      </c>
      <c r="C18" s="298" t="s">
        <v>117</v>
      </c>
      <c r="D18" s="277" t="str">
        <f>'Members Data'!D61</f>
        <v>Healer</v>
      </c>
      <c r="E18" s="298" t="s">
        <v>117</v>
      </c>
      <c r="F18" s="278" t="str">
        <f>'Members Data'!B61</f>
        <v>Venturer</v>
      </c>
      <c r="G18" s="298" t="s">
        <v>117</v>
      </c>
      <c r="H18" s="267">
        <f>VDCC!C61</f>
        <v>2</v>
      </c>
      <c r="I18" s="298" t="s">
        <v>117</v>
      </c>
      <c r="J18" s="268">
        <f>VDCC!D61</f>
        <v>0</v>
      </c>
      <c r="K18" s="298" t="s">
        <v>117</v>
      </c>
      <c r="L18" s="268">
        <f t="shared" si="3"/>
        <v>0</v>
      </c>
      <c r="M18" s="298" t="s">
        <v>117</v>
      </c>
      <c r="N18" s="268">
        <f t="shared" si="4"/>
        <v>0</v>
      </c>
      <c r="O18" s="298" t="s">
        <v>117</v>
      </c>
      <c r="P18" s="269">
        <f t="shared" si="5"/>
        <v>-4</v>
      </c>
      <c r="Q18" t="s">
        <v>119</v>
      </c>
      <c r="S18" t="e">
        <f>VLOOKUP($B18,'Look-up'!$E:$H,3,FALSE)</f>
        <v>#N/A</v>
      </c>
      <c r="T18" t="e">
        <f>VLOOKUP($B18,'Look-up'!$E:$H,4,FALSE)</f>
        <v>#N/A</v>
      </c>
    </row>
    <row r="19" spans="1:20">
      <c r="A19" t="s">
        <v>115</v>
      </c>
      <c r="B19" s="276" t="str">
        <f>'Members Data'!A62</f>
        <v>Téasey</v>
      </c>
      <c r="C19" s="413"/>
      <c r="D19" s="277" t="str">
        <f>'Members Data'!D62</f>
        <v>Tank</v>
      </c>
      <c r="E19" s="413"/>
      <c r="F19" s="278" t="str">
        <f>'Members Data'!B62</f>
        <v>Venturer</v>
      </c>
      <c r="G19" s="413"/>
      <c r="H19" s="267">
        <f>VDCC!C62</f>
        <v>2</v>
      </c>
      <c r="I19" s="413"/>
      <c r="J19" s="268">
        <f>VDCC!D62</f>
        <v>0</v>
      </c>
      <c r="K19" s="413"/>
      <c r="L19" s="268">
        <f t="shared" si="3"/>
        <v>0</v>
      </c>
      <c r="M19" s="413"/>
      <c r="N19" s="268">
        <f t="shared" si="4"/>
        <v>0</v>
      </c>
      <c r="O19" s="413"/>
      <c r="P19" s="269">
        <f t="shared" si="5"/>
        <v>-4</v>
      </c>
      <c r="Q19" t="s">
        <v>119</v>
      </c>
      <c r="S19" t="e">
        <f>VLOOKUP($B19,'Look-up'!$E:$H,3,FALSE)</f>
        <v>#N/A</v>
      </c>
      <c r="T19" t="e">
        <f>VLOOKUP($B19,'Look-up'!$E:$H,4,FALSE)</f>
        <v>#N/A</v>
      </c>
    </row>
    <row r="20" spans="1:20">
      <c r="A20" t="s">
        <v>115</v>
      </c>
      <c r="B20" s="276" t="str">
        <f>'Members Data'!A63</f>
        <v>Tomrexx</v>
      </c>
      <c r="C20" s="413"/>
      <c r="D20" s="277" t="str">
        <f>'Members Data'!D63</f>
        <v>MDPS</v>
      </c>
      <c r="E20" s="413"/>
      <c r="F20" s="278" t="str">
        <f>'Members Data'!B63</f>
        <v>Errant</v>
      </c>
      <c r="G20" s="413"/>
      <c r="H20" s="267">
        <f>VDCC!C63</f>
        <v>0</v>
      </c>
      <c r="I20" s="413"/>
      <c r="J20" s="268">
        <f>VDCC!D63</f>
        <v>0</v>
      </c>
      <c r="K20" s="413"/>
      <c r="L20" s="268">
        <f t="shared" si="3"/>
        <v>0</v>
      </c>
      <c r="M20" s="413"/>
      <c r="N20" s="268">
        <f t="shared" si="4"/>
        <v>0</v>
      </c>
      <c r="O20" s="413"/>
      <c r="P20" s="269">
        <f t="shared" si="5"/>
        <v>0</v>
      </c>
      <c r="Q20" t="s">
        <v>119</v>
      </c>
      <c r="S20" t="e">
        <f>VLOOKUP($B20,'Look-up'!$E:$H,3,FALSE)</f>
        <v>#N/A</v>
      </c>
      <c r="T20" t="e">
        <f>VLOOKUP($B20,'Look-up'!$E:$H,4,FALSE)</f>
        <v>#N/A</v>
      </c>
    </row>
    <row r="21" spans="1:20">
      <c r="A21" t="s">
        <v>115</v>
      </c>
      <c r="B21" s="276" t="str">
        <f>'Members Data'!A64</f>
        <v>Tonitrum</v>
      </c>
      <c r="C21" s="413"/>
      <c r="D21" s="277" t="str">
        <f>'Members Data'!D64</f>
        <v>MDPS</v>
      </c>
      <c r="E21" s="413"/>
      <c r="F21" s="278" t="str">
        <f>'Members Data'!B64</f>
        <v>Venturer</v>
      </c>
      <c r="G21" s="413"/>
      <c r="H21" s="267">
        <f>VDCC!C64</f>
        <v>2</v>
      </c>
      <c r="I21" s="413"/>
      <c r="J21" s="268">
        <f>VDCC!D64</f>
        <v>0</v>
      </c>
      <c r="K21" s="413"/>
      <c r="L21" s="268">
        <f t="shared" si="3"/>
        <v>0</v>
      </c>
      <c r="M21" s="413"/>
      <c r="N21" s="268">
        <f t="shared" si="4"/>
        <v>0</v>
      </c>
      <c r="O21" s="413"/>
      <c r="P21" s="269">
        <f t="shared" si="5"/>
        <v>-4</v>
      </c>
      <c r="Q21" t="s">
        <v>119</v>
      </c>
      <c r="S21" t="e">
        <f>VLOOKUP($B21,'Look-up'!$E:$H,3,FALSE)</f>
        <v>#N/A</v>
      </c>
      <c r="T21" t="e">
        <f>VLOOKUP($B21,'Look-up'!$E:$H,4,FALSE)</f>
        <v>#N/A</v>
      </c>
    </row>
    <row r="22" spans="1:20">
      <c r="A22" t="s">
        <v>115</v>
      </c>
      <c r="B22" s="276" t="str">
        <f>'Members Data'!A65</f>
        <v>Tsali</v>
      </c>
      <c r="C22" s="413"/>
      <c r="D22" s="277" t="str">
        <f>'Members Data'!D65</f>
        <v>Tank</v>
      </c>
      <c r="E22" s="413"/>
      <c r="F22" s="278" t="str">
        <f>'Members Data'!B65</f>
        <v>Traveler</v>
      </c>
      <c r="G22" s="413"/>
      <c r="H22" s="267">
        <f>VDCC!C65</f>
        <v>0</v>
      </c>
      <c r="I22" s="413"/>
      <c r="J22" s="268">
        <f>VDCC!D65</f>
        <v>0</v>
      </c>
      <c r="K22" s="413"/>
      <c r="L22" s="268">
        <f t="shared" si="3"/>
        <v>0</v>
      </c>
      <c r="M22" s="413"/>
      <c r="N22" s="268">
        <f t="shared" si="4"/>
        <v>0</v>
      </c>
      <c r="O22" s="413"/>
      <c r="P22" s="269">
        <f t="shared" si="5"/>
        <v>0</v>
      </c>
      <c r="Q22" t="s">
        <v>119</v>
      </c>
      <c r="S22" t="e">
        <f>VLOOKUP($B22,'Look-up'!$E:$H,3,FALSE)</f>
        <v>#N/A</v>
      </c>
      <c r="T22" t="e">
        <f>VLOOKUP($B22,'Look-up'!$E:$H,4,FALSE)</f>
        <v>#N/A</v>
      </c>
    </row>
    <row r="23" spans="1:20">
      <c r="A23" t="s">
        <v>115</v>
      </c>
      <c r="B23" s="276" t="str">
        <f>'Members Data'!A66</f>
        <v>Twicemore</v>
      </c>
      <c r="C23" s="413"/>
      <c r="D23" s="277" t="str">
        <f>'Members Data'!D66</f>
        <v>RDPS</v>
      </c>
      <c r="E23" s="413"/>
      <c r="F23" s="278" t="str">
        <f>'Members Data'!B66</f>
        <v>Venturer</v>
      </c>
      <c r="G23" s="413"/>
      <c r="H23" s="267">
        <f>VDCC!C66</f>
        <v>2</v>
      </c>
      <c r="I23" s="413"/>
      <c r="J23" s="268">
        <f>VDCC!D66</f>
        <v>0</v>
      </c>
      <c r="K23" s="413"/>
      <c r="L23" s="268">
        <f t="shared" si="3"/>
        <v>0</v>
      </c>
      <c r="M23" s="413"/>
      <c r="N23" s="268">
        <f t="shared" si="4"/>
        <v>0</v>
      </c>
      <c r="O23" s="413"/>
      <c r="P23" s="269">
        <f t="shared" si="5"/>
        <v>-4</v>
      </c>
      <c r="Q23" t="s">
        <v>119</v>
      </c>
      <c r="S23" t="e">
        <f>VLOOKUP($B23,'Look-up'!$E:$H,3,FALSE)</f>
        <v>#N/A</v>
      </c>
      <c r="T23" t="e">
        <f>VLOOKUP($B23,'Look-up'!$E:$H,4,FALSE)</f>
        <v>#N/A</v>
      </c>
    </row>
    <row r="24" spans="1:20">
      <c r="A24" t="s">
        <v>115</v>
      </c>
      <c r="B24" s="276" t="str">
        <f>'Members Data'!A67</f>
        <v>Vereen</v>
      </c>
      <c r="C24" s="413"/>
      <c r="D24" s="277" t="str">
        <f>'Members Data'!D67</f>
        <v>RDPS</v>
      </c>
      <c r="E24" s="413"/>
      <c r="F24" s="278" t="str">
        <f>'Members Data'!B67</f>
        <v>Traveler</v>
      </c>
      <c r="G24" s="413"/>
      <c r="H24" s="267">
        <f>VDCC!C67</f>
        <v>0</v>
      </c>
      <c r="I24" s="413"/>
      <c r="J24" s="268">
        <f>VDCC!D67</f>
        <v>0</v>
      </c>
      <c r="K24" s="413"/>
      <c r="L24" s="268">
        <f t="shared" si="3"/>
        <v>0</v>
      </c>
      <c r="M24" s="413"/>
      <c r="N24" s="268">
        <f t="shared" si="4"/>
        <v>0</v>
      </c>
      <c r="O24" s="413"/>
      <c r="P24" s="269">
        <f t="shared" si="5"/>
        <v>0</v>
      </c>
      <c r="Q24" t="s">
        <v>119</v>
      </c>
      <c r="S24" t="e">
        <f>VLOOKUP($B24,'Look-up'!$E:$H,3,FALSE)</f>
        <v>#N/A</v>
      </c>
      <c r="T24" t="e">
        <f>VLOOKUP($B24,'Look-up'!$E:$H,4,FALSE)</f>
        <v>#N/A</v>
      </c>
    </row>
    <row r="25" spans="1:20">
      <c r="A25" t="s">
        <v>115</v>
      </c>
      <c r="B25" s="276" t="str">
        <f>'Members Data'!A68</f>
        <v>Xanadaria</v>
      </c>
      <c r="C25" s="413"/>
      <c r="D25" s="277" t="str">
        <f>'Members Data'!D68</f>
        <v>Healer</v>
      </c>
      <c r="E25" s="413"/>
      <c r="F25" s="278" t="str">
        <f>'Members Data'!B68</f>
        <v>Venturer</v>
      </c>
      <c r="G25" s="413"/>
      <c r="H25" s="267">
        <f>VDCC!C68</f>
        <v>2</v>
      </c>
      <c r="I25" s="413"/>
      <c r="J25" s="268">
        <f>VDCC!D68</f>
        <v>0</v>
      </c>
      <c r="K25" s="413"/>
      <c r="L25" s="268">
        <f t="shared" si="3"/>
        <v>0</v>
      </c>
      <c r="M25" s="413"/>
      <c r="N25" s="268">
        <f t="shared" si="4"/>
        <v>0</v>
      </c>
      <c r="O25" s="413"/>
      <c r="P25" s="269">
        <f t="shared" si="5"/>
        <v>-4</v>
      </c>
      <c r="Q25" t="s">
        <v>119</v>
      </c>
      <c r="S25" t="e">
        <f>VLOOKUP($B25,'Look-up'!$E:$H,3,FALSE)</f>
        <v>#N/A</v>
      </c>
      <c r="T25" t="e">
        <f>VLOOKUP($B25,'Look-up'!$E:$H,4,FALSE)</f>
        <v>#N/A</v>
      </c>
    </row>
    <row r="26" spans="1:20" hidden="1">
      <c r="A26" t="s">
        <v>115</v>
      </c>
      <c r="B26" s="276" t="str">
        <f>'Members Data'!A69</f>
        <v>Xian</v>
      </c>
      <c r="C26" s="413"/>
      <c r="D26" s="277" t="str">
        <f>'Members Data'!D69</f>
        <v>MDPS</v>
      </c>
      <c r="E26" s="413"/>
      <c r="F26" s="278" t="str">
        <f>'Members Data'!B69</f>
        <v>Traveler</v>
      </c>
      <c r="G26" s="413"/>
      <c r="H26" s="267">
        <f>VDCC!C69</f>
        <v>0</v>
      </c>
      <c r="I26" s="413"/>
      <c r="J26" s="268">
        <f>VDCC!D69</f>
        <v>0</v>
      </c>
      <c r="K26" s="413"/>
      <c r="L26" s="268">
        <f t="shared" si="3"/>
        <v>0</v>
      </c>
      <c r="M26" s="413"/>
      <c r="N26" s="268">
        <f t="shared" si="4"/>
        <v>0</v>
      </c>
      <c r="O26" s="413"/>
      <c r="P26" s="269">
        <f t="shared" si="5"/>
        <v>0</v>
      </c>
      <c r="Q26" t="s">
        <v>119</v>
      </c>
      <c r="S26" t="e">
        <f>VLOOKUP($B26,'Look-up'!$E:$H,3,FALSE)</f>
        <v>#N/A</v>
      </c>
      <c r="T26" t="e">
        <f>VLOOKUP($B26,'Look-up'!$E:$H,4,FALSE)</f>
        <v>#N/A</v>
      </c>
    </row>
    <row r="27" spans="1:20" hidden="1">
      <c r="A27" t="s">
        <v>115</v>
      </c>
      <c r="B27" s="276" t="str">
        <f>'Members Data'!A70</f>
        <v>Xytree</v>
      </c>
      <c r="C27" s="413"/>
      <c r="D27" s="277" t="str">
        <f>'Members Data'!D70</f>
        <v>Healer</v>
      </c>
      <c r="E27" s="413"/>
      <c r="F27" s="278" t="str">
        <f>'Members Data'!B70</f>
        <v>Venturer</v>
      </c>
      <c r="G27" s="413"/>
      <c r="H27" s="267">
        <f>VDCC!C70</f>
        <v>2</v>
      </c>
      <c r="I27" s="413"/>
      <c r="J27" s="268">
        <f>VDCC!D70</f>
        <v>0</v>
      </c>
      <c r="K27" s="413"/>
      <c r="L27" s="268">
        <f t="shared" si="3"/>
        <v>0</v>
      </c>
      <c r="M27" s="413"/>
      <c r="N27" s="268">
        <f t="shared" si="4"/>
        <v>0</v>
      </c>
      <c r="O27" s="413"/>
      <c r="P27" s="269">
        <f t="shared" si="5"/>
        <v>-4</v>
      </c>
      <c r="Q27" t="s">
        <v>119</v>
      </c>
      <c r="S27" t="e">
        <f>VLOOKUP($B27,'Look-up'!$E:$H,3,FALSE)</f>
        <v>#N/A</v>
      </c>
      <c r="T27" t="e">
        <f>VLOOKUP($B27,'Look-up'!$E:$H,4,FALSE)</f>
        <v>#N/A</v>
      </c>
    </row>
    <row r="28" spans="1:20" hidden="1">
      <c r="A28" t="s">
        <v>115</v>
      </c>
      <c r="B28" s="276" t="str">
        <f>'Members Data'!A71</f>
        <v>Yardk</v>
      </c>
      <c r="C28" s="413"/>
      <c r="D28" s="277" t="str">
        <f>'Members Data'!D71</f>
        <v>MDPS</v>
      </c>
      <c r="E28" s="413"/>
      <c r="F28" s="278" t="str">
        <f>'Members Data'!B71</f>
        <v>Traveler</v>
      </c>
      <c r="G28" s="413"/>
      <c r="H28" s="267">
        <f>VDCC!C71</f>
        <v>0</v>
      </c>
      <c r="I28" s="413"/>
      <c r="J28" s="268">
        <f>VDCC!D71</f>
        <v>0</v>
      </c>
      <c r="K28" s="413"/>
      <c r="L28" s="268">
        <f t="shared" si="3"/>
        <v>0</v>
      </c>
      <c r="M28" s="413"/>
      <c r="N28" s="268">
        <f t="shared" si="4"/>
        <v>0</v>
      </c>
      <c r="O28" s="413"/>
      <c r="P28" s="269">
        <f t="shared" si="5"/>
        <v>0</v>
      </c>
      <c r="Q28" t="s">
        <v>119</v>
      </c>
      <c r="S28" t="e">
        <f>VLOOKUP($B28,'Look-up'!$E:$H,3,FALSE)</f>
        <v>#N/A</v>
      </c>
      <c r="T28" t="e">
        <f>VLOOKUP($B28,'Look-up'!$E:$H,4,FALSE)</f>
        <v>#N/A</v>
      </c>
    </row>
    <row r="29" spans="1:20" hidden="1">
      <c r="A29" t="s">
        <v>115</v>
      </c>
      <c r="B29" s="276" t="str">
        <f>'Members Data'!A72</f>
        <v>Yse</v>
      </c>
      <c r="C29" s="413"/>
      <c r="D29" s="277" t="str">
        <f>'Members Data'!D72</f>
        <v>RDPS</v>
      </c>
      <c r="E29" s="413"/>
      <c r="F29" s="278" t="str">
        <f>'Members Data'!B72</f>
        <v>Traveler</v>
      </c>
      <c r="G29" s="413"/>
      <c r="H29" s="267">
        <f>VDCC!C72</f>
        <v>0</v>
      </c>
      <c r="I29" s="413"/>
      <c r="J29" s="268">
        <f>VDCC!D72</f>
        <v>0</v>
      </c>
      <c r="K29" s="413"/>
      <c r="L29" s="268">
        <f t="shared" si="3"/>
        <v>0</v>
      </c>
      <c r="M29" s="413"/>
      <c r="N29" s="268">
        <f t="shared" si="4"/>
        <v>0</v>
      </c>
      <c r="O29" s="413"/>
      <c r="P29" s="269">
        <f t="shared" si="5"/>
        <v>0</v>
      </c>
      <c r="Q29" t="s">
        <v>119</v>
      </c>
      <c r="S29" t="e">
        <f>VLOOKUP($B29,'Look-up'!$E:$H,3,FALSE)</f>
        <v>#N/A</v>
      </c>
      <c r="T29" t="e">
        <f>VLOOKUP($B29,'Look-up'!$E:$H,4,FALSE)</f>
        <v>#N/A</v>
      </c>
    </row>
    <row r="30" spans="1:20" hidden="1">
      <c r="A30" t="s">
        <v>115</v>
      </c>
      <c r="B30" s="276" t="str">
        <f>'Members Data'!A73</f>
        <v>Zantias</v>
      </c>
      <c r="C30" s="413"/>
      <c r="D30" s="277" t="str">
        <f>'Members Data'!D73</f>
        <v>RDPS</v>
      </c>
      <c r="E30" s="413"/>
      <c r="F30" s="278" t="str">
        <f>'Members Data'!B73</f>
        <v>Venturer</v>
      </c>
      <c r="G30" s="413"/>
      <c r="H30" s="267">
        <f>VDCC!C73</f>
        <v>0</v>
      </c>
      <c r="I30" s="413"/>
      <c r="J30" s="268">
        <f>VDCC!D73</f>
        <v>0</v>
      </c>
      <c r="K30" s="413"/>
      <c r="L30" s="268">
        <f t="shared" si="3"/>
        <v>0</v>
      </c>
      <c r="M30" s="413"/>
      <c r="N30" s="268">
        <f t="shared" si="4"/>
        <v>0</v>
      </c>
      <c r="O30" s="413"/>
      <c r="P30" s="269">
        <f t="shared" si="5"/>
        <v>0</v>
      </c>
      <c r="Q30" t="s">
        <v>119</v>
      </c>
      <c r="S30" t="e">
        <f>VLOOKUP($B30,'Look-up'!$E:$H,3,FALSE)</f>
        <v>#N/A</v>
      </c>
      <c r="T30" t="e">
        <f>VLOOKUP($B30,'Look-up'!$E:$H,4,FALSE)</f>
        <v>#N/A</v>
      </c>
    </row>
    <row r="31" spans="1:20" hidden="1">
      <c r="A31" t="s">
        <v>115</v>
      </c>
      <c r="B31" s="276">
        <f>'Members Data'!A74</f>
        <v>0</v>
      </c>
      <c r="C31" s="413"/>
      <c r="D31" s="277">
        <f>'Members Data'!D74</f>
        <v>0</v>
      </c>
      <c r="E31" s="413"/>
      <c r="F31" s="278">
        <f>'Members Data'!B74</f>
        <v>0</v>
      </c>
      <c r="G31" s="413"/>
      <c r="H31" s="267">
        <f>VDCC!C74</f>
        <v>0</v>
      </c>
      <c r="I31" s="413"/>
      <c r="J31" s="268">
        <f>VDCC!D74</f>
        <v>0</v>
      </c>
      <c r="K31" s="413"/>
      <c r="L31" s="268">
        <f t="shared" si="3"/>
        <v>0</v>
      </c>
      <c r="M31" s="413"/>
      <c r="N31" s="268">
        <f t="shared" si="4"/>
        <v>0</v>
      </c>
      <c r="O31" s="413"/>
      <c r="P31" s="269">
        <f t="shared" si="5"/>
        <v>0</v>
      </c>
      <c r="Q31" t="s">
        <v>119</v>
      </c>
      <c r="S31" t="e">
        <f>VLOOKUP($B31,'Look-up'!$E:$H,3,FALSE)</f>
        <v>#N/A</v>
      </c>
      <c r="T31" t="e">
        <f>VLOOKUP($B31,'Look-up'!$E:$H,4,FALSE)</f>
        <v>#N/A</v>
      </c>
    </row>
    <row r="32" spans="1:20" hidden="1">
      <c r="A32" t="s">
        <v>115</v>
      </c>
      <c r="B32" s="276">
        <f>'Members Data'!A75</f>
        <v>0</v>
      </c>
      <c r="C32" s="413"/>
      <c r="D32" s="277">
        <f>'Members Data'!D75</f>
        <v>0</v>
      </c>
      <c r="E32" s="413"/>
      <c r="F32" s="278">
        <f>'Members Data'!B75</f>
        <v>0</v>
      </c>
      <c r="G32" s="413"/>
      <c r="H32" s="267">
        <f>VDCC!C75</f>
        <v>0</v>
      </c>
      <c r="I32" s="413"/>
      <c r="J32" s="268">
        <f>VDCC!D75</f>
        <v>0</v>
      </c>
      <c r="K32" s="413"/>
      <c r="L32" s="268">
        <f t="shared" si="3"/>
        <v>0</v>
      </c>
      <c r="M32" s="413"/>
      <c r="N32" s="268">
        <f t="shared" si="4"/>
        <v>0</v>
      </c>
      <c r="O32" s="413"/>
      <c r="P32" s="269">
        <f t="shared" si="5"/>
        <v>0</v>
      </c>
      <c r="Q32" t="s">
        <v>119</v>
      </c>
      <c r="S32" t="e">
        <f>VLOOKUP($B32,'Look-up'!$E:$H,3,FALSE)</f>
        <v>#N/A</v>
      </c>
      <c r="T32" t="e">
        <f>VLOOKUP($B32,'Look-up'!$E:$H,4,FALSE)</f>
        <v>#N/A</v>
      </c>
    </row>
    <row r="33" spans="1:20" hidden="1">
      <c r="A33" t="s">
        <v>115</v>
      </c>
      <c r="B33" s="276">
        <f>'Members Data'!A76</f>
        <v>0</v>
      </c>
      <c r="C33" s="413"/>
      <c r="D33" s="277">
        <f>'Members Data'!D76</f>
        <v>0</v>
      </c>
      <c r="E33" s="413"/>
      <c r="F33" s="278">
        <f>'Members Data'!B76</f>
        <v>0</v>
      </c>
      <c r="G33" s="413"/>
      <c r="H33" s="267">
        <f>VDCC!C76</f>
        <v>0</v>
      </c>
      <c r="I33" s="413"/>
      <c r="J33" s="268">
        <f>VDCC!D76</f>
        <v>0</v>
      </c>
      <c r="K33" s="413"/>
      <c r="L33" s="268">
        <f t="shared" si="3"/>
        <v>0</v>
      </c>
      <c r="M33" s="413"/>
      <c r="N33" s="268">
        <f t="shared" si="4"/>
        <v>0</v>
      </c>
      <c r="O33" s="413"/>
      <c r="P33" s="269">
        <f t="shared" si="5"/>
        <v>0</v>
      </c>
      <c r="Q33" t="s">
        <v>119</v>
      </c>
      <c r="S33" t="e">
        <f>VLOOKUP($B33,'Look-up'!$E:$H,3,FALSE)</f>
        <v>#N/A</v>
      </c>
      <c r="T33" t="e">
        <f>VLOOKUP($B33,'Look-up'!$E:$H,4,FALSE)</f>
        <v>#N/A</v>
      </c>
    </row>
    <row r="34" spans="1:20" hidden="1">
      <c r="A34" t="s">
        <v>115</v>
      </c>
      <c r="B34" s="276">
        <f>'Members Data'!A77</f>
        <v>0</v>
      </c>
      <c r="C34" s="413"/>
      <c r="D34" s="277">
        <f>'Members Data'!D77</f>
        <v>0</v>
      </c>
      <c r="E34" s="413"/>
      <c r="F34" s="278">
        <f>'Members Data'!B77</f>
        <v>0</v>
      </c>
      <c r="G34" s="413"/>
      <c r="H34" s="267">
        <f>VDCC!C77</f>
        <v>0</v>
      </c>
      <c r="I34" s="413"/>
      <c r="J34" s="268">
        <f>VDCC!D77</f>
        <v>0</v>
      </c>
      <c r="K34" s="413"/>
      <c r="L34" s="268">
        <f t="shared" si="3"/>
        <v>0</v>
      </c>
      <c r="M34" s="413"/>
      <c r="N34" s="268">
        <f t="shared" si="4"/>
        <v>0</v>
      </c>
      <c r="O34" s="413"/>
      <c r="P34" s="269">
        <f t="shared" si="5"/>
        <v>0</v>
      </c>
      <c r="Q34" t="s">
        <v>119</v>
      </c>
      <c r="S34" t="e">
        <f>VLOOKUP($B34,'Look-up'!$E:$H,3,FALSE)</f>
        <v>#N/A</v>
      </c>
      <c r="T34" t="e">
        <f>VLOOKUP($B34,'Look-up'!$E:$H,4,FALSE)</f>
        <v>#N/A</v>
      </c>
    </row>
    <row r="35" spans="1:20" hidden="1">
      <c r="A35" t="s">
        <v>115</v>
      </c>
      <c r="B35" s="276">
        <f>'Members Data'!A78</f>
        <v>0</v>
      </c>
      <c r="C35" s="413"/>
      <c r="D35" s="277">
        <f>'Members Data'!D78</f>
        <v>0</v>
      </c>
      <c r="E35" s="413"/>
      <c r="F35" s="278">
        <f>'Members Data'!B78</f>
        <v>0</v>
      </c>
      <c r="G35" s="413"/>
      <c r="H35" s="267">
        <f>VDCC!C78</f>
        <v>0</v>
      </c>
      <c r="I35" s="413"/>
      <c r="J35" s="268">
        <f>VDCC!D78</f>
        <v>0</v>
      </c>
      <c r="K35" s="413"/>
      <c r="L35" s="268">
        <f t="shared" si="3"/>
        <v>0</v>
      </c>
      <c r="M35" s="413"/>
      <c r="N35" s="268">
        <f t="shared" si="4"/>
        <v>0</v>
      </c>
      <c r="O35" s="413"/>
      <c r="P35" s="269">
        <f t="shared" si="5"/>
        <v>0</v>
      </c>
      <c r="Q35" t="s">
        <v>119</v>
      </c>
      <c r="S35" t="e">
        <f>VLOOKUP($B35,'Look-up'!$E:$H,3,FALSE)</f>
        <v>#N/A</v>
      </c>
      <c r="T35" t="e">
        <f>VLOOKUP($B35,'Look-up'!$E:$H,4,FALSE)</f>
        <v>#N/A</v>
      </c>
    </row>
    <row r="36" spans="1:20" hidden="1">
      <c r="A36" t="s">
        <v>115</v>
      </c>
      <c r="B36" s="276">
        <f>'Members Data'!A79</f>
        <v>0</v>
      </c>
      <c r="C36" s="413"/>
      <c r="D36" s="277">
        <f>'Members Data'!D79</f>
        <v>0</v>
      </c>
      <c r="E36" s="413"/>
      <c r="F36" s="278">
        <f>'Members Data'!B79</f>
        <v>0</v>
      </c>
      <c r="G36" s="413"/>
      <c r="H36" s="267">
        <f>VDCC!C79</f>
        <v>0</v>
      </c>
      <c r="I36" s="413"/>
      <c r="J36" s="268">
        <f>VDCC!D79</f>
        <v>0</v>
      </c>
      <c r="K36" s="413"/>
      <c r="L36" s="268">
        <f t="shared" si="3"/>
        <v>0</v>
      </c>
      <c r="M36" s="413"/>
      <c r="N36" s="268">
        <f t="shared" si="4"/>
        <v>0</v>
      </c>
      <c r="O36" s="413"/>
      <c r="P36" s="269">
        <f t="shared" si="5"/>
        <v>0</v>
      </c>
      <c r="Q36" t="s">
        <v>119</v>
      </c>
      <c r="S36" t="e">
        <f>VLOOKUP($B36,'Look-up'!$E:$H,3,FALSE)</f>
        <v>#N/A</v>
      </c>
      <c r="T36" t="e">
        <f>VLOOKUP($B36,'Look-up'!$E:$H,4,FALSE)</f>
        <v>#N/A</v>
      </c>
    </row>
    <row r="37" spans="1:20" hidden="1">
      <c r="A37" t="s">
        <v>115</v>
      </c>
      <c r="B37" s="276">
        <f>'Members Data'!A81</f>
        <v>0</v>
      </c>
      <c r="C37" s="413"/>
      <c r="D37" s="277">
        <f>'Members Data'!D81</f>
        <v>0</v>
      </c>
      <c r="E37" s="413"/>
      <c r="F37" s="278">
        <f>'Members Data'!B81</f>
        <v>0</v>
      </c>
      <c r="G37" s="413"/>
      <c r="H37" s="267">
        <f>VDCC!C81</f>
        <v>0</v>
      </c>
      <c r="I37" s="413"/>
      <c r="J37" s="268">
        <f>VDCC!D81</f>
        <v>0</v>
      </c>
      <c r="K37" s="413"/>
      <c r="L37" s="268">
        <f t="shared" si="3"/>
        <v>0</v>
      </c>
      <c r="M37" s="413"/>
      <c r="N37" s="268">
        <f t="shared" si="4"/>
        <v>0</v>
      </c>
      <c r="O37" s="413"/>
      <c r="P37" s="269">
        <f t="shared" si="5"/>
        <v>0</v>
      </c>
      <c r="Q37" t="s">
        <v>119</v>
      </c>
      <c r="S37" t="e">
        <f>VLOOKUP($B37,'Look-up'!$E:$H,3,FALSE)</f>
        <v>#N/A</v>
      </c>
      <c r="T37" t="e">
        <f>VLOOKUP($B37,'Look-up'!$E:$H,4,FALSE)</f>
        <v>#N/A</v>
      </c>
    </row>
    <row r="38" spans="1:20" hidden="1">
      <c r="A38" t="s">
        <v>115</v>
      </c>
      <c r="B38" s="276">
        <f>'Members Data'!A82</f>
        <v>0</v>
      </c>
      <c r="C38" s="413"/>
      <c r="D38" s="277">
        <f>'Members Data'!D82</f>
        <v>0</v>
      </c>
      <c r="E38" s="413"/>
      <c r="F38" s="278">
        <f>'Members Data'!B82</f>
        <v>0</v>
      </c>
      <c r="G38" s="413"/>
      <c r="H38" s="267">
        <f>VDCC!C82</f>
        <v>0</v>
      </c>
      <c r="I38" s="413"/>
      <c r="J38" s="268">
        <f>VDCC!D82</f>
        <v>0</v>
      </c>
      <c r="K38" s="413"/>
      <c r="L38" s="268">
        <f t="shared" ref="L38:L69" si="6">IF(ISNA(S38),0,S38)</f>
        <v>0</v>
      </c>
      <c r="M38" s="413"/>
      <c r="N38" s="268">
        <f t="shared" ref="N38:N69" si="7">IF(ISNA(T38),0,T38)</f>
        <v>0</v>
      </c>
      <c r="O38" s="413"/>
      <c r="P38" s="269">
        <f t="shared" ref="P38:P69" si="8">(H38*-2)+(J38*2)+(L38*-1)+(N38)</f>
        <v>0</v>
      </c>
      <c r="Q38" t="s">
        <v>119</v>
      </c>
      <c r="S38" t="e">
        <f>VLOOKUP($B38,'Look-up'!$E:$H,3,FALSE)</f>
        <v>#N/A</v>
      </c>
      <c r="T38" t="e">
        <f>VLOOKUP($B38,'Look-up'!$E:$H,4,FALSE)</f>
        <v>#N/A</v>
      </c>
    </row>
    <row r="39" spans="1:20" hidden="1">
      <c r="A39" t="s">
        <v>115</v>
      </c>
      <c r="B39" s="276">
        <f>'Members Data'!A83</f>
        <v>0</v>
      </c>
      <c r="C39" s="413"/>
      <c r="D39" s="277">
        <f>'Members Data'!D83</f>
        <v>0</v>
      </c>
      <c r="E39" s="413"/>
      <c r="F39" s="278">
        <f>'Members Data'!B83</f>
        <v>0</v>
      </c>
      <c r="G39" s="413"/>
      <c r="H39" s="267">
        <f>VDCC!C83</f>
        <v>0</v>
      </c>
      <c r="I39" s="413"/>
      <c r="J39" s="268">
        <f>VDCC!D83</f>
        <v>0</v>
      </c>
      <c r="K39" s="413"/>
      <c r="L39" s="268">
        <f t="shared" si="6"/>
        <v>0</v>
      </c>
      <c r="M39" s="413"/>
      <c r="N39" s="268">
        <f t="shared" si="7"/>
        <v>0</v>
      </c>
      <c r="O39" s="413"/>
      <c r="P39" s="269">
        <f t="shared" si="8"/>
        <v>0</v>
      </c>
      <c r="Q39" t="s">
        <v>119</v>
      </c>
      <c r="S39" t="e">
        <f>VLOOKUP($B39,'Look-up'!$E:$H,3,FALSE)</f>
        <v>#N/A</v>
      </c>
      <c r="T39" t="e">
        <f>VLOOKUP($B39,'Look-up'!$E:$H,4,FALSE)</f>
        <v>#N/A</v>
      </c>
    </row>
    <row r="40" spans="1:20" hidden="1">
      <c r="A40" t="s">
        <v>115</v>
      </c>
      <c r="B40" s="276">
        <f>'Members Data'!A84</f>
        <v>0</v>
      </c>
      <c r="C40" s="413"/>
      <c r="D40" s="277">
        <f>'Members Data'!D84</f>
        <v>0</v>
      </c>
      <c r="E40" s="413"/>
      <c r="F40" s="278">
        <f>'Members Data'!B84</f>
        <v>0</v>
      </c>
      <c r="G40" s="413"/>
      <c r="H40" s="267">
        <f>VDCC!C84</f>
        <v>0</v>
      </c>
      <c r="I40" s="413"/>
      <c r="J40" s="268">
        <f>VDCC!D84</f>
        <v>0</v>
      </c>
      <c r="K40" s="413"/>
      <c r="L40" s="268">
        <f t="shared" si="6"/>
        <v>0</v>
      </c>
      <c r="M40" s="413"/>
      <c r="N40" s="268">
        <f t="shared" si="7"/>
        <v>0</v>
      </c>
      <c r="O40" s="413"/>
      <c r="P40" s="269">
        <f t="shared" si="8"/>
        <v>0</v>
      </c>
      <c r="Q40" t="s">
        <v>119</v>
      </c>
      <c r="S40" t="e">
        <f>VLOOKUP($B40,'Look-up'!$E:$H,3,FALSE)</f>
        <v>#N/A</v>
      </c>
      <c r="T40" t="e">
        <f>VLOOKUP($B40,'Look-up'!$E:$H,4,FALSE)</f>
        <v>#N/A</v>
      </c>
    </row>
    <row r="41" spans="1:20" hidden="1">
      <c r="A41" t="s">
        <v>115</v>
      </c>
      <c r="B41" s="276">
        <f>'Members Data'!A85</f>
        <v>0</v>
      </c>
      <c r="C41" s="413"/>
      <c r="D41" s="277">
        <f>'Members Data'!D85</f>
        <v>0</v>
      </c>
      <c r="E41" s="413"/>
      <c r="F41" s="278">
        <f>'Members Data'!B85</f>
        <v>0</v>
      </c>
      <c r="G41" s="413"/>
      <c r="H41" s="267">
        <f>VDCC!C85</f>
        <v>0</v>
      </c>
      <c r="I41" s="413"/>
      <c r="J41" s="268">
        <f>VDCC!D85</f>
        <v>0</v>
      </c>
      <c r="K41" s="413"/>
      <c r="L41" s="268">
        <f t="shared" si="6"/>
        <v>0</v>
      </c>
      <c r="M41" s="413"/>
      <c r="N41" s="268">
        <f t="shared" si="7"/>
        <v>0</v>
      </c>
      <c r="O41" s="413"/>
      <c r="P41" s="269">
        <f t="shared" si="8"/>
        <v>0</v>
      </c>
      <c r="Q41" t="s">
        <v>119</v>
      </c>
      <c r="S41" t="e">
        <f>VLOOKUP($B41,'Look-up'!$E:$H,3,FALSE)</f>
        <v>#N/A</v>
      </c>
      <c r="T41" t="e">
        <f>VLOOKUP($B41,'Look-up'!$E:$H,4,FALSE)</f>
        <v>#N/A</v>
      </c>
    </row>
    <row r="42" spans="1:20" hidden="1">
      <c r="A42" t="s">
        <v>115</v>
      </c>
      <c r="B42" s="276">
        <f>'Members Data'!A86</f>
        <v>0</v>
      </c>
      <c r="C42" s="413"/>
      <c r="D42" s="277">
        <f>'Members Data'!D86</f>
        <v>0</v>
      </c>
      <c r="E42" s="413"/>
      <c r="F42" s="278">
        <f>'Members Data'!B86</f>
        <v>0</v>
      </c>
      <c r="G42" s="413"/>
      <c r="H42" s="267">
        <f>VDCC!C86</f>
        <v>0</v>
      </c>
      <c r="I42" s="413"/>
      <c r="J42" s="268">
        <f>VDCC!D86</f>
        <v>0</v>
      </c>
      <c r="K42" s="413"/>
      <c r="L42" s="268">
        <f t="shared" si="6"/>
        <v>0</v>
      </c>
      <c r="M42" s="413"/>
      <c r="N42" s="268">
        <f t="shared" si="7"/>
        <v>0</v>
      </c>
      <c r="O42" s="413"/>
      <c r="P42" s="269">
        <f t="shared" si="8"/>
        <v>0</v>
      </c>
      <c r="Q42" t="s">
        <v>119</v>
      </c>
      <c r="S42" t="e">
        <f>VLOOKUP($B42,'Look-up'!$E:$H,3,FALSE)</f>
        <v>#N/A</v>
      </c>
      <c r="T42" t="e">
        <f>VLOOKUP($B42,'Look-up'!$E:$H,4,FALSE)</f>
        <v>#N/A</v>
      </c>
    </row>
    <row r="43" spans="1:20" hidden="1">
      <c r="A43" t="s">
        <v>115</v>
      </c>
      <c r="B43" s="276">
        <f>'Members Data'!A87</f>
        <v>0</v>
      </c>
      <c r="C43" s="413"/>
      <c r="D43" s="277">
        <f>'Members Data'!D87</f>
        <v>0</v>
      </c>
      <c r="E43" s="413"/>
      <c r="F43" s="278">
        <f>'Members Data'!B87</f>
        <v>0</v>
      </c>
      <c r="G43" s="413"/>
      <c r="H43" s="267">
        <f>VDCC!C87</f>
        <v>0</v>
      </c>
      <c r="I43" s="413"/>
      <c r="J43" s="268">
        <f>VDCC!D87</f>
        <v>0</v>
      </c>
      <c r="K43" s="413"/>
      <c r="L43" s="268">
        <f t="shared" si="6"/>
        <v>0</v>
      </c>
      <c r="M43" s="413"/>
      <c r="N43" s="268">
        <f t="shared" si="7"/>
        <v>0</v>
      </c>
      <c r="O43" s="413"/>
      <c r="P43" s="269">
        <f t="shared" si="8"/>
        <v>0</v>
      </c>
      <c r="Q43" t="s">
        <v>119</v>
      </c>
      <c r="S43" t="e">
        <f>VLOOKUP($B43,'Look-up'!$E:$H,3,FALSE)</f>
        <v>#N/A</v>
      </c>
      <c r="T43" t="e">
        <f>VLOOKUP($B43,'Look-up'!$E:$H,4,FALSE)</f>
        <v>#N/A</v>
      </c>
    </row>
    <row r="44" spans="1:20" hidden="1">
      <c r="A44" t="s">
        <v>115</v>
      </c>
      <c r="B44" s="276">
        <f>'Members Data'!A88</f>
        <v>0</v>
      </c>
      <c r="C44" s="413"/>
      <c r="D44" s="277">
        <f>'Members Data'!D88</f>
        <v>0</v>
      </c>
      <c r="E44" s="413"/>
      <c r="F44" s="278">
        <f>'Members Data'!B88</f>
        <v>0</v>
      </c>
      <c r="G44" s="413"/>
      <c r="H44" s="267">
        <f>VDCC!C88</f>
        <v>0</v>
      </c>
      <c r="I44" s="413"/>
      <c r="J44" s="268">
        <f>VDCC!D88</f>
        <v>0</v>
      </c>
      <c r="K44" s="413"/>
      <c r="L44" s="268">
        <f t="shared" si="6"/>
        <v>0</v>
      </c>
      <c r="M44" s="413"/>
      <c r="N44" s="268">
        <f t="shared" si="7"/>
        <v>0</v>
      </c>
      <c r="O44" s="413"/>
      <c r="P44" s="269">
        <f t="shared" si="8"/>
        <v>0</v>
      </c>
      <c r="Q44" t="s">
        <v>119</v>
      </c>
      <c r="S44" t="e">
        <f>VLOOKUP($B44,'Look-up'!$E:$H,3,FALSE)</f>
        <v>#N/A</v>
      </c>
      <c r="T44" t="e">
        <f>VLOOKUP($B44,'Look-up'!$E:$H,4,FALSE)</f>
        <v>#N/A</v>
      </c>
    </row>
    <row r="45" spans="1:20" hidden="1">
      <c r="A45" t="s">
        <v>115</v>
      </c>
      <c r="B45" s="276">
        <f>'Members Data'!A89</f>
        <v>0</v>
      </c>
      <c r="C45" s="413"/>
      <c r="D45" s="277">
        <f>'Members Data'!D89</f>
        <v>0</v>
      </c>
      <c r="E45" s="413"/>
      <c r="F45" s="278">
        <f>'Members Data'!B89</f>
        <v>0</v>
      </c>
      <c r="G45" s="413"/>
      <c r="H45" s="267">
        <f>VDCC!C89</f>
        <v>0</v>
      </c>
      <c r="I45" s="413"/>
      <c r="J45" s="268">
        <f>VDCC!D89</f>
        <v>0</v>
      </c>
      <c r="K45" s="413"/>
      <c r="L45" s="268">
        <f t="shared" si="6"/>
        <v>0</v>
      </c>
      <c r="M45" s="413"/>
      <c r="N45" s="268">
        <f t="shared" si="7"/>
        <v>0</v>
      </c>
      <c r="O45" s="413"/>
      <c r="P45" s="269">
        <f t="shared" si="8"/>
        <v>0</v>
      </c>
      <c r="Q45" t="s">
        <v>119</v>
      </c>
      <c r="S45" t="e">
        <f>VLOOKUP($B45,'Look-up'!$E:$H,3,FALSE)</f>
        <v>#N/A</v>
      </c>
      <c r="T45" t="e">
        <f>VLOOKUP($B45,'Look-up'!$E:$H,4,FALSE)</f>
        <v>#N/A</v>
      </c>
    </row>
    <row r="46" spans="1:20" hidden="1">
      <c r="A46" t="s">
        <v>115</v>
      </c>
      <c r="B46" s="276">
        <f>'Members Data'!A90</f>
        <v>0</v>
      </c>
      <c r="C46" s="413"/>
      <c r="D46" s="277">
        <f>'Members Data'!D90</f>
        <v>0</v>
      </c>
      <c r="E46" s="413"/>
      <c r="F46" s="278">
        <f>'Members Data'!B90</f>
        <v>0</v>
      </c>
      <c r="G46" s="413"/>
      <c r="H46" s="267">
        <f>VDCC!C90</f>
        <v>0</v>
      </c>
      <c r="I46" s="413"/>
      <c r="J46" s="268">
        <f>VDCC!D90</f>
        <v>0</v>
      </c>
      <c r="K46" s="413"/>
      <c r="L46" s="268">
        <f t="shared" si="6"/>
        <v>0</v>
      </c>
      <c r="M46" s="413"/>
      <c r="N46" s="268">
        <f t="shared" si="7"/>
        <v>0</v>
      </c>
      <c r="O46" s="413"/>
      <c r="P46" s="269">
        <f t="shared" si="8"/>
        <v>0</v>
      </c>
      <c r="Q46" t="s">
        <v>119</v>
      </c>
      <c r="S46" t="e">
        <f>VLOOKUP($B46,'Look-up'!$E:$H,3,FALSE)</f>
        <v>#N/A</v>
      </c>
      <c r="T46" t="e">
        <f>VLOOKUP($B46,'Look-up'!$E:$H,4,FALSE)</f>
        <v>#N/A</v>
      </c>
    </row>
    <row r="47" spans="1:20" hidden="1">
      <c r="A47" t="s">
        <v>115</v>
      </c>
      <c r="B47" s="276">
        <f>'Members Data'!A91</f>
        <v>0</v>
      </c>
      <c r="C47" s="413"/>
      <c r="D47" s="277">
        <f>'Members Data'!D91</f>
        <v>0</v>
      </c>
      <c r="E47" s="413"/>
      <c r="F47" s="278">
        <f>'Members Data'!B91</f>
        <v>0</v>
      </c>
      <c r="G47" s="413"/>
      <c r="H47" s="267">
        <f>VDCC!C91</f>
        <v>0</v>
      </c>
      <c r="I47" s="413"/>
      <c r="J47" s="268">
        <f>VDCC!D91</f>
        <v>0</v>
      </c>
      <c r="K47" s="413"/>
      <c r="L47" s="268">
        <f t="shared" si="6"/>
        <v>0</v>
      </c>
      <c r="M47" s="413"/>
      <c r="N47" s="268">
        <f t="shared" si="7"/>
        <v>0</v>
      </c>
      <c r="O47" s="413"/>
      <c r="P47" s="269">
        <f t="shared" si="8"/>
        <v>0</v>
      </c>
      <c r="Q47" t="s">
        <v>119</v>
      </c>
      <c r="S47" t="e">
        <f>VLOOKUP($B47,'Look-up'!$E:$H,3,FALSE)</f>
        <v>#N/A</v>
      </c>
      <c r="T47" t="e">
        <f>VLOOKUP($B47,'Look-up'!$E:$H,4,FALSE)</f>
        <v>#N/A</v>
      </c>
    </row>
    <row r="48" spans="1:20" hidden="1">
      <c r="A48" t="s">
        <v>115</v>
      </c>
      <c r="B48" s="276">
        <f>'Members Data'!A92</f>
        <v>0</v>
      </c>
      <c r="C48" s="413"/>
      <c r="D48" s="277">
        <f>'Members Data'!D92</f>
        <v>0</v>
      </c>
      <c r="E48" s="413"/>
      <c r="F48" s="278">
        <f>'Members Data'!B92</f>
        <v>0</v>
      </c>
      <c r="G48" s="413"/>
      <c r="H48" s="267">
        <f>VDCC!C92</f>
        <v>0</v>
      </c>
      <c r="I48" s="413"/>
      <c r="J48" s="268">
        <f>VDCC!D92</f>
        <v>0</v>
      </c>
      <c r="K48" s="413"/>
      <c r="L48" s="268">
        <f t="shared" si="6"/>
        <v>0</v>
      </c>
      <c r="M48" s="413"/>
      <c r="N48" s="268">
        <f t="shared" si="7"/>
        <v>0</v>
      </c>
      <c r="O48" s="413"/>
      <c r="P48" s="269">
        <f t="shared" si="8"/>
        <v>0</v>
      </c>
      <c r="Q48" t="s">
        <v>119</v>
      </c>
      <c r="S48" t="e">
        <f>VLOOKUP($B48,'Look-up'!$E:$H,3,FALSE)</f>
        <v>#N/A</v>
      </c>
      <c r="T48" t="e">
        <f>VLOOKUP($B48,'Look-up'!$E:$H,4,FALSE)</f>
        <v>#N/A</v>
      </c>
    </row>
    <row r="49" spans="1:20" hidden="1">
      <c r="A49" t="s">
        <v>115</v>
      </c>
      <c r="B49" s="276">
        <f>'Members Data'!A93</f>
        <v>0</v>
      </c>
      <c r="C49" s="413"/>
      <c r="D49" s="277">
        <f>'Members Data'!D93</f>
        <v>0</v>
      </c>
      <c r="E49" s="413"/>
      <c r="F49" s="278">
        <f>'Members Data'!B93</f>
        <v>0</v>
      </c>
      <c r="G49" s="413"/>
      <c r="H49" s="267">
        <f>VDCC!C93</f>
        <v>0</v>
      </c>
      <c r="I49" s="413"/>
      <c r="J49" s="268">
        <f>VDCC!D93</f>
        <v>0</v>
      </c>
      <c r="K49" s="413"/>
      <c r="L49" s="268">
        <f t="shared" si="6"/>
        <v>0</v>
      </c>
      <c r="M49" s="413"/>
      <c r="N49" s="268">
        <f t="shared" si="7"/>
        <v>0</v>
      </c>
      <c r="O49" s="413"/>
      <c r="P49" s="269">
        <f t="shared" si="8"/>
        <v>0</v>
      </c>
      <c r="Q49" t="s">
        <v>119</v>
      </c>
      <c r="S49" t="e">
        <f>VLOOKUP($B49,'Look-up'!$E:$H,3,FALSE)</f>
        <v>#N/A</v>
      </c>
      <c r="T49" t="e">
        <f>VLOOKUP($B49,'Look-up'!$E:$H,4,FALSE)</f>
        <v>#N/A</v>
      </c>
    </row>
    <row r="50" spans="1:20" hidden="1">
      <c r="A50" t="s">
        <v>115</v>
      </c>
      <c r="B50" s="276">
        <f>'Members Data'!A94</f>
        <v>0</v>
      </c>
      <c r="C50" s="413"/>
      <c r="D50" s="277">
        <f>'Members Data'!D94</f>
        <v>0</v>
      </c>
      <c r="E50" s="413"/>
      <c r="F50" s="278">
        <f>'Members Data'!B94</f>
        <v>0</v>
      </c>
      <c r="G50" s="413"/>
      <c r="H50" s="267">
        <f>VDCC!C94</f>
        <v>0</v>
      </c>
      <c r="I50" s="413"/>
      <c r="J50" s="268">
        <f>VDCC!D94</f>
        <v>0</v>
      </c>
      <c r="K50" s="413"/>
      <c r="L50" s="268">
        <f t="shared" si="6"/>
        <v>0</v>
      </c>
      <c r="M50" s="413"/>
      <c r="N50" s="268">
        <f t="shared" si="7"/>
        <v>0</v>
      </c>
      <c r="O50" s="413"/>
      <c r="P50" s="269">
        <f t="shared" si="8"/>
        <v>0</v>
      </c>
      <c r="Q50" t="s">
        <v>119</v>
      </c>
      <c r="S50" t="e">
        <f>VLOOKUP($B50,'Look-up'!$E:$H,3,FALSE)</f>
        <v>#N/A</v>
      </c>
      <c r="T50" t="e">
        <f>VLOOKUP($B50,'Look-up'!$E:$H,4,FALSE)</f>
        <v>#N/A</v>
      </c>
    </row>
    <row r="51" spans="1:20" hidden="1">
      <c r="A51" t="s">
        <v>115</v>
      </c>
      <c r="B51" s="276">
        <f>'Members Data'!A95</f>
        <v>0</v>
      </c>
      <c r="C51" s="413"/>
      <c r="D51" s="277">
        <f>'Members Data'!D95</f>
        <v>0</v>
      </c>
      <c r="E51" s="413"/>
      <c r="F51" s="278">
        <f>'Members Data'!B95</f>
        <v>0</v>
      </c>
      <c r="G51" s="413"/>
      <c r="H51" s="267">
        <f>VDCC!C95</f>
        <v>0</v>
      </c>
      <c r="I51" s="413"/>
      <c r="J51" s="268">
        <f>VDCC!D95</f>
        <v>0</v>
      </c>
      <c r="K51" s="413"/>
      <c r="L51" s="268">
        <f t="shared" si="6"/>
        <v>0</v>
      </c>
      <c r="M51" s="413"/>
      <c r="N51" s="268">
        <f t="shared" si="7"/>
        <v>0</v>
      </c>
      <c r="O51" s="413"/>
      <c r="P51" s="269">
        <f t="shared" si="8"/>
        <v>0</v>
      </c>
      <c r="Q51" t="s">
        <v>119</v>
      </c>
      <c r="S51" t="e">
        <f>VLOOKUP($B51,'Look-up'!$E:$H,3,FALSE)</f>
        <v>#N/A</v>
      </c>
      <c r="T51" t="e">
        <f>VLOOKUP($B51,'Look-up'!$E:$H,4,FALSE)</f>
        <v>#N/A</v>
      </c>
    </row>
    <row r="52" spans="1:20" hidden="1">
      <c r="A52" t="s">
        <v>115</v>
      </c>
      <c r="B52" s="276">
        <f>'Members Data'!A96</f>
        <v>0</v>
      </c>
      <c r="C52" s="413"/>
      <c r="D52" s="277">
        <f>'Members Data'!D96</f>
        <v>0</v>
      </c>
      <c r="E52" s="413"/>
      <c r="F52" s="278">
        <f>'Members Data'!B96</f>
        <v>0</v>
      </c>
      <c r="G52" s="413"/>
      <c r="H52" s="267">
        <f>VDCC!C96</f>
        <v>0</v>
      </c>
      <c r="I52" s="413"/>
      <c r="J52" s="268">
        <f>VDCC!D96</f>
        <v>0</v>
      </c>
      <c r="K52" s="413"/>
      <c r="L52" s="268">
        <f t="shared" si="6"/>
        <v>0</v>
      </c>
      <c r="M52" s="413"/>
      <c r="N52" s="268">
        <f t="shared" si="7"/>
        <v>0</v>
      </c>
      <c r="O52" s="413"/>
      <c r="P52" s="269">
        <f t="shared" si="8"/>
        <v>0</v>
      </c>
      <c r="Q52" t="s">
        <v>119</v>
      </c>
      <c r="S52" t="e">
        <f>VLOOKUP($B52,'Look-up'!$E:$H,3,FALSE)</f>
        <v>#N/A</v>
      </c>
      <c r="T52" t="e">
        <f>VLOOKUP($B52,'Look-up'!$E:$H,4,FALSE)</f>
        <v>#N/A</v>
      </c>
    </row>
    <row r="53" spans="1:20" hidden="1">
      <c r="A53" t="s">
        <v>115</v>
      </c>
      <c r="B53" s="276">
        <f>'Members Data'!A97</f>
        <v>0</v>
      </c>
      <c r="C53" s="413"/>
      <c r="D53" s="277">
        <f>'Members Data'!D97</f>
        <v>0</v>
      </c>
      <c r="E53" s="413"/>
      <c r="F53" s="278">
        <f>'Members Data'!B97</f>
        <v>0</v>
      </c>
      <c r="G53" s="413"/>
      <c r="H53" s="267">
        <f>VDCC!C97</f>
        <v>0</v>
      </c>
      <c r="I53" s="413"/>
      <c r="J53" s="268">
        <f>VDCC!D97</f>
        <v>0</v>
      </c>
      <c r="K53" s="413"/>
      <c r="L53" s="268">
        <f t="shared" si="6"/>
        <v>0</v>
      </c>
      <c r="M53" s="413"/>
      <c r="N53" s="268">
        <f t="shared" si="7"/>
        <v>0</v>
      </c>
      <c r="O53" s="413"/>
      <c r="P53" s="269">
        <f t="shared" si="8"/>
        <v>0</v>
      </c>
      <c r="Q53" t="s">
        <v>119</v>
      </c>
      <c r="S53" t="e">
        <f>VLOOKUP($B53,'Look-up'!$E:$H,3,FALSE)</f>
        <v>#N/A</v>
      </c>
      <c r="T53" t="e">
        <f>VLOOKUP($B53,'Look-up'!$E:$H,4,FALSE)</f>
        <v>#N/A</v>
      </c>
    </row>
    <row r="54" spans="1:20" hidden="1">
      <c r="A54" t="s">
        <v>115</v>
      </c>
      <c r="B54" s="276">
        <f>'Members Data'!A99</f>
        <v>0</v>
      </c>
      <c r="C54" s="413"/>
      <c r="D54" s="277">
        <f>'Members Data'!D99</f>
        <v>0</v>
      </c>
      <c r="E54" s="413"/>
      <c r="F54" s="278">
        <f>'Members Data'!B99</f>
        <v>0</v>
      </c>
      <c r="G54" s="413"/>
      <c r="H54" s="267">
        <f>VDCC!C99</f>
        <v>0</v>
      </c>
      <c r="I54" s="413"/>
      <c r="J54" s="268">
        <f>VDCC!D99</f>
        <v>0</v>
      </c>
      <c r="K54" s="413"/>
      <c r="L54" s="268">
        <f t="shared" si="6"/>
        <v>0</v>
      </c>
      <c r="M54" s="413"/>
      <c r="N54" s="268">
        <f t="shared" si="7"/>
        <v>0</v>
      </c>
      <c r="O54" s="413"/>
      <c r="P54" s="269">
        <f t="shared" si="8"/>
        <v>0</v>
      </c>
      <c r="Q54" t="s">
        <v>119</v>
      </c>
      <c r="S54" t="e">
        <f>VLOOKUP($B54,'Look-up'!$E:$H,3,FALSE)</f>
        <v>#N/A</v>
      </c>
      <c r="T54" t="e">
        <f>VLOOKUP($B54,'Look-up'!$E:$H,4,FALSE)</f>
        <v>#N/A</v>
      </c>
    </row>
    <row r="55" spans="1:20" hidden="1">
      <c r="A55" t="s">
        <v>115</v>
      </c>
      <c r="B55" s="276">
        <f>'Members Data'!A100</f>
        <v>0</v>
      </c>
      <c r="C55" s="413"/>
      <c r="D55" s="277">
        <f>'Members Data'!D100</f>
        <v>0</v>
      </c>
      <c r="E55" s="413"/>
      <c r="F55" s="278">
        <f>'Members Data'!B100</f>
        <v>0</v>
      </c>
      <c r="G55" s="413"/>
      <c r="H55" s="267">
        <f>VDCC!C100</f>
        <v>0</v>
      </c>
      <c r="I55" s="413"/>
      <c r="J55" s="268">
        <f>VDCC!D100</f>
        <v>0</v>
      </c>
      <c r="K55" s="413"/>
      <c r="L55" s="268">
        <f t="shared" si="6"/>
        <v>0</v>
      </c>
      <c r="M55" s="413"/>
      <c r="N55" s="268">
        <f t="shared" si="7"/>
        <v>0</v>
      </c>
      <c r="O55" s="413"/>
      <c r="P55" s="269">
        <f t="shared" si="8"/>
        <v>0</v>
      </c>
      <c r="Q55" t="s">
        <v>119</v>
      </c>
      <c r="S55" t="e">
        <f>VLOOKUP($B55,'Look-up'!$E:$H,3,FALSE)</f>
        <v>#N/A</v>
      </c>
      <c r="T55" t="e">
        <f>VLOOKUP($B55,'Look-up'!$E:$H,4,FALSE)</f>
        <v>#N/A</v>
      </c>
    </row>
    <row r="56" spans="1:20" hidden="1">
      <c r="A56" t="s">
        <v>115</v>
      </c>
      <c r="B56" s="276">
        <f>'Members Data'!A101</f>
        <v>0</v>
      </c>
      <c r="C56" s="413"/>
      <c r="D56" s="277">
        <f>'Members Data'!D101</f>
        <v>0</v>
      </c>
      <c r="E56" s="413"/>
      <c r="F56" s="278">
        <f>'Members Data'!B101</f>
        <v>0</v>
      </c>
      <c r="G56" s="413"/>
      <c r="H56" s="267">
        <f>VDCC!C101</f>
        <v>0</v>
      </c>
      <c r="I56" s="413"/>
      <c r="J56" s="268">
        <f>VDCC!D101</f>
        <v>0</v>
      </c>
      <c r="K56" s="413"/>
      <c r="L56" s="268">
        <f t="shared" si="6"/>
        <v>0</v>
      </c>
      <c r="M56" s="413"/>
      <c r="N56" s="268">
        <f t="shared" si="7"/>
        <v>0</v>
      </c>
      <c r="O56" s="413"/>
      <c r="P56" s="269">
        <f t="shared" si="8"/>
        <v>0</v>
      </c>
      <c r="Q56" t="s">
        <v>119</v>
      </c>
      <c r="S56" t="e">
        <f>VLOOKUP($B56,'Look-up'!$E:$H,3,FALSE)</f>
        <v>#N/A</v>
      </c>
      <c r="T56" t="e">
        <f>VLOOKUP($B56,'Look-up'!$E:$H,4,FALSE)</f>
        <v>#N/A</v>
      </c>
    </row>
    <row r="57" spans="1:20">
      <c r="A57" t="s">
        <v>115</v>
      </c>
      <c r="B57" s="276" t="str">
        <f>'Members Data'!A14</f>
        <v>Brownale</v>
      </c>
      <c r="C57" s="298" t="s">
        <v>117</v>
      </c>
      <c r="D57" s="277" t="str">
        <f>'Members Data'!D14</f>
        <v>Tank</v>
      </c>
      <c r="E57" s="298" t="s">
        <v>117</v>
      </c>
      <c r="F57" s="278" t="str">
        <f>'Members Data'!B14</f>
        <v>Venturer</v>
      </c>
      <c r="G57" s="298" t="s">
        <v>117</v>
      </c>
      <c r="H57" s="267">
        <f>VDCC!C14</f>
        <v>2</v>
      </c>
      <c r="I57" s="298" t="s">
        <v>117</v>
      </c>
      <c r="J57" s="268">
        <f>VDCC!D14</f>
        <v>0</v>
      </c>
      <c r="K57" s="298" t="s">
        <v>117</v>
      </c>
      <c r="L57" s="268">
        <f t="shared" si="6"/>
        <v>0</v>
      </c>
      <c r="M57" s="298" t="s">
        <v>117</v>
      </c>
      <c r="N57" s="268">
        <f t="shared" si="7"/>
        <v>0</v>
      </c>
      <c r="O57" s="298" t="s">
        <v>117</v>
      </c>
      <c r="P57" s="269">
        <f t="shared" si="8"/>
        <v>-4</v>
      </c>
      <c r="Q57" t="s">
        <v>119</v>
      </c>
      <c r="S57" t="e">
        <f>VLOOKUP($B57,'Look-up'!$E:$H,3,FALSE)</f>
        <v>#N/A</v>
      </c>
      <c r="T57" t="e">
        <f>VLOOKUP($B57,'Look-up'!$E:$H,4,FALSE)</f>
        <v>#N/A</v>
      </c>
    </row>
    <row r="58" spans="1:20">
      <c r="A58" t="s">
        <v>115</v>
      </c>
      <c r="B58" s="276" t="str">
        <f>'Members Data'!A18</f>
        <v>Dracoar</v>
      </c>
      <c r="C58" s="298" t="s">
        <v>117</v>
      </c>
      <c r="D58" s="277" t="str">
        <f>'Members Data'!D18</f>
        <v>MDPS</v>
      </c>
      <c r="E58" s="298" t="s">
        <v>117</v>
      </c>
      <c r="F58" s="278" t="str">
        <f>'Members Data'!B18</f>
        <v>Traveler</v>
      </c>
      <c r="G58" s="298" t="s">
        <v>117</v>
      </c>
      <c r="H58" s="267">
        <f>VDCC!C18</f>
        <v>0</v>
      </c>
      <c r="I58" s="298" t="s">
        <v>117</v>
      </c>
      <c r="J58" s="268">
        <f>VDCC!D18</f>
        <v>0</v>
      </c>
      <c r="K58" s="298" t="s">
        <v>117</v>
      </c>
      <c r="L58" s="268">
        <f t="shared" si="6"/>
        <v>0</v>
      </c>
      <c r="M58" s="298" t="s">
        <v>117</v>
      </c>
      <c r="N58" s="268">
        <f t="shared" si="7"/>
        <v>0</v>
      </c>
      <c r="O58" s="298" t="s">
        <v>117</v>
      </c>
      <c r="P58" s="269">
        <f t="shared" si="8"/>
        <v>0</v>
      </c>
      <c r="Q58" t="s">
        <v>119</v>
      </c>
      <c r="S58" t="e">
        <f>VLOOKUP($B58,'Look-up'!$E:$H,3,FALSE)</f>
        <v>#N/A</v>
      </c>
      <c r="T58" t="e">
        <f>VLOOKUP($B58,'Look-up'!$E:$H,4,FALSE)</f>
        <v>#N/A</v>
      </c>
    </row>
    <row r="59" spans="1:20">
      <c r="A59" t="s">
        <v>115</v>
      </c>
      <c r="B59" s="276" t="str">
        <f>'Members Data'!A20</f>
        <v>Drugged</v>
      </c>
      <c r="C59" s="298" t="s">
        <v>117</v>
      </c>
      <c r="D59" s="277" t="str">
        <f>'Members Data'!D20</f>
        <v>RDPS</v>
      </c>
      <c r="E59" s="298" t="s">
        <v>117</v>
      </c>
      <c r="F59" s="278" t="str">
        <f>'Members Data'!B20</f>
        <v>Venturer</v>
      </c>
      <c r="G59" s="298" t="s">
        <v>117</v>
      </c>
      <c r="H59" s="267">
        <f>VDCC!C20</f>
        <v>2</v>
      </c>
      <c r="I59" s="298" t="s">
        <v>117</v>
      </c>
      <c r="J59" s="268">
        <f>VDCC!D20</f>
        <v>0</v>
      </c>
      <c r="K59" s="298" t="s">
        <v>117</v>
      </c>
      <c r="L59" s="268">
        <f t="shared" si="6"/>
        <v>0</v>
      </c>
      <c r="M59" s="298" t="s">
        <v>117</v>
      </c>
      <c r="N59" s="268">
        <f t="shared" si="7"/>
        <v>0</v>
      </c>
      <c r="O59" s="298" t="s">
        <v>117</v>
      </c>
      <c r="P59" s="269">
        <f t="shared" si="8"/>
        <v>-4</v>
      </c>
      <c r="Q59" t="s">
        <v>119</v>
      </c>
      <c r="S59" t="e">
        <f>VLOOKUP($B59,'Look-up'!$E:$H,3,FALSE)</f>
        <v>#N/A</v>
      </c>
      <c r="T59" t="e">
        <f>VLOOKUP($B59,'Look-up'!$E:$H,4,FALSE)</f>
        <v>#N/A</v>
      </c>
    </row>
    <row r="60" spans="1:20">
      <c r="A60" t="s">
        <v>115</v>
      </c>
      <c r="B60" s="276" t="str">
        <f>'Members Data'!A26</f>
        <v>Hormones</v>
      </c>
      <c r="C60" s="298" t="s">
        <v>117</v>
      </c>
      <c r="D60" s="277" t="str">
        <f>'Members Data'!D26</f>
        <v>MDPS</v>
      </c>
      <c r="E60" s="298" t="s">
        <v>117</v>
      </c>
      <c r="F60" s="278" t="str">
        <f>'Members Data'!B26</f>
        <v>Errant</v>
      </c>
      <c r="G60" s="298" t="s">
        <v>117</v>
      </c>
      <c r="H60" s="267">
        <f>VDCC!C26</f>
        <v>0</v>
      </c>
      <c r="I60" s="298" t="s">
        <v>117</v>
      </c>
      <c r="J60" s="268">
        <f>VDCC!D26</f>
        <v>0</v>
      </c>
      <c r="K60" s="298" t="s">
        <v>117</v>
      </c>
      <c r="L60" s="268">
        <f t="shared" si="6"/>
        <v>0</v>
      </c>
      <c r="M60" s="298" t="s">
        <v>117</v>
      </c>
      <c r="N60" s="268">
        <f t="shared" si="7"/>
        <v>0</v>
      </c>
      <c r="O60" s="298" t="s">
        <v>117</v>
      </c>
      <c r="P60" s="269">
        <f t="shared" si="8"/>
        <v>0</v>
      </c>
      <c r="Q60" t="s">
        <v>119</v>
      </c>
      <c r="S60" t="e">
        <f>VLOOKUP($B60,'Look-up'!$E:$H,3,FALSE)</f>
        <v>#N/A</v>
      </c>
      <c r="T60" t="e">
        <f>VLOOKUP($B60,'Look-up'!$E:$H,4,FALSE)</f>
        <v>#N/A</v>
      </c>
    </row>
    <row r="61" spans="1:20">
      <c r="A61" t="s">
        <v>115</v>
      </c>
      <c r="B61" s="276" t="str">
        <f>'Members Data'!A31</f>
        <v>Judge</v>
      </c>
      <c r="C61" s="298" t="s">
        <v>117</v>
      </c>
      <c r="D61" s="277" t="str">
        <f>'Members Data'!D31</f>
        <v>MDPS</v>
      </c>
      <c r="E61" s="298" t="s">
        <v>117</v>
      </c>
      <c r="F61" s="278" t="str">
        <f>'Members Data'!B31</f>
        <v>Venturer</v>
      </c>
      <c r="G61" s="298" t="s">
        <v>117</v>
      </c>
      <c r="H61" s="267">
        <f>VDCC!C31</f>
        <v>2</v>
      </c>
      <c r="I61" s="298" t="s">
        <v>117</v>
      </c>
      <c r="J61" s="268">
        <f>VDCC!D31</f>
        <v>0</v>
      </c>
      <c r="K61" s="298" t="s">
        <v>117</v>
      </c>
      <c r="L61" s="268">
        <f t="shared" si="6"/>
        <v>0</v>
      </c>
      <c r="M61" s="298" t="s">
        <v>117</v>
      </c>
      <c r="N61" s="268">
        <f t="shared" si="7"/>
        <v>0</v>
      </c>
      <c r="O61" s="298" t="s">
        <v>117</v>
      </c>
      <c r="P61" s="269">
        <f t="shared" si="8"/>
        <v>-4</v>
      </c>
      <c r="Q61" t="s">
        <v>119</v>
      </c>
      <c r="S61" t="e">
        <f>VLOOKUP($B61,'Look-up'!$E:$H,3,FALSE)</f>
        <v>#N/A</v>
      </c>
      <c r="T61" t="e">
        <f>VLOOKUP($B61,'Look-up'!$E:$H,4,FALSE)</f>
        <v>#N/A</v>
      </c>
    </row>
    <row r="62" spans="1:20">
      <c r="A62" t="s">
        <v>115</v>
      </c>
      <c r="B62" s="276" t="str">
        <f>'Members Data'!A46</f>
        <v>Niiwa</v>
      </c>
      <c r="C62" s="298" t="s">
        <v>117</v>
      </c>
      <c r="D62" s="277" t="str">
        <f>'Members Data'!D46</f>
        <v>RDPS</v>
      </c>
      <c r="E62" s="298" t="s">
        <v>117</v>
      </c>
      <c r="F62" s="278" t="str">
        <f>'Members Data'!B46</f>
        <v>Venturer</v>
      </c>
      <c r="G62" s="298" t="s">
        <v>117</v>
      </c>
      <c r="H62" s="267">
        <f>VDCC!C46</f>
        <v>2</v>
      </c>
      <c r="I62" s="298" t="s">
        <v>117</v>
      </c>
      <c r="J62" s="268">
        <f>VDCC!D46</f>
        <v>0</v>
      </c>
      <c r="K62" s="298" t="s">
        <v>117</v>
      </c>
      <c r="L62" s="268">
        <f t="shared" si="6"/>
        <v>0</v>
      </c>
      <c r="M62" s="298" t="s">
        <v>117</v>
      </c>
      <c r="N62" s="268">
        <f t="shared" si="7"/>
        <v>0</v>
      </c>
      <c r="O62" s="298" t="s">
        <v>117</v>
      </c>
      <c r="P62" s="269">
        <f t="shared" si="8"/>
        <v>-4</v>
      </c>
      <c r="Q62" t="s">
        <v>119</v>
      </c>
      <c r="S62" t="e">
        <f>VLOOKUP($B62,'Look-up'!$E:$H,3,FALSE)</f>
        <v>#N/A</v>
      </c>
      <c r="T62" t="e">
        <f>VLOOKUP($B62,'Look-up'!$E:$H,4,FALSE)</f>
        <v>#N/A</v>
      </c>
    </row>
    <row r="63" spans="1:20">
      <c r="A63" t="s">
        <v>115</v>
      </c>
      <c r="B63" s="276" t="str">
        <f>'Members Data'!A47</f>
        <v>Octavìus</v>
      </c>
      <c r="C63" s="298" t="s">
        <v>117</v>
      </c>
      <c r="D63" s="277" t="str">
        <f>'Members Data'!D47</f>
        <v>MDPS</v>
      </c>
      <c r="E63" s="298" t="s">
        <v>117</v>
      </c>
      <c r="F63" s="278" t="str">
        <f>'Members Data'!B47</f>
        <v>Venturer</v>
      </c>
      <c r="G63" s="298" t="s">
        <v>117</v>
      </c>
      <c r="H63" s="267">
        <f>VDCC!C47</f>
        <v>2</v>
      </c>
      <c r="I63" s="298" t="s">
        <v>117</v>
      </c>
      <c r="J63" s="268">
        <f>VDCC!D47</f>
        <v>0</v>
      </c>
      <c r="K63" s="298" t="s">
        <v>117</v>
      </c>
      <c r="L63" s="268">
        <f t="shared" si="6"/>
        <v>0</v>
      </c>
      <c r="M63" s="298" t="s">
        <v>117</v>
      </c>
      <c r="N63" s="268">
        <f t="shared" si="7"/>
        <v>0</v>
      </c>
      <c r="O63" s="298" t="s">
        <v>117</v>
      </c>
      <c r="P63" s="269">
        <f t="shared" si="8"/>
        <v>-4</v>
      </c>
      <c r="Q63" t="s">
        <v>119</v>
      </c>
      <c r="S63" t="e">
        <f>VLOOKUP($B63,'Look-up'!$E:$H,3,FALSE)</f>
        <v>#N/A</v>
      </c>
      <c r="T63" t="e">
        <f>VLOOKUP($B63,'Look-up'!$E:$H,4,FALSE)</f>
        <v>#N/A</v>
      </c>
    </row>
    <row r="64" spans="1:20" ht="15">
      <c r="A64" s="241" t="s">
        <v>121</v>
      </c>
      <c r="B64" s="276" t="str">
        <f>'Members Data'!A23</f>
        <v>Halfthings</v>
      </c>
      <c r="C64" s="412" t="s">
        <v>117</v>
      </c>
      <c r="D64" s="277" t="str">
        <f>'Members Data'!D23</f>
        <v>Healer</v>
      </c>
      <c r="E64" s="414" t="s">
        <v>117</v>
      </c>
      <c r="F64" s="278" t="str">
        <f>'Members Data'!B23</f>
        <v>Venturer</v>
      </c>
      <c r="G64" s="414" t="s">
        <v>117</v>
      </c>
      <c r="H64" s="267">
        <f>VDCC!C23</f>
        <v>0</v>
      </c>
      <c r="I64" s="414" t="s">
        <v>117</v>
      </c>
      <c r="J64" s="268">
        <f>VDCC!D23</f>
        <v>0</v>
      </c>
      <c r="K64" s="414" t="s">
        <v>117</v>
      </c>
      <c r="L64" s="268">
        <f t="shared" si="6"/>
        <v>0</v>
      </c>
      <c r="M64" s="414" t="s">
        <v>117</v>
      </c>
      <c r="N64" s="268">
        <f t="shared" si="7"/>
        <v>0</v>
      </c>
      <c r="O64" s="414" t="s">
        <v>117</v>
      </c>
      <c r="P64" s="269">
        <f t="shared" si="8"/>
        <v>0</v>
      </c>
      <c r="S64" t="e">
        <f>VLOOKUP($B64,'Look-up'!$E:$H,3,FALSE)</f>
        <v>#N/A</v>
      </c>
      <c r="T64" t="e">
        <f>VLOOKUP($B64,'Look-up'!$E:$H,4,FALSE)</f>
        <v>#N/A</v>
      </c>
    </row>
    <row r="65" spans="2:20">
      <c r="B65" s="276" t="str">
        <f>'Members Data'!A21</f>
        <v>Eárendíl</v>
      </c>
      <c r="C65" s="412" t="s">
        <v>117</v>
      </c>
      <c r="D65" s="277" t="str">
        <f>'Members Data'!D21</f>
        <v>MDPS</v>
      </c>
      <c r="E65" s="414" t="s">
        <v>117</v>
      </c>
      <c r="F65" s="278" t="str">
        <f>'Members Data'!B21</f>
        <v>Venturer</v>
      </c>
      <c r="G65" s="414" t="s">
        <v>117</v>
      </c>
      <c r="H65" s="267">
        <f>VDCC!C21</f>
        <v>2</v>
      </c>
      <c r="I65" s="414" t="s">
        <v>117</v>
      </c>
      <c r="J65" s="268">
        <f>VDCC!D21</f>
        <v>0</v>
      </c>
      <c r="K65" s="414" t="s">
        <v>117</v>
      </c>
      <c r="L65" s="268">
        <f t="shared" si="6"/>
        <v>0</v>
      </c>
      <c r="M65" s="414" t="s">
        <v>117</v>
      </c>
      <c r="N65" s="268">
        <f t="shared" si="7"/>
        <v>0</v>
      </c>
      <c r="O65" s="414" t="s">
        <v>117</v>
      </c>
      <c r="P65" s="269">
        <f t="shared" si="8"/>
        <v>-4</v>
      </c>
      <c r="S65" t="e">
        <f>VLOOKUP($B65,'Look-up'!$E:$H,3,FALSE)</f>
        <v>#N/A</v>
      </c>
      <c r="T65" t="e">
        <f>VLOOKUP($B65,'Look-up'!$E:$H,4,FALSE)</f>
        <v>#N/A</v>
      </c>
    </row>
    <row r="66" spans="2:20">
      <c r="B66" s="276" t="str">
        <f>'Members Data'!A33</f>
        <v>Kanoni</v>
      </c>
      <c r="C66" s="412" t="s">
        <v>117</v>
      </c>
      <c r="D66" s="277" t="str">
        <f>'Members Data'!D33</f>
        <v>RDPS</v>
      </c>
      <c r="E66" s="414" t="s">
        <v>117</v>
      </c>
      <c r="F66" s="278" t="str">
        <f>'Members Data'!B33</f>
        <v>Venturer</v>
      </c>
      <c r="G66" s="414" t="s">
        <v>117</v>
      </c>
      <c r="H66" s="267">
        <f>VDCC!C33</f>
        <v>2</v>
      </c>
      <c r="I66" s="414" t="s">
        <v>117</v>
      </c>
      <c r="J66" s="268">
        <f>VDCC!D33</f>
        <v>0</v>
      </c>
      <c r="K66" s="414" t="s">
        <v>117</v>
      </c>
      <c r="L66" s="268">
        <f t="shared" si="6"/>
        <v>0</v>
      </c>
      <c r="M66" s="414" t="s">
        <v>117</v>
      </c>
      <c r="N66" s="268">
        <f t="shared" si="7"/>
        <v>0</v>
      </c>
      <c r="O66" s="414" t="s">
        <v>117</v>
      </c>
      <c r="P66" s="269">
        <f t="shared" si="8"/>
        <v>-4</v>
      </c>
      <c r="S66" t="e">
        <f>VLOOKUP($B66,'Look-up'!$E:$H,3,FALSE)</f>
        <v>#N/A</v>
      </c>
      <c r="T66" t="e">
        <f>VLOOKUP($B66,'Look-up'!$E:$H,4,FALSE)</f>
        <v>#N/A</v>
      </c>
    </row>
    <row r="67" spans="2:20">
      <c r="B67" s="276">
        <f>'Members Data'!A37</f>
        <v>0</v>
      </c>
      <c r="C67" s="412" t="s">
        <v>117</v>
      </c>
      <c r="D67" s="277">
        <f>'Members Data'!D37</f>
        <v>0</v>
      </c>
      <c r="E67" s="414" t="s">
        <v>117</v>
      </c>
      <c r="F67" s="278">
        <f>'Members Data'!B37</f>
        <v>0</v>
      </c>
      <c r="G67" s="414" t="s">
        <v>117</v>
      </c>
      <c r="H67" s="267">
        <f>VDCC!C37</f>
        <v>0</v>
      </c>
      <c r="I67" s="414" t="s">
        <v>117</v>
      </c>
      <c r="J67" s="268">
        <f>VDCC!D37</f>
        <v>0</v>
      </c>
      <c r="K67" s="414" t="s">
        <v>117</v>
      </c>
      <c r="L67" s="268">
        <f t="shared" si="6"/>
        <v>0</v>
      </c>
      <c r="M67" s="414" t="s">
        <v>117</v>
      </c>
      <c r="N67" s="268">
        <f t="shared" si="7"/>
        <v>0</v>
      </c>
      <c r="O67" s="414" t="s">
        <v>117</v>
      </c>
      <c r="P67" s="269">
        <f t="shared" si="8"/>
        <v>0</v>
      </c>
      <c r="S67" t="e">
        <f>VLOOKUP($B67,'Look-up'!$E:$H,3,FALSE)</f>
        <v>#N/A</v>
      </c>
      <c r="T67" t="e">
        <f>VLOOKUP($B67,'Look-up'!$E:$H,4,FALSE)</f>
        <v>#N/A</v>
      </c>
    </row>
    <row r="68" spans="2:20">
      <c r="B68" s="276" t="str">
        <f>'Members Data'!A42</f>
        <v>Morenna</v>
      </c>
      <c r="C68" s="412" t="s">
        <v>117</v>
      </c>
      <c r="D68" s="277" t="str">
        <f>'Members Data'!D42</f>
        <v>RDPS</v>
      </c>
      <c r="E68" s="414" t="s">
        <v>117</v>
      </c>
      <c r="F68" s="278" t="str">
        <f>'Members Data'!B42</f>
        <v>Venturer</v>
      </c>
      <c r="G68" s="414" t="s">
        <v>117</v>
      </c>
      <c r="H68" s="267">
        <f>VDCC!C42</f>
        <v>0</v>
      </c>
      <c r="I68" s="414" t="s">
        <v>117</v>
      </c>
      <c r="J68" s="268">
        <f>VDCC!D42</f>
        <v>0</v>
      </c>
      <c r="K68" s="414" t="s">
        <v>117</v>
      </c>
      <c r="L68" s="268">
        <f t="shared" si="6"/>
        <v>0</v>
      </c>
      <c r="M68" s="414" t="s">
        <v>117</v>
      </c>
      <c r="N68" s="268">
        <f t="shared" si="7"/>
        <v>0</v>
      </c>
      <c r="O68" s="414" t="s">
        <v>117</v>
      </c>
      <c r="P68" s="269">
        <f t="shared" si="8"/>
        <v>0</v>
      </c>
      <c r="S68" t="e">
        <f>VLOOKUP($B68,'Look-up'!$E:$H,3,FALSE)</f>
        <v>#N/A</v>
      </c>
      <c r="T68" t="e">
        <f>VLOOKUP($B68,'Look-up'!$E:$H,4,FALSE)</f>
        <v>#N/A</v>
      </c>
    </row>
    <row r="69" spans="2:20">
      <c r="B69" s="276" t="str">
        <f>'Members Data'!A50</f>
        <v>Páula</v>
      </c>
      <c r="C69" s="412" t="s">
        <v>117</v>
      </c>
      <c r="D69" s="277" t="str">
        <f>'Members Data'!D50</f>
        <v>RDPS</v>
      </c>
      <c r="E69" s="414" t="s">
        <v>117</v>
      </c>
      <c r="F69" s="278" t="str">
        <f>'Members Data'!B50</f>
        <v>Venturer</v>
      </c>
      <c r="G69" s="414" t="s">
        <v>117</v>
      </c>
      <c r="H69" s="267">
        <f>VDCC!C50</f>
        <v>2</v>
      </c>
      <c r="I69" s="414" t="s">
        <v>117</v>
      </c>
      <c r="J69" s="268">
        <f>VDCC!D50</f>
        <v>0</v>
      </c>
      <c r="K69" s="414" t="s">
        <v>117</v>
      </c>
      <c r="L69" s="268">
        <f t="shared" si="6"/>
        <v>0</v>
      </c>
      <c r="M69" s="414" t="s">
        <v>117</v>
      </c>
      <c r="N69" s="268">
        <f t="shared" si="7"/>
        <v>0</v>
      </c>
      <c r="O69" s="414" t="s">
        <v>117</v>
      </c>
      <c r="P69" s="269">
        <f t="shared" si="8"/>
        <v>-4</v>
      </c>
      <c r="S69" t="e">
        <f>VLOOKUP($B69,'Look-up'!$E:$H,3,FALSE)</f>
        <v>#N/A</v>
      </c>
      <c r="T69" t="e">
        <f>VLOOKUP($B69,'Look-up'!$E:$H,4,FALSE)</f>
        <v>#N/A</v>
      </c>
    </row>
    <row r="70" spans="2:20">
      <c r="B70" s="276" t="str">
        <f>'Members Data'!A17</f>
        <v>Dottiee</v>
      </c>
      <c r="C70" s="412" t="s">
        <v>117</v>
      </c>
      <c r="D70" s="277" t="str">
        <f>'Members Data'!D17</f>
        <v>Healer</v>
      </c>
      <c r="E70" s="414" t="s">
        <v>117</v>
      </c>
      <c r="F70" s="278" t="str">
        <f>'Members Data'!B17</f>
        <v>Venturer</v>
      </c>
      <c r="G70" s="414" t="s">
        <v>117</v>
      </c>
      <c r="H70" s="267">
        <f>VDCC!C17</f>
        <v>2</v>
      </c>
      <c r="I70" s="414" t="s">
        <v>117</v>
      </c>
      <c r="J70" s="268">
        <f>VDCC!D17</f>
        <v>0</v>
      </c>
      <c r="K70" s="414" t="s">
        <v>117</v>
      </c>
      <c r="L70" s="268">
        <f t="shared" ref="L70:L103" si="9">IF(ISNA(S70),0,S70)</f>
        <v>0</v>
      </c>
      <c r="M70" s="414" t="s">
        <v>117</v>
      </c>
      <c r="N70" s="268">
        <f t="shared" ref="N70:N103" si="10">IF(ISNA(T70),0,T70)</f>
        <v>0</v>
      </c>
      <c r="O70" s="414" t="s">
        <v>117</v>
      </c>
      <c r="P70" s="269">
        <f t="shared" ref="P70:P103" si="11">(H70*-2)+(J70*2)+(L70*-1)+(N70)</f>
        <v>-4</v>
      </c>
      <c r="S70" t="e">
        <f>VLOOKUP($B70,'Look-up'!$E:$H,3,FALSE)</f>
        <v>#N/A</v>
      </c>
      <c r="T70" t="e">
        <f>VLOOKUP($B70,'Look-up'!$E:$H,4,FALSE)</f>
        <v>#N/A</v>
      </c>
    </row>
    <row r="71" spans="2:20">
      <c r="B71" s="276" t="str">
        <f>'Members Data'!A27</f>
        <v>Hyperïon</v>
      </c>
      <c r="C71" s="412" t="s">
        <v>117</v>
      </c>
      <c r="D71" s="277" t="str">
        <f>'Members Data'!D27</f>
        <v>MDPS</v>
      </c>
      <c r="E71" s="414" t="s">
        <v>117</v>
      </c>
      <c r="F71" s="278" t="str">
        <f>'Members Data'!B27</f>
        <v>Venturer</v>
      </c>
      <c r="G71" s="414" t="s">
        <v>117</v>
      </c>
      <c r="H71" s="267">
        <f>VDCC!C27</f>
        <v>0</v>
      </c>
      <c r="I71" s="414" t="s">
        <v>117</v>
      </c>
      <c r="J71" s="268">
        <f>VDCC!D27</f>
        <v>0</v>
      </c>
      <c r="K71" s="414" t="s">
        <v>117</v>
      </c>
      <c r="L71" s="268">
        <f t="shared" si="9"/>
        <v>0</v>
      </c>
      <c r="M71" s="414" t="s">
        <v>117</v>
      </c>
      <c r="N71" s="268">
        <f t="shared" si="10"/>
        <v>0</v>
      </c>
      <c r="O71" s="414" t="s">
        <v>117</v>
      </c>
      <c r="P71" s="269">
        <f t="shared" si="11"/>
        <v>0</v>
      </c>
      <c r="S71" t="e">
        <f>VLOOKUP($B71,'Look-up'!$E:$H,3,FALSE)</f>
        <v>#N/A</v>
      </c>
      <c r="T71" t="e">
        <f>VLOOKUP($B71,'Look-up'!$E:$H,4,FALSE)</f>
        <v>#N/A</v>
      </c>
    </row>
    <row r="72" spans="2:20">
      <c r="B72" s="276" t="str">
        <f>'Members Data'!A28</f>
        <v>Hyunâ</v>
      </c>
      <c r="C72" s="412" t="s">
        <v>117</v>
      </c>
      <c r="D72" s="277" t="str">
        <f>'Members Data'!D28</f>
        <v>RDPS</v>
      </c>
      <c r="E72" s="414" t="s">
        <v>117</v>
      </c>
      <c r="F72" s="278" t="str">
        <f>'Members Data'!B28</f>
        <v>Errant</v>
      </c>
      <c r="G72" s="414" t="s">
        <v>117</v>
      </c>
      <c r="H72" s="267">
        <f>VDCC!C28</f>
        <v>0</v>
      </c>
      <c r="I72" s="414" t="s">
        <v>117</v>
      </c>
      <c r="J72" s="268">
        <f>VDCC!D28</f>
        <v>0</v>
      </c>
      <c r="K72" s="414" t="s">
        <v>117</v>
      </c>
      <c r="L72" s="268">
        <f t="shared" si="9"/>
        <v>0</v>
      </c>
      <c r="M72" s="414" t="s">
        <v>117</v>
      </c>
      <c r="N72" s="268">
        <f t="shared" si="10"/>
        <v>0</v>
      </c>
      <c r="O72" s="414" t="s">
        <v>117</v>
      </c>
      <c r="P72" s="269">
        <f t="shared" si="11"/>
        <v>0</v>
      </c>
      <c r="S72" t="e">
        <f>VLOOKUP($B72,'Look-up'!$E:$H,3,FALSE)</f>
        <v>#N/A</v>
      </c>
      <c r="T72" t="e">
        <f>VLOOKUP($B72,'Look-up'!$E:$H,4,FALSE)</f>
        <v>#N/A</v>
      </c>
    </row>
    <row r="73" spans="2:20">
      <c r="B73" s="276">
        <f>'Members Data'!A15</f>
        <v>0</v>
      </c>
      <c r="C73" s="412" t="s">
        <v>117</v>
      </c>
      <c r="D73" s="277">
        <f>'Members Data'!D15</f>
        <v>0</v>
      </c>
      <c r="E73" s="414" t="s">
        <v>117</v>
      </c>
      <c r="F73" s="278">
        <f>'Members Data'!B15</f>
        <v>0</v>
      </c>
      <c r="G73" s="414" t="s">
        <v>117</v>
      </c>
      <c r="H73" s="267">
        <f>VDCC!C15</f>
        <v>0</v>
      </c>
      <c r="I73" s="414" t="s">
        <v>117</v>
      </c>
      <c r="J73" s="268">
        <f>VDCC!D15</f>
        <v>0</v>
      </c>
      <c r="K73" s="414" t="s">
        <v>117</v>
      </c>
      <c r="L73" s="268">
        <f t="shared" si="9"/>
        <v>0</v>
      </c>
      <c r="M73" s="414" t="s">
        <v>117</v>
      </c>
      <c r="N73" s="268">
        <f t="shared" si="10"/>
        <v>0</v>
      </c>
      <c r="O73" s="414" t="s">
        <v>117</v>
      </c>
      <c r="P73" s="269">
        <f t="shared" si="11"/>
        <v>0</v>
      </c>
      <c r="S73" t="e">
        <f>VLOOKUP($B73,'Look-up'!$E:$H,3,FALSE)</f>
        <v>#N/A</v>
      </c>
      <c r="T73" t="e">
        <f>VLOOKUP($B73,'Look-up'!$E:$H,4,FALSE)</f>
        <v>#N/A</v>
      </c>
    </row>
    <row r="74" spans="2:20">
      <c r="B74" s="276">
        <f>'Members Data'!A41</f>
        <v>0</v>
      </c>
      <c r="C74" s="412" t="s">
        <v>117</v>
      </c>
      <c r="D74" s="277">
        <f>'Members Data'!D41</f>
        <v>0</v>
      </c>
      <c r="E74" s="414" t="s">
        <v>117</v>
      </c>
      <c r="F74" s="278">
        <f>'Members Data'!B41</f>
        <v>0</v>
      </c>
      <c r="G74" s="414" t="s">
        <v>117</v>
      </c>
      <c r="H74" s="267">
        <f>VDCC!C41</f>
        <v>0</v>
      </c>
      <c r="I74" s="414" t="s">
        <v>117</v>
      </c>
      <c r="J74" s="268">
        <f>VDCC!D41</f>
        <v>0</v>
      </c>
      <c r="K74" s="414" t="s">
        <v>117</v>
      </c>
      <c r="L74" s="268">
        <f t="shared" si="9"/>
        <v>0</v>
      </c>
      <c r="M74" s="414" t="s">
        <v>117</v>
      </c>
      <c r="N74" s="268">
        <f t="shared" si="10"/>
        <v>0</v>
      </c>
      <c r="O74" s="414" t="s">
        <v>117</v>
      </c>
      <c r="P74" s="269">
        <f t="shared" si="11"/>
        <v>0</v>
      </c>
      <c r="S74" t="e">
        <f>VLOOKUP($B74,'Look-up'!$E:$H,3,FALSE)</f>
        <v>#N/A</v>
      </c>
      <c r="T74" t="e">
        <f>VLOOKUP($B74,'Look-up'!$E:$H,4,FALSE)</f>
        <v>#N/A</v>
      </c>
    </row>
    <row r="75" spans="2:20">
      <c r="B75" s="276" t="str">
        <f>'Members Data'!A16</f>
        <v>Masher</v>
      </c>
      <c r="C75" s="412" t="s">
        <v>117</v>
      </c>
      <c r="D75" s="277" t="str">
        <f>'Members Data'!D16</f>
        <v>MDPS</v>
      </c>
      <c r="E75" s="414" t="s">
        <v>117</v>
      </c>
      <c r="F75" s="278" t="str">
        <f>'Members Data'!B16</f>
        <v>Traveler</v>
      </c>
      <c r="G75" s="414" t="s">
        <v>117</v>
      </c>
      <c r="H75" s="267">
        <f>VDCC!C16</f>
        <v>0</v>
      </c>
      <c r="I75" s="414" t="s">
        <v>117</v>
      </c>
      <c r="J75" s="268">
        <f>VDCC!D16</f>
        <v>0</v>
      </c>
      <c r="K75" s="414" t="s">
        <v>117</v>
      </c>
      <c r="L75" s="268">
        <f t="shared" si="9"/>
        <v>0</v>
      </c>
      <c r="M75" s="414" t="s">
        <v>117</v>
      </c>
      <c r="N75" s="268">
        <f t="shared" si="10"/>
        <v>0</v>
      </c>
      <c r="O75" s="414" t="s">
        <v>117</v>
      </c>
      <c r="P75" s="269">
        <f t="shared" si="11"/>
        <v>0</v>
      </c>
      <c r="S75" t="e">
        <f>VLOOKUP($B75,'Look-up'!$E:$H,3,FALSE)</f>
        <v>#N/A</v>
      </c>
      <c r="T75" t="e">
        <f>VLOOKUP($B75,'Look-up'!$E:$H,4,FALSE)</f>
        <v>#N/A</v>
      </c>
    </row>
    <row r="76" spans="2:20">
      <c r="B76" s="276" t="str">
        <f>'Members Data'!A5</f>
        <v>Altrezza</v>
      </c>
      <c r="C76" s="412" t="s">
        <v>117</v>
      </c>
      <c r="D76" s="277" t="str">
        <f>'Members Data'!D5</f>
        <v>RDPS</v>
      </c>
      <c r="E76" s="414" t="s">
        <v>117</v>
      </c>
      <c r="F76" s="278" t="str">
        <f>'Members Data'!B5</f>
        <v>Venturer</v>
      </c>
      <c r="G76" s="414" t="s">
        <v>117</v>
      </c>
      <c r="H76" s="267">
        <f>VDCC!C5</f>
        <v>1</v>
      </c>
      <c r="I76" s="414" t="s">
        <v>117</v>
      </c>
      <c r="J76" s="268">
        <f>VDCC!D5</f>
        <v>0</v>
      </c>
      <c r="K76" s="414" t="s">
        <v>117</v>
      </c>
      <c r="L76" s="268">
        <f t="shared" si="9"/>
        <v>0</v>
      </c>
      <c r="M76" s="414" t="s">
        <v>117</v>
      </c>
      <c r="N76" s="268">
        <f t="shared" si="10"/>
        <v>0</v>
      </c>
      <c r="O76" s="414" t="s">
        <v>117</v>
      </c>
      <c r="P76" s="269">
        <f t="shared" si="11"/>
        <v>-2</v>
      </c>
      <c r="S76" t="e">
        <f>VLOOKUP($B76,'Look-up'!$E:$H,3,FALSE)</f>
        <v>#N/A</v>
      </c>
      <c r="T76" t="e">
        <f>VLOOKUP($B76,'Look-up'!$E:$H,4,FALSE)</f>
        <v>#N/A</v>
      </c>
    </row>
    <row r="77" spans="2:20">
      <c r="B77" s="276" t="str">
        <f>'Members Data'!A9</f>
        <v>Asch</v>
      </c>
      <c r="C77" s="412" t="s">
        <v>117</v>
      </c>
      <c r="D77" s="277" t="str">
        <f>'Members Data'!D9</f>
        <v>RDPS</v>
      </c>
      <c r="E77" s="414" t="s">
        <v>117</v>
      </c>
      <c r="F77" s="278" t="str">
        <f>'Members Data'!B9</f>
        <v>Errant</v>
      </c>
      <c r="G77" s="414" t="s">
        <v>117</v>
      </c>
      <c r="H77" s="267">
        <f>VDCC!C9</f>
        <v>0</v>
      </c>
      <c r="I77" s="414" t="s">
        <v>117</v>
      </c>
      <c r="J77" s="268">
        <f>VDCC!D9</f>
        <v>0</v>
      </c>
      <c r="K77" s="414" t="s">
        <v>117</v>
      </c>
      <c r="L77" s="268">
        <f t="shared" si="9"/>
        <v>0</v>
      </c>
      <c r="M77" s="414" t="s">
        <v>117</v>
      </c>
      <c r="N77" s="268">
        <f t="shared" si="10"/>
        <v>0</v>
      </c>
      <c r="O77" s="414" t="s">
        <v>117</v>
      </c>
      <c r="P77" s="269">
        <f t="shared" si="11"/>
        <v>0</v>
      </c>
      <c r="S77" t="e">
        <f>VLOOKUP($B77,'Look-up'!$E:$H,3,FALSE)</f>
        <v>#N/A</v>
      </c>
      <c r="T77" t="e">
        <f>VLOOKUP($B77,'Look-up'!$E:$H,4,FALSE)</f>
        <v>#N/A</v>
      </c>
    </row>
    <row r="78" spans="2:20">
      <c r="B78" s="276" t="str">
        <f>'Members Data'!A30</f>
        <v>Jimentoez</v>
      </c>
      <c r="C78" s="412" t="s">
        <v>117</v>
      </c>
      <c r="D78" s="277" t="str">
        <f>'Members Data'!D30</f>
        <v>RDPS</v>
      </c>
      <c r="E78" s="414" t="s">
        <v>117</v>
      </c>
      <c r="F78" s="278" t="str">
        <f>'Members Data'!B30</f>
        <v>Venturer</v>
      </c>
      <c r="G78" s="414" t="s">
        <v>117</v>
      </c>
      <c r="H78" s="267">
        <f>VDCC!C30</f>
        <v>2</v>
      </c>
      <c r="I78" s="414" t="s">
        <v>117</v>
      </c>
      <c r="J78" s="268">
        <f>VDCC!D30</f>
        <v>0</v>
      </c>
      <c r="K78" s="414" t="s">
        <v>117</v>
      </c>
      <c r="L78" s="268">
        <f t="shared" si="9"/>
        <v>0</v>
      </c>
      <c r="M78" s="414" t="s">
        <v>117</v>
      </c>
      <c r="N78" s="268">
        <f t="shared" si="10"/>
        <v>0</v>
      </c>
      <c r="O78" s="414" t="s">
        <v>117</v>
      </c>
      <c r="P78" s="269">
        <f t="shared" si="11"/>
        <v>-4</v>
      </c>
      <c r="S78" t="e">
        <f>VLOOKUP($B78,'Look-up'!$E:$H,3,FALSE)</f>
        <v>#N/A</v>
      </c>
      <c r="T78" t="e">
        <f>VLOOKUP($B78,'Look-up'!$E:$H,4,FALSE)</f>
        <v>#N/A</v>
      </c>
    </row>
    <row r="79" spans="2:20">
      <c r="B79" s="276" t="str">
        <f>'Members Data'!A40</f>
        <v>Mezzolina</v>
      </c>
      <c r="C79" s="412" t="s">
        <v>117</v>
      </c>
      <c r="D79" s="277" t="str">
        <f>'Members Data'!D40</f>
        <v>MDPS</v>
      </c>
      <c r="E79" s="414" t="s">
        <v>117</v>
      </c>
      <c r="F79" s="278" t="str">
        <f>'Members Data'!B40</f>
        <v>Errant</v>
      </c>
      <c r="G79" s="414" t="s">
        <v>117</v>
      </c>
      <c r="H79" s="267">
        <f>VDCC!C40</f>
        <v>0</v>
      </c>
      <c r="I79" s="414" t="s">
        <v>117</v>
      </c>
      <c r="J79" s="268">
        <f>VDCC!D40</f>
        <v>0</v>
      </c>
      <c r="K79" s="414" t="s">
        <v>117</v>
      </c>
      <c r="L79" s="268">
        <f t="shared" si="9"/>
        <v>0</v>
      </c>
      <c r="M79" s="414" t="s">
        <v>117</v>
      </c>
      <c r="N79" s="268">
        <f t="shared" si="10"/>
        <v>0</v>
      </c>
      <c r="O79" s="414" t="s">
        <v>117</v>
      </c>
      <c r="P79" s="269">
        <f t="shared" si="11"/>
        <v>0</v>
      </c>
      <c r="S79" t="e">
        <f>VLOOKUP($B79,'Look-up'!$E:$H,3,FALSE)</f>
        <v>#N/A</v>
      </c>
      <c r="T79" t="e">
        <f>VLOOKUP($B79,'Look-up'!$E:$H,4,FALSE)</f>
        <v>#N/A</v>
      </c>
    </row>
    <row r="80" spans="2:20" hidden="1">
      <c r="B80" s="276" t="str">
        <f>'Members Data'!A43</f>
        <v>Naliyas</v>
      </c>
      <c r="C80" s="412" t="s">
        <v>117</v>
      </c>
      <c r="D80" s="277" t="str">
        <f>'Members Data'!D43</f>
        <v>MDPS</v>
      </c>
      <c r="E80" s="414" t="s">
        <v>117</v>
      </c>
      <c r="F80" s="278" t="str">
        <f>'Members Data'!B43</f>
        <v>Errant</v>
      </c>
      <c r="G80" s="414" t="s">
        <v>117</v>
      </c>
      <c r="H80" s="267">
        <f>VDCC!C43</f>
        <v>0</v>
      </c>
      <c r="I80" s="414" t="s">
        <v>117</v>
      </c>
      <c r="J80" s="268">
        <f>VDCC!D43</f>
        <v>0</v>
      </c>
      <c r="K80" s="414" t="s">
        <v>117</v>
      </c>
      <c r="L80" s="268">
        <f t="shared" si="9"/>
        <v>0</v>
      </c>
      <c r="M80" s="414" t="s">
        <v>117</v>
      </c>
      <c r="N80" s="268">
        <f t="shared" si="10"/>
        <v>0</v>
      </c>
      <c r="O80" s="414" t="s">
        <v>117</v>
      </c>
      <c r="P80" s="269">
        <f t="shared" si="11"/>
        <v>0</v>
      </c>
      <c r="S80" t="e">
        <f>VLOOKUP($B80,'Look-up'!$E:$H,3,FALSE)</f>
        <v>#N/A</v>
      </c>
      <c r="T80" t="e">
        <f>VLOOKUP($B80,'Look-up'!$E:$H,4,FALSE)</f>
        <v>#N/A</v>
      </c>
    </row>
    <row r="81" spans="2:20">
      <c r="B81" s="276" t="str">
        <f>'Members Data'!A19</f>
        <v>Drakodin</v>
      </c>
      <c r="C81" s="412" t="s">
        <v>117</v>
      </c>
      <c r="D81" s="277" t="str">
        <f>'Members Data'!D19</f>
        <v>Tank</v>
      </c>
      <c r="E81" s="414" t="s">
        <v>117</v>
      </c>
      <c r="F81" s="278" t="str">
        <f>'Members Data'!B19</f>
        <v>Venturer</v>
      </c>
      <c r="G81" s="414" t="s">
        <v>117</v>
      </c>
      <c r="H81" s="267">
        <f>VDCC!C19</f>
        <v>2</v>
      </c>
      <c r="I81" s="414" t="s">
        <v>117</v>
      </c>
      <c r="J81" s="268">
        <f>VDCC!D19</f>
        <v>0</v>
      </c>
      <c r="K81" s="414" t="s">
        <v>117</v>
      </c>
      <c r="L81" s="268">
        <f t="shared" si="9"/>
        <v>0</v>
      </c>
      <c r="M81" s="414" t="s">
        <v>117</v>
      </c>
      <c r="N81" s="268">
        <f t="shared" si="10"/>
        <v>0</v>
      </c>
      <c r="O81" s="414" t="s">
        <v>117</v>
      </c>
      <c r="P81" s="269">
        <f t="shared" si="11"/>
        <v>-4</v>
      </c>
      <c r="S81" t="e">
        <f>VLOOKUP($B81,'Look-up'!$E:$H,3,FALSE)</f>
        <v>#N/A</v>
      </c>
      <c r="T81" t="e">
        <f>VLOOKUP($B81,'Look-up'!$E:$H,4,FALSE)</f>
        <v>#N/A</v>
      </c>
    </row>
    <row r="82" spans="2:20">
      <c r="B82" s="276">
        <f>'Members Data'!A3</f>
        <v>0</v>
      </c>
      <c r="C82" s="412" t="s">
        <v>117</v>
      </c>
      <c r="D82" s="277">
        <f>'Members Data'!D3</f>
        <v>0</v>
      </c>
      <c r="E82" s="414" t="s">
        <v>117</v>
      </c>
      <c r="F82" s="278">
        <f>'Members Data'!B3</f>
        <v>0</v>
      </c>
      <c r="G82" s="414" t="s">
        <v>117</v>
      </c>
      <c r="H82" s="267">
        <f>VDCC!C3</f>
        <v>0</v>
      </c>
      <c r="I82" s="414" t="s">
        <v>117</v>
      </c>
      <c r="J82" s="268">
        <f>VDCC!D3</f>
        <v>0</v>
      </c>
      <c r="K82" s="414" t="s">
        <v>117</v>
      </c>
      <c r="L82" s="268">
        <f t="shared" si="9"/>
        <v>0</v>
      </c>
      <c r="M82" s="414" t="s">
        <v>117</v>
      </c>
      <c r="N82" s="268">
        <f t="shared" si="10"/>
        <v>0</v>
      </c>
      <c r="O82" s="414" t="s">
        <v>117</v>
      </c>
      <c r="P82" s="269">
        <f t="shared" si="11"/>
        <v>0</v>
      </c>
      <c r="S82" t="e">
        <f>VLOOKUP($B82,'Look-up'!$E:$H,3,FALSE)</f>
        <v>#N/A</v>
      </c>
      <c r="T82" t="e">
        <f>VLOOKUP($B82,'Look-up'!$E:$H,4,FALSE)</f>
        <v>#N/A</v>
      </c>
    </row>
    <row r="83" spans="2:20">
      <c r="B83" s="276" t="str">
        <f>'Members Data'!A48</f>
        <v>Overtake</v>
      </c>
      <c r="C83" s="412" t="s">
        <v>117</v>
      </c>
      <c r="D83" s="277" t="str">
        <f>'Members Data'!D48</f>
        <v>MDPS</v>
      </c>
      <c r="E83" s="414" t="s">
        <v>117</v>
      </c>
      <c r="F83" s="278" t="str">
        <f>'Members Data'!B48</f>
        <v>Venturer</v>
      </c>
      <c r="G83" s="414" t="s">
        <v>117</v>
      </c>
      <c r="H83" s="267">
        <f>VDCC!C48</f>
        <v>2</v>
      </c>
      <c r="I83" s="414" t="s">
        <v>117</v>
      </c>
      <c r="J83" s="268">
        <f>VDCC!D48</f>
        <v>0</v>
      </c>
      <c r="K83" s="414" t="s">
        <v>117</v>
      </c>
      <c r="L83" s="268">
        <f t="shared" si="9"/>
        <v>0</v>
      </c>
      <c r="M83" s="414" t="s">
        <v>117</v>
      </c>
      <c r="N83" s="268">
        <f t="shared" si="10"/>
        <v>0</v>
      </c>
      <c r="O83" s="414" t="s">
        <v>117</v>
      </c>
      <c r="P83" s="269">
        <f t="shared" si="11"/>
        <v>-4</v>
      </c>
      <c r="S83" t="e">
        <f>VLOOKUP($B83,'Look-up'!$E:$H,3,FALSE)</f>
        <v>#N/A</v>
      </c>
      <c r="T83" t="e">
        <f>VLOOKUP($B83,'Look-up'!$E:$H,4,FALSE)</f>
        <v>#N/A</v>
      </c>
    </row>
    <row r="84" spans="2:20">
      <c r="B84" s="276" t="str">
        <f>'Members Data'!A11</f>
        <v>Beargrels</v>
      </c>
      <c r="C84" s="412" t="s">
        <v>117</v>
      </c>
      <c r="D84" s="277" t="str">
        <f>'Members Data'!D11</f>
        <v>MDPS</v>
      </c>
      <c r="E84" s="414" t="s">
        <v>117</v>
      </c>
      <c r="F84" s="278" t="str">
        <f>'Members Data'!B11</f>
        <v>Traveler</v>
      </c>
      <c r="G84" s="414" t="s">
        <v>117</v>
      </c>
      <c r="H84" s="267">
        <f>VDCC!C11</f>
        <v>0</v>
      </c>
      <c r="I84" s="414" t="s">
        <v>117</v>
      </c>
      <c r="J84" s="268">
        <f>VDCC!D11</f>
        <v>0</v>
      </c>
      <c r="K84" s="414" t="s">
        <v>117</v>
      </c>
      <c r="L84" s="268">
        <f t="shared" si="9"/>
        <v>0</v>
      </c>
      <c r="M84" s="414" t="s">
        <v>117</v>
      </c>
      <c r="N84" s="268">
        <f t="shared" si="10"/>
        <v>0</v>
      </c>
      <c r="O84" s="414" t="s">
        <v>117</v>
      </c>
      <c r="P84" s="269">
        <f t="shared" si="11"/>
        <v>0</v>
      </c>
      <c r="S84" t="e">
        <f>VLOOKUP($B84,'Look-up'!$E:$H,3,FALSE)</f>
        <v>#N/A</v>
      </c>
      <c r="T84" t="e">
        <f>VLOOKUP($B84,'Look-up'!$E:$H,4,FALSE)</f>
        <v>#N/A</v>
      </c>
    </row>
    <row r="85" spans="2:20">
      <c r="B85" s="276">
        <f>'Members Data'!A36</f>
        <v>0</v>
      </c>
      <c r="C85" s="412" t="s">
        <v>117</v>
      </c>
      <c r="D85" s="277">
        <f>'Members Data'!D36</f>
        <v>0</v>
      </c>
      <c r="E85" s="414" t="s">
        <v>117</v>
      </c>
      <c r="F85" s="278">
        <f>'Members Data'!B36</f>
        <v>0</v>
      </c>
      <c r="G85" s="414" t="s">
        <v>117</v>
      </c>
      <c r="H85" s="267">
        <f>VDCC!C36</f>
        <v>0</v>
      </c>
      <c r="I85" s="414" t="s">
        <v>117</v>
      </c>
      <c r="J85" s="268">
        <f>VDCC!D36</f>
        <v>0</v>
      </c>
      <c r="K85" s="414" t="s">
        <v>117</v>
      </c>
      <c r="L85" s="268">
        <f t="shared" si="9"/>
        <v>0</v>
      </c>
      <c r="M85" s="414" t="s">
        <v>117</v>
      </c>
      <c r="N85" s="268">
        <f t="shared" si="10"/>
        <v>0</v>
      </c>
      <c r="O85" s="414" t="s">
        <v>117</v>
      </c>
      <c r="P85" s="269">
        <f t="shared" si="11"/>
        <v>0</v>
      </c>
      <c r="S85" t="e">
        <f>VLOOKUP($B85,'Look-up'!$E:$H,3,FALSE)</f>
        <v>#N/A</v>
      </c>
      <c r="T85" t="e">
        <f>VLOOKUP($B85,'Look-up'!$E:$H,4,FALSE)</f>
        <v>#N/A</v>
      </c>
    </row>
    <row r="86" spans="2:20">
      <c r="B86" s="276" t="str">
        <f>'Members Data'!A8</f>
        <v>Ánja</v>
      </c>
      <c r="C86" s="412" t="s">
        <v>117</v>
      </c>
      <c r="D86" s="277" t="str">
        <f>'Members Data'!D8</f>
        <v>Healer</v>
      </c>
      <c r="E86" s="414" t="s">
        <v>117</v>
      </c>
      <c r="F86" s="278" t="str">
        <f>'Members Data'!B8</f>
        <v>Venturer</v>
      </c>
      <c r="G86" s="414" t="s">
        <v>117</v>
      </c>
      <c r="H86" s="267">
        <f>VDCC!C8</f>
        <v>2</v>
      </c>
      <c r="I86" s="414" t="s">
        <v>117</v>
      </c>
      <c r="J86" s="268">
        <f>VDCC!D8</f>
        <v>0</v>
      </c>
      <c r="K86" s="414" t="s">
        <v>117</v>
      </c>
      <c r="L86" s="268">
        <f t="shared" si="9"/>
        <v>0</v>
      </c>
      <c r="M86" s="414" t="s">
        <v>117</v>
      </c>
      <c r="N86" s="268">
        <f t="shared" si="10"/>
        <v>0</v>
      </c>
      <c r="O86" s="414" t="s">
        <v>117</v>
      </c>
      <c r="P86" s="269">
        <f t="shared" si="11"/>
        <v>-4</v>
      </c>
      <c r="S86" t="e">
        <f>VLOOKUP($B86,'Look-up'!$E:$H,3,FALSE)</f>
        <v>#N/A</v>
      </c>
      <c r="T86" t="e">
        <f>VLOOKUP($B86,'Look-up'!$E:$H,4,FALSE)</f>
        <v>#N/A</v>
      </c>
    </row>
    <row r="87" spans="2:20">
      <c r="B87" s="276" t="str">
        <f>'Members Data'!A24</f>
        <v>Harkar</v>
      </c>
      <c r="C87" s="412" t="s">
        <v>117</v>
      </c>
      <c r="D87" s="277" t="str">
        <f>'Members Data'!D24</f>
        <v>RDPS</v>
      </c>
      <c r="E87" s="414" t="s">
        <v>117</v>
      </c>
      <c r="F87" s="278" t="str">
        <f>'Members Data'!B24</f>
        <v>Venturer</v>
      </c>
      <c r="G87" s="414" t="s">
        <v>117</v>
      </c>
      <c r="H87" s="267">
        <f>VDCC!C24</f>
        <v>1</v>
      </c>
      <c r="I87" s="414" t="s">
        <v>117</v>
      </c>
      <c r="J87" s="268">
        <f>VDCC!D24</f>
        <v>0</v>
      </c>
      <c r="K87" s="414" t="s">
        <v>117</v>
      </c>
      <c r="L87" s="268">
        <f t="shared" si="9"/>
        <v>0</v>
      </c>
      <c r="M87" s="414" t="s">
        <v>117</v>
      </c>
      <c r="N87" s="268">
        <f t="shared" si="10"/>
        <v>0</v>
      </c>
      <c r="O87" s="414" t="s">
        <v>117</v>
      </c>
      <c r="P87" s="269">
        <f t="shared" si="11"/>
        <v>-2</v>
      </c>
      <c r="S87" t="e">
        <f>VLOOKUP($B87,'Look-up'!$E:$H,3,FALSE)</f>
        <v>#N/A</v>
      </c>
      <c r="T87" t="e">
        <f>VLOOKUP($B87,'Look-up'!$E:$H,4,FALSE)</f>
        <v>#N/A</v>
      </c>
    </row>
    <row r="88" spans="2:20">
      <c r="B88" s="276">
        <f>'Members Data'!A13</f>
        <v>0</v>
      </c>
      <c r="C88" s="412" t="s">
        <v>117</v>
      </c>
      <c r="D88" s="277">
        <f>'Members Data'!D13</f>
        <v>0</v>
      </c>
      <c r="E88" s="414" t="s">
        <v>117</v>
      </c>
      <c r="F88" s="278">
        <f>'Members Data'!B13</f>
        <v>0</v>
      </c>
      <c r="G88" s="414" t="s">
        <v>117</v>
      </c>
      <c r="H88" s="267">
        <f>VDCC!C13</f>
        <v>0</v>
      </c>
      <c r="I88" s="414" t="s">
        <v>117</v>
      </c>
      <c r="J88" s="268">
        <f>VDCC!D13</f>
        <v>0</v>
      </c>
      <c r="K88" s="414" t="s">
        <v>117</v>
      </c>
      <c r="L88" s="268">
        <f t="shared" si="9"/>
        <v>0</v>
      </c>
      <c r="M88" s="414" t="s">
        <v>117</v>
      </c>
      <c r="N88" s="268">
        <f t="shared" si="10"/>
        <v>0</v>
      </c>
      <c r="O88" s="414" t="s">
        <v>117</v>
      </c>
      <c r="P88" s="269">
        <f t="shared" si="11"/>
        <v>0</v>
      </c>
      <c r="S88" t="e">
        <f>VLOOKUP($B88,'Look-up'!$E:$H,3,FALSE)</f>
        <v>#N/A</v>
      </c>
      <c r="T88" t="e">
        <f>VLOOKUP($B88,'Look-up'!$E:$H,4,FALSE)</f>
        <v>#N/A</v>
      </c>
    </row>
    <row r="89" spans="2:20">
      <c r="B89" s="276">
        <f>'Members Data'!A35</f>
        <v>0</v>
      </c>
      <c r="C89" s="412" t="s">
        <v>117</v>
      </c>
      <c r="D89" s="277">
        <f>'Members Data'!D35</f>
        <v>0</v>
      </c>
      <c r="E89" s="414" t="s">
        <v>117</v>
      </c>
      <c r="F89" s="278">
        <f>'Members Data'!B35</f>
        <v>0</v>
      </c>
      <c r="G89" s="414" t="s">
        <v>117</v>
      </c>
      <c r="H89" s="267">
        <f>VDCC!C35</f>
        <v>0</v>
      </c>
      <c r="I89" s="414" t="s">
        <v>117</v>
      </c>
      <c r="J89" s="268">
        <f>VDCC!D35</f>
        <v>0</v>
      </c>
      <c r="K89" s="414" t="s">
        <v>117</v>
      </c>
      <c r="L89" s="268">
        <f t="shared" si="9"/>
        <v>0</v>
      </c>
      <c r="M89" s="414" t="s">
        <v>117</v>
      </c>
      <c r="N89" s="268">
        <f t="shared" si="10"/>
        <v>0</v>
      </c>
      <c r="O89" s="414" t="s">
        <v>117</v>
      </c>
      <c r="P89" s="269">
        <f t="shared" si="11"/>
        <v>0</v>
      </c>
      <c r="S89" t="e">
        <f>VLOOKUP($B89,'Look-up'!$E:$H,3,FALSE)</f>
        <v>#N/A</v>
      </c>
      <c r="T89" t="e">
        <f>VLOOKUP($B89,'Look-up'!$E:$H,4,FALSE)</f>
        <v>#N/A</v>
      </c>
    </row>
    <row r="90" spans="2:20">
      <c r="B90" s="276" t="str">
        <f>'Members Data'!A49</f>
        <v>Paolin</v>
      </c>
      <c r="C90" s="412" t="s">
        <v>117</v>
      </c>
      <c r="D90" s="277" t="str">
        <f>'Members Data'!D49</f>
        <v>MDPS</v>
      </c>
      <c r="E90" s="414" t="s">
        <v>117</v>
      </c>
      <c r="F90" s="278" t="str">
        <f>'Members Data'!B49</f>
        <v>Traveler</v>
      </c>
      <c r="G90" s="414" t="s">
        <v>117</v>
      </c>
      <c r="H90" s="267">
        <f>VDCC!C49</f>
        <v>0</v>
      </c>
      <c r="I90" s="414" t="s">
        <v>117</v>
      </c>
      <c r="J90" s="268">
        <f>VDCC!D49</f>
        <v>0</v>
      </c>
      <c r="K90" s="414" t="s">
        <v>117</v>
      </c>
      <c r="L90" s="268">
        <f t="shared" si="9"/>
        <v>0</v>
      </c>
      <c r="M90" s="414" t="s">
        <v>117</v>
      </c>
      <c r="N90" s="268">
        <f t="shared" si="10"/>
        <v>0</v>
      </c>
      <c r="O90" s="414" t="s">
        <v>117</v>
      </c>
      <c r="P90" s="269">
        <f t="shared" si="11"/>
        <v>0</v>
      </c>
      <c r="S90" t="e">
        <f>VLOOKUP($B90,'Look-up'!$E:$H,3,FALSE)</f>
        <v>#N/A</v>
      </c>
      <c r="T90" t="e">
        <f>VLOOKUP($B90,'Look-up'!$E:$H,4,FALSE)</f>
        <v>#N/A</v>
      </c>
    </row>
    <row r="91" spans="2:20">
      <c r="B91" s="276" t="str">
        <f>'Members Data'!A34</f>
        <v>Kristofix</v>
      </c>
      <c r="C91" s="412" t="s">
        <v>117</v>
      </c>
      <c r="D91" s="277" t="str">
        <f>'Members Data'!D34</f>
        <v>MDPS</v>
      </c>
      <c r="E91" s="414" t="s">
        <v>117</v>
      </c>
      <c r="F91" s="278" t="str">
        <f>'Members Data'!B34</f>
        <v>Venturer</v>
      </c>
      <c r="G91" s="414" t="s">
        <v>117</v>
      </c>
      <c r="H91" s="267">
        <f>VDCC!C34</f>
        <v>0</v>
      </c>
      <c r="I91" s="414" t="s">
        <v>117</v>
      </c>
      <c r="J91" s="268">
        <f>VDCC!D34</f>
        <v>0</v>
      </c>
      <c r="K91" s="414" t="s">
        <v>117</v>
      </c>
      <c r="L91" s="268">
        <f t="shared" si="9"/>
        <v>0</v>
      </c>
      <c r="M91" s="414" t="s">
        <v>117</v>
      </c>
      <c r="N91" s="268">
        <f t="shared" si="10"/>
        <v>0</v>
      </c>
      <c r="O91" s="414" t="s">
        <v>117</v>
      </c>
      <c r="P91" s="269">
        <f t="shared" si="11"/>
        <v>0</v>
      </c>
      <c r="S91" t="e">
        <f>VLOOKUP($B91,'Look-up'!$E:$H,3,FALSE)</f>
        <v>#N/A</v>
      </c>
      <c r="T91" t="e">
        <f>VLOOKUP($B91,'Look-up'!$E:$H,4,FALSE)</f>
        <v>#N/A</v>
      </c>
    </row>
    <row r="92" spans="2:20">
      <c r="B92" s="276" t="str">
        <f>'Members Data'!A2</f>
        <v>Ablon</v>
      </c>
      <c r="C92" s="412" t="s">
        <v>117</v>
      </c>
      <c r="D92" s="277" t="str">
        <f>'Members Data'!D2</f>
        <v>RDPS</v>
      </c>
      <c r="E92" s="414" t="s">
        <v>117</v>
      </c>
      <c r="F92" s="278" t="str">
        <f>'Members Data'!B2</f>
        <v>Traveler</v>
      </c>
      <c r="G92" s="414" t="s">
        <v>117</v>
      </c>
      <c r="H92" s="267">
        <f>VDCC!C2</f>
        <v>0</v>
      </c>
      <c r="I92" s="414" t="s">
        <v>117</v>
      </c>
      <c r="J92" s="268">
        <f>VDCC!D2</f>
        <v>0</v>
      </c>
      <c r="K92" s="414" t="s">
        <v>117</v>
      </c>
      <c r="L92" s="268">
        <f t="shared" si="9"/>
        <v>0</v>
      </c>
      <c r="M92" s="414" t="s">
        <v>117</v>
      </c>
      <c r="N92" s="268">
        <f t="shared" si="10"/>
        <v>0</v>
      </c>
      <c r="O92" s="414" t="s">
        <v>117</v>
      </c>
      <c r="P92" s="269">
        <f t="shared" si="11"/>
        <v>0</v>
      </c>
      <c r="S92" t="e">
        <f>VLOOKUP($B92,'Look-up'!$E:$H,3,FALSE)</f>
        <v>#N/A</v>
      </c>
      <c r="T92" t="e">
        <f>VLOOKUP($B92,'Look-up'!$E:$H,4,FALSE)</f>
        <v>#N/A</v>
      </c>
    </row>
    <row r="93" spans="2:20">
      <c r="B93" s="276" t="str">
        <f>'Members Data'!A10</f>
        <v>Avane</v>
      </c>
      <c r="C93" s="412" t="s">
        <v>117</v>
      </c>
      <c r="D93" s="277" t="str">
        <f>'Members Data'!D10</f>
        <v>Tank</v>
      </c>
      <c r="E93" s="414" t="s">
        <v>117</v>
      </c>
      <c r="F93" s="278" t="str">
        <f>'Members Data'!B10</f>
        <v>Traveler</v>
      </c>
      <c r="G93" s="414" t="s">
        <v>117</v>
      </c>
      <c r="H93" s="267">
        <f>VDCC!C10</f>
        <v>0</v>
      </c>
      <c r="I93" s="414" t="s">
        <v>117</v>
      </c>
      <c r="J93" s="268">
        <f>VDCC!D10</f>
        <v>0</v>
      </c>
      <c r="K93" s="414" t="s">
        <v>117</v>
      </c>
      <c r="L93" s="268">
        <f t="shared" si="9"/>
        <v>0</v>
      </c>
      <c r="M93" s="414" t="s">
        <v>117</v>
      </c>
      <c r="N93" s="268">
        <f t="shared" si="10"/>
        <v>0</v>
      </c>
      <c r="O93" s="414" t="s">
        <v>117</v>
      </c>
      <c r="P93" s="269">
        <f t="shared" si="11"/>
        <v>0</v>
      </c>
      <c r="S93" t="e">
        <f>VLOOKUP($B93,'Look-up'!$E:$H,3,FALSE)</f>
        <v>#N/A</v>
      </c>
      <c r="T93" t="e">
        <f>VLOOKUP($B93,'Look-up'!$E:$H,4,FALSE)</f>
        <v>#N/A</v>
      </c>
    </row>
    <row r="94" spans="2:20">
      <c r="B94" s="276" t="str">
        <f>'Members Data'!A32</f>
        <v>Kádiz</v>
      </c>
      <c r="C94" s="412" t="s">
        <v>117</v>
      </c>
      <c r="D94" s="277" t="str">
        <f>'Members Data'!D32</f>
        <v>RDPS</v>
      </c>
      <c r="E94" s="414" t="s">
        <v>117</v>
      </c>
      <c r="F94" s="278" t="str">
        <f>'Members Data'!B32</f>
        <v>Errant</v>
      </c>
      <c r="G94" s="414" t="s">
        <v>117</v>
      </c>
      <c r="H94" s="267">
        <f>VDCC!C32</f>
        <v>0</v>
      </c>
      <c r="I94" s="414" t="s">
        <v>117</v>
      </c>
      <c r="J94" s="268">
        <f>VDCC!D32</f>
        <v>0</v>
      </c>
      <c r="K94" s="414" t="s">
        <v>117</v>
      </c>
      <c r="L94" s="268">
        <f t="shared" si="9"/>
        <v>0</v>
      </c>
      <c r="M94" s="414" t="s">
        <v>117</v>
      </c>
      <c r="N94" s="268">
        <f t="shared" si="10"/>
        <v>0</v>
      </c>
      <c r="O94" s="414" t="s">
        <v>117</v>
      </c>
      <c r="P94" s="269">
        <f t="shared" si="11"/>
        <v>0</v>
      </c>
      <c r="S94" t="e">
        <f>VLOOKUP($B94,'Look-up'!$E:$H,3,FALSE)</f>
        <v>#N/A</v>
      </c>
      <c r="T94" t="e">
        <f>VLOOKUP($B94,'Look-up'!$E:$H,4,FALSE)</f>
        <v>#N/A</v>
      </c>
    </row>
    <row r="95" spans="2:20">
      <c r="B95" s="276" t="str">
        <f>'Members Data'!A25</f>
        <v>Hlianna</v>
      </c>
      <c r="C95" s="412" t="s">
        <v>117</v>
      </c>
      <c r="D95" s="277" t="str">
        <f>'Members Data'!D25</f>
        <v>MDPS</v>
      </c>
      <c r="E95" s="414" t="s">
        <v>117</v>
      </c>
      <c r="F95" s="278" t="str">
        <f>'Members Data'!B25</f>
        <v>Venturer</v>
      </c>
      <c r="G95" s="414" t="s">
        <v>117</v>
      </c>
      <c r="H95" s="267">
        <f>VDCC!C25</f>
        <v>2</v>
      </c>
      <c r="I95" s="414" t="s">
        <v>117</v>
      </c>
      <c r="J95" s="268">
        <f>VDCC!D25</f>
        <v>0</v>
      </c>
      <c r="K95" s="414" t="s">
        <v>117</v>
      </c>
      <c r="L95" s="268">
        <f t="shared" si="9"/>
        <v>0</v>
      </c>
      <c r="M95" s="414" t="s">
        <v>117</v>
      </c>
      <c r="N95" s="268">
        <f t="shared" si="10"/>
        <v>0</v>
      </c>
      <c r="O95" s="414" t="s">
        <v>117</v>
      </c>
      <c r="P95" s="269">
        <f t="shared" si="11"/>
        <v>-4</v>
      </c>
      <c r="S95" t="e">
        <f>VLOOKUP($B95,'Look-up'!$E:$H,3,FALSE)</f>
        <v>#N/A</v>
      </c>
      <c r="T95" t="e">
        <f>VLOOKUP($B95,'Look-up'!$E:$H,4,FALSE)</f>
        <v>#N/A</v>
      </c>
    </row>
    <row r="96" spans="2:20">
      <c r="B96" s="276" t="str">
        <f>'Members Data'!A12</f>
        <v>Blackcheeta</v>
      </c>
      <c r="C96" s="412" t="s">
        <v>117</v>
      </c>
      <c r="D96" s="277" t="str">
        <f>'Members Data'!D12</f>
        <v>RDPS</v>
      </c>
      <c r="E96" s="414" t="s">
        <v>117</v>
      </c>
      <c r="F96" s="278" t="str">
        <f>'Members Data'!B12</f>
        <v>Venturer</v>
      </c>
      <c r="G96" s="414" t="s">
        <v>117</v>
      </c>
      <c r="H96" s="267">
        <f>VDCC!C12</f>
        <v>2</v>
      </c>
      <c r="I96" s="414" t="s">
        <v>117</v>
      </c>
      <c r="J96" s="268">
        <f>VDCC!D12</f>
        <v>0</v>
      </c>
      <c r="K96" s="414" t="s">
        <v>117</v>
      </c>
      <c r="L96" s="268">
        <f t="shared" si="9"/>
        <v>0</v>
      </c>
      <c r="M96" s="414" t="s">
        <v>117</v>
      </c>
      <c r="N96" s="268">
        <f t="shared" si="10"/>
        <v>0</v>
      </c>
      <c r="O96" s="414" t="s">
        <v>117</v>
      </c>
      <c r="P96" s="269">
        <f t="shared" si="11"/>
        <v>-4</v>
      </c>
      <c r="S96" t="e">
        <f>VLOOKUP($B96,'Look-up'!$E:$H,3,FALSE)</f>
        <v>#N/A</v>
      </c>
      <c r="T96" t="e">
        <f>VLOOKUP($B96,'Look-up'!$E:$H,4,FALSE)</f>
        <v>#N/A</v>
      </c>
    </row>
    <row r="97" spans="1:20">
      <c r="B97" s="276">
        <f>'Members Data'!A38</f>
        <v>0</v>
      </c>
      <c r="C97" s="412" t="s">
        <v>117</v>
      </c>
      <c r="D97" s="277">
        <f>'Members Data'!D38</f>
        <v>0</v>
      </c>
      <c r="E97" s="414" t="s">
        <v>117</v>
      </c>
      <c r="F97" s="278">
        <f>'Members Data'!B38</f>
        <v>0</v>
      </c>
      <c r="G97" s="414" t="s">
        <v>117</v>
      </c>
      <c r="H97" s="267">
        <f>VDCC!C38</f>
        <v>0</v>
      </c>
      <c r="I97" s="414" t="s">
        <v>117</v>
      </c>
      <c r="J97" s="268">
        <f>VDCC!D38</f>
        <v>0</v>
      </c>
      <c r="K97" s="414" t="s">
        <v>117</v>
      </c>
      <c r="L97" s="268">
        <f t="shared" si="9"/>
        <v>0</v>
      </c>
      <c r="M97" s="414" t="s">
        <v>117</v>
      </c>
      <c r="N97" s="268">
        <f t="shared" si="10"/>
        <v>0</v>
      </c>
      <c r="O97" s="414" t="s">
        <v>117</v>
      </c>
      <c r="P97" s="269">
        <f t="shared" si="11"/>
        <v>0</v>
      </c>
      <c r="S97" t="e">
        <f>VLOOKUP($B97,'Look-up'!$E:$H,3,FALSE)</f>
        <v>#N/A</v>
      </c>
      <c r="T97" t="e">
        <f>VLOOKUP($B97,'Look-up'!$E:$H,4,FALSE)</f>
        <v>#N/A</v>
      </c>
    </row>
    <row r="98" spans="1:20">
      <c r="B98" s="276" t="str">
        <f>'Members Data'!A39</f>
        <v>Mardazur</v>
      </c>
      <c r="C98" s="412" t="s">
        <v>117</v>
      </c>
      <c r="D98" s="277" t="str">
        <f>'Members Data'!D39</f>
        <v>RDPS</v>
      </c>
      <c r="E98" s="414" t="s">
        <v>117</v>
      </c>
      <c r="F98" s="278" t="str">
        <f>'Members Data'!B39</f>
        <v>Venturer</v>
      </c>
      <c r="G98" s="414" t="s">
        <v>117</v>
      </c>
      <c r="H98" s="267">
        <f>VDCC!C39</f>
        <v>0</v>
      </c>
      <c r="I98" s="414" t="s">
        <v>117</v>
      </c>
      <c r="J98" s="268">
        <f>VDCC!D39</f>
        <v>0</v>
      </c>
      <c r="K98" s="414" t="s">
        <v>117</v>
      </c>
      <c r="L98" s="268">
        <f t="shared" si="9"/>
        <v>0</v>
      </c>
      <c r="M98" s="414" t="s">
        <v>117</v>
      </c>
      <c r="N98" s="268">
        <f t="shared" si="10"/>
        <v>0</v>
      </c>
      <c r="O98" s="414" t="s">
        <v>117</v>
      </c>
      <c r="P98" s="269">
        <f t="shared" si="11"/>
        <v>0</v>
      </c>
      <c r="S98" t="e">
        <f>VLOOKUP($B98,'Look-up'!$E:$H,3,FALSE)</f>
        <v>#N/A</v>
      </c>
      <c r="T98" t="e">
        <f>VLOOKUP($B98,'Look-up'!$E:$H,4,FALSE)</f>
        <v>#N/A</v>
      </c>
    </row>
    <row r="99" spans="1:20">
      <c r="B99" s="276">
        <f>'Members Data'!A44</f>
        <v>0</v>
      </c>
      <c r="C99" s="412" t="s">
        <v>117</v>
      </c>
      <c r="D99" s="277">
        <f>'Members Data'!D44</f>
        <v>0</v>
      </c>
      <c r="E99" s="414" t="s">
        <v>117</v>
      </c>
      <c r="F99" s="278">
        <f>'Members Data'!B44</f>
        <v>0</v>
      </c>
      <c r="G99" s="414" t="s">
        <v>117</v>
      </c>
      <c r="H99" s="267">
        <f>VDCC!C44</f>
        <v>0</v>
      </c>
      <c r="I99" s="414" t="s">
        <v>117</v>
      </c>
      <c r="J99" s="268">
        <f>VDCC!D44</f>
        <v>0</v>
      </c>
      <c r="K99" s="414" t="s">
        <v>117</v>
      </c>
      <c r="L99" s="268">
        <f t="shared" si="9"/>
        <v>0</v>
      </c>
      <c r="M99" s="414" t="s">
        <v>117</v>
      </c>
      <c r="N99" s="268">
        <f t="shared" si="10"/>
        <v>0</v>
      </c>
      <c r="O99" s="414" t="s">
        <v>117</v>
      </c>
      <c r="P99" s="269">
        <f t="shared" si="11"/>
        <v>0</v>
      </c>
      <c r="S99" t="e">
        <f>VLOOKUP($B99,'Look-up'!$E:$H,3,FALSE)</f>
        <v>#N/A</v>
      </c>
      <c r="T99" t="e">
        <f>VLOOKUP($B99,'Look-up'!$E:$H,4,FALSE)</f>
        <v>#N/A</v>
      </c>
    </row>
    <row r="100" spans="1:20">
      <c r="B100" s="276" t="str">
        <f>'Members Data'!A4</f>
        <v>Akilta</v>
      </c>
      <c r="C100" s="412" t="s">
        <v>117</v>
      </c>
      <c r="D100" s="277" t="str">
        <f>'Members Data'!D4</f>
        <v>RDPS</v>
      </c>
      <c r="E100" s="414" t="s">
        <v>117</v>
      </c>
      <c r="F100" s="278" t="str">
        <f>'Members Data'!B4</f>
        <v>Errant</v>
      </c>
      <c r="G100" s="414" t="s">
        <v>117</v>
      </c>
      <c r="H100" s="267">
        <f>VDCC!C4</f>
        <v>0</v>
      </c>
      <c r="I100" s="414" t="s">
        <v>117</v>
      </c>
      <c r="J100" s="268">
        <f>VDCC!D4</f>
        <v>0</v>
      </c>
      <c r="K100" s="414" t="s">
        <v>117</v>
      </c>
      <c r="L100" s="268">
        <f t="shared" si="9"/>
        <v>0</v>
      </c>
      <c r="M100" s="414" t="s">
        <v>117</v>
      </c>
      <c r="N100" s="268">
        <f t="shared" si="10"/>
        <v>0</v>
      </c>
      <c r="O100" s="414" t="s">
        <v>117</v>
      </c>
      <c r="P100" s="269">
        <f t="shared" si="11"/>
        <v>0</v>
      </c>
      <c r="S100" t="e">
        <f>VLOOKUP($B100,'Look-up'!$E:$H,3,FALSE)</f>
        <v>#N/A</v>
      </c>
      <c r="T100" t="e">
        <f>VLOOKUP($B100,'Look-up'!$E:$H,4,FALSE)</f>
        <v>#N/A</v>
      </c>
    </row>
    <row r="101" spans="1:20">
      <c r="B101" s="276" t="str">
        <f>'Members Data'!A6</f>
        <v>Amaras</v>
      </c>
      <c r="C101" s="412" t="s">
        <v>117</v>
      </c>
      <c r="D101" s="277" t="str">
        <f>'Members Data'!D6</f>
        <v>RDPS</v>
      </c>
      <c r="E101" s="414" t="s">
        <v>117</v>
      </c>
      <c r="F101" s="278" t="str">
        <f>'Members Data'!B6</f>
        <v>Traveler</v>
      </c>
      <c r="G101" s="414" t="s">
        <v>117</v>
      </c>
      <c r="H101" s="267">
        <f>VDCC!C6</f>
        <v>0</v>
      </c>
      <c r="I101" s="414" t="s">
        <v>117</v>
      </c>
      <c r="J101" s="268">
        <f>VDCC!D6</f>
        <v>0</v>
      </c>
      <c r="K101" s="414" t="s">
        <v>117</v>
      </c>
      <c r="L101" s="268">
        <f t="shared" si="9"/>
        <v>0</v>
      </c>
      <c r="M101" s="414" t="s">
        <v>117</v>
      </c>
      <c r="N101" s="268">
        <f t="shared" si="10"/>
        <v>0</v>
      </c>
      <c r="O101" s="414" t="s">
        <v>117</v>
      </c>
      <c r="P101" s="269">
        <f t="shared" si="11"/>
        <v>0</v>
      </c>
      <c r="S101" t="e">
        <f>VLOOKUP($B101,'Look-up'!$E:$H,3,FALSE)</f>
        <v>#N/A</v>
      </c>
      <c r="T101" t="e">
        <f>VLOOKUP($B101,'Look-up'!$E:$H,4,FALSE)</f>
        <v>#N/A</v>
      </c>
    </row>
    <row r="102" spans="1:20">
      <c r="B102" s="276" t="str">
        <f>'Members Data'!A22</f>
        <v>Emril</v>
      </c>
      <c r="C102" s="412" t="s">
        <v>117</v>
      </c>
      <c r="D102" s="277" t="str">
        <f>'Members Data'!D22</f>
        <v>Tank</v>
      </c>
      <c r="E102" s="414" t="s">
        <v>117</v>
      </c>
      <c r="F102" s="278" t="str">
        <f>'Members Data'!B22</f>
        <v>Errant</v>
      </c>
      <c r="G102" s="414" t="s">
        <v>117</v>
      </c>
      <c r="H102" s="267">
        <f>VDCC!C22</f>
        <v>0</v>
      </c>
      <c r="I102" s="414" t="s">
        <v>117</v>
      </c>
      <c r="J102" s="268">
        <f>VDCC!D22</f>
        <v>0</v>
      </c>
      <c r="K102" s="414" t="s">
        <v>117</v>
      </c>
      <c r="L102" s="268">
        <f t="shared" si="9"/>
        <v>0</v>
      </c>
      <c r="M102" s="414" t="s">
        <v>117</v>
      </c>
      <c r="N102" s="268">
        <f t="shared" si="10"/>
        <v>0</v>
      </c>
      <c r="O102" s="414" t="s">
        <v>117</v>
      </c>
      <c r="P102" s="269">
        <f t="shared" si="11"/>
        <v>0</v>
      </c>
      <c r="S102" t="e">
        <f>VLOOKUP($B102,'Look-up'!$E:$H,3,FALSE)</f>
        <v>#N/A</v>
      </c>
      <c r="T102" t="e">
        <f>VLOOKUP($B102,'Look-up'!$E:$H,4,FALSE)</f>
        <v>#N/A</v>
      </c>
    </row>
    <row r="103" spans="1:20" ht="13.5" thickBot="1">
      <c r="B103" s="279" t="str">
        <f>'Members Data'!A45</f>
        <v>Nazgol</v>
      </c>
      <c r="C103" s="415" t="s">
        <v>117</v>
      </c>
      <c r="D103" s="280" t="str">
        <f>'Members Data'!D45</f>
        <v>RDPS</v>
      </c>
      <c r="E103" s="414" t="s">
        <v>117</v>
      </c>
      <c r="F103" s="281" t="str">
        <f>'Members Data'!B45</f>
        <v>Traveler</v>
      </c>
      <c r="G103" s="414" t="s">
        <v>117</v>
      </c>
      <c r="H103" s="270">
        <f>VDCC!C45</f>
        <v>0</v>
      </c>
      <c r="I103" s="414" t="s">
        <v>117</v>
      </c>
      <c r="J103" s="271">
        <f>VDCC!D45</f>
        <v>0</v>
      </c>
      <c r="K103" s="414" t="s">
        <v>117</v>
      </c>
      <c r="L103" s="271">
        <f t="shared" si="9"/>
        <v>0</v>
      </c>
      <c r="M103" s="414" t="s">
        <v>117</v>
      </c>
      <c r="N103" s="271">
        <f t="shared" si="10"/>
        <v>0</v>
      </c>
      <c r="O103" s="414" t="s">
        <v>117</v>
      </c>
      <c r="P103" s="272">
        <f t="shared" si="11"/>
        <v>0</v>
      </c>
      <c r="S103" t="e">
        <f>VLOOKUP($B103,'Look-up'!$E:$H,3,FALSE)</f>
        <v>#N/A</v>
      </c>
      <c r="T103" t="e">
        <f>VLOOKUP($B103,'Look-up'!$E:$H,4,FALSE)</f>
        <v>#N/A</v>
      </c>
    </row>
    <row r="104" spans="1:20" ht="15.75" thickTop="1">
      <c r="A104" s="241" t="s">
        <v>121</v>
      </c>
    </row>
  </sheetData>
  <sheetProtection autoFilter="0"/>
  <autoFilter ref="B3:P104">
    <filterColumn colId="0">
      <filters blank="1">
        <filter val="Ablon"/>
        <filter val="Akilta"/>
        <filter val="Althonios"/>
        <filter val="Altrezza"/>
        <filter val="Amaras"/>
        <filter val="Ánja"/>
        <filter val="Avaintha"/>
        <filter val="Avane"/>
        <filter val="Axit"/>
        <filter val="Blackcheeta"/>
        <filter val="Bloodfrost"/>
        <filter val="Bofe"/>
        <filter val="Brownale"/>
        <filter val="Brucelethal"/>
        <filter val="Càrétàkér"/>
        <filter val="Craving"/>
        <filter val="Desor"/>
        <filter val="Dottiee"/>
        <filter val="Dracoar"/>
        <filter val="Drakodin"/>
        <filter val="Drewie"/>
        <filter val="Eárendíl"/>
        <filter val="Eithell"/>
        <filter val="Firefoxy"/>
        <filter val="Garkosh"/>
        <filter val="Ghalmaraz"/>
        <filter val="Halfhorns"/>
        <filter val="Harkar"/>
        <filter val="Hemira"/>
        <filter val="Hlianna"/>
        <filter val="Hylee"/>
        <filter val="Hyperïon"/>
        <filter val="Izzabelle"/>
        <filter val="Jimentoez"/>
        <filter val="Kádiz"/>
        <filter val="Khuzn"/>
        <filter val="Kimikie"/>
        <filter val="Kinkiey"/>
        <filter val="Littlexan"/>
        <filter val="Madlips"/>
        <filter val="Madros"/>
        <filter val="Maxeii"/>
        <filter val="Moonhoof"/>
        <filter val="Muckyfloor"/>
        <filter val="Nazgol"/>
        <filter val="Octavìus"/>
        <filter val="Oncemore"/>
        <filter val="Páula"/>
        <filter val="Rcane"/>
        <filter val="Rednik"/>
        <filter val="Rhinoru"/>
        <filter val="Salti"/>
        <filter val="Sanaa"/>
        <filter val="Sanangol"/>
        <filter val="Shikarey"/>
        <filter val="Shinkai"/>
        <filter val="Snowies"/>
        <filter val="Spruch"/>
        <filter val="Thiana"/>
        <filter val="Tomrexx"/>
        <filter val="Tsali"/>
        <filter val="Wainesha"/>
        <filter val="Whapap"/>
        <filter val="Xytree"/>
        <filter val="Yse"/>
      </filters>
    </filterColumn>
    <filterColumn colId="1"/>
    <filterColumn colId="3"/>
    <filterColumn colId="4"/>
    <filterColumn colId="5"/>
    <filterColumn colId="7"/>
    <filterColumn colId="9"/>
    <filterColumn colId="11"/>
    <filterColumn colId="13"/>
    <sortState ref="B6:P104">
      <sortCondition descending="1" ref="P3:P104"/>
    </sortState>
  </autoFilter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B1:AG65"/>
  <sheetViews>
    <sheetView zoomScale="85" zoomScaleNormal="85" workbookViewId="0">
      <selection activeCell="K4" sqref="K4"/>
    </sheetView>
  </sheetViews>
  <sheetFormatPr defaultRowHeight="12.75"/>
  <cols>
    <col min="1" max="1" width="3.42578125" customWidth="1"/>
    <col min="2" max="2" width="9.140625" hidden="1" customWidth="1"/>
    <col min="3" max="3" width="12.140625" bestFit="1" customWidth="1"/>
    <col min="4" max="4" width="12.140625" hidden="1" customWidth="1"/>
    <col min="5" max="5" width="12.140625" bestFit="1" customWidth="1"/>
    <col min="6" max="6" width="12.140625" hidden="1" customWidth="1"/>
    <col min="7" max="7" width="12.140625" bestFit="1" customWidth="1"/>
    <col min="8" max="8" width="12.140625" hidden="1" customWidth="1"/>
    <col min="9" max="9" width="12.140625" bestFit="1" customWidth="1"/>
    <col min="10" max="10" width="12.140625" hidden="1" customWidth="1"/>
    <col min="11" max="11" width="11" bestFit="1" customWidth="1"/>
    <col min="12" max="12" width="11" hidden="1" customWidth="1"/>
    <col min="13" max="13" width="10" bestFit="1" customWidth="1"/>
    <col min="14" max="14" width="10" hidden="1" customWidth="1"/>
    <col min="15" max="15" width="11" bestFit="1" customWidth="1"/>
    <col min="16" max="16" width="11" hidden="1" customWidth="1"/>
    <col min="18" max="18" width="9.140625" hidden="1" customWidth="1"/>
    <col min="20" max="20" width="9.140625" hidden="1" customWidth="1"/>
    <col min="22" max="22" width="9.140625" hidden="1" customWidth="1"/>
    <col min="24" max="24" width="9.140625" hidden="1" customWidth="1"/>
    <col min="26" max="26" width="9.140625" hidden="1" customWidth="1"/>
    <col min="28" max="28" width="21.42578125" customWidth="1"/>
    <col min="29" max="29" width="14.5703125" customWidth="1"/>
    <col min="30" max="30" width="9.5703125" customWidth="1"/>
    <col min="31" max="31" width="9.140625" customWidth="1"/>
    <col min="32" max="33" width="9.140625" hidden="1" customWidth="1"/>
  </cols>
  <sheetData>
    <row r="1" spans="2:33" ht="13.5" thickBot="1"/>
    <row r="2" spans="2:33" ht="14.25" thickTop="1" thickBot="1">
      <c r="AB2" s="531" t="str">
        <f>'Short &amp; Simple'!H46</f>
        <v>25 Man Normal MSV - Feng the Cursed</v>
      </c>
      <c r="AC2" s="532"/>
    </row>
    <row r="3" spans="2:33" ht="13.5" thickTop="1">
      <c r="B3" t="s">
        <v>114</v>
      </c>
      <c r="C3" s="232" t="str">
        <f>AB42</f>
        <v>------------</v>
      </c>
      <c r="D3" s="249" t="s">
        <v>116</v>
      </c>
      <c r="E3" s="226" t="str">
        <f>AB42</f>
        <v>------------</v>
      </c>
      <c r="F3" s="249" t="s">
        <v>116</v>
      </c>
      <c r="G3" s="226" t="str">
        <f>AB42</f>
        <v>------------</v>
      </c>
      <c r="H3" s="249" t="s">
        <v>116</v>
      </c>
      <c r="I3" s="233" t="str">
        <f>AB42</f>
        <v>------------</v>
      </c>
      <c r="J3" s="213" t="s">
        <v>116</v>
      </c>
      <c r="K3" s="247" t="str">
        <f>AB42</f>
        <v>------------</v>
      </c>
      <c r="L3" s="213" t="s">
        <v>116</v>
      </c>
      <c r="M3" s="247" t="str">
        <f>AB42</f>
        <v>------------</v>
      </c>
      <c r="N3" s="213" t="s">
        <v>116</v>
      </c>
      <c r="O3" s="247" t="str">
        <f>AB42</f>
        <v>------------</v>
      </c>
      <c r="P3" s="213" t="s">
        <v>116</v>
      </c>
      <c r="Q3" s="247" t="str">
        <f>AB42</f>
        <v>------------</v>
      </c>
      <c r="R3" s="213" t="s">
        <v>116</v>
      </c>
      <c r="S3" s="247" t="str">
        <f>AB42</f>
        <v>------------</v>
      </c>
      <c r="T3" s="213" t="s">
        <v>116</v>
      </c>
      <c r="U3" s="247" t="str">
        <f>AB42</f>
        <v>------------</v>
      </c>
      <c r="V3" s="213" t="s">
        <v>116</v>
      </c>
      <c r="W3" s="247" t="str">
        <f>AB42</f>
        <v>------------</v>
      </c>
      <c r="X3" s="213" t="s">
        <v>116</v>
      </c>
      <c r="Y3" s="248" t="str">
        <f>AB42</f>
        <v>------------</v>
      </c>
      <c r="Z3" t="s">
        <v>118</v>
      </c>
      <c r="AB3" s="222">
        <f>'Short &amp; Simple'!I47</f>
        <v>0</v>
      </c>
      <c r="AC3" s="251" t="s">
        <v>122</v>
      </c>
    </row>
    <row r="4" spans="2:33" ht="13.5" thickBot="1">
      <c r="B4" t="s">
        <v>115</v>
      </c>
      <c r="C4" s="230" t="s">
        <v>107</v>
      </c>
      <c r="D4" t="s">
        <v>117</v>
      </c>
      <c r="E4" s="231" t="s">
        <v>108</v>
      </c>
      <c r="F4" t="s">
        <v>117</v>
      </c>
      <c r="G4" s="231" t="s">
        <v>109</v>
      </c>
      <c r="H4" t="s">
        <v>117</v>
      </c>
      <c r="I4" s="250" t="s">
        <v>110</v>
      </c>
      <c r="J4" t="s">
        <v>117</v>
      </c>
      <c r="K4" s="239">
        <f>COUNTIF($AC$3:$AC$38,K$3)</f>
        <v>34</v>
      </c>
      <c r="L4" t="s">
        <v>117</v>
      </c>
      <c r="M4" s="239">
        <f>COUNTIF($AC$3:$AC$38,M$3)</f>
        <v>34</v>
      </c>
      <c r="N4" t="s">
        <v>117</v>
      </c>
      <c r="O4" s="239">
        <f>COUNTIF($AC$3:$AC$38,O$3)</f>
        <v>34</v>
      </c>
      <c r="P4" t="s">
        <v>117</v>
      </c>
      <c r="Q4" s="239">
        <f>COUNTIF($AC$3:$AC$38,Q$3)</f>
        <v>34</v>
      </c>
      <c r="R4" t="s">
        <v>117</v>
      </c>
      <c r="S4" s="239">
        <f>COUNTIF($AC$3:$AC$38,S$3)</f>
        <v>34</v>
      </c>
      <c r="T4" t="s">
        <v>117</v>
      </c>
      <c r="U4" s="239">
        <f t="shared" ref="U4:Y4" si="0">COUNTIF($AC$3:$AC$35,U$3)</f>
        <v>31</v>
      </c>
      <c r="V4" t="s">
        <v>117</v>
      </c>
      <c r="W4" s="239">
        <f t="shared" si="0"/>
        <v>31</v>
      </c>
      <c r="X4" t="s">
        <v>117</v>
      </c>
      <c r="Y4" s="240">
        <f t="shared" si="0"/>
        <v>31</v>
      </c>
      <c r="Z4" t="s">
        <v>119</v>
      </c>
      <c r="AB4" s="223">
        <f>'Short &amp; Simple'!I48</f>
        <v>0</v>
      </c>
      <c r="AC4" s="244" t="s">
        <v>122</v>
      </c>
    </row>
    <row r="5" spans="2:33" ht="15.75" thickTop="1">
      <c r="B5" t="s">
        <v>115</v>
      </c>
      <c r="C5" s="297" t="s">
        <v>120</v>
      </c>
      <c r="D5" s="298" t="s">
        <v>117</v>
      </c>
      <c r="E5" s="299" t="s">
        <v>120</v>
      </c>
      <c r="F5" s="298" t="s">
        <v>117</v>
      </c>
      <c r="G5" s="299" t="s">
        <v>120</v>
      </c>
      <c r="H5" s="298" t="s">
        <v>117</v>
      </c>
      <c r="I5" s="300" t="s">
        <v>120</v>
      </c>
      <c r="J5" t="s">
        <v>117</v>
      </c>
      <c r="K5" s="232" t="str">
        <f>IF(Output!$D2="",$AB$42,IF(Output!$I2=0,$AB$42,IF(VLOOKUP(Output!$D2,$AB$3:$AC$38,2,FALSE)=K$3,IF(Output!$J2&lt;AG6,Output!$A2,$AB$42),$AB$42)))</f>
        <v>------------</v>
      </c>
      <c r="L5" s="242" t="s">
        <v>117</v>
      </c>
      <c r="M5" s="226" t="str">
        <f>IF(Output!$D2="",$AB$42,IF(Output!$I2=0,$AB$42,IF(VLOOKUP(Output!$D2,$AB$3:$AC$38,2,FALSE)=M$3,IF(Output!$J2&lt;AG6,Output!$A2,$AB$42),$AB$42)))</f>
        <v>------------</v>
      </c>
      <c r="N5" s="242" t="s">
        <v>117</v>
      </c>
      <c r="O5" s="226" t="str">
        <f>IF(Output!$D2="",$AB$42,IF(Output!$I2=0,$AB$42,IF(VLOOKUP(Output!$D2,$AB$3:$AC$38,2,FALSE)=O$3,IF(Output!$J2&lt;AG6,Output!$A2,$AB$42),$AB$42)))</f>
        <v>------------</v>
      </c>
      <c r="P5" s="242" t="s">
        <v>117</v>
      </c>
      <c r="Q5" s="226" t="str">
        <f>IF(Output!$D2="",$AB$42,IF(Output!$I2=0,$AB$42,IF(VLOOKUP(Output!$D2,$AB$3:$AC$38,2,FALSE)=Q$3,IF(Output!$J2&lt;AG6,Output!$A2,$AB$42),$AB$42)))</f>
        <v>------------</v>
      </c>
      <c r="R5" s="242" t="s">
        <v>117</v>
      </c>
      <c r="S5" s="226" t="str">
        <f>IF(Output!$D2="",$AB$42,IF(Output!$I2=0,$AB$42,IF(VLOOKUP(Output!$D2,$AB$3:$AC$38,2,FALSE)=S$3,IF(Output!$J2&lt;AG6,Output!$A2,$AB$42),$AB$42)))</f>
        <v>------------</v>
      </c>
      <c r="T5" s="242" t="s">
        <v>117</v>
      </c>
      <c r="U5" s="226" t="str">
        <f>IF(Output!$D2="",$AB$42,IF(Output!$I2=0,$AB$42,IF(VLOOKUP(Output!$D2,$AB$3:$AC$38,2,FALSE)=U$3,IF(Output!$J2&lt;AG6,Output!$A2,$AB$42),$AB$42)))</f>
        <v>------------</v>
      </c>
      <c r="V5" s="242" t="s">
        <v>117</v>
      </c>
      <c r="W5" s="226" t="str">
        <f>IF(Output!$D2="",$AB$42,IF(Output!$I2=0,$AB$42,IF(VLOOKUP(Output!$D2,$AB$3:$AC$38,2,FALSE)=W$3,IF(Output!$J2&lt;AG6,Output!$A2,$AB$42),$AB$42)))</f>
        <v>------------</v>
      </c>
      <c r="X5" s="242" t="s">
        <v>117</v>
      </c>
      <c r="Y5" s="233" t="str">
        <f>IF(Output!$D2="",$AB$42,IF(Output!$I2=0,$AB$42,IF(VLOOKUP(Output!$D2,$AB$3:$AC$38,2,FALSE)=Y$3,IF(Output!$J2&lt;AG6,Output!$A2,$AB$42),$AB$42)))</f>
        <v>------------</v>
      </c>
      <c r="Z5" t="s">
        <v>119</v>
      </c>
      <c r="AB5" s="223">
        <f>'Short &amp; Simple'!I49</f>
        <v>0</v>
      </c>
      <c r="AC5" s="244" t="s">
        <v>122</v>
      </c>
      <c r="AE5" s="228"/>
    </row>
    <row r="6" spans="2:33" ht="15">
      <c r="B6" t="s">
        <v>115</v>
      </c>
      <c r="C6" s="296" t="s">
        <v>120</v>
      </c>
      <c r="D6" s="298" t="s">
        <v>117</v>
      </c>
      <c r="E6" s="301" t="s">
        <v>120</v>
      </c>
      <c r="F6" s="298" t="s">
        <v>117</v>
      </c>
      <c r="G6" s="301" t="s">
        <v>120</v>
      </c>
      <c r="H6" s="298" t="s">
        <v>117</v>
      </c>
      <c r="I6" s="245" t="s">
        <v>120</v>
      </c>
      <c r="J6" t="s">
        <v>117</v>
      </c>
      <c r="K6" s="234" t="str">
        <f>IF(Output!$D3="",$AB$42,IF(Output!$I3=0,$AB$42,IF(VLOOKUP(Output!$D3,$AB$3:$AC$38,2,FALSE)=K$3,IF(Output!$J3&lt;AG6,Output!$A3,$AB$42),$AB$42)))</f>
        <v>------------</v>
      </c>
      <c r="L6" s="242" t="s">
        <v>117</v>
      </c>
      <c r="M6" s="235" t="str">
        <f>IF(Output!$D3="",$AB$42,IF(Output!$I3=0,$AB$42,IF(VLOOKUP(Output!$D3,$AB$3:$AC$38,2,FALSE)=M$3,IF(Output!$J3&lt;AG6,Output!$A3,$AB$42),$AB$42)))</f>
        <v>------------</v>
      </c>
      <c r="N6" s="242" t="s">
        <v>117</v>
      </c>
      <c r="O6" s="235" t="str">
        <f>IF(Output!$D3="",$AB$42,IF(Output!$I3=0,$AB$42,IF(VLOOKUP(Output!$D3,$AB$3:$AC$38,2,FALSE)=O$3,IF(Output!$J3&lt;AG6,Output!$A3,$AB$42),$AB$42)))</f>
        <v>------------</v>
      </c>
      <c r="P6" s="242" t="s">
        <v>117</v>
      </c>
      <c r="Q6" s="235" t="str">
        <f>IF(Output!$D3="",$AB$42,IF(Output!$I3=0,$AB$42,IF(VLOOKUP(Output!$D3,$AB$3:$AC$38,2,FALSE)=Q$3,IF(Output!$J3&lt;AG6,Output!$A3,$AB$42),$AB$42)))</f>
        <v>------------</v>
      </c>
      <c r="R6" s="242" t="s">
        <v>117</v>
      </c>
      <c r="S6" s="235" t="str">
        <f>IF(Output!$D3="",$AB$42,IF(Output!$I3=0,$AB$42,IF(VLOOKUP(Output!$D3,$AB$3:$AC$38,2,FALSE)=S$3,IF(Output!$J3&lt;AG6,Output!$A3,$AB$42),$AB$42)))</f>
        <v>------------</v>
      </c>
      <c r="T6" s="242" t="s">
        <v>117</v>
      </c>
      <c r="U6" s="235" t="str">
        <f>IF(Output!$D3="",$AB$42,IF(Output!$I3=0,$AB$42,IF(VLOOKUP(Output!$D3,$AB$3:$AC$38,2,FALSE)=U$3,IF(Output!$J3&lt;AG6,Output!$A3,$AB$42),$AB$42)))</f>
        <v>------------</v>
      </c>
      <c r="V6" s="242" t="s">
        <v>117</v>
      </c>
      <c r="W6" s="235" t="str">
        <f>IF(Output!$D3="",$AB$42,IF(Output!$I3=0,$AB$42,IF(VLOOKUP(Output!$D3,$AB$3:$AC$38,2,FALSE)=W$3,IF(Output!$J3&lt;AG6,Output!$A3,$AB$42),$AB$42)))</f>
        <v>------------</v>
      </c>
      <c r="X6" s="242" t="s">
        <v>117</v>
      </c>
      <c r="Y6" s="236" t="str">
        <f>IF(Output!$D3="",$AB$42,IF(Output!$I3=0,$AB$42,IF(VLOOKUP(Output!$D3,$AB$3:$AC$38,2,FALSE)=Y$3,IF(Output!$J3&lt;AG6,Output!$A3,$AB$42),$AB$42)))</f>
        <v>------------</v>
      </c>
      <c r="Z6" t="s">
        <v>119</v>
      </c>
      <c r="AB6" s="223">
        <f>'Short &amp; Simple'!I50</f>
        <v>0</v>
      </c>
      <c r="AC6" s="244" t="s">
        <v>122</v>
      </c>
      <c r="AG6">
        <f>'Short &amp; Simple'!F83/100</f>
        <v>0.4</v>
      </c>
    </row>
    <row r="7" spans="2:33" ht="15">
      <c r="B7" t="s">
        <v>115</v>
      </c>
      <c r="C7" s="296" t="s">
        <v>120</v>
      </c>
      <c r="D7" s="298" t="s">
        <v>117</v>
      </c>
      <c r="E7" s="301" t="s">
        <v>120</v>
      </c>
      <c r="F7" s="298" t="s">
        <v>117</v>
      </c>
      <c r="G7" s="301" t="s">
        <v>120</v>
      </c>
      <c r="H7" s="298" t="s">
        <v>117</v>
      </c>
      <c r="I7" s="245" t="s">
        <v>120</v>
      </c>
      <c r="J7" t="s">
        <v>117</v>
      </c>
      <c r="K7" s="234" t="str">
        <f>IF(Output!$D4="",$AB$42,IF(Output!$I4=0,$AB$42,IF(VLOOKUP(Output!$D4,$AB$3:$AC$38,2,FALSE)=K$3,IF(Output!$J4&lt;AG6,Output!$A4,$AB$42),$AB$42)))</f>
        <v>------------</v>
      </c>
      <c r="L7" s="242" t="s">
        <v>117</v>
      </c>
      <c r="M7" s="235" t="str">
        <f>IF(Output!$D4="",$AB$42,IF(Output!$I4=0,$AB$42,IF(VLOOKUP(Output!$D4,$AB$3:$AC$38,2,FALSE)=M$3,IF(Output!$J4&lt;AG6,Output!$A4,$AB$42),$AB$42)))</f>
        <v>------------</v>
      </c>
      <c r="N7" s="242" t="s">
        <v>117</v>
      </c>
      <c r="O7" s="235" t="str">
        <f>IF(Output!$D4="",$AB$42,IF(Output!$I4=0,$AB$42,IF(VLOOKUP(Output!$D4,$AB$3:$AC$38,2,FALSE)=O$3,IF(Output!$J4&lt;AG6,Output!$A4,$AB$42),$AB$42)))</f>
        <v>------------</v>
      </c>
      <c r="P7" s="242" t="s">
        <v>117</v>
      </c>
      <c r="Q7" s="235" t="str">
        <f>IF(Output!$D4="",$AB$42,IF(Output!$I4=0,$AB$42,IF(VLOOKUP(Output!$D4,$AB$3:$AC$38,2,FALSE)=Q$3,IF(Output!$J4&lt;AG6,Output!$A4,$AB$42),$AB$42)))</f>
        <v>------------</v>
      </c>
      <c r="R7" s="242" t="s">
        <v>117</v>
      </c>
      <c r="S7" s="235" t="str">
        <f>IF(Output!$D4="",$AB$42,IF(Output!$I4=0,$AB$42,IF(VLOOKUP(Output!$D4,$AB$3:$AC$38,2,FALSE)=S$3,IF(Output!$J4&lt;AG6,Output!$A4,$AB$42),$AB$42)))</f>
        <v>------------</v>
      </c>
      <c r="T7" s="242" t="s">
        <v>117</v>
      </c>
      <c r="U7" s="235" t="str">
        <f>IF(Output!$D4="",$AB$42,IF(Output!$I4=0,$AB$42,IF(VLOOKUP(Output!$D4,$AB$3:$AC$38,2,FALSE)=U$3,IF(Output!$J4&lt;AG6,Output!$A4,$AB$42),$AB$42)))</f>
        <v>------------</v>
      </c>
      <c r="V7" s="242" t="s">
        <v>117</v>
      </c>
      <c r="W7" s="235" t="str">
        <f>IF(Output!$D4="",$AB$42,IF(Output!$I4=0,$AB$42,IF(VLOOKUP(Output!$D4,$AB$3:$AC$38,2,FALSE)=W$3,IF(Output!$J4&lt;AG6,Output!$A4,$AB$42),$AB$42)))</f>
        <v>------------</v>
      </c>
      <c r="X7" s="242" t="s">
        <v>117</v>
      </c>
      <c r="Y7" s="236" t="str">
        <f>IF(Output!$D4="",$AB$42,IF(Output!$I4=0,$AB$42,IF(VLOOKUP(Output!$D4,$AB$3:$AC$38,2,FALSE)=Y$3,IF(Output!$J4&lt;AG6,Output!$A4,$AB$42),$AB$42)))</f>
        <v>------------</v>
      </c>
      <c r="Z7" t="s">
        <v>119</v>
      </c>
      <c r="AB7" s="223" t="str">
        <f>'Short &amp; Simple'!H51</f>
        <v>Hunter - Beast Mastery</v>
      </c>
      <c r="AC7" s="244" t="s">
        <v>122</v>
      </c>
    </row>
    <row r="8" spans="2:33" ht="15">
      <c r="B8" t="s">
        <v>115</v>
      </c>
      <c r="C8" s="296" t="s">
        <v>120</v>
      </c>
      <c r="D8" s="298" t="s">
        <v>117</v>
      </c>
      <c r="E8" s="301" t="s">
        <v>120</v>
      </c>
      <c r="F8" s="298" t="s">
        <v>117</v>
      </c>
      <c r="G8" s="301" t="s">
        <v>120</v>
      </c>
      <c r="H8" s="298" t="s">
        <v>117</v>
      </c>
      <c r="I8" s="245" t="s">
        <v>120</v>
      </c>
      <c r="J8" t="s">
        <v>117</v>
      </c>
      <c r="K8" s="234" t="str">
        <f>IF(Output!$D5="",$AB$42,IF(Output!$I5=0,$AB$42,IF(VLOOKUP(Output!$D5,$AB$3:$AC$38,2,FALSE)=K$3,IF(Output!$J5&lt;AG6,Output!$A5,$AB$42),$AB$42)))</f>
        <v>------------</v>
      </c>
      <c r="L8" s="242" t="s">
        <v>117</v>
      </c>
      <c r="M8" s="235" t="str">
        <f>IF(Output!$D5="",$AB$42,IF(Output!$I5=0,$AB$42,IF(VLOOKUP(Output!$D5,$AB$3:$AC$38,2,FALSE)=M$3,IF(Output!$J5&lt;AG6,Output!$A5,$AB$42),$AB$42)))</f>
        <v>------------</v>
      </c>
      <c r="N8" s="242" t="s">
        <v>117</v>
      </c>
      <c r="O8" s="235" t="str">
        <f>IF(Output!$D5="",$AB$42,IF(Output!$I5=0,$AB$42,IF(VLOOKUP(Output!$D5,$AB$3:$AC$38,2,FALSE)=O$3,IF(Output!$J5&lt;AG6,Output!$A5,$AB$42),$AB$42)))</f>
        <v>------------</v>
      </c>
      <c r="P8" s="242" t="s">
        <v>117</v>
      </c>
      <c r="Q8" s="235" t="str">
        <f>IF(Output!$D5="",$AB$42,IF(Output!$I5=0,$AB$42,IF(VLOOKUP(Output!$D5,$AB$3:$AC$38,2,FALSE)=Q$3,IF(Output!$J5&lt;AG6,Output!$A5,$AB$42),$AB$42)))</f>
        <v>------------</v>
      </c>
      <c r="R8" s="242" t="s">
        <v>117</v>
      </c>
      <c r="S8" s="235" t="str">
        <f>IF(Output!$D5="",$AB$42,IF(Output!$I5=0,$AB$42,IF(VLOOKUP(Output!$D5,$AB$3:$AC$38,2,FALSE)=S$3,IF(Output!$J5&lt;AG6,Output!$A5,$AB$42),$AB$42)))</f>
        <v>------------</v>
      </c>
      <c r="T8" s="242" t="s">
        <v>117</v>
      </c>
      <c r="U8" s="235" t="str">
        <f>IF(Output!$D5="",$AB$42,IF(Output!$I5=0,$AB$42,IF(VLOOKUP(Output!$D5,$AB$3:$AC$38,2,FALSE)=U$3,IF(Output!$J5&lt;AG6,Output!$A5,$AB$42),$AB$42)))</f>
        <v>------------</v>
      </c>
      <c r="V8" s="242" t="s">
        <v>117</v>
      </c>
      <c r="W8" s="235" t="str">
        <f>IF(Output!$D5="",$AB$42,IF(Output!$I5=0,$AB$42,IF(VLOOKUP(Output!$D5,$AB$3:$AC$38,2,FALSE)=W$3,IF(Output!$J5&lt;AG6,Output!$A5,$AB$42),$AB$42)))</f>
        <v>------------</v>
      </c>
      <c r="X8" s="242" t="s">
        <v>117</v>
      </c>
      <c r="Y8" s="236" t="str">
        <f>IF(Output!$D5="",$AB$42,IF(Output!$I5=0,$AB$42,IF(VLOOKUP(Output!$D5,$AB$3:$AC$38,2,FALSE)=Y$3,IF(Output!$J5&lt;AG6,Output!$A5,$AB$42),$AB$42)))</f>
        <v>------------</v>
      </c>
      <c r="Z8" t="s">
        <v>119</v>
      </c>
      <c r="AB8" s="223" t="str">
        <f>'Short &amp; Simple'!H52</f>
        <v>Hunter - Marksmanship</v>
      </c>
      <c r="AC8" s="244" t="s">
        <v>122</v>
      </c>
      <c r="AF8" t="str">
        <f>U$3</f>
        <v>------------</v>
      </c>
    </row>
    <row r="9" spans="2:33" ht="15">
      <c r="B9" t="s">
        <v>115</v>
      </c>
      <c r="C9" s="296" t="s">
        <v>120</v>
      </c>
      <c r="D9" s="298" t="s">
        <v>117</v>
      </c>
      <c r="E9" s="301" t="s">
        <v>120</v>
      </c>
      <c r="F9" s="298" t="s">
        <v>117</v>
      </c>
      <c r="G9" s="301" t="s">
        <v>120</v>
      </c>
      <c r="H9" s="298" t="s">
        <v>117</v>
      </c>
      <c r="I9" s="245" t="s">
        <v>120</v>
      </c>
      <c r="J9" t="s">
        <v>117</v>
      </c>
      <c r="K9" s="234" t="str">
        <f>IF(Output!$D6="",$AB$42,IF(Output!$I6=0,$AB$42,IF(VLOOKUP(Output!$D6,$AB$3:$AC$38,2,FALSE)=K$3,IF(Output!$J6&lt;AG6,Output!$A6,$AB$42),$AB$42)))</f>
        <v>------------</v>
      </c>
      <c r="L9" s="242" t="s">
        <v>117</v>
      </c>
      <c r="M9" s="235" t="str">
        <f>IF(Output!$D6="",$AB$42,IF(Output!$I6=0,$AB$42,IF(VLOOKUP(Output!$D6,$AB$3:$AC$38,2,FALSE)=M$3,IF(Output!$J6&lt;AG6,Output!$A6,$AB$42),$AB$42)))</f>
        <v>------------</v>
      </c>
      <c r="N9" s="242" t="s">
        <v>117</v>
      </c>
      <c r="O9" s="235" t="str">
        <f>IF(Output!$D6="",$AB$42,IF(Output!$I6=0,$AB$42,IF(VLOOKUP(Output!$D6,$AB$3:$AC$38,2,FALSE)=O$3,IF(Output!$J6&lt;AG6,Output!$A6,$AB$42),$AB$42)))</f>
        <v>------------</v>
      </c>
      <c r="P9" s="242" t="s">
        <v>117</v>
      </c>
      <c r="Q9" s="235" t="str">
        <f>IF(Output!$D6="",$AB$42,IF(Output!$I6=0,$AB$42,IF(VLOOKUP(Output!$D6,$AB$3:$AC$38,2,FALSE)=Q$3,IF(Output!$J6&lt;AG6,Output!$A6,$AB$42),$AB$42)))</f>
        <v>------------</v>
      </c>
      <c r="R9" s="242" t="s">
        <v>117</v>
      </c>
      <c r="S9" s="235" t="str">
        <f>IF(Output!$D6="",$AB$42,IF(Output!$I6=0,$AB$42,IF(VLOOKUP(Output!$D6,$AB$3:$AC$38,2,FALSE)=S$3,IF(Output!$J6&lt;AG6,Output!$A6,$AB$42),$AB$42)))</f>
        <v>------------</v>
      </c>
      <c r="T9" s="242" t="s">
        <v>117</v>
      </c>
      <c r="U9" s="235" t="str">
        <f>IF(Output!$D6="",$AB$42,IF(Output!$I6=0,$AB$42,IF(VLOOKUP(Output!$D6,$AB$3:$AC$38,2,FALSE)=U$3,IF(Output!$J6&lt;AG6,Output!$A6,$AB$42),$AB$42)))</f>
        <v>------------</v>
      </c>
      <c r="V9" s="242" t="s">
        <v>117</v>
      </c>
      <c r="W9" s="235" t="str">
        <f>IF(Output!$D6="",$AB$42,IF(Output!$I6=0,$AB$42,IF(VLOOKUP(Output!$D6,$AB$3:$AC$38,2,FALSE)=W$3,IF(Output!$J6&lt;AG6,Output!$A6,$AB$42),$AB$42)))</f>
        <v>------------</v>
      </c>
      <c r="X9" s="242" t="s">
        <v>117</v>
      </c>
      <c r="Y9" s="236" t="str">
        <f>IF(Output!$D6="",$AB$42,IF(Output!$I6=0,$AB$42,IF(VLOOKUP(Output!$D6,$AB$3:$AC$38,2,FALSE)=Y$3,IF(Output!$J6&lt;AG6,Output!$A6,$AB$42),$AB$42)))</f>
        <v>------------</v>
      </c>
      <c r="Z9" t="s">
        <v>119</v>
      </c>
      <c r="AB9" s="223" t="str">
        <f>'Short &amp; Simple'!H53</f>
        <v>Hunter - Survival</v>
      </c>
      <c r="AC9" s="244" t="s">
        <v>122</v>
      </c>
      <c r="AF9" t="str">
        <f>W$3</f>
        <v>------------</v>
      </c>
    </row>
    <row r="10" spans="2:33" ht="15">
      <c r="B10" t="s">
        <v>115</v>
      </c>
      <c r="C10" s="296" t="s">
        <v>120</v>
      </c>
      <c r="D10" s="298" t="s">
        <v>117</v>
      </c>
      <c r="E10" s="301" t="s">
        <v>120</v>
      </c>
      <c r="F10" s="298" t="s">
        <v>117</v>
      </c>
      <c r="G10" s="301" t="s">
        <v>120</v>
      </c>
      <c r="H10" s="298" t="s">
        <v>117</v>
      </c>
      <c r="I10" s="245" t="s">
        <v>120</v>
      </c>
      <c r="J10" t="s">
        <v>117</v>
      </c>
      <c r="K10" s="234" t="str">
        <f>IF(Output!$D7="",$AB$42,IF(Output!$I7=0,$AB$42,IF(VLOOKUP(Output!$D7,$AB$3:$AC$38,2,FALSE)=K$3,IF(Output!$J7&lt;AG6,Output!$A7,$AB$42),$AB$42)))</f>
        <v>------------</v>
      </c>
      <c r="L10" s="242" t="s">
        <v>117</v>
      </c>
      <c r="M10" s="235" t="str">
        <f>IF(Output!$D7="",$AB$42,IF(Output!$I7=0,$AB$42,IF(VLOOKUP(Output!$D7,$AB$3:$AC$38,2,FALSE)=M$3,IF(Output!$J7&lt;AG6,Output!$A7,$AB$42),$AB$42)))</f>
        <v>------------</v>
      </c>
      <c r="N10" s="242" t="s">
        <v>117</v>
      </c>
      <c r="O10" s="235" t="str">
        <f>IF(Output!$D7="",$AB$42,IF(Output!$I7=0,$AB$42,IF(VLOOKUP(Output!$D7,$AB$3:$AC$38,2,FALSE)=O$3,IF(Output!$J7&lt;AG6,Output!$A7,$AB$42),$AB$42)))</f>
        <v>------------</v>
      </c>
      <c r="P10" s="242" t="s">
        <v>117</v>
      </c>
      <c r="Q10" s="235" t="str">
        <f>IF(Output!$D7="",$AB$42,IF(Output!$I7=0,$AB$42,IF(VLOOKUP(Output!$D7,$AB$3:$AC$38,2,FALSE)=Q$3,IF(Output!$J7&lt;AG6,Output!$A7,$AB$42),$AB$42)))</f>
        <v>------------</v>
      </c>
      <c r="R10" s="242" t="s">
        <v>117</v>
      </c>
      <c r="S10" s="235" t="str">
        <f>IF(Output!$D7="",$AB$42,IF(Output!$I7=0,$AB$42,IF(VLOOKUP(Output!$D7,$AB$3:$AC$38,2,FALSE)=S$3,IF(Output!$J7&lt;AG6,Output!$A7,$AB$42),$AB$42)))</f>
        <v>------------</v>
      </c>
      <c r="T10" s="242" t="s">
        <v>117</v>
      </c>
      <c r="U10" s="235" t="str">
        <f>IF(Output!$D7="",$AB$42,IF(Output!$I7=0,$AB$42,IF(VLOOKUP(Output!$D7,$AB$3:$AC$38,2,FALSE)=U$3,IF(Output!$J7&lt;AG6,Output!$A7,$AB$42),$AB$42)))</f>
        <v>------------</v>
      </c>
      <c r="V10" s="242" t="s">
        <v>117</v>
      </c>
      <c r="W10" s="235" t="str">
        <f>IF(Output!$D7="",$AB$42,IF(Output!$I7=0,$AB$42,IF(VLOOKUP(Output!$D7,$AB$3:$AC$38,2,FALSE)=W$3,IF(Output!$J7&lt;AG6,Output!$A7,$AB$42),$AB$42)))</f>
        <v>------------</v>
      </c>
      <c r="X10" s="242" t="s">
        <v>117</v>
      </c>
      <c r="Y10" s="236" t="str">
        <f>IF(Output!$D7="",$AB$42,IF(Output!$I7=0,$AB$42,IF(VLOOKUP(Output!$D7,$AB$3:$AC$38,2,FALSE)=Y$3,IF(Output!$J7&lt;AG6,Output!$A7,$AB$42),$AB$42)))</f>
        <v>------------</v>
      </c>
      <c r="Z10" t="s">
        <v>119</v>
      </c>
      <c r="AB10" s="223" t="str">
        <f>'Short &amp; Simple'!H54</f>
        <v>Mage - Arcane</v>
      </c>
      <c r="AC10" s="244" t="s">
        <v>122</v>
      </c>
      <c r="AF10" t="str">
        <f>Y$3</f>
        <v>------------</v>
      </c>
    </row>
    <row r="11" spans="2:33" ht="15">
      <c r="B11" t="s">
        <v>115</v>
      </c>
      <c r="C11" s="296" t="s">
        <v>122</v>
      </c>
      <c r="D11" s="298" t="s">
        <v>117</v>
      </c>
      <c r="E11" s="301" t="s">
        <v>120</v>
      </c>
      <c r="F11" s="298" t="s">
        <v>117</v>
      </c>
      <c r="G11" s="301" t="s">
        <v>120</v>
      </c>
      <c r="H11" s="298" t="s">
        <v>117</v>
      </c>
      <c r="I11" s="245" t="s">
        <v>120</v>
      </c>
      <c r="J11" t="s">
        <v>117</v>
      </c>
      <c r="K11" s="234" t="str">
        <f>IF(Output!$D8="",$AB$42,IF(Output!$I8=0,$AB$42,IF(VLOOKUP(Output!$D8,$AB$3:$AC$38,2,FALSE)=K$3,IF(Output!$J8&lt;AG6,Output!$A8,$AB$42),$AB$42)))</f>
        <v>------------</v>
      </c>
      <c r="L11" s="242" t="s">
        <v>117</v>
      </c>
      <c r="M11" s="235" t="str">
        <f>IF(Output!$D8="",$AB$42,IF(Output!$I8=0,$AB$42,IF(VLOOKUP(Output!$D8,$AB$3:$AC$38,2,FALSE)=M$3,IF(Output!$J8&lt;AG6,Output!$A8,$AB$42),$AB$42)))</f>
        <v>------------</v>
      </c>
      <c r="N11" s="242" t="s">
        <v>117</v>
      </c>
      <c r="O11" s="235" t="str">
        <f>IF(Output!$D8="",$AB$42,IF(Output!$I8=0,$AB$42,IF(VLOOKUP(Output!$D8,$AB$3:$AC$38,2,FALSE)=O$3,IF(Output!$J8&lt;AG6,Output!$A8,$AB$42),$AB$42)))</f>
        <v>------------</v>
      </c>
      <c r="P11" s="242" t="s">
        <v>117</v>
      </c>
      <c r="Q11" s="235" t="str">
        <f>IF(Output!$D8="",$AB$42,IF(Output!$I8=0,$AB$42,IF(VLOOKUP(Output!$D8,$AB$3:$AC$38,2,FALSE)=Q$3,IF(Output!$J8&lt;AG6,Output!$A8,$AB$42),$AB$42)))</f>
        <v>------------</v>
      </c>
      <c r="R11" s="242" t="s">
        <v>117</v>
      </c>
      <c r="S11" s="235" t="str">
        <f>IF(Output!$D8="",$AB$42,IF(Output!$I8=0,$AB$42,IF(VLOOKUP(Output!$D8,$AB$3:$AC$38,2,FALSE)=S$3,IF(Output!$J8&lt;AG6,Output!$A8,$AB$42),$AB$42)))</f>
        <v>------------</v>
      </c>
      <c r="T11" s="242" t="s">
        <v>117</v>
      </c>
      <c r="U11" s="235" t="str">
        <f>IF(Output!$D8="",$AB$42,IF(Output!$I8=0,$AB$42,IF(VLOOKUP(Output!$D8,$AB$3:$AC$38,2,FALSE)=U$3,IF(Output!$J8&lt;AG6,Output!$A8,$AB$42),$AB$42)))</f>
        <v>------------</v>
      </c>
      <c r="V11" s="242" t="s">
        <v>117</v>
      </c>
      <c r="W11" s="235" t="str">
        <f>IF(Output!$D8="",$AB$42,IF(Output!$I8=0,$AB$42,IF(VLOOKUP(Output!$D8,$AB$3:$AC$38,2,FALSE)=W$3,IF(Output!$J8&lt;AG6,Output!$A8,$AB$42),$AB$42)))</f>
        <v>------------</v>
      </c>
      <c r="X11" s="242" t="s">
        <v>117</v>
      </c>
      <c r="Y11" s="236" t="str">
        <f>IF(Output!$D8="",$AB$42,IF(Output!$I8=0,$AB$42,IF(VLOOKUP(Output!$D8,$AB$3:$AC$38,2,FALSE)=Y$3,IF(Output!$J8&lt;AG6,Output!$A8,$AB$42),$AB$42)))</f>
        <v>------------</v>
      </c>
      <c r="Z11" t="s">
        <v>119</v>
      </c>
      <c r="AB11" s="223" t="str">
        <f>'Short &amp; Simple'!H55</f>
        <v>Mage - Fire</v>
      </c>
      <c r="AC11" s="244" t="s">
        <v>122</v>
      </c>
    </row>
    <row r="12" spans="2:33" ht="15">
      <c r="B12" t="s">
        <v>115</v>
      </c>
      <c r="C12" s="296" t="s">
        <v>120</v>
      </c>
      <c r="D12" s="298" t="s">
        <v>117</v>
      </c>
      <c r="E12" s="301" t="s">
        <v>120</v>
      </c>
      <c r="F12" s="298" t="s">
        <v>117</v>
      </c>
      <c r="G12" s="301" t="s">
        <v>120</v>
      </c>
      <c r="H12" s="298" t="s">
        <v>117</v>
      </c>
      <c r="I12" s="245" t="s">
        <v>120</v>
      </c>
      <c r="J12" t="s">
        <v>117</v>
      </c>
      <c r="K12" s="234" t="str">
        <f>IF(Output!$D9="",$AB$42,IF(Output!$I9=0,$AB$42,IF(VLOOKUP(Output!$D9,$AB$3:$AC$38,2,FALSE)=K$3,IF(Output!$J9&lt;AG6,Output!$A9,$AB$42),$AB$42)))</f>
        <v>------------</v>
      </c>
      <c r="L12" s="242" t="s">
        <v>117</v>
      </c>
      <c r="M12" s="235" t="str">
        <f>IF(Output!$D9="",$AB$42,IF(Output!$I9=0,$AB$42,IF(VLOOKUP(Output!$D9,$AB$3:$AC$38,2,FALSE)=M$3,IF(Output!$J9&lt;AG6,Output!$A9,$AB$42),$AB$42)))</f>
        <v>------------</v>
      </c>
      <c r="N12" s="242" t="s">
        <v>117</v>
      </c>
      <c r="O12" s="235" t="str">
        <f>IF(Output!$D9="",$AB$42,IF(Output!$I9=0,$AB$42,IF(VLOOKUP(Output!$D9,$AB$3:$AC$38,2,FALSE)=O$3,IF(Output!$J9&lt;AG6,Output!$A9,$AB$42),$AB$42)))</f>
        <v>------------</v>
      </c>
      <c r="P12" s="242" t="s">
        <v>117</v>
      </c>
      <c r="Q12" s="235" t="str">
        <f>IF(Output!$D9="",$AB$42,IF(Output!$I9=0,$AB$42,IF(VLOOKUP(Output!$D9,$AB$3:$AC$38,2,FALSE)=Q$3,IF(Output!$J9&lt;AG6,Output!$A9,$AB$42),$AB$42)))</f>
        <v>------------</v>
      </c>
      <c r="R12" s="242" t="s">
        <v>117</v>
      </c>
      <c r="S12" s="235" t="str">
        <f>IF(Output!$D9="",$AB$42,IF(Output!$I9=0,$AB$42,IF(VLOOKUP(Output!$D9,$AB$3:$AC$38,2,FALSE)=S$3,IF(Output!$J9&lt;AG6,Output!$A9,$AB$42),$AB$42)))</f>
        <v>------------</v>
      </c>
      <c r="T12" s="242" t="s">
        <v>117</v>
      </c>
      <c r="U12" s="235" t="str">
        <f>IF(Output!$D9="",$AB$42,IF(Output!$I9=0,$AB$42,IF(VLOOKUP(Output!$D9,$AB$3:$AC$38,2,FALSE)=U$3,IF(Output!$J9&lt;AG6,Output!$A9,$AB$42),$AB$42)))</f>
        <v>------------</v>
      </c>
      <c r="V12" s="242" t="s">
        <v>117</v>
      </c>
      <c r="W12" s="235" t="str">
        <f>IF(Output!$D9="",$AB$42,IF(Output!$I9=0,$AB$42,IF(VLOOKUP(Output!$D9,$AB$3:$AC$38,2,FALSE)=W$3,IF(Output!$J9&lt;AG6,Output!$A9,$AB$42),$AB$42)))</f>
        <v>------------</v>
      </c>
      <c r="X12" s="242" t="s">
        <v>117</v>
      </c>
      <c r="Y12" s="236" t="str">
        <f>IF(Output!$D9="",$AB$42,IF(Output!$I9=0,$AB$42,IF(VLOOKUP(Output!$D9,$AB$3:$AC$38,2,FALSE)=Y$3,IF(Output!$J9&lt;AG6,Output!$A9,$AB$42),$AB$42)))</f>
        <v>------------</v>
      </c>
      <c r="Z12" t="s">
        <v>119</v>
      </c>
      <c r="AB12" s="223" t="str">
        <f>'Short &amp; Simple'!H56</f>
        <v>Mage - Frost</v>
      </c>
      <c r="AC12" s="244" t="s">
        <v>122</v>
      </c>
    </row>
    <row r="13" spans="2:33" ht="15">
      <c r="B13" t="s">
        <v>115</v>
      </c>
      <c r="C13" s="296" t="s">
        <v>120</v>
      </c>
      <c r="D13" s="298" t="s">
        <v>117</v>
      </c>
      <c r="E13" s="301" t="s">
        <v>120</v>
      </c>
      <c r="F13" s="298" t="s">
        <v>117</v>
      </c>
      <c r="G13" s="301" t="s">
        <v>120</v>
      </c>
      <c r="H13" s="298" t="s">
        <v>117</v>
      </c>
      <c r="I13" s="245" t="s">
        <v>120</v>
      </c>
      <c r="J13" t="s">
        <v>117</v>
      </c>
      <c r="K13" s="234" t="str">
        <f>IF(Output!$D10="",$AB$42,IF(Output!$I10=0,$AB$42,IF(VLOOKUP(Output!$D10,$AB$3:$AC$38,2,FALSE)=K$3,IF(Output!$J10&lt;AG6,Output!$A10,$AB$42),$AB$42)))</f>
        <v>------------</v>
      </c>
      <c r="L13" s="242" t="s">
        <v>117</v>
      </c>
      <c r="M13" s="235" t="str">
        <f>IF(Output!$D10="",$AB$42,IF(Output!$I10=0,$AB$42,IF(VLOOKUP(Output!$D10,$AB$3:$AC$38,2,FALSE)=M$3,IF(Output!$J10&lt;AG6,Output!$A10,$AB$42),$AB$42)))</f>
        <v>------------</v>
      </c>
      <c r="N13" s="242" t="s">
        <v>117</v>
      </c>
      <c r="O13" s="235" t="str">
        <f>IF(Output!$D10="",$AB$42,IF(Output!$I10=0,$AB$42,IF(VLOOKUP(Output!$D10,$AB$3:$AC$38,2,FALSE)=O$3,IF(Output!$J10&lt;AG6,Output!$A10,$AB$42),$AB$42)))</f>
        <v>------------</v>
      </c>
      <c r="P13" s="242" t="s">
        <v>117</v>
      </c>
      <c r="Q13" s="235" t="str">
        <f>IF(Output!$D10="",$AB$42,IF(Output!$I10=0,$AB$42,IF(VLOOKUP(Output!$D10,$AB$3:$AC$38,2,FALSE)=Q$3,IF(Output!$J10&lt;AG6,Output!$A10,$AB$42),$AB$42)))</f>
        <v>------------</v>
      </c>
      <c r="R13" s="242" t="s">
        <v>117</v>
      </c>
      <c r="S13" s="235" t="str">
        <f>IF(Output!$D10="",$AB$42,IF(Output!$I10=0,$AB$42,IF(VLOOKUP(Output!$D10,$AB$3:$AC$38,2,FALSE)=S$3,IF(Output!$J10&lt;AG6,Output!$A10,$AB$42),$AB$42)))</f>
        <v>------------</v>
      </c>
      <c r="T13" s="242" t="s">
        <v>117</v>
      </c>
      <c r="U13" s="235" t="str">
        <f>IF(Output!$D10="",$AB$42,IF(Output!$I10=0,$AB$42,IF(VLOOKUP(Output!$D10,$AB$3:$AC$38,2,FALSE)=U$3,IF(Output!$J10&lt;AG6,Output!$A10,$AB$42),$AB$42)))</f>
        <v>------------</v>
      </c>
      <c r="V13" s="242" t="s">
        <v>117</v>
      </c>
      <c r="W13" s="235" t="str">
        <f>IF(Output!$D10="",$AB$42,IF(Output!$I10=0,$AB$42,IF(VLOOKUP(Output!$D10,$AB$3:$AC$38,2,FALSE)=W$3,IF(Output!$J10&lt;AG6,Output!$A10,$AB$42),$AB$42)))</f>
        <v>------------</v>
      </c>
      <c r="X13" s="242" t="s">
        <v>117</v>
      </c>
      <c r="Y13" s="236" t="str">
        <f>IF(Output!$D10="",$AB$42,IF(Output!$I10=0,$AB$42,IF(VLOOKUP(Output!$D10,$AB$3:$AC$38,2,FALSE)=Y$3,IF(Output!$J10&lt;AG6,Output!$A10,$AB$42),$AB$42)))</f>
        <v>------------</v>
      </c>
      <c r="Z13" t="s">
        <v>119</v>
      </c>
      <c r="AB13" s="223" t="str">
        <f>'Short &amp; Simple'!H57</f>
        <v>Monk - Windwalker</v>
      </c>
      <c r="AC13" s="244" t="s">
        <v>122</v>
      </c>
    </row>
    <row r="14" spans="2:33" ht="15">
      <c r="B14" t="s">
        <v>115</v>
      </c>
      <c r="C14" s="296" t="s">
        <v>120</v>
      </c>
      <c r="D14" s="298" t="s">
        <v>117</v>
      </c>
      <c r="E14" s="301" t="s">
        <v>120</v>
      </c>
      <c r="F14" s="298" t="s">
        <v>117</v>
      </c>
      <c r="G14" s="301" t="s">
        <v>120</v>
      </c>
      <c r="H14" s="298" t="s">
        <v>117</v>
      </c>
      <c r="I14" s="245" t="s">
        <v>120</v>
      </c>
      <c r="J14" t="s">
        <v>117</v>
      </c>
      <c r="K14" s="235" t="str">
        <f>IF(Output!$D11="",$AB$42,IF(Output!$I11=0,$AB$42,IF(VLOOKUP(Output!$D11,$AB$3:$AC$38,2,FALSE)=K$3,IF(Output!$J11&lt;AG6,Output!$A11,$AB$42),$AB$42)))</f>
        <v>------------</v>
      </c>
      <c r="L14" s="242" t="s">
        <v>117</v>
      </c>
      <c r="M14" s="235" t="str">
        <f>IF(Output!$D11="",$AB$42,IF(Output!$I11=0,$AB$42,IF(VLOOKUP(Output!$D11,$AB$3:$AC$38,2,FALSE)=M$3,IF(Output!$J11&lt;AG6,Output!$A11,$AB$42),$AB$42)))</f>
        <v>------------</v>
      </c>
      <c r="N14" s="242" t="s">
        <v>117</v>
      </c>
      <c r="O14" s="235" t="str">
        <f>IF(Output!$D11="",$AB$42,IF(Output!$I11=0,$AB$42,IF(VLOOKUP(Output!$D11,$AB$3:$AC$38,2,FALSE)=O$3,IF(Output!$J11&lt;AG6,Output!$A11,$AB$42),$AB$42)))</f>
        <v>------------</v>
      </c>
      <c r="P14" s="242" t="s">
        <v>117</v>
      </c>
      <c r="Q14" s="235" t="str">
        <f>IF(Output!$D11="",$AB$42,IF(Output!$I11=0,$AB$42,IF(VLOOKUP(Output!$D11,$AB$3:$AC$38,2,FALSE)=Q$3,IF(Output!$J11&lt;AG6,Output!$A11,$AB$42),$AB$42)))</f>
        <v>------------</v>
      </c>
      <c r="R14" s="242" t="s">
        <v>117</v>
      </c>
      <c r="S14" s="235" t="str">
        <f>IF(Output!$D11="",$AB$42,IF(Output!$I11=0,$AB$42,IF(VLOOKUP(Output!$D11,$AB$3:$AC$38,2,FALSE)=S$3,IF(Output!$J11&lt;AG6,Output!$A11,$AB$42),$AB$42)))</f>
        <v>------------</v>
      </c>
      <c r="T14" s="242" t="s">
        <v>117</v>
      </c>
      <c r="U14" s="235" t="str">
        <f>IF(Output!$D11="",$AB$42,IF(Output!$I11=0,$AB$42,IF(VLOOKUP(Output!$D11,$AB$3:$AC$38,2,FALSE)=U$3,IF(Output!$J11&lt;AG6,Output!$A11,$AB$42),$AB$42)))</f>
        <v>------------</v>
      </c>
      <c r="V14" s="242" t="s">
        <v>117</v>
      </c>
      <c r="W14" s="235" t="str">
        <f>IF(Output!$D11="",$AB$42,IF(Output!$I11=0,$AB$42,IF(VLOOKUP(Output!$D11,$AB$3:$AC$38,2,FALSE)=W$3,IF(Output!$J11&lt;AG6,Output!$A11,$AB$42),$AB$42)))</f>
        <v>------------</v>
      </c>
      <c r="X14" s="242" t="s">
        <v>117</v>
      </c>
      <c r="Y14" s="236" t="str">
        <f>IF(Output!$D11="",$AB$42,IF(Output!$I11=0,$AB$42,IF(VLOOKUP(Output!$D11,$AB$3:$AC$38,2,FALSE)=Y$3,IF(Output!$J11&lt;AG6,Output!$A11,$AB$42),$AB$42)))</f>
        <v>------------</v>
      </c>
      <c r="Z14" t="s">
        <v>119</v>
      </c>
      <c r="AB14" s="223" t="str">
        <f>'Short &amp; Simple'!H58</f>
        <v>Paladin - Retribution</v>
      </c>
      <c r="AC14" s="244" t="s">
        <v>122</v>
      </c>
    </row>
    <row r="15" spans="2:33" ht="15">
      <c r="B15" t="s">
        <v>115</v>
      </c>
      <c r="C15" s="296" t="s">
        <v>120</v>
      </c>
      <c r="D15" s="298" t="s">
        <v>117</v>
      </c>
      <c r="E15" s="301" t="s">
        <v>120</v>
      </c>
      <c r="F15" s="298" t="s">
        <v>117</v>
      </c>
      <c r="G15" s="301" t="s">
        <v>120</v>
      </c>
      <c r="H15" s="298" t="s">
        <v>117</v>
      </c>
      <c r="I15" s="245" t="s">
        <v>120</v>
      </c>
      <c r="J15" t="s">
        <v>117</v>
      </c>
      <c r="K15" s="235" t="str">
        <f>IF(Output!$D12="",$AB$42,IF(Output!$I12=0,$AB$42,IF(VLOOKUP(Output!$D12,$AB$3:$AC$38,2,FALSE)=K$3,IF(Output!$J12&lt;AG6,Output!$A12,$AB$42),$AB$42)))</f>
        <v>------------</v>
      </c>
      <c r="L15" s="242" t="s">
        <v>117</v>
      </c>
      <c r="M15" s="235" t="str">
        <f>IF(Output!$D12="",$AB$42,IF(Output!$I12=0,$AB$42,IF(VLOOKUP(Output!$D12,$AB$3:$AC$38,2,FALSE)=M$3,IF(Output!$J12&lt;AG6,Output!$A12,$AB$42),$AB$42)))</f>
        <v>------------</v>
      </c>
      <c r="N15" s="242" t="s">
        <v>117</v>
      </c>
      <c r="O15" s="235" t="str">
        <f>IF(Output!$D12="",$AB$42,IF(Output!$I12=0,$AB$42,IF(VLOOKUP(Output!$D12,$AB$3:$AC$38,2,FALSE)=O$3,IF(Output!$J12&lt;AG6,Output!$A12,$AB$42),$AB$42)))</f>
        <v>------------</v>
      </c>
      <c r="P15" s="242" t="s">
        <v>117</v>
      </c>
      <c r="Q15" s="235" t="str">
        <f>IF(Output!$D12="",$AB$42,IF(Output!$I12=0,$AB$42,IF(VLOOKUP(Output!$D12,$AB$3:$AC$38,2,FALSE)=Q$3,IF(Output!$J12&lt;AG6,Output!$A12,$AB$42),$AB$42)))</f>
        <v>------------</v>
      </c>
      <c r="R15" s="242" t="s">
        <v>117</v>
      </c>
      <c r="S15" s="235" t="str">
        <f>IF(Output!$D12="",$AB$42,IF(Output!$I12=0,$AB$42,IF(VLOOKUP(Output!$D12,$AB$3:$AC$38,2,FALSE)=S$3,IF(Output!$J12&lt;AG6,Output!$A12,$AB$42),$AB$42)))</f>
        <v>------------</v>
      </c>
      <c r="T15" s="242" t="s">
        <v>117</v>
      </c>
      <c r="U15" s="235" t="str">
        <f>IF(Output!$D12="",$AB$42,IF(Output!$I12=0,$AB$42,IF(VLOOKUP(Output!$D12,$AB$3:$AC$38,2,FALSE)=U$3,IF(Output!$J12&lt;AG6,Output!$A12,$AB$42),$AB$42)))</f>
        <v>------------</v>
      </c>
      <c r="V15" s="242" t="s">
        <v>117</v>
      </c>
      <c r="W15" s="235" t="str">
        <f>IF(Output!$D12="",$AB$42,IF(Output!$I12=0,$AB$42,IF(VLOOKUP(Output!$D12,$AB$3:$AC$38,2,FALSE)=W$3,IF(Output!$J12&lt;AG6,Output!$A12,$AB$42),$AB$42)))</f>
        <v>------------</v>
      </c>
      <c r="X15" s="242" t="s">
        <v>117</v>
      </c>
      <c r="Y15" s="236" t="str">
        <f>IF(Output!$D12="",$AB$42,IF(Output!$I12=0,$AB$42,IF(VLOOKUP(Output!$D12,$AB$3:$AC$38,2,FALSE)=Y$3,IF(Output!$J12&lt;AG6,Output!$A12,$AB$42),$AB$42)))</f>
        <v>------------</v>
      </c>
      <c r="Z15" t="s">
        <v>119</v>
      </c>
      <c r="AB15" s="223" t="str">
        <f>'Short &amp; Simple'!H59</f>
        <v>Priest - Shadow</v>
      </c>
      <c r="AC15" s="244" t="s">
        <v>122</v>
      </c>
    </row>
    <row r="16" spans="2:33" ht="15">
      <c r="B16" t="s">
        <v>115</v>
      </c>
      <c r="C16" s="296" t="s">
        <v>122</v>
      </c>
      <c r="D16" s="298" t="s">
        <v>117</v>
      </c>
      <c r="E16" s="301" t="s">
        <v>120</v>
      </c>
      <c r="F16" s="298" t="s">
        <v>117</v>
      </c>
      <c r="G16" s="301" t="s">
        <v>120</v>
      </c>
      <c r="H16" s="298" t="s">
        <v>117</v>
      </c>
      <c r="I16" s="245" t="s">
        <v>120</v>
      </c>
      <c r="J16" t="s">
        <v>117</v>
      </c>
      <c r="K16" s="235" t="str">
        <f>IF(Output!$D13="",$AB$42,IF(Output!$I13=0,$AB$42,IF(VLOOKUP(Output!$D13,$AB$3:$AC$38,2,FALSE)=K$3,IF(Output!$J13&lt;AG6,Output!$A13,$AB$42),$AB$42)))</f>
        <v>------------</v>
      </c>
      <c r="L16" s="242" t="s">
        <v>117</v>
      </c>
      <c r="M16" s="235" t="str">
        <f>IF(Output!$D13="",$AB$42,IF(Output!$I13=0,$AB$42,IF(VLOOKUP(Output!$D13,$AB$3:$AC$38,2,FALSE)=M$3,IF(Output!$J13&lt;AG6,Output!$A13,$AB$42),$AB$42)))</f>
        <v>------------</v>
      </c>
      <c r="N16" s="242" t="s">
        <v>117</v>
      </c>
      <c r="O16" s="235" t="str">
        <f>IF(Output!$D13="",$AB$42,IF(Output!$I13=0,$AB$42,IF(VLOOKUP(Output!$D13,$AB$3:$AC$38,2,FALSE)=O$3,IF(Output!$J13&lt;AG6,Output!$A13,$AB$42),$AB$42)))</f>
        <v>------------</v>
      </c>
      <c r="P16" s="242" t="s">
        <v>117</v>
      </c>
      <c r="Q16" s="235" t="str">
        <f>IF(Output!$D13="",$AB$42,IF(Output!$I13=0,$AB$42,IF(VLOOKUP(Output!$D13,$AB$3:$AC$38,2,FALSE)=Q$3,IF(Output!$J13&lt;AG6,Output!$A13,$AB$42),$AB$42)))</f>
        <v>------------</v>
      </c>
      <c r="R16" s="242" t="s">
        <v>117</v>
      </c>
      <c r="S16" s="235" t="str">
        <f>IF(Output!$D13="",$AB$42,IF(Output!$I13=0,$AB$42,IF(VLOOKUP(Output!$D13,$AB$3:$AC$38,2,FALSE)=S$3,IF(Output!$J13&lt;AG6,Output!$A13,$AB$42),$AB$42)))</f>
        <v>------------</v>
      </c>
      <c r="T16" s="242" t="s">
        <v>117</v>
      </c>
      <c r="U16" s="235" t="str">
        <f>IF(Output!$D13="",$AB$42,IF(Output!$I13=0,$AB$42,IF(VLOOKUP(Output!$D13,$AB$3:$AC$38,2,FALSE)=U$3,IF(Output!$J13&lt;AG6,Output!$A13,$AB$42),$AB$42)))</f>
        <v>------------</v>
      </c>
      <c r="V16" s="242" t="s">
        <v>117</v>
      </c>
      <c r="W16" s="235" t="str">
        <f>IF(Output!$D13="",$AB$42,IF(Output!$I13=0,$AB$42,IF(VLOOKUP(Output!$D13,$AB$3:$AC$38,2,FALSE)=W$3,IF(Output!$J13&lt;AG6,Output!$A13,$AB$42),$AB$42)))</f>
        <v>------------</v>
      </c>
      <c r="X16" s="242" t="s">
        <v>117</v>
      </c>
      <c r="Y16" s="236" t="str">
        <f>IF(Output!$D13="",$AB$42,IF(Output!$I13=0,$AB$42,IF(VLOOKUP(Output!$D13,$AB$3:$AC$38,2,FALSE)=Y$3,IF(Output!$J13&lt;AG6,Output!$A13,$AB$42),$AB$42)))</f>
        <v>------------</v>
      </c>
      <c r="Z16" t="s">
        <v>119</v>
      </c>
      <c r="AB16" s="223" t="str">
        <f>'Short &amp; Simple'!H60</f>
        <v>Rogue - Assassination</v>
      </c>
      <c r="AC16" s="244" t="s">
        <v>122</v>
      </c>
    </row>
    <row r="17" spans="2:29" ht="15">
      <c r="B17" t="s">
        <v>115</v>
      </c>
      <c r="C17" s="296" t="s">
        <v>120</v>
      </c>
      <c r="D17" s="298" t="s">
        <v>117</v>
      </c>
      <c r="E17" s="301" t="s">
        <v>120</v>
      </c>
      <c r="F17" s="298" t="s">
        <v>117</v>
      </c>
      <c r="G17" s="301" t="s">
        <v>120</v>
      </c>
      <c r="H17" s="298" t="s">
        <v>117</v>
      </c>
      <c r="I17" s="245" t="s">
        <v>120</v>
      </c>
      <c r="J17" t="s">
        <v>117</v>
      </c>
      <c r="K17" s="234" t="str">
        <f>IF(Output!$D14="",$AB$42,IF(Output!$I14=0,$AB$42,IF(VLOOKUP(Output!$D14,$AB$3:$AC$38,2,FALSE)=K$3,IF(Output!$J14&lt;AG6,Output!$A14,$AB$42),$AB$42)))</f>
        <v>------------</v>
      </c>
      <c r="L17" s="242" t="s">
        <v>117</v>
      </c>
      <c r="M17" s="235" t="str">
        <f>IF(Output!$D14="",$AB$42,IF(Output!$I14=0,$AB$42,IF(VLOOKUP(Output!$D14,$AB$3:$AC$38,2,FALSE)=M$3,IF(Output!$J14&lt;AG6,Output!$A14,$AB$42),$AB$42)))</f>
        <v>------------</v>
      </c>
      <c r="N17" s="242" t="s">
        <v>117</v>
      </c>
      <c r="O17" s="235" t="str">
        <f>IF(Output!$D14="",$AB$42,IF(Output!$I14=0,$AB$42,IF(VLOOKUP(Output!$D14,$AB$3:$AC$38,2,FALSE)=O$3,IF(Output!$J14&lt;AG6,Output!$A14,$AB$42),$AB$42)))</f>
        <v>------------</v>
      </c>
      <c r="P17" s="242" t="s">
        <v>117</v>
      </c>
      <c r="Q17" s="235" t="str">
        <f>IF(Output!$D14="",$AB$42,IF(Output!$I14=0,$AB$42,IF(VLOOKUP(Output!$D14,$AB$3:$AC$38,2,FALSE)=Q$3,IF(Output!$J14&lt;AG6,Output!$A14,$AB$42),$AB$42)))</f>
        <v>------------</v>
      </c>
      <c r="R17" s="242" t="s">
        <v>117</v>
      </c>
      <c r="S17" s="235" t="str">
        <f>IF(Output!$D14="",$AB$42,IF(Output!$I14=0,$AB$42,IF(VLOOKUP(Output!$D14,$AB$3:$AC$38,2,FALSE)=S$3,IF(Output!$J14&lt;AG6,Output!$A14,$AB$42),$AB$42)))</f>
        <v>------------</v>
      </c>
      <c r="T17" s="242" t="s">
        <v>117</v>
      </c>
      <c r="U17" s="235" t="str">
        <f>IF(Output!$D14="",$AB$42,IF(Output!$I14=0,$AB$42,IF(VLOOKUP(Output!$D14,$AB$3:$AC$38,2,FALSE)=U$3,IF(Output!$J14&lt;AG6,Output!$A14,$AB$42),$AB$42)))</f>
        <v>------------</v>
      </c>
      <c r="V17" s="242" t="s">
        <v>117</v>
      </c>
      <c r="W17" s="235" t="str">
        <f>IF(Output!$D14="",$AB$42,IF(Output!$I14=0,$AB$42,IF(VLOOKUP(Output!$D14,$AB$3:$AC$38,2,FALSE)=W$3,IF(Output!$J14&lt;AG6,Output!$A14,$AB$42),$AB$42)))</f>
        <v>------------</v>
      </c>
      <c r="X17" s="242" t="s">
        <v>117</v>
      </c>
      <c r="Y17" s="236" t="str">
        <f>IF(Output!$D14="",$AB$42,IF(Output!$I14=0,$AB$42,IF(VLOOKUP(Output!$D14,$AB$3:$AC$38,2,FALSE)=Y$3,IF(Output!$J14&lt;AG6,Output!$A14,$AB$42),$AB$42)))</f>
        <v>------------</v>
      </c>
      <c r="Z17" t="s">
        <v>119</v>
      </c>
      <c r="AB17" s="223" t="str">
        <f>'Short &amp; Simple'!H61</f>
        <v>Rogue - Combat</v>
      </c>
      <c r="AC17" s="244" t="s">
        <v>122</v>
      </c>
    </row>
    <row r="18" spans="2:29" ht="15">
      <c r="B18" t="s">
        <v>115</v>
      </c>
      <c r="C18" s="296" t="s">
        <v>120</v>
      </c>
      <c r="D18" s="298" t="s">
        <v>117</v>
      </c>
      <c r="E18" s="301" t="s">
        <v>120</v>
      </c>
      <c r="F18" s="298" t="s">
        <v>117</v>
      </c>
      <c r="G18" s="301" t="s">
        <v>120</v>
      </c>
      <c r="H18" s="298" t="s">
        <v>117</v>
      </c>
      <c r="I18" s="245" t="s">
        <v>120</v>
      </c>
      <c r="J18" t="s">
        <v>117</v>
      </c>
      <c r="K18" s="234" t="str">
        <f>IF(Output!$D15="",$AB$42,IF(Output!$I15=0,$AB$42,IF(VLOOKUP(Output!$D15,$AB$3:$AC$38,2,FALSE)=K$3,IF(Output!$J15&lt;AG6,Output!$A15,$AB$42),$AB$42)))</f>
        <v>------------</v>
      </c>
      <c r="L18" s="242" t="s">
        <v>117</v>
      </c>
      <c r="M18" s="235" t="str">
        <f>IF(Output!$D15="",$AB$42,IF(Output!$I15=0,$AB$42,IF(VLOOKUP(Output!$D15,$AB$3:$AC$38,2,FALSE)=M$3,IF(Output!$J15&lt;AG6,Output!$A15,$AB$42),$AB$42)))</f>
        <v>------------</v>
      </c>
      <c r="N18" s="242" t="s">
        <v>117</v>
      </c>
      <c r="O18" s="235" t="str">
        <f>IF(Output!$D15="",$AB$42,IF(Output!$I15=0,$AB$42,IF(VLOOKUP(Output!$D15,$AB$3:$AC$38,2,FALSE)=O$3,IF(Output!$J15&lt;AG6,Output!$A15,$AB$42),$AB$42)))</f>
        <v>------------</v>
      </c>
      <c r="P18" s="242" t="s">
        <v>117</v>
      </c>
      <c r="Q18" s="235" t="str">
        <f>IF(Output!$D15="",$AB$42,IF(Output!$I15=0,$AB$42,IF(VLOOKUP(Output!$D15,$AB$3:$AC$38,2,FALSE)=Q$3,IF(Output!$J15&lt;AG6,Output!$A15,$AB$42),$AB$42)))</f>
        <v>------------</v>
      </c>
      <c r="R18" s="242" t="s">
        <v>117</v>
      </c>
      <c r="S18" s="235" t="str">
        <f>IF(Output!$D15="",$AB$42,IF(Output!$I15=0,$AB$42,IF(VLOOKUP(Output!$D15,$AB$3:$AC$38,2,FALSE)=S$3,IF(Output!$J15&lt;AG6,Output!$A15,$AB$42),$AB$42)))</f>
        <v>------------</v>
      </c>
      <c r="T18" s="242" t="s">
        <v>117</v>
      </c>
      <c r="U18" s="235" t="str">
        <f>IF(Output!$D15="",$AB$42,IF(Output!$I15=0,$AB$42,IF(VLOOKUP(Output!$D15,$AB$3:$AC$38,2,FALSE)=U$3,IF(Output!$J15&lt;AG6,Output!$A15,$AB$42),$AB$42)))</f>
        <v>------------</v>
      </c>
      <c r="V18" s="242" t="s">
        <v>117</v>
      </c>
      <c r="W18" s="235" t="str">
        <f>IF(Output!$D15="",$AB$42,IF(Output!$I15=0,$AB$42,IF(VLOOKUP(Output!$D15,$AB$3:$AC$38,2,FALSE)=W$3,IF(Output!$J15&lt;AG6,Output!$A15,$AB$42),$AB$42)))</f>
        <v>------------</v>
      </c>
      <c r="X18" s="242" t="s">
        <v>117</v>
      </c>
      <c r="Y18" s="236" t="str">
        <f>IF(Output!$D15="",$AB$42,IF(Output!$I15=0,$AB$42,IF(VLOOKUP(Output!$D15,$AB$3:$AC$38,2,FALSE)=Y$3,IF(Output!$J15&lt;AG6,Output!$A15,$AB$42),$AB$42)))</f>
        <v>------------</v>
      </c>
      <c r="Z18" t="s">
        <v>119</v>
      </c>
      <c r="AB18" s="223" t="str">
        <f>'Short &amp; Simple'!H62</f>
        <v>Rogue - Subtlety</v>
      </c>
      <c r="AC18" s="244" t="s">
        <v>122</v>
      </c>
    </row>
    <row r="19" spans="2:29" ht="15">
      <c r="B19" t="s">
        <v>115</v>
      </c>
      <c r="C19" s="296" t="s">
        <v>120</v>
      </c>
      <c r="D19" s="298" t="s">
        <v>117</v>
      </c>
      <c r="E19" s="301" t="s">
        <v>120</v>
      </c>
      <c r="F19" s="298" t="s">
        <v>117</v>
      </c>
      <c r="G19" s="301" t="s">
        <v>120</v>
      </c>
      <c r="H19" s="298" t="s">
        <v>117</v>
      </c>
      <c r="I19" s="245" t="s">
        <v>120</v>
      </c>
      <c r="J19" t="s">
        <v>117</v>
      </c>
      <c r="K19" s="234" t="str">
        <f>IF(Output!$D16="",$AB$42,IF(Output!$I16=0,$AB$42,IF(VLOOKUP(Output!$D16,$AB$3:$AC$38,2,FALSE)=K$3,IF(Output!$J16&lt;AG6,Output!$A16,$AB$42),$AB$42)))</f>
        <v>------------</v>
      </c>
      <c r="L19" s="242" t="s">
        <v>117</v>
      </c>
      <c r="M19" s="235" t="str">
        <f>IF(Output!$D16="",$AB$42,IF(Output!$I16=0,$AB$42,IF(VLOOKUP(Output!$D16,$AB$3:$AC$38,2,FALSE)=M$3,IF(Output!$J16&lt;AG6,Output!$A16,$AB$42),$AB$42)))</f>
        <v>------------</v>
      </c>
      <c r="N19" s="242" t="s">
        <v>117</v>
      </c>
      <c r="O19" s="235" t="str">
        <f>IF(Output!$D16="",$AB$42,IF(Output!$I16=0,$AB$42,IF(VLOOKUP(Output!$D16,$AB$3:$AC$38,2,FALSE)=O$3,IF(Output!$J16&lt;AG6,Output!$A16,$AB$42),$AB$42)))</f>
        <v>------------</v>
      </c>
      <c r="P19" s="242" t="s">
        <v>117</v>
      </c>
      <c r="Q19" s="235" t="str">
        <f>IF(Output!$D16="",$AB$42,IF(Output!$I16=0,$AB$42,IF(VLOOKUP(Output!$D16,$AB$3:$AC$38,2,FALSE)=Q$3,IF(Output!$J16&lt;AG6,Output!$A16,$AB$42),$AB$42)))</f>
        <v>------------</v>
      </c>
      <c r="R19" s="242" t="s">
        <v>117</v>
      </c>
      <c r="S19" s="235" t="str">
        <f>IF(Output!$D16="",$AB$42,IF(Output!$I16=0,$AB$42,IF(VLOOKUP(Output!$D16,$AB$3:$AC$38,2,FALSE)=S$3,IF(Output!$J16&lt;AG6,Output!$A16,$AB$42),$AB$42)))</f>
        <v>------------</v>
      </c>
      <c r="T19" s="242" t="s">
        <v>117</v>
      </c>
      <c r="U19" s="235" t="str">
        <f>IF(Output!$D16="",$AB$42,IF(Output!$I16=0,$AB$42,IF(VLOOKUP(Output!$D16,$AB$3:$AC$38,2,FALSE)=U$3,IF(Output!$J16&lt;AG6,Output!$A16,$AB$42),$AB$42)))</f>
        <v>------------</v>
      </c>
      <c r="V19" s="242" t="s">
        <v>117</v>
      </c>
      <c r="W19" s="235" t="str">
        <f>IF(Output!$D16="",$AB$42,IF(Output!$I16=0,$AB$42,IF(VLOOKUP(Output!$D16,$AB$3:$AC$38,2,FALSE)=W$3,IF(Output!$J16&lt;AG6,Output!$A16,$AB$42),$AB$42)))</f>
        <v>------------</v>
      </c>
      <c r="X19" s="242" t="s">
        <v>117</v>
      </c>
      <c r="Y19" s="236" t="str">
        <f>IF(Output!$D16="",$AB$42,IF(Output!$I16=0,$AB$42,IF(VLOOKUP(Output!$D16,$AB$3:$AC$38,2,FALSE)=Y$3,IF(Output!$J16&lt;AG6,Output!$A16,$AB$42),$AB$42)))</f>
        <v>------------</v>
      </c>
      <c r="Z19" t="s">
        <v>119</v>
      </c>
      <c r="AB19" s="223" t="str">
        <f>'Short &amp; Simple'!H63</f>
        <v>Shaman - Elemental</v>
      </c>
      <c r="AC19" s="244" t="s">
        <v>122</v>
      </c>
    </row>
    <row r="20" spans="2:29" ht="15">
      <c r="B20" t="s">
        <v>115</v>
      </c>
      <c r="C20" s="296" t="s">
        <v>120</v>
      </c>
      <c r="D20" s="298" t="s">
        <v>117</v>
      </c>
      <c r="E20" s="301" t="s">
        <v>120</v>
      </c>
      <c r="F20" s="298" t="s">
        <v>117</v>
      </c>
      <c r="G20" s="301" t="s">
        <v>120</v>
      </c>
      <c r="H20" s="298" t="s">
        <v>117</v>
      </c>
      <c r="I20" s="245" t="s">
        <v>120</v>
      </c>
      <c r="J20" t="s">
        <v>117</v>
      </c>
      <c r="K20" s="234" t="str">
        <f>IF(Output!$D17="",$AB$42,IF(Output!$I17=0,$AB$42,IF(VLOOKUP(Output!$D17,$AB$3:$AC$38,2,FALSE)=K$3,IF(Output!$J17&lt;AG6,Output!$A17,$AB$42),$AB$42)))</f>
        <v>------------</v>
      </c>
      <c r="L20" s="242" t="s">
        <v>117</v>
      </c>
      <c r="M20" s="235" t="str">
        <f>IF(Output!$D17="",$AB$42,IF(Output!$I17=0,$AB$42,IF(VLOOKUP(Output!$D17,$AB$3:$AC$38,2,FALSE)=M$3,IF(Output!$J17&lt;AG6,Output!$A17,$AB$42),$AB$42)))</f>
        <v>------------</v>
      </c>
      <c r="N20" s="242" t="s">
        <v>117</v>
      </c>
      <c r="O20" s="235" t="str">
        <f>IF(Output!$D17="",$AB$42,IF(Output!$I17=0,$AB$42,IF(VLOOKUP(Output!$D17,$AB$3:$AC$38,2,FALSE)=O$3,IF(Output!$J17&lt;AG6,Output!$A17,$AB$42),$AB$42)))</f>
        <v>------------</v>
      </c>
      <c r="P20" s="242" t="s">
        <v>117</v>
      </c>
      <c r="Q20" s="235" t="str">
        <f>IF(Output!$D17="",$AB$42,IF(Output!$I17=0,$AB$42,IF(VLOOKUP(Output!$D17,$AB$3:$AC$38,2,FALSE)=Q$3,IF(Output!$J17&lt;AG6,Output!$A17,$AB$42),$AB$42)))</f>
        <v>------------</v>
      </c>
      <c r="R20" s="242" t="s">
        <v>117</v>
      </c>
      <c r="S20" s="235" t="str">
        <f>IF(Output!$D17="",$AB$42,IF(Output!$I17=0,$AB$42,IF(VLOOKUP(Output!$D17,$AB$3:$AC$38,2,FALSE)=S$3,IF(Output!$J17&lt;AG6,Output!$A17,$AB$42),$AB$42)))</f>
        <v>------------</v>
      </c>
      <c r="T20" s="242" t="s">
        <v>117</v>
      </c>
      <c r="U20" s="235" t="str">
        <f>IF(Output!$D17="",$AB$42,IF(Output!$I17=0,$AB$42,IF(VLOOKUP(Output!$D17,$AB$3:$AC$38,2,FALSE)=U$3,IF(Output!$J17&lt;AG6,Output!$A17,$AB$42),$AB$42)))</f>
        <v>------------</v>
      </c>
      <c r="V20" s="242" t="s">
        <v>117</v>
      </c>
      <c r="W20" s="235" t="str">
        <f>IF(Output!$D17="",$AB$42,IF(Output!$I17=0,$AB$42,IF(VLOOKUP(Output!$D17,$AB$3:$AC$38,2,FALSE)=W$3,IF(Output!$J17&lt;AG6,Output!$A17,$AB$42),$AB$42)))</f>
        <v>------------</v>
      </c>
      <c r="X20" s="242" t="s">
        <v>117</v>
      </c>
      <c r="Y20" s="236" t="str">
        <f>IF(Output!$D17="",$AB$42,IF(Output!$I17=0,$AB$42,IF(VLOOKUP(Output!$D17,$AB$3:$AC$38,2,FALSE)=Y$3,IF(Output!$J17&lt;AG6,Output!$A17,$AB$42),$AB$42)))</f>
        <v>------------</v>
      </c>
      <c r="Z20" t="s">
        <v>119</v>
      </c>
      <c r="AB20" s="223" t="str">
        <f>'Short &amp; Simple'!H64</f>
        <v>Shaman - Enhancement</v>
      </c>
      <c r="AC20" s="244" t="s">
        <v>122</v>
      </c>
    </row>
    <row r="21" spans="2:29" ht="15">
      <c r="B21" t="s">
        <v>115</v>
      </c>
      <c r="C21" s="296" t="s">
        <v>120</v>
      </c>
      <c r="D21" s="298" t="s">
        <v>117</v>
      </c>
      <c r="E21" s="301" t="s">
        <v>120</v>
      </c>
      <c r="F21" s="298" t="s">
        <v>117</v>
      </c>
      <c r="G21" s="301" t="s">
        <v>120</v>
      </c>
      <c r="H21" s="298" t="s">
        <v>117</v>
      </c>
      <c r="I21" s="245" t="s">
        <v>120</v>
      </c>
      <c r="J21" t="s">
        <v>117</v>
      </c>
      <c r="K21" s="234" t="str">
        <f>IF(Output!$D18="",$AB$42,IF(Output!$I18=0,$AB$42,IF(VLOOKUP(Output!$D18,$AB$3:$AC$38,2,FALSE)=K$3,IF(Output!$J18&lt;AG6,Output!$A18,$AB$42),$AB$42)))</f>
        <v>------------</v>
      </c>
      <c r="L21" s="242" t="s">
        <v>117</v>
      </c>
      <c r="M21" s="235" t="str">
        <f>IF(Output!$D18="",$AB$42,IF(Output!$I18=0,$AB$42,IF(VLOOKUP(Output!$D18,$AB$3:$AC$38,2,FALSE)=M$3,IF(Output!$J18&lt;AG6,Output!$A18,$AB$42),$AB$42)))</f>
        <v>------------</v>
      </c>
      <c r="N21" s="242" t="s">
        <v>117</v>
      </c>
      <c r="O21" s="235" t="str">
        <f>IF(Output!$D18="",$AB$42,IF(Output!$I18=0,$AB$42,IF(VLOOKUP(Output!$D18,$AB$3:$AC$38,2,FALSE)=O$3,IF(Output!$J18&lt;AG6,Output!$A18,$AB$42),$AB$42)))</f>
        <v>------------</v>
      </c>
      <c r="P21" s="242" t="s">
        <v>117</v>
      </c>
      <c r="Q21" s="235" t="str">
        <f>IF(Output!$D18="",$AB$42,IF(Output!$I18=0,$AB$42,IF(VLOOKUP(Output!$D18,$AB$3:$AC$38,2,FALSE)=Q$3,IF(Output!$J18&lt;AG6,Output!$A18,$AB$42),$AB$42)))</f>
        <v>------------</v>
      </c>
      <c r="R21" s="242" t="s">
        <v>117</v>
      </c>
      <c r="S21" s="235" t="str">
        <f>IF(Output!$D18="",$AB$42,IF(Output!$I18=0,$AB$42,IF(VLOOKUP(Output!$D18,$AB$3:$AC$38,2,FALSE)=S$3,IF(Output!$J18&lt;AG6,Output!$A18,$AB$42),$AB$42)))</f>
        <v>------------</v>
      </c>
      <c r="T21" s="242" t="s">
        <v>117</v>
      </c>
      <c r="U21" s="235" t="str">
        <f>IF(Output!$D18="",$AB$42,IF(Output!$I18=0,$AB$42,IF(VLOOKUP(Output!$D18,$AB$3:$AC$38,2,FALSE)=U$3,IF(Output!$J18&lt;AG6,Output!$A18,$AB$42),$AB$42)))</f>
        <v>------------</v>
      </c>
      <c r="V21" s="242" t="s">
        <v>117</v>
      </c>
      <c r="W21" s="235" t="str">
        <f>IF(Output!$D18="",$AB$42,IF(Output!$I18=0,$AB$42,IF(VLOOKUP(Output!$D18,$AB$3:$AC$38,2,FALSE)=W$3,IF(Output!$J18&lt;AG6,Output!$A18,$AB$42),$AB$42)))</f>
        <v>------------</v>
      </c>
      <c r="X21" s="242" t="s">
        <v>117</v>
      </c>
      <c r="Y21" s="236" t="str">
        <f>IF(Output!$D18="",$AB$42,IF(Output!$I18=0,$AB$42,IF(VLOOKUP(Output!$D18,$AB$3:$AC$38,2,FALSE)=Y$3,IF(Output!$J18&lt;AG6,Output!$A18,$AB$42),$AB$42)))</f>
        <v>------------</v>
      </c>
      <c r="Z21" t="s">
        <v>119</v>
      </c>
      <c r="AB21" s="223" t="str">
        <f>'Short &amp; Simple'!H65</f>
        <v>Warlock - Affliction</v>
      </c>
      <c r="AC21" s="244" t="s">
        <v>122</v>
      </c>
    </row>
    <row r="22" spans="2:29" ht="15">
      <c r="B22" t="s">
        <v>115</v>
      </c>
      <c r="C22" s="296" t="s">
        <v>120</v>
      </c>
      <c r="D22" s="298" t="s">
        <v>117</v>
      </c>
      <c r="E22" s="301" t="s">
        <v>120</v>
      </c>
      <c r="F22" s="298" t="s">
        <v>117</v>
      </c>
      <c r="G22" s="301" t="s">
        <v>120</v>
      </c>
      <c r="H22" s="298" t="s">
        <v>117</v>
      </c>
      <c r="I22" s="245" t="s">
        <v>122</v>
      </c>
      <c r="J22" t="s">
        <v>117</v>
      </c>
      <c r="K22" s="234" t="str">
        <f>IF(Output!$D19="",$AB$42,IF(Output!$I19=0,$AB$42,IF(VLOOKUP(Output!$D19,$AB$3:$AC$38,2,FALSE)=K$3,IF(Output!$J19&lt;AG6,Output!$A19,$AB$42),$AB$42)))</f>
        <v>------------</v>
      </c>
      <c r="L22" s="242" t="s">
        <v>117</v>
      </c>
      <c r="M22" s="235" t="str">
        <f>IF(Output!$D19="",$AB$42,IF(Output!$I19=0,$AB$42,IF(VLOOKUP(Output!$D19,$AB$3:$AC$38,2,FALSE)=M$3,IF(Output!$J19&lt;AG6,Output!$A19,$AB$42),$AB$42)))</f>
        <v>------------</v>
      </c>
      <c r="N22" s="242" t="s">
        <v>117</v>
      </c>
      <c r="O22" s="235" t="str">
        <f>IF(Output!$D19="",$AB$42,IF(Output!$I19=0,$AB$42,IF(VLOOKUP(Output!$D19,$AB$3:$AC$38,2,FALSE)=O$3,IF(Output!$J19&lt;AG6,Output!$A19,$AB$42),$AB$42)))</f>
        <v>------------</v>
      </c>
      <c r="P22" s="242" t="s">
        <v>117</v>
      </c>
      <c r="Q22" s="235" t="str">
        <f>IF(Output!$D19="",$AB$42,IF(Output!$I19=0,$AB$42,IF(VLOOKUP(Output!$D19,$AB$3:$AC$38,2,FALSE)=Q$3,IF(Output!$J19&lt;AG6,Output!$A19,$AB$42),$AB$42)))</f>
        <v>------------</v>
      </c>
      <c r="R22" s="242" t="s">
        <v>117</v>
      </c>
      <c r="S22" s="235" t="str">
        <f>IF(Output!$D19="",$AB$42,IF(Output!$I19=0,$AB$42,IF(VLOOKUP(Output!$D19,$AB$3:$AC$38,2,FALSE)=S$3,IF(Output!$J19&lt;AG6,Output!$A19,$AB$42),$AB$42)))</f>
        <v>------------</v>
      </c>
      <c r="T22" s="242" t="s">
        <v>117</v>
      </c>
      <c r="U22" s="235" t="str">
        <f>IF(Output!$D19="",$AB$42,IF(Output!$I19=0,$AB$42,IF(VLOOKUP(Output!$D19,$AB$3:$AC$38,2,FALSE)=U$3,IF(Output!$J19&lt;AG6,Output!$A19,$AB$42),$AB$42)))</f>
        <v>------------</v>
      </c>
      <c r="V22" s="242" t="s">
        <v>117</v>
      </c>
      <c r="W22" s="235" t="str">
        <f>IF(Output!$D19="",$AB$42,IF(Output!$I19=0,$AB$42,IF(VLOOKUP(Output!$D19,$AB$3:$AC$38,2,FALSE)=W$3,IF(Output!$J19&lt;AG6,Output!$A19,$AB$42),$AB$42)))</f>
        <v>------------</v>
      </c>
      <c r="X22" s="242" t="s">
        <v>117</v>
      </c>
      <c r="Y22" s="236" t="str">
        <f>IF(Output!$D19="",$AB$42,IF(Output!$I19=0,$AB$42,IF(VLOOKUP(Output!$D19,$AB$3:$AC$38,2,FALSE)=Y$3,IF(Output!$J19&lt;AG6,Output!$A19,$AB$42),$AB$42)))</f>
        <v>------------</v>
      </c>
      <c r="Z22" t="s">
        <v>119</v>
      </c>
      <c r="AB22" s="223" t="str">
        <f>'Short &amp; Simple'!H66</f>
        <v>Warlock - Daemonology</v>
      </c>
      <c r="AC22" s="244" t="s">
        <v>122</v>
      </c>
    </row>
    <row r="23" spans="2:29" ht="15">
      <c r="B23" t="s">
        <v>115</v>
      </c>
      <c r="C23" s="296" t="s">
        <v>122</v>
      </c>
      <c r="D23" s="298" t="s">
        <v>117</v>
      </c>
      <c r="E23" s="301" t="s">
        <v>120</v>
      </c>
      <c r="F23" s="298" t="s">
        <v>117</v>
      </c>
      <c r="G23" s="301" t="s">
        <v>120</v>
      </c>
      <c r="H23" s="298" t="s">
        <v>117</v>
      </c>
      <c r="I23" s="245" t="s">
        <v>120</v>
      </c>
      <c r="J23" t="s">
        <v>117</v>
      </c>
      <c r="K23" s="234" t="str">
        <f>IF(Output!$D20="",$AB$42,IF(Output!$I20=0,$AB$42,IF(VLOOKUP(Output!$D20,$AB$3:$AC$38,2,FALSE)=K$3,IF(Output!$J20&lt;AG6,Output!$A20,$AB$42),$AB$42)))</f>
        <v>------------</v>
      </c>
      <c r="L23" s="242" t="s">
        <v>117</v>
      </c>
      <c r="M23" s="235" t="str">
        <f>IF(Output!$D20="",$AB$42,IF(Output!$I20=0,$AB$42,IF(VLOOKUP(Output!$D20,$AB$3:$AC$38,2,FALSE)=M$3,IF(Output!$J20&lt;AG6,Output!$A20,$AB$42),$AB$42)))</f>
        <v>------------</v>
      </c>
      <c r="N23" s="242" t="s">
        <v>117</v>
      </c>
      <c r="O23" s="235" t="str">
        <f>IF(Output!$D20="",$AB$42,IF(Output!$I20=0,$AB$42,IF(VLOOKUP(Output!$D20,$AB$3:$AC$38,2,FALSE)=O$3,IF(Output!$J20&lt;AG6,Output!$A20,$AB$42),$AB$42)))</f>
        <v>------------</v>
      </c>
      <c r="P23" s="242" t="s">
        <v>117</v>
      </c>
      <c r="Q23" s="235" t="str">
        <f>IF(Output!$D20="",$AB$42,IF(Output!$I20=0,$AB$42,IF(VLOOKUP(Output!$D20,$AB$3:$AC$38,2,FALSE)=Q$3,IF(Output!$J20&lt;AG6,Output!$A20,$AB$42),$AB$42)))</f>
        <v>------------</v>
      </c>
      <c r="R23" s="242" t="s">
        <v>117</v>
      </c>
      <c r="S23" s="235" t="str">
        <f>IF(Output!$D20="",$AB$42,IF(Output!$I20=0,$AB$42,IF(VLOOKUP(Output!$D20,$AB$3:$AC$38,2,FALSE)=S$3,IF(Output!$J20&lt;AG6,Output!$A20,$AB$42),$AB$42)))</f>
        <v>------------</v>
      </c>
      <c r="T23" s="242" t="s">
        <v>117</v>
      </c>
      <c r="U23" s="235" t="str">
        <f>IF(Output!$D20="",$AB$42,IF(Output!$I20=0,$AB$42,IF(VLOOKUP(Output!$D20,$AB$3:$AC$38,2,FALSE)=U$3,IF(Output!$J20&lt;AG6,Output!$A20,$AB$42),$AB$42)))</f>
        <v>------------</v>
      </c>
      <c r="V23" s="242" t="s">
        <v>117</v>
      </c>
      <c r="W23" s="235" t="str">
        <f>IF(Output!$D20="",$AB$42,IF(Output!$I20=0,$AB$42,IF(VLOOKUP(Output!$D20,$AB$3:$AC$38,2,FALSE)=W$3,IF(Output!$J20&lt;AG6,Output!$A20,$AB$42),$AB$42)))</f>
        <v>------------</v>
      </c>
      <c r="X23" s="242" t="s">
        <v>117</v>
      </c>
      <c r="Y23" s="236" t="str">
        <f>IF(Output!$D20="",$AB$42,IF(Output!$I20=0,$AB$42,IF(VLOOKUP(Output!$D20,$AB$3:$AC$38,2,FALSE)=Y$3,IF(Output!$J20&lt;AG6,Output!$A20,$AB$42),$AB$42)))</f>
        <v>------------</v>
      </c>
      <c r="Z23" t="s">
        <v>119</v>
      </c>
      <c r="AB23" s="223" t="str">
        <f>'Short &amp; Simple'!H67</f>
        <v>Warlock - Destruction</v>
      </c>
      <c r="AC23" s="244" t="s">
        <v>122</v>
      </c>
    </row>
    <row r="24" spans="2:29" ht="15">
      <c r="B24" t="s">
        <v>115</v>
      </c>
      <c r="C24" s="296" t="s">
        <v>120</v>
      </c>
      <c r="D24" s="298" t="s">
        <v>117</v>
      </c>
      <c r="E24" s="301" t="s">
        <v>120</v>
      </c>
      <c r="F24" s="298" t="s">
        <v>117</v>
      </c>
      <c r="G24" s="301" t="s">
        <v>120</v>
      </c>
      <c r="H24" s="298" t="s">
        <v>117</v>
      </c>
      <c r="I24" s="245" t="s">
        <v>120</v>
      </c>
      <c r="J24" t="s">
        <v>117</v>
      </c>
      <c r="K24" s="234" t="str">
        <f>IF(Output!$D21="",$AB$42,IF(Output!$I21=0,$AB$42,IF(VLOOKUP(Output!$D21,$AB$3:$AC$38,2,FALSE)=K$3,IF(Output!$J21&lt;AG6,Output!$A21,$AB$42),$AB$42)))</f>
        <v>------------</v>
      </c>
      <c r="L24" s="242" t="s">
        <v>117</v>
      </c>
      <c r="M24" s="235" t="str">
        <f>IF(Output!$D21="",$AB$42,IF(Output!$I21=0,$AB$42,IF(VLOOKUP(Output!$D21,$AB$3:$AC$38,2,FALSE)=M$3,IF(Output!$J21&lt;AG6,Output!$A21,$AB$42),$AB$42)))</f>
        <v>------------</v>
      </c>
      <c r="N24" s="242" t="s">
        <v>117</v>
      </c>
      <c r="O24" s="235" t="str">
        <f>IF(Output!$D21="",$AB$42,IF(Output!$I21=0,$AB$42,IF(VLOOKUP(Output!$D21,$AB$3:$AC$38,2,FALSE)=O$3,IF(Output!$J21&lt;AG6,Output!$A21,$AB$42),$AB$42)))</f>
        <v>------------</v>
      </c>
      <c r="P24" s="242" t="s">
        <v>117</v>
      </c>
      <c r="Q24" s="235" t="str">
        <f>IF(Output!$D21="",$AB$42,IF(Output!$I21=0,$AB$42,IF(VLOOKUP(Output!$D21,$AB$3:$AC$38,2,FALSE)=Q$3,IF(Output!$J21&lt;AG6,Output!$A21,$AB$42),$AB$42)))</f>
        <v>------------</v>
      </c>
      <c r="R24" s="242" t="s">
        <v>117</v>
      </c>
      <c r="S24" s="235" t="str">
        <f>IF(Output!$D21="",$AB$42,IF(Output!$I21=0,$AB$42,IF(VLOOKUP(Output!$D21,$AB$3:$AC$38,2,FALSE)=S$3,IF(Output!$J21&lt;AG6,Output!$A21,$AB$42),$AB$42)))</f>
        <v>------------</v>
      </c>
      <c r="T24" s="242" t="s">
        <v>117</v>
      </c>
      <c r="U24" s="235" t="str">
        <f>IF(Output!$D21="",$AB$42,IF(Output!$I21=0,$AB$42,IF(VLOOKUP(Output!$D21,$AB$3:$AC$38,2,FALSE)=U$3,IF(Output!$J21&lt;AG6,Output!$A21,$AB$42),$AB$42)))</f>
        <v>------------</v>
      </c>
      <c r="V24" s="242" t="s">
        <v>117</v>
      </c>
      <c r="W24" s="235" t="str">
        <f>IF(Output!$D21="",$AB$42,IF(Output!$I21=0,$AB$42,IF(VLOOKUP(Output!$D21,$AB$3:$AC$38,2,FALSE)=W$3,IF(Output!$J21&lt;AG6,Output!$A21,$AB$42),$AB$42)))</f>
        <v>------------</v>
      </c>
      <c r="X24" s="242" t="s">
        <v>117</v>
      </c>
      <c r="Y24" s="236" t="str">
        <f>IF(Output!$D21="",$AB$42,IF(Output!$I21=0,$AB$42,IF(VLOOKUP(Output!$D21,$AB$3:$AC$38,2,FALSE)=Y$3,IF(Output!$J21&lt;AG6,Output!$A21,$AB$42),$AB$42)))</f>
        <v>------------</v>
      </c>
      <c r="Z24" t="s">
        <v>119</v>
      </c>
      <c r="AB24" s="223" t="str">
        <f>'Short &amp; Simple'!H68</f>
        <v>Warrior - Arms</v>
      </c>
      <c r="AC24" s="244" t="s">
        <v>122</v>
      </c>
    </row>
    <row r="25" spans="2:29" ht="15.75" thickBot="1">
      <c r="B25" t="s">
        <v>115</v>
      </c>
      <c r="C25" s="296" t="s">
        <v>120</v>
      </c>
      <c r="D25" s="298" t="s">
        <v>117</v>
      </c>
      <c r="E25" s="301" t="s">
        <v>120</v>
      </c>
      <c r="F25" s="298" t="s">
        <v>117</v>
      </c>
      <c r="G25" s="301" t="s">
        <v>120</v>
      </c>
      <c r="H25" s="298" t="s">
        <v>117</v>
      </c>
      <c r="I25" s="245" t="s">
        <v>120</v>
      </c>
      <c r="J25" t="s">
        <v>117</v>
      </c>
      <c r="K25" s="234" t="str">
        <f>IF(Output!$D22="",$AB$42,IF(Output!$I22=0,$AB$42,IF(VLOOKUP(Output!$D22,$AB$3:$AC$38,2,FALSE)=K$3,IF(Output!$J22&lt;AG6,Output!$A22,$AB$42),$AB$42)))</f>
        <v>------------</v>
      </c>
      <c r="L25" s="242" t="s">
        <v>117</v>
      </c>
      <c r="M25" s="235" t="str">
        <f>IF(Output!$D22="",$AB$42,IF(Output!$I22=0,$AB$42,IF(VLOOKUP(Output!$D22,$AB$3:$AC$38,2,FALSE)=M$3,IF(Output!$J22&lt;AG6,Output!$A22,$AB$42),$AB$42)))</f>
        <v>------------</v>
      </c>
      <c r="N25" s="242" t="s">
        <v>117</v>
      </c>
      <c r="O25" s="235" t="str">
        <f>IF(Output!$D22="",$AB$42,IF(Output!$I22=0,$AB$42,IF(VLOOKUP(Output!$D22,$AB$3:$AC$38,2,FALSE)=O$3,IF(Output!$J22&lt;AG6,Output!$A22,$AB$42),$AB$42)))</f>
        <v>------------</v>
      </c>
      <c r="P25" s="242" t="s">
        <v>117</v>
      </c>
      <c r="Q25" s="235" t="str">
        <f>IF(Output!$D22="",$AB$42,IF(Output!$I22=0,$AB$42,IF(VLOOKUP(Output!$D22,$AB$3:$AC$38,2,FALSE)=Q$3,IF(Output!$J22&lt;AG6,Output!$A22,$AB$42),$AB$42)))</f>
        <v>------------</v>
      </c>
      <c r="R25" s="242" t="s">
        <v>117</v>
      </c>
      <c r="S25" s="235" t="str">
        <f>IF(Output!$D22="",$AB$42,IF(Output!$I22=0,$AB$42,IF(VLOOKUP(Output!$D22,$AB$3:$AC$38,2,FALSE)=S$3,IF(Output!$J22&lt;AG6,Output!$A22,$AB$42),$AB$42)))</f>
        <v>------------</v>
      </c>
      <c r="T25" s="242" t="s">
        <v>117</v>
      </c>
      <c r="U25" s="235" t="str">
        <f>IF(Output!$D22="",$AB$42,IF(Output!$I22=0,$AB$42,IF(VLOOKUP(Output!$D22,$AB$3:$AC$38,2,FALSE)=U$3,IF(Output!$J22&lt;AG6,Output!$A22,$AB$42),$AB$42)))</f>
        <v>------------</v>
      </c>
      <c r="V25" s="242" t="s">
        <v>117</v>
      </c>
      <c r="W25" s="235" t="str">
        <f>IF(Output!$D22="",$AB$42,IF(Output!$I22=0,$AB$42,IF(VLOOKUP(Output!$D22,$AB$3:$AC$38,2,FALSE)=W$3,IF(Output!$J22&lt;AG6,Output!$A22,$AB$42),$AB$42)))</f>
        <v>------------</v>
      </c>
      <c r="X25" s="242" t="s">
        <v>117</v>
      </c>
      <c r="Y25" s="236" t="str">
        <f>IF(Output!$D22="",$AB$42,IF(Output!$I22=0,$AB$42,IF(VLOOKUP(Output!$D22,$AB$3:$AC$38,2,FALSE)=Y$3,IF(Output!$J22&lt;AG6,Output!$A22,$AB$42),$AB$42)))</f>
        <v>------------</v>
      </c>
      <c r="Z25" t="s">
        <v>119</v>
      </c>
      <c r="AB25" s="223" t="str">
        <f>'Short &amp; Simple'!H69</f>
        <v>Warrior - Fury</v>
      </c>
      <c r="AC25" s="244" t="s">
        <v>122</v>
      </c>
    </row>
    <row r="26" spans="2:29" ht="16.5" thickTop="1" thickBot="1">
      <c r="B26" t="s">
        <v>115</v>
      </c>
      <c r="C26" s="296" t="s">
        <v>120</v>
      </c>
      <c r="D26" s="298" t="s">
        <v>117</v>
      </c>
      <c r="E26" s="301" t="s">
        <v>120</v>
      </c>
      <c r="F26" s="298" t="s">
        <v>117</v>
      </c>
      <c r="G26" s="301" t="s">
        <v>120</v>
      </c>
      <c r="H26" s="298" t="s">
        <v>117</v>
      </c>
      <c r="I26" s="245" t="s">
        <v>120</v>
      </c>
      <c r="J26" t="s">
        <v>117</v>
      </c>
      <c r="K26" s="234" t="str">
        <f>IF(Output!$D23="",$AB$42,IF(Output!$I23=0,$AB$42,IF(VLOOKUP(Output!$D23,$AB$3:$AC$38,2,FALSE)=K$3,IF(Output!$J23&lt;AG6,Output!$A23,$AB$42),$AB$42)))</f>
        <v>------------</v>
      </c>
      <c r="L26" s="242" t="s">
        <v>117</v>
      </c>
      <c r="M26" s="235" t="str">
        <f>IF(Output!$D23="",$AB$42,IF(Output!$I23=0,$AB$42,IF(VLOOKUP(Output!$D23,$AB$3:$AC$38,2,FALSE)=M$3,IF(Output!$J23&lt;AG6,Output!$A23,$AB$42),$AB$42)))</f>
        <v>------------</v>
      </c>
      <c r="N26" s="242" t="s">
        <v>117</v>
      </c>
      <c r="O26" s="235" t="str">
        <f>IF(Output!$D23="",$AB$42,IF(Output!$I23=0,$AB$42,IF(VLOOKUP(Output!$D23,$AB$3:$AC$38,2,FALSE)=O$3,IF(Output!$J23&lt;AG6,Output!$A23,$AB$42),$AB$42)))</f>
        <v>------------</v>
      </c>
      <c r="P26" s="242" t="s">
        <v>117</v>
      </c>
      <c r="Q26" s="235" t="str">
        <f>IF(Output!$D23="",$AB$42,IF(Output!$I23=0,$AB$42,IF(VLOOKUP(Output!$D23,$AB$3:$AC$38,2,FALSE)=Q$3,IF(Output!$J23&lt;AG6,Output!$A23,$AB$42),$AB$42)))</f>
        <v>------------</v>
      </c>
      <c r="R26" s="242" t="s">
        <v>117</v>
      </c>
      <c r="S26" s="235" t="str">
        <f>IF(Output!$D23="",$AB$42,IF(Output!$I23=0,$AB$42,IF(VLOOKUP(Output!$D23,$AB$3:$AC$38,2,FALSE)=S$3,IF(Output!$J23&lt;AG6,Output!$A23,$AB$42),$AB$42)))</f>
        <v>------------</v>
      </c>
      <c r="T26" s="242" t="s">
        <v>117</v>
      </c>
      <c r="U26" s="235" t="str">
        <f>IF(Output!$D23="",$AB$42,IF(Output!$I23=0,$AB$42,IF(VLOOKUP(Output!$D23,$AB$3:$AC$38,2,FALSE)=U$3,IF(Output!$J23&lt;AG6,Output!$A23,$AB$42),$AB$42)))</f>
        <v>------------</v>
      </c>
      <c r="V26" s="242" t="s">
        <v>117</v>
      </c>
      <c r="W26" s="235" t="str">
        <f>IF(Output!$D23="",$AB$42,IF(Output!$I23=0,$AB$42,IF(VLOOKUP(Output!$D23,$AB$3:$AC$38,2,FALSE)=W$3,IF(Output!$J23&lt;AG6,Output!$A23,$AB$42),$AB$42)))</f>
        <v>------------</v>
      </c>
      <c r="X26" s="242" t="s">
        <v>117</v>
      </c>
      <c r="Y26" s="236" t="str">
        <f>IF(Output!$D23="",$AB$42,IF(Output!$I23=0,$AB$42,IF(VLOOKUP(Output!$D23,$AB$3:$AC$38,2,FALSE)=Y$3,IF(Output!$J23&lt;AG6,Output!$A23,$AB$42),$AB$42)))</f>
        <v>------------</v>
      </c>
      <c r="Z26" t="s">
        <v>119</v>
      </c>
      <c r="AB26" s="531" t="str">
        <f>'Short &amp; Simple'!H70</f>
        <v>25 Man Normal MSV - Feng the Cursed</v>
      </c>
      <c r="AC26" s="532"/>
    </row>
    <row r="27" spans="2:29" ht="15.75" thickTop="1">
      <c r="B27" t="s">
        <v>115</v>
      </c>
      <c r="C27" s="296" t="s">
        <v>120</v>
      </c>
      <c r="D27" s="298" t="s">
        <v>117</v>
      </c>
      <c r="E27" s="301" t="s">
        <v>120</v>
      </c>
      <c r="F27" s="298" t="s">
        <v>117</v>
      </c>
      <c r="G27" s="301" t="s">
        <v>120</v>
      </c>
      <c r="H27" s="298" t="s">
        <v>117</v>
      </c>
      <c r="I27" s="245" t="s">
        <v>120</v>
      </c>
      <c r="J27" t="s">
        <v>117</v>
      </c>
      <c r="K27" s="234" t="str">
        <f>IF(Output!$D24="",$AB$42,IF(Output!$I24=0,$AB$42,IF(VLOOKUP(Output!$D24,$AB$3:$AC$38,2,FALSE)=K$3,IF(Output!$J24&lt;AG6,Output!$A24,$AB$42),$AB$42)))</f>
        <v>------------</v>
      </c>
      <c r="L27" s="242" t="s">
        <v>117</v>
      </c>
      <c r="M27" s="235" t="str">
        <f>IF(Output!$D24="",$AB$42,IF(Output!$I24=0,$AB$42,IF(VLOOKUP(Output!$D24,$AB$3:$AC$38,2,FALSE)=M$3,IF(Output!$J24&lt;AG6,Output!$A24,$AB$42),$AB$42)))</f>
        <v>------------</v>
      </c>
      <c r="N27" s="242" t="s">
        <v>117</v>
      </c>
      <c r="O27" s="235" t="str">
        <f>IF(Output!$D24="",$AB$42,IF(Output!$I24=0,$AB$42,IF(VLOOKUP(Output!$D24,$AB$3:$AC$38,2,FALSE)=O$3,IF(Output!$J24&lt;AG6,Output!$A24,$AB$42),$AB$42)))</f>
        <v>------------</v>
      </c>
      <c r="P27" s="242" t="s">
        <v>117</v>
      </c>
      <c r="Q27" s="235" t="str">
        <f>IF(Output!$D24="",$AB$42,IF(Output!$I24=0,$AB$42,IF(VLOOKUP(Output!$D24,$AB$3:$AC$38,2,FALSE)=Q$3,IF(Output!$J24&lt;AG6,Output!$A24,$AB$42),$AB$42)))</f>
        <v>------------</v>
      </c>
      <c r="R27" s="242" t="s">
        <v>117</v>
      </c>
      <c r="S27" s="235" t="str">
        <f>IF(Output!$D24="",$AB$42,IF(Output!$I24=0,$AB$42,IF(VLOOKUP(Output!$D24,$AB$3:$AC$38,2,FALSE)=S$3,IF(Output!$J24&lt;AG6,Output!$A24,$AB$42),$AB$42)))</f>
        <v>------------</v>
      </c>
      <c r="T27" s="242" t="s">
        <v>117</v>
      </c>
      <c r="U27" s="235" t="str">
        <f>IF(Output!$D24="",$AB$42,IF(Output!$I24=0,$AB$42,IF(VLOOKUP(Output!$D24,$AB$3:$AC$38,2,FALSE)=U$3,IF(Output!$J24&lt;AG6,Output!$A24,$AB$42),$AB$42)))</f>
        <v>------------</v>
      </c>
      <c r="V27" s="242" t="s">
        <v>117</v>
      </c>
      <c r="W27" s="235" t="str">
        <f>IF(Output!$D24="",$AB$42,IF(Output!$I24=0,$AB$42,IF(VLOOKUP(Output!$D24,$AB$3:$AC$38,2,FALSE)=W$3,IF(Output!$J24&lt;AG6,Output!$A24,$AB$42),$AB$42)))</f>
        <v>------------</v>
      </c>
      <c r="X27" s="242" t="s">
        <v>117</v>
      </c>
      <c r="Y27" s="236" t="str">
        <f>IF(Output!$D24="",$AB$42,IF(Output!$I24=0,$AB$42,IF(VLOOKUP(Output!$D24,$AB$3:$AC$38,2,FALSE)=Y$3,IF(Output!$J24&lt;AG6,Output!$A24,$AB$42),$AB$42)))</f>
        <v>------------</v>
      </c>
      <c r="Z27" t="s">
        <v>119</v>
      </c>
      <c r="AB27" s="223" t="str">
        <f>'Short &amp; Simple'!H71</f>
        <v>Druid - Restoration</v>
      </c>
      <c r="AC27" s="244" t="s">
        <v>122</v>
      </c>
    </row>
    <row r="28" spans="2:29" ht="15">
      <c r="B28" t="s">
        <v>115</v>
      </c>
      <c r="C28" s="296" t="s">
        <v>120</v>
      </c>
      <c r="D28" s="298" t="s">
        <v>117</v>
      </c>
      <c r="E28" s="301" t="s">
        <v>120</v>
      </c>
      <c r="F28" s="298" t="s">
        <v>117</v>
      </c>
      <c r="G28" s="301" t="s">
        <v>120</v>
      </c>
      <c r="H28" s="298" t="s">
        <v>117</v>
      </c>
      <c r="I28" s="245" t="s">
        <v>120</v>
      </c>
      <c r="J28" t="s">
        <v>117</v>
      </c>
      <c r="K28" s="234" t="str">
        <f>IF(Output!$D25="",$AB$42,IF(Output!$I25=0,$AB$42,IF(VLOOKUP(Output!$D25,$AB$3:$AC$38,2,FALSE)=K$3,IF(Output!$J25&lt;AG6,Output!$A25,$AB$42),$AB$42)))</f>
        <v>------------</v>
      </c>
      <c r="L28" s="242" t="s">
        <v>117</v>
      </c>
      <c r="M28" s="235" t="str">
        <f>IF(Output!$D25="",$AB$42,IF(Output!$I25=0,$AB$42,IF(VLOOKUP(Output!$D25,$AB$3:$AC$38,2,FALSE)=M$3,IF(Output!$J25&lt;AG6,Output!$A25,$AB$42),$AB$42)))</f>
        <v>------------</v>
      </c>
      <c r="N28" s="242" t="s">
        <v>117</v>
      </c>
      <c r="O28" s="235" t="str">
        <f>IF(Output!$D25="",$AB$42,IF(Output!$I25=0,$AB$42,IF(VLOOKUP(Output!$D25,$AB$3:$AC$38,2,FALSE)=O$3,IF(Output!$J25&lt;AG6,Output!$A25,$AB$42),$AB$42)))</f>
        <v>------------</v>
      </c>
      <c r="P28" s="242" t="s">
        <v>117</v>
      </c>
      <c r="Q28" s="235" t="str">
        <f>IF(Output!$D25="",$AB$42,IF(Output!$I25=0,$AB$42,IF(VLOOKUP(Output!$D25,$AB$3:$AC$38,2,FALSE)=Q$3,IF(Output!$J25&lt;AG6,Output!$A25,$AB$42),$AB$42)))</f>
        <v>------------</v>
      </c>
      <c r="R28" s="242" t="s">
        <v>117</v>
      </c>
      <c r="S28" s="235" t="str">
        <f>IF(Output!$D25="",$AB$42,IF(Output!$I25=0,$AB$42,IF(VLOOKUP(Output!$D25,$AB$3:$AC$38,2,FALSE)=S$3,IF(Output!$J25&lt;AG6,Output!$A25,$AB$42),$AB$42)))</f>
        <v>------------</v>
      </c>
      <c r="T28" s="242" t="s">
        <v>117</v>
      </c>
      <c r="U28" s="235" t="str">
        <f>IF(Output!$D25="",$AB$42,IF(Output!$I25=0,$AB$42,IF(VLOOKUP(Output!$D25,$AB$3:$AC$38,2,FALSE)=U$3,IF(Output!$J25&lt;AG6,Output!$A25,$AB$42),$AB$42)))</f>
        <v>------------</v>
      </c>
      <c r="V28" s="242" t="s">
        <v>117</v>
      </c>
      <c r="W28" s="235" t="str">
        <f>IF(Output!$D25="",$AB$42,IF(Output!$I25=0,$AB$42,IF(VLOOKUP(Output!$D25,$AB$3:$AC$38,2,FALSE)=W$3,IF(Output!$J25&lt;AG6,Output!$A25,$AB$42),$AB$42)))</f>
        <v>------------</v>
      </c>
      <c r="X28" s="242" t="s">
        <v>117</v>
      </c>
      <c r="Y28" s="236" t="str">
        <f>IF(Output!$D25="",$AB$42,IF(Output!$I25=0,$AB$42,IF(VLOOKUP(Output!$D25,$AB$3:$AC$38,2,FALSE)=Y$3,IF(Output!$J25&lt;AG6,Output!$A25,$AB$42),$AB$42)))</f>
        <v>------------</v>
      </c>
      <c r="Z28" t="s">
        <v>119</v>
      </c>
      <c r="AB28" s="223" t="str">
        <f>'Short &amp; Simple'!H72</f>
        <v>Monk - Mistweaver</v>
      </c>
      <c r="AC28" s="244" t="s">
        <v>122</v>
      </c>
    </row>
    <row r="29" spans="2:29" ht="15">
      <c r="B29" t="s">
        <v>115</v>
      </c>
      <c r="C29" s="296" t="s">
        <v>120</v>
      </c>
      <c r="D29" s="298" t="s">
        <v>117</v>
      </c>
      <c r="E29" s="301" t="s">
        <v>120</v>
      </c>
      <c r="F29" s="298" t="s">
        <v>117</v>
      </c>
      <c r="G29" s="301" t="s">
        <v>120</v>
      </c>
      <c r="H29" s="298" t="s">
        <v>117</v>
      </c>
      <c r="I29" s="245" t="s">
        <v>120</v>
      </c>
      <c r="J29" t="s">
        <v>117</v>
      </c>
      <c r="K29" s="234" t="str">
        <f>IF(Output!$D26="",$AB$42,IF(Output!$I26=0,$AB$42,IF(VLOOKUP(Output!$D26,$AB$3:$AC$38,2,FALSE)=K$3,IF(Output!$J26&lt;AG6,Output!$A26,$AB$42),$AB$42)))</f>
        <v>------------</v>
      </c>
      <c r="L29" s="242" t="s">
        <v>117</v>
      </c>
      <c r="M29" s="235" t="str">
        <f>IF(Output!$D26="",$AB$42,IF(Output!$I26=0,$AB$42,IF(VLOOKUP(Output!$D26,$AB$3:$AC$38,2,FALSE)=M$3,IF(Output!$J26&lt;AG6,Output!$A26,$AB$42),$AB$42)))</f>
        <v>------------</v>
      </c>
      <c r="N29" s="242" t="s">
        <v>117</v>
      </c>
      <c r="O29" s="235" t="str">
        <f>IF(Output!$D26="",$AB$42,IF(Output!$I26=0,$AB$42,IF(VLOOKUP(Output!$D26,$AB$3:$AC$38,2,FALSE)=O$3,IF(Output!$J26&lt;AG6,Output!$A26,$AB$42),$AB$42)))</f>
        <v>------------</v>
      </c>
      <c r="P29" s="242" t="s">
        <v>117</v>
      </c>
      <c r="Q29" s="235" t="str">
        <f>IF(Output!$D26="",$AB$42,IF(Output!$I26=0,$AB$42,IF(VLOOKUP(Output!$D26,$AB$3:$AC$38,2,FALSE)=Q$3,IF(Output!$J26&lt;AG6,Output!$A26,$AB$42),$AB$42)))</f>
        <v>------------</v>
      </c>
      <c r="R29" s="242" t="s">
        <v>117</v>
      </c>
      <c r="S29" s="235" t="str">
        <f>IF(Output!$D26="",$AB$42,IF(Output!$I26=0,$AB$42,IF(VLOOKUP(Output!$D26,$AB$3:$AC$38,2,FALSE)=S$3,IF(Output!$J26&lt;AG6,Output!$A26,$AB$42),$AB$42)))</f>
        <v>------------</v>
      </c>
      <c r="T29" s="242" t="s">
        <v>117</v>
      </c>
      <c r="U29" s="235" t="str">
        <f>IF(Output!$D26="",$AB$42,IF(Output!$I26=0,$AB$42,IF(VLOOKUP(Output!$D26,$AB$3:$AC$38,2,FALSE)=U$3,IF(Output!$J26&lt;AG6,Output!$A26,$AB$42),$AB$42)))</f>
        <v>------------</v>
      </c>
      <c r="V29" s="242" t="s">
        <v>117</v>
      </c>
      <c r="W29" s="235" t="str">
        <f>IF(Output!$D26="",$AB$42,IF(Output!$I26=0,$AB$42,IF(VLOOKUP(Output!$D26,$AB$3:$AC$38,2,FALSE)=W$3,IF(Output!$J26&lt;AG6,Output!$A26,$AB$42),$AB$42)))</f>
        <v>------------</v>
      </c>
      <c r="X29" s="242" t="s">
        <v>117</v>
      </c>
      <c r="Y29" s="236" t="str">
        <f>IF(Output!$D26="",$AB$42,IF(Output!$I26=0,$AB$42,IF(VLOOKUP(Output!$D26,$AB$3:$AC$38,2,FALSE)=Y$3,IF(Output!$J26&lt;AG6,Output!$A26,$AB$42),$AB$42)))</f>
        <v>------------</v>
      </c>
      <c r="Z29" t="s">
        <v>119</v>
      </c>
      <c r="AB29" s="223" t="str">
        <f>'Short &amp; Simple'!H73</f>
        <v>Paladin - Holy</v>
      </c>
      <c r="AC29" s="244" t="s">
        <v>122</v>
      </c>
    </row>
    <row r="30" spans="2:29" ht="15">
      <c r="B30" t="s">
        <v>115</v>
      </c>
      <c r="C30" s="296" t="s">
        <v>120</v>
      </c>
      <c r="D30" s="298" t="s">
        <v>117</v>
      </c>
      <c r="E30" s="301" t="s">
        <v>120</v>
      </c>
      <c r="F30" s="298" t="s">
        <v>117</v>
      </c>
      <c r="G30" s="301" t="s">
        <v>120</v>
      </c>
      <c r="H30" s="298" t="s">
        <v>117</v>
      </c>
      <c r="I30" s="245" t="s">
        <v>120</v>
      </c>
      <c r="J30" t="s">
        <v>117</v>
      </c>
      <c r="K30" s="234" t="str">
        <f>IF(Output!$D27="",$AB$42,IF(Output!$I27=0,$AB$42,IF(VLOOKUP(Output!$D27,$AB$3:$AC$38,2,FALSE)=K$3,IF(Output!$J27&lt;AG6,Output!$A27,$AB$42),$AB$42)))</f>
        <v>------------</v>
      </c>
      <c r="L30" s="242" t="s">
        <v>117</v>
      </c>
      <c r="M30" s="235" t="str">
        <f>IF(Output!$D27="",$AB$42,IF(Output!$I27=0,$AB$42,IF(VLOOKUP(Output!$D27,$AB$3:$AC$38,2,FALSE)=M$3,IF(Output!$J27&lt;AG6,Output!$A27,$AB$42),$AB$42)))</f>
        <v>------------</v>
      </c>
      <c r="N30" s="242" t="s">
        <v>117</v>
      </c>
      <c r="O30" s="235" t="str">
        <f>IF(Output!$D27="",$AB$42,IF(Output!$I27=0,$AB$42,IF(VLOOKUP(Output!$D27,$AB$3:$AC$38,2,FALSE)=O$3,IF(Output!$J27&lt;AG6,Output!$A27,$AB$42),$AB$42)))</f>
        <v>------------</v>
      </c>
      <c r="P30" s="242" t="s">
        <v>117</v>
      </c>
      <c r="Q30" s="235" t="str">
        <f>IF(Output!$D27="",$AB$42,IF(Output!$I27=0,$AB$42,IF(VLOOKUP(Output!$D27,$AB$3:$AC$38,2,FALSE)=Q$3,IF(Output!$J27&lt;AG6,Output!$A27,$AB$42),$AB$42)))</f>
        <v>------------</v>
      </c>
      <c r="R30" s="242" t="s">
        <v>117</v>
      </c>
      <c r="S30" s="235" t="str">
        <f>IF(Output!$D27="",$AB$42,IF(Output!$I27=0,$AB$42,IF(VLOOKUP(Output!$D27,$AB$3:$AC$38,2,FALSE)=S$3,IF(Output!$J27&lt;AG6,Output!$A27,$AB$42),$AB$42)))</f>
        <v>------------</v>
      </c>
      <c r="T30" s="242" t="s">
        <v>117</v>
      </c>
      <c r="U30" s="235" t="str">
        <f>IF(Output!$D27="",$AB$42,IF(Output!$I27=0,$AB$42,IF(VLOOKUP(Output!$D27,$AB$3:$AC$38,2,FALSE)=U$3,IF(Output!$J27&lt;AG6,Output!$A27,$AB$42),$AB$42)))</f>
        <v>------------</v>
      </c>
      <c r="V30" s="242" t="s">
        <v>117</v>
      </c>
      <c r="W30" s="235" t="str">
        <f>IF(Output!$D27="",$AB$42,IF(Output!$I27=0,$AB$42,IF(VLOOKUP(Output!$D27,$AB$3:$AC$38,2,FALSE)=W$3,IF(Output!$J27&lt;AG6,Output!$A27,$AB$42),$AB$42)))</f>
        <v>------------</v>
      </c>
      <c r="X30" s="242" t="s">
        <v>117</v>
      </c>
      <c r="Y30" s="236" t="str">
        <f>IF(Output!$D27="",$AB$42,IF(Output!$I27=0,$AB$42,IF(VLOOKUP(Output!$D27,$AB$3:$AC$38,2,FALSE)=Y$3,IF(Output!$J27&lt;AG6,Output!$A27,$AB$42),$AB$42)))</f>
        <v>------------</v>
      </c>
      <c r="Z30" t="s">
        <v>119</v>
      </c>
      <c r="AB30" s="223" t="str">
        <f>'Short &amp; Simple'!H74</f>
        <v>Priest - Discipline</v>
      </c>
      <c r="AC30" s="244" t="s">
        <v>122</v>
      </c>
    </row>
    <row r="31" spans="2:29" ht="15">
      <c r="B31" t="s">
        <v>115</v>
      </c>
      <c r="C31" s="296" t="s">
        <v>120</v>
      </c>
      <c r="D31" s="298" t="s">
        <v>117</v>
      </c>
      <c r="E31" s="301" t="s">
        <v>120</v>
      </c>
      <c r="F31" s="298" t="s">
        <v>117</v>
      </c>
      <c r="G31" s="301" t="s">
        <v>120</v>
      </c>
      <c r="H31" s="298" t="s">
        <v>117</v>
      </c>
      <c r="I31" s="245" t="s">
        <v>120</v>
      </c>
      <c r="J31" t="s">
        <v>117</v>
      </c>
      <c r="K31" s="234" t="str">
        <f>IF(Output!$D28="",$AB$42,IF(Output!$I28=0,$AB$42,IF(VLOOKUP(Output!$D28,$AB$3:$AC$38,2,FALSE)=K$3,IF(Output!$J28&lt;AG6,Output!$A28,$AB$42),$AB$42)))</f>
        <v>------------</v>
      </c>
      <c r="L31" s="242" t="s">
        <v>117</v>
      </c>
      <c r="M31" s="235" t="str">
        <f>IF(Output!$D28="",$AB$42,IF(Output!$I28=0,$AB$42,IF(VLOOKUP(Output!$D28,$AB$3:$AC$38,2,FALSE)=M$3,IF(Output!$J28&lt;AG6,Output!$A28,$AB$42),$AB$42)))</f>
        <v>------------</v>
      </c>
      <c r="N31" s="242" t="s">
        <v>117</v>
      </c>
      <c r="O31" s="235" t="str">
        <f>IF(Output!$D28="",$AB$42,IF(Output!$I28=0,$AB$42,IF(VLOOKUP(Output!$D28,$AB$3:$AC$38,2,FALSE)=O$3,IF(Output!$J28&lt;AG6,Output!$A28,$AB$42),$AB$42)))</f>
        <v>------------</v>
      </c>
      <c r="P31" s="242" t="s">
        <v>117</v>
      </c>
      <c r="Q31" s="235" t="str">
        <f>IF(Output!$D28="",$AB$42,IF(Output!$I28=0,$AB$42,IF(VLOOKUP(Output!$D28,$AB$3:$AC$38,2,FALSE)=Q$3,IF(Output!$J28&lt;AG6,Output!$A28,$AB$42),$AB$42)))</f>
        <v>------------</v>
      </c>
      <c r="R31" s="242" t="s">
        <v>117</v>
      </c>
      <c r="S31" s="235" t="str">
        <f>IF(Output!$D28="",$AB$42,IF(Output!$I28=0,$AB$42,IF(VLOOKUP(Output!$D28,$AB$3:$AC$38,2,FALSE)=S$3,IF(Output!$J28&lt;AG6,Output!$A28,$AB$42),$AB$42)))</f>
        <v>------------</v>
      </c>
      <c r="T31" s="242" t="s">
        <v>117</v>
      </c>
      <c r="U31" s="235" t="str">
        <f>IF(Output!$D28="",$AB$42,IF(Output!$I28=0,$AB$42,IF(VLOOKUP(Output!$D28,$AB$3:$AC$38,2,FALSE)=U$3,IF(Output!$J28&lt;AG6,Output!$A28,$AB$42),$AB$42)))</f>
        <v>------------</v>
      </c>
      <c r="V31" s="242" t="s">
        <v>117</v>
      </c>
      <c r="W31" s="235" t="str">
        <f>IF(Output!$D28="",$AB$42,IF(Output!$I28=0,$AB$42,IF(VLOOKUP(Output!$D28,$AB$3:$AC$38,2,FALSE)=W$3,IF(Output!$J28&lt;AG6,Output!$A28,$AB$42),$AB$42)))</f>
        <v>------------</v>
      </c>
      <c r="X31" s="242" t="s">
        <v>117</v>
      </c>
      <c r="Y31" s="236" t="str">
        <f>IF(Output!$D28="",$AB$42,IF(Output!$I28=0,$AB$42,IF(VLOOKUP(Output!$D28,$AB$3:$AC$38,2,FALSE)=Y$3,IF(Output!$J28&lt;AG6,Output!$A28,$AB$42),$AB$42)))</f>
        <v>------------</v>
      </c>
      <c r="Z31" t="s">
        <v>119</v>
      </c>
      <c r="AB31" s="223" t="str">
        <f>'Short &amp; Simple'!H75</f>
        <v>Priest - Holy</v>
      </c>
      <c r="AC31" s="244" t="s">
        <v>122</v>
      </c>
    </row>
    <row r="32" spans="2:29" ht="15.75" thickBot="1">
      <c r="B32" t="s">
        <v>115</v>
      </c>
      <c r="C32" s="296" t="s">
        <v>120</v>
      </c>
      <c r="D32" s="298" t="s">
        <v>117</v>
      </c>
      <c r="E32" s="301" t="s">
        <v>120</v>
      </c>
      <c r="F32" s="298" t="s">
        <v>117</v>
      </c>
      <c r="G32" s="301" t="s">
        <v>120</v>
      </c>
      <c r="H32" s="298" t="s">
        <v>117</v>
      </c>
      <c r="I32" s="245" t="s">
        <v>120</v>
      </c>
      <c r="J32" t="s">
        <v>117</v>
      </c>
      <c r="K32" s="234" t="str">
        <f>IF(Output!$D29="",$AB$42,IF(Output!$I29=0,$AB$42,IF(VLOOKUP(Output!$D29,$AB$3:$AC$38,2,FALSE)=K$3,IF(Output!$J29&lt;AG6,Output!$A29,$AB$42),$AB$42)))</f>
        <v>------------</v>
      </c>
      <c r="L32" s="242" t="s">
        <v>117</v>
      </c>
      <c r="M32" s="235" t="str">
        <f>IF(Output!$D29="",$AB$42,IF(Output!$I29=0,$AB$42,IF(VLOOKUP(Output!$D29,$AB$3:$AC$38,2,FALSE)=M$3,IF(Output!$J29&lt;AG6,Output!$A29,$AB$42),$AB$42)))</f>
        <v>------------</v>
      </c>
      <c r="N32" s="242" t="s">
        <v>117</v>
      </c>
      <c r="O32" s="235" t="str">
        <f>IF(Output!$D29="",$AB$42,IF(Output!$I29=0,$AB$42,IF(VLOOKUP(Output!$D29,$AB$3:$AC$38,2,FALSE)=O$3,IF(Output!$J29&lt;AG6,Output!$A29,$AB$42),$AB$42)))</f>
        <v>------------</v>
      </c>
      <c r="P32" s="242" t="s">
        <v>117</v>
      </c>
      <c r="Q32" s="235" t="str">
        <f>IF(Output!$D29="",$AB$42,IF(Output!$I29=0,$AB$42,IF(VLOOKUP(Output!$D29,$AB$3:$AC$38,2,FALSE)=Q$3,IF(Output!$J29&lt;AG6,Output!$A29,$AB$42),$AB$42)))</f>
        <v>------------</v>
      </c>
      <c r="R32" s="242" t="s">
        <v>117</v>
      </c>
      <c r="S32" s="235" t="str">
        <f>IF(Output!$D29="",$AB$42,IF(Output!$I29=0,$AB$42,IF(VLOOKUP(Output!$D29,$AB$3:$AC$38,2,FALSE)=S$3,IF(Output!$J29&lt;AG6,Output!$A29,$AB$42),$AB$42)))</f>
        <v>------------</v>
      </c>
      <c r="T32" s="242" t="s">
        <v>117</v>
      </c>
      <c r="U32" s="235" t="str">
        <f>IF(Output!$D29="",$AB$42,IF(Output!$I29=0,$AB$42,IF(VLOOKUP(Output!$D29,$AB$3:$AC$38,2,FALSE)=U$3,IF(Output!$J29&lt;AG6,Output!$A29,$AB$42),$AB$42)))</f>
        <v>------------</v>
      </c>
      <c r="V32" s="242" t="s">
        <v>117</v>
      </c>
      <c r="W32" s="235" t="str">
        <f>IF(Output!$D29="",$AB$42,IF(Output!$I29=0,$AB$42,IF(VLOOKUP(Output!$D29,$AB$3:$AC$38,2,FALSE)=W$3,IF(Output!$J29&lt;AG6,Output!$A29,$AB$42),$AB$42)))</f>
        <v>------------</v>
      </c>
      <c r="X32" s="242" t="s">
        <v>117</v>
      </c>
      <c r="Y32" s="236" t="str">
        <f>IF(Output!$D29="",$AB$42,IF(Output!$I29=0,$AB$42,IF(VLOOKUP(Output!$D29,$AB$3:$AC$38,2,FALSE)=Y$3,IF(Output!$J29&lt;AG6,Output!$A29,$AB$42),$AB$42)))</f>
        <v>------------</v>
      </c>
      <c r="Z32" t="s">
        <v>119</v>
      </c>
      <c r="AB32" s="223" t="str">
        <f>'Short &amp; Simple'!H76</f>
        <v>Shaman - Restoration</v>
      </c>
      <c r="AC32" s="244" t="s">
        <v>122</v>
      </c>
    </row>
    <row r="33" spans="2:29" ht="16.5" thickTop="1" thickBot="1">
      <c r="B33" t="s">
        <v>115</v>
      </c>
      <c r="C33" s="296" t="s">
        <v>122</v>
      </c>
      <c r="D33" s="298" t="s">
        <v>117</v>
      </c>
      <c r="E33" s="301" t="s">
        <v>122</v>
      </c>
      <c r="F33" s="298" t="s">
        <v>117</v>
      </c>
      <c r="G33" s="301" t="s">
        <v>122</v>
      </c>
      <c r="H33" s="298" t="s">
        <v>117</v>
      </c>
      <c r="I33" s="245" t="s">
        <v>122</v>
      </c>
      <c r="J33" t="s">
        <v>117</v>
      </c>
      <c r="K33" s="234" t="str">
        <f>IF(Output!$D30="",$AB$42,IF(Output!$I30=0,$AB$42,IF(VLOOKUP(Output!$D30,$AB$3:$AC$38,2,FALSE)=K$3,IF(Output!$J30&lt;AG6,Output!$A30,$AB$42),$AB$42)))</f>
        <v>------------</v>
      </c>
      <c r="L33" s="242" t="s">
        <v>117</v>
      </c>
      <c r="M33" s="235" t="str">
        <f>IF(Output!$D30="",$AB$42,IF(Output!$I30=0,$AB$42,IF(VLOOKUP(Output!$D30,$AB$3:$AC$38,2,FALSE)=M$3,IF(Output!$J30&lt;AG6,Output!$A30,$AB$42),$AB$42)))</f>
        <v>------------</v>
      </c>
      <c r="N33" s="242" t="s">
        <v>117</v>
      </c>
      <c r="O33" s="235" t="str">
        <f>IF(Output!$D30="",$AB$42,IF(Output!$I30=0,$AB$42,IF(VLOOKUP(Output!$D30,$AB$3:$AC$38,2,FALSE)=O$3,IF(Output!$J30&lt;AG6,Output!$A30,$AB$42),$AB$42)))</f>
        <v>------------</v>
      </c>
      <c r="P33" s="242" t="s">
        <v>117</v>
      </c>
      <c r="Q33" s="235" t="str">
        <f>IF(Output!$D30="",$AB$42,IF(Output!$I30=0,$AB$42,IF(VLOOKUP(Output!$D30,$AB$3:$AC$38,2,FALSE)=Q$3,IF(Output!$J30&lt;AG6,Output!$A30,$AB$42),$AB$42)))</f>
        <v>------------</v>
      </c>
      <c r="R33" s="242" t="s">
        <v>117</v>
      </c>
      <c r="S33" s="235" t="str">
        <f>IF(Output!$D30="",$AB$42,IF(Output!$I30=0,$AB$42,IF(VLOOKUP(Output!$D30,$AB$3:$AC$38,2,FALSE)=S$3,IF(Output!$J30&lt;AG6,Output!$A30,$AB$42),$AB$42)))</f>
        <v>------------</v>
      </c>
      <c r="T33" s="242" t="s">
        <v>117</v>
      </c>
      <c r="U33" s="235" t="str">
        <f>IF(Output!$D30="",$AB$42,IF(Output!$I30=0,$AB$42,IF(VLOOKUP(Output!$D30,$AB$3:$AC$38,2,FALSE)=U$3,IF(Output!$J30&lt;AG6,Output!$A30,$AB$42),$AB$42)))</f>
        <v>------------</v>
      </c>
      <c r="V33" s="242" t="s">
        <v>117</v>
      </c>
      <c r="W33" s="235" t="str">
        <f>IF(Output!$D30="",$AB$42,IF(Output!$I30=0,$AB$42,IF(VLOOKUP(Output!$D30,$AB$3:$AC$38,2,FALSE)=W$3,IF(Output!$J30&lt;AG6,Output!$A30,$AB$42),$AB$42)))</f>
        <v>------------</v>
      </c>
      <c r="X33" s="242" t="s">
        <v>117</v>
      </c>
      <c r="Y33" s="236" t="str">
        <f>IF(Output!$D30="",$AB$42,IF(Output!$I30=0,$AB$42,IF(VLOOKUP(Output!$D30,$AB$3:$AC$38,2,FALSE)=Y$3,IF(Output!$J30&lt;AG6,Output!$A30,$AB$42),$AB$42)))</f>
        <v>------------</v>
      </c>
      <c r="Z33" t="s">
        <v>119</v>
      </c>
      <c r="AB33" s="531" t="str">
        <f>'Short &amp; Simple'!H77</f>
        <v>25 Man Normal MSV - Currently Unknown</v>
      </c>
      <c r="AC33" s="532"/>
    </row>
    <row r="34" spans="2:29" ht="15.75" thickTop="1">
      <c r="B34" t="s">
        <v>115</v>
      </c>
      <c r="C34" s="296" t="s">
        <v>120</v>
      </c>
      <c r="D34" s="298" t="s">
        <v>117</v>
      </c>
      <c r="E34" s="301" t="s">
        <v>120</v>
      </c>
      <c r="F34" s="298" t="s">
        <v>117</v>
      </c>
      <c r="G34" s="301" t="s">
        <v>120</v>
      </c>
      <c r="H34" s="298" t="s">
        <v>117</v>
      </c>
      <c r="I34" s="245" t="s">
        <v>120</v>
      </c>
      <c r="J34" t="s">
        <v>117</v>
      </c>
      <c r="K34" s="234" t="str">
        <f>IF(Output!$D31="",$AB$42,IF(Output!$I31=0,$AB$42,IF(VLOOKUP(Output!$D31,$AB$3:$AC$38,2,FALSE)=K$3,IF(Output!$J31&lt;AG6,Output!$A31,$AB$42),$AB$42)))</f>
        <v>------------</v>
      </c>
      <c r="L34" s="242" t="s">
        <v>117</v>
      </c>
      <c r="M34" s="235" t="str">
        <f>IF(Output!$D31="",$AB$42,IF(Output!$I31=0,$AB$42,IF(VLOOKUP(Output!$D31,$AB$3:$AC$38,2,FALSE)=M$3,IF(Output!$J31&lt;AG6,Output!$A31,$AB$42),$AB$42)))</f>
        <v>------------</v>
      </c>
      <c r="N34" s="242" t="s">
        <v>117</v>
      </c>
      <c r="O34" s="235" t="str">
        <f>IF(Output!$D31="",$AB$42,IF(Output!$I31=0,$AB$42,IF(VLOOKUP(Output!$D31,$AB$3:$AC$38,2,FALSE)=O$3,IF(Output!$J31&lt;AG6,Output!$A31,$AB$42),$AB$42)))</f>
        <v>------------</v>
      </c>
      <c r="P34" s="242" t="s">
        <v>117</v>
      </c>
      <c r="Q34" s="235" t="str">
        <f>IF(Output!$D31="",$AB$42,IF(Output!$I31=0,$AB$42,IF(VLOOKUP(Output!$D31,$AB$3:$AC$38,2,FALSE)=Q$3,IF(Output!$J31&lt;AG6,Output!$A31,$AB$42),$AB$42)))</f>
        <v>------------</v>
      </c>
      <c r="R34" s="242" t="s">
        <v>117</v>
      </c>
      <c r="S34" s="235" t="str">
        <f>IF(Output!$D31="",$AB$42,IF(Output!$I31=0,$AB$42,IF(VLOOKUP(Output!$D31,$AB$3:$AC$38,2,FALSE)=S$3,IF(Output!$J31&lt;AG6,Output!$A31,$AB$42),$AB$42)))</f>
        <v>------------</v>
      </c>
      <c r="T34" s="242" t="s">
        <v>117</v>
      </c>
      <c r="U34" s="235" t="str">
        <f>IF(Output!$D31="",$AB$42,IF(Output!$I31=0,$AB$42,IF(VLOOKUP(Output!$D31,$AB$3:$AC$38,2,FALSE)=U$3,IF(Output!$J31&lt;AG6,Output!$A31,$AB$42),$AB$42)))</f>
        <v>------------</v>
      </c>
      <c r="V34" s="242" t="s">
        <v>117</v>
      </c>
      <c r="W34" s="235" t="str">
        <f>IF(Output!$D31="",$AB$42,IF(Output!$I31=0,$AB$42,IF(VLOOKUP(Output!$D31,$AB$3:$AC$38,2,FALSE)=W$3,IF(Output!$J31&lt;AG6,Output!$A31,$AB$42),$AB$42)))</f>
        <v>------------</v>
      </c>
      <c r="X34" s="242" t="s">
        <v>117</v>
      </c>
      <c r="Y34" s="236" t="str">
        <f>IF(Output!$D31="",$AB$42,IF(Output!$I31=0,$AB$42,IF(VLOOKUP(Output!$D31,$AB$3:$AC$38,2,FALSE)=Y$3,IF(Output!$J31&lt;AG6,Output!$A31,$AB$42),$AB$42)))</f>
        <v>------------</v>
      </c>
      <c r="Z34" t="s">
        <v>119</v>
      </c>
      <c r="AB34" s="223" t="str">
        <f>'Short &amp; Simple'!H78</f>
        <v>Death Knight - Blood</v>
      </c>
      <c r="AC34" s="244" t="s">
        <v>122</v>
      </c>
    </row>
    <row r="35" spans="2:29" ht="15">
      <c r="B35" t="s">
        <v>115</v>
      </c>
      <c r="C35" s="296" t="s">
        <v>120</v>
      </c>
      <c r="D35" s="298" t="s">
        <v>117</v>
      </c>
      <c r="E35" s="301" t="s">
        <v>120</v>
      </c>
      <c r="F35" s="298" t="s">
        <v>117</v>
      </c>
      <c r="G35" s="301" t="s">
        <v>120</v>
      </c>
      <c r="H35" s="298" t="s">
        <v>117</v>
      </c>
      <c r="I35" s="245" t="s">
        <v>120</v>
      </c>
      <c r="J35" t="s">
        <v>117</v>
      </c>
      <c r="K35" s="234" t="str">
        <f>IF(Output!$D32="",$AB$42,IF(Output!$I32=0,$AB$42,IF(VLOOKUP(Output!$D32,$AB$3:$AC$38,2,FALSE)=K$3,IF(Output!$J32&lt;AG6,Output!$A32,$AB$42),$AB$42)))</f>
        <v>------------</v>
      </c>
      <c r="L35" s="242" t="s">
        <v>117</v>
      </c>
      <c r="M35" s="235" t="str">
        <f>IF(Output!$D32="",$AB$42,IF(Output!$I32=0,$AB$42,IF(VLOOKUP(Output!$D32,$AB$3:$AC$38,2,FALSE)=M$3,IF(Output!$J32&lt;AG6,Output!$A32,$AB$42),$AB$42)))</f>
        <v>------------</v>
      </c>
      <c r="N35" s="242" t="s">
        <v>117</v>
      </c>
      <c r="O35" s="235" t="str">
        <f>IF(Output!$D32="",$AB$42,IF(Output!$I32=0,$AB$42,IF(VLOOKUP(Output!$D32,$AB$3:$AC$38,2,FALSE)=O$3,IF(Output!$J32&lt;AG6,Output!$A32,$AB$42),$AB$42)))</f>
        <v>------------</v>
      </c>
      <c r="P35" s="242" t="s">
        <v>117</v>
      </c>
      <c r="Q35" s="235" t="str">
        <f>IF(Output!$D32="",$AB$42,IF(Output!$I32=0,$AB$42,IF(VLOOKUP(Output!$D32,$AB$3:$AC$38,2,FALSE)=Q$3,IF(Output!$J32&lt;AG6,Output!$A32,$AB$42),$AB$42)))</f>
        <v>------------</v>
      </c>
      <c r="R35" s="242" t="s">
        <v>117</v>
      </c>
      <c r="S35" s="235" t="str">
        <f>IF(Output!$D32="",$AB$42,IF(Output!$I32=0,$AB$42,IF(VLOOKUP(Output!$D32,$AB$3:$AC$38,2,FALSE)=S$3,IF(Output!$J32&lt;AG6,Output!$A32,$AB$42),$AB$42)))</f>
        <v>------------</v>
      </c>
      <c r="T35" s="242" t="s">
        <v>117</v>
      </c>
      <c r="U35" s="235" t="str">
        <f>IF(Output!$D32="",$AB$42,IF(Output!$I32=0,$AB$42,IF(VLOOKUP(Output!$D32,$AB$3:$AC$38,2,FALSE)=U$3,IF(Output!$J32&lt;AG6,Output!$A32,$AB$42),$AB$42)))</f>
        <v>------------</v>
      </c>
      <c r="V35" s="242" t="s">
        <v>117</v>
      </c>
      <c r="W35" s="235" t="str">
        <f>IF(Output!$D32="",$AB$42,IF(Output!$I32=0,$AB$42,IF(VLOOKUP(Output!$D32,$AB$3:$AC$38,2,FALSE)=W$3,IF(Output!$J32&lt;AG6,Output!$A32,$AB$42),$AB$42)))</f>
        <v>------------</v>
      </c>
      <c r="X35" s="242" t="s">
        <v>117</v>
      </c>
      <c r="Y35" s="236" t="str">
        <f>IF(Output!$D32="",$AB$42,IF(Output!$I32=0,$AB$42,IF(VLOOKUP(Output!$D32,$AB$3:$AC$38,2,FALSE)=Y$3,IF(Output!$J32&lt;AG6,Output!$A32,$AB$42),$AB$42)))</f>
        <v>------------</v>
      </c>
      <c r="Z35" t="s">
        <v>119</v>
      </c>
      <c r="AB35" s="223" t="str">
        <f>'Short &amp; Simple'!H79</f>
        <v>Druid - Guardian</v>
      </c>
      <c r="AC35" s="244" t="s">
        <v>122</v>
      </c>
    </row>
    <row r="36" spans="2:29" ht="15">
      <c r="B36" t="s">
        <v>115</v>
      </c>
      <c r="C36" s="296" t="s">
        <v>120</v>
      </c>
      <c r="D36" s="298" t="s">
        <v>117</v>
      </c>
      <c r="E36" s="301" t="s">
        <v>120</v>
      </c>
      <c r="F36" s="298" t="s">
        <v>117</v>
      </c>
      <c r="G36" s="301" t="s">
        <v>120</v>
      </c>
      <c r="H36" s="298" t="s">
        <v>117</v>
      </c>
      <c r="I36" s="245" t="s">
        <v>120</v>
      </c>
      <c r="J36" t="s">
        <v>117</v>
      </c>
      <c r="K36" s="234" t="str">
        <f>IF(Output!$D33="",$AB$42,IF(Output!$I33=0,$AB$42,IF(VLOOKUP(Output!$D33,$AB$3:$AC$38,2,FALSE)=K$3,IF(Output!$J33&lt;AG6,Output!$A33,$AB$42),$AB$42)))</f>
        <v>------------</v>
      </c>
      <c r="L36" s="242" t="s">
        <v>117</v>
      </c>
      <c r="M36" s="235" t="str">
        <f>IF(Output!$D33="",$AB$42,IF(Output!$I33=0,$AB$42,IF(VLOOKUP(Output!$D33,$AB$3:$AC$38,2,FALSE)=M$3,IF(Output!$J33&lt;AG6,Output!$A33,$AB$42),$AB$42)))</f>
        <v>------------</v>
      </c>
      <c r="N36" s="242" t="s">
        <v>117</v>
      </c>
      <c r="O36" s="235" t="str">
        <f>IF(Output!$D33="",$AB$42,IF(Output!$I33=0,$AB$42,IF(VLOOKUP(Output!$D33,$AB$3:$AC$38,2,FALSE)=O$3,IF(Output!$J33&lt;AG6,Output!$A33,$AB$42),$AB$42)))</f>
        <v>------------</v>
      </c>
      <c r="P36" s="242" t="s">
        <v>117</v>
      </c>
      <c r="Q36" s="235" t="str">
        <f>IF(Output!$D33="",$AB$42,IF(Output!$I33=0,$AB$42,IF(VLOOKUP(Output!$D33,$AB$3:$AC$38,2,FALSE)=Q$3,IF(Output!$J33&lt;AG6,Output!$A33,$AB$42),$AB$42)))</f>
        <v>------------</v>
      </c>
      <c r="R36" s="242" t="s">
        <v>117</v>
      </c>
      <c r="S36" s="235" t="str">
        <f>IF(Output!$D33="",$AB$42,IF(Output!$I33=0,$AB$42,IF(VLOOKUP(Output!$D33,$AB$3:$AC$38,2,FALSE)=S$3,IF(Output!$J33&lt;AG6,Output!$A33,$AB$42),$AB$42)))</f>
        <v>------------</v>
      </c>
      <c r="T36" s="242" t="s">
        <v>117</v>
      </c>
      <c r="U36" s="235" t="str">
        <f>IF(Output!$D33="",$AB$42,IF(Output!$I33=0,$AB$42,IF(VLOOKUP(Output!$D33,$AB$3:$AC$38,2,FALSE)=U$3,IF(Output!$J33&lt;AG6,Output!$A33,$AB$42),$AB$42)))</f>
        <v>------------</v>
      </c>
      <c r="V36" s="242" t="s">
        <v>117</v>
      </c>
      <c r="W36" s="235" t="str">
        <f>IF(Output!$D33="",$AB$42,IF(Output!$I33=0,$AB$42,IF(VLOOKUP(Output!$D33,$AB$3:$AC$38,2,FALSE)=W$3,IF(Output!$J33&lt;AG6,Output!$A33,$AB$42),$AB$42)))</f>
        <v>------------</v>
      </c>
      <c r="X36" s="242" t="s">
        <v>117</v>
      </c>
      <c r="Y36" s="236" t="str">
        <f>IF(Output!$D33="",$AB$42,IF(Output!$I33=0,$AB$42,IF(VLOOKUP(Output!$D33,$AB$3:$AC$38,2,FALSE)=Y$3,IF(Output!$J33&lt;AG6,Output!$A33,$AB$42),$AB$42)))</f>
        <v>------------</v>
      </c>
      <c r="Z36" t="s">
        <v>119</v>
      </c>
      <c r="AB36" s="223" t="str">
        <f>'Short &amp; Simple'!H80</f>
        <v>Monk - Brewmaster</v>
      </c>
      <c r="AC36" s="244" t="s">
        <v>122</v>
      </c>
    </row>
    <row r="37" spans="2:29" ht="15">
      <c r="B37" t="s">
        <v>115</v>
      </c>
      <c r="C37" s="296" t="s">
        <v>120</v>
      </c>
      <c r="D37" s="298" t="s">
        <v>117</v>
      </c>
      <c r="E37" s="301" t="s">
        <v>120</v>
      </c>
      <c r="F37" s="298" t="s">
        <v>117</v>
      </c>
      <c r="G37" s="301" t="s">
        <v>120</v>
      </c>
      <c r="H37" s="298" t="s">
        <v>117</v>
      </c>
      <c r="I37" s="245" t="s">
        <v>120</v>
      </c>
      <c r="J37" t="s">
        <v>117</v>
      </c>
      <c r="K37" s="234" t="str">
        <f>IF(Output!$D34="",$AB$42,IF(Output!$I34=0,$AB$42,IF(VLOOKUP(Output!$D34,$AB$3:$AC$38,2,FALSE)=K$3,IF(Output!$J34&lt;AG6,Output!$A34,$AB$42),$AB$42)))</f>
        <v>------------</v>
      </c>
      <c r="L37" s="242" t="s">
        <v>117</v>
      </c>
      <c r="M37" s="235" t="str">
        <f>IF(Output!$D34="",$AB$42,IF(Output!$I34=0,$AB$42,IF(VLOOKUP(Output!$D34,$AB$3:$AC$38,2,FALSE)=M$3,IF(Output!$J34&lt;AG6,Output!$A34,$AB$42),$AB$42)))</f>
        <v>------------</v>
      </c>
      <c r="N37" s="242" t="s">
        <v>117</v>
      </c>
      <c r="O37" s="235" t="str">
        <f>IF(Output!$D34="",$AB$42,IF(Output!$I34=0,$AB$42,IF(VLOOKUP(Output!$D34,$AB$3:$AC$38,2,FALSE)=O$3,IF(Output!$J34&lt;AG6,Output!$A34,$AB$42),$AB$42)))</f>
        <v>------------</v>
      </c>
      <c r="P37" s="242" t="s">
        <v>117</v>
      </c>
      <c r="Q37" s="235" t="str">
        <f>IF(Output!$D34="",$AB$42,IF(Output!$I34=0,$AB$42,IF(VLOOKUP(Output!$D34,$AB$3:$AC$38,2,FALSE)=Q$3,IF(Output!$J34&lt;AG6,Output!$A34,$AB$42),$AB$42)))</f>
        <v>------------</v>
      </c>
      <c r="R37" s="242" t="s">
        <v>117</v>
      </c>
      <c r="S37" s="235" t="str">
        <f>IF(Output!$D34="",$AB$42,IF(Output!$I34=0,$AB$42,IF(VLOOKUP(Output!$D34,$AB$3:$AC$38,2,FALSE)=S$3,IF(Output!$J34&lt;AG6,Output!$A34,$AB$42),$AB$42)))</f>
        <v>------------</v>
      </c>
      <c r="T37" s="242" t="s">
        <v>117</v>
      </c>
      <c r="U37" s="235" t="str">
        <f>IF(Output!$D34="",$AB$42,IF(Output!$I34=0,$AB$42,IF(VLOOKUP(Output!$D34,$AB$3:$AC$38,2,FALSE)=U$3,IF(Output!$J34&lt;AG6,Output!$A34,$AB$42),$AB$42)))</f>
        <v>------------</v>
      </c>
      <c r="V37" s="242" t="s">
        <v>117</v>
      </c>
      <c r="W37" s="235" t="str">
        <f>IF(Output!$D34="",$AB$42,IF(Output!$I34=0,$AB$42,IF(VLOOKUP(Output!$D34,$AB$3:$AC$38,2,FALSE)=W$3,IF(Output!$J34&lt;AG6,Output!$A34,$AB$42),$AB$42)))</f>
        <v>------------</v>
      </c>
      <c r="X37" s="242" t="s">
        <v>117</v>
      </c>
      <c r="Y37" s="236" t="str">
        <f>IF(Output!$D34="",$AB$42,IF(Output!$I34=0,$AB$42,IF(VLOOKUP(Output!$D34,$AB$3:$AC$38,2,FALSE)=Y$3,IF(Output!$J34&lt;AG6,Output!$A34,$AB$42),$AB$42)))</f>
        <v>------------</v>
      </c>
      <c r="Z37" t="s">
        <v>119</v>
      </c>
      <c r="AB37" s="223" t="str">
        <f>'Short &amp; Simple'!H81</f>
        <v>Paladin - Protection</v>
      </c>
      <c r="AC37" s="244" t="s">
        <v>122</v>
      </c>
    </row>
    <row r="38" spans="2:29" ht="15.75" thickBot="1">
      <c r="B38" t="s">
        <v>115</v>
      </c>
      <c r="C38" s="296" t="s">
        <v>120</v>
      </c>
      <c r="D38" s="298" t="s">
        <v>117</v>
      </c>
      <c r="E38" s="301" t="s">
        <v>120</v>
      </c>
      <c r="F38" s="298" t="s">
        <v>117</v>
      </c>
      <c r="G38" s="301" t="s">
        <v>120</v>
      </c>
      <c r="H38" s="298" t="s">
        <v>117</v>
      </c>
      <c r="I38" s="245" t="s">
        <v>120</v>
      </c>
      <c r="J38" t="s">
        <v>117</v>
      </c>
      <c r="K38" s="234" t="str">
        <f>IF(Output!$D35="",$AB$42,IF(Output!$I35=0,$AB$42,IF(VLOOKUP(Output!$D35,$AB$3:$AC$38,2,FALSE)=K$3,IF(Output!$J35&lt;AG6,Output!$A35,$AB$42),$AB$42)))</f>
        <v>------------</v>
      </c>
      <c r="L38" s="242" t="s">
        <v>117</v>
      </c>
      <c r="M38" s="235" t="str">
        <f>IF(Output!$D35="",$AB$42,IF(Output!$I35=0,$AB$42,IF(VLOOKUP(Output!$D35,$AB$3:$AC$38,2,FALSE)=M$3,IF(Output!$J35&lt;AG6,Output!$A35,$AB$42),$AB$42)))</f>
        <v>------------</v>
      </c>
      <c r="N38" s="242" t="s">
        <v>117</v>
      </c>
      <c r="O38" s="235" t="str">
        <f>IF(Output!$D35="",$AB$42,IF(Output!$I35=0,$AB$42,IF(VLOOKUP(Output!$D35,$AB$3:$AC$38,2,FALSE)=O$3,IF(Output!$J35&lt;AG6,Output!$A35,$AB$42),$AB$42)))</f>
        <v>------------</v>
      </c>
      <c r="P38" s="242" t="s">
        <v>117</v>
      </c>
      <c r="Q38" s="235" t="str">
        <f>IF(Output!$D35="",$AB$42,IF(Output!$I35=0,$AB$42,IF(VLOOKUP(Output!$D35,$AB$3:$AC$38,2,FALSE)=Q$3,IF(Output!$J35&lt;AG6,Output!$A35,$AB$42),$AB$42)))</f>
        <v>------------</v>
      </c>
      <c r="R38" s="242" t="s">
        <v>117</v>
      </c>
      <c r="S38" s="235" t="str">
        <f>IF(Output!$D35="",$AB$42,IF(Output!$I35=0,$AB$42,IF(VLOOKUP(Output!$D35,$AB$3:$AC$38,2,FALSE)=S$3,IF(Output!$J35&lt;AG6,Output!$A35,$AB$42),$AB$42)))</f>
        <v>------------</v>
      </c>
      <c r="T38" s="242" t="s">
        <v>117</v>
      </c>
      <c r="U38" s="235" t="str">
        <f>IF(Output!$D35="",$AB$42,IF(Output!$I35=0,$AB$42,IF(VLOOKUP(Output!$D35,$AB$3:$AC$38,2,FALSE)=U$3,IF(Output!$J35&lt;AG6,Output!$A35,$AB$42),$AB$42)))</f>
        <v>------------</v>
      </c>
      <c r="V38" s="242" t="s">
        <v>117</v>
      </c>
      <c r="W38" s="235" t="str">
        <f>IF(Output!$D35="",$AB$42,IF(Output!$I35=0,$AB$42,IF(VLOOKUP(Output!$D35,$AB$3:$AC$38,2,FALSE)=W$3,IF(Output!$J35&lt;AG6,Output!$A35,$AB$42),$AB$42)))</f>
        <v>------------</v>
      </c>
      <c r="X38" s="242" t="s">
        <v>117</v>
      </c>
      <c r="Y38" s="236" t="str">
        <f>IF(Output!$D35="",$AB$42,IF(Output!$I35=0,$AB$42,IF(VLOOKUP(Output!$D35,$AB$3:$AC$38,2,FALSE)=Y$3,IF(Output!$J35&lt;AG6,Output!$A35,$AB$42),$AB$42)))</f>
        <v>------------</v>
      </c>
      <c r="Z38" t="s">
        <v>119</v>
      </c>
      <c r="AB38" s="225" t="str">
        <f>'Short &amp; Simple'!H82</f>
        <v>Warrior - Protection</v>
      </c>
      <c r="AC38" s="320" t="s">
        <v>122</v>
      </c>
    </row>
    <row r="39" spans="2:29" ht="15.75" thickTop="1">
      <c r="B39" t="s">
        <v>115</v>
      </c>
      <c r="C39" s="296" t="s">
        <v>120</v>
      </c>
      <c r="D39" s="298" t="s">
        <v>117</v>
      </c>
      <c r="E39" s="301" t="s">
        <v>120</v>
      </c>
      <c r="F39" s="298" t="s">
        <v>117</v>
      </c>
      <c r="G39" s="301" t="s">
        <v>120</v>
      </c>
      <c r="H39" s="298" t="s">
        <v>117</v>
      </c>
      <c r="I39" s="245" t="s">
        <v>120</v>
      </c>
      <c r="J39" t="s">
        <v>117</v>
      </c>
      <c r="K39" s="234" t="str">
        <f>IF(Output!$D36="",$AB$42,IF(Output!$I36=0,$AB$42,IF(VLOOKUP(Output!$D36,$AB$3:$AC$38,2,FALSE)=K$3,IF(Output!$J36&lt;AG6,Output!$A36,$AB$42),$AB$42)))</f>
        <v>------------</v>
      </c>
      <c r="L39" s="242" t="s">
        <v>117</v>
      </c>
      <c r="M39" s="235" t="str">
        <f>IF(Output!$D36="",$AB$42,IF(Output!$I36=0,$AB$42,IF(VLOOKUP(Output!$D36,$AB$3:$AC$38,2,FALSE)=M$3,IF(Output!$J36&lt;AG6,Output!$A36,$AB$42),$AB$42)))</f>
        <v>------------</v>
      </c>
      <c r="N39" s="242" t="s">
        <v>117</v>
      </c>
      <c r="O39" s="235" t="str">
        <f>IF(Output!$D36="",$AB$42,IF(Output!$I36=0,$AB$42,IF(VLOOKUP(Output!$D36,$AB$3:$AC$38,2,FALSE)=O$3,IF(Output!$J36&lt;AG6,Output!$A36,$AB$42),$AB$42)))</f>
        <v>------------</v>
      </c>
      <c r="P39" s="242" t="s">
        <v>117</v>
      </c>
      <c r="Q39" s="235" t="str">
        <f>IF(Output!$D36="",$AB$42,IF(Output!$I36=0,$AB$42,IF(VLOOKUP(Output!$D36,$AB$3:$AC$38,2,FALSE)=Q$3,IF(Output!$J36&lt;AG6,Output!$A36,$AB$42),$AB$42)))</f>
        <v>------------</v>
      </c>
      <c r="R39" s="242" t="s">
        <v>117</v>
      </c>
      <c r="S39" s="235" t="str">
        <f>IF(Output!$D36="",$AB$42,IF(Output!$I36=0,$AB$42,IF(VLOOKUP(Output!$D36,$AB$3:$AC$38,2,FALSE)=S$3,IF(Output!$J36&lt;AG6,Output!$A36,$AB$42),$AB$42)))</f>
        <v>------------</v>
      </c>
      <c r="T39" s="242" t="s">
        <v>117</v>
      </c>
      <c r="U39" s="235" t="str">
        <f>IF(Output!$D36="",$AB$42,IF(Output!$I36=0,$AB$42,IF(VLOOKUP(Output!$D36,$AB$3:$AC$38,2,FALSE)=U$3,IF(Output!$J36&lt;AG6,Output!$A36,$AB$42),$AB$42)))</f>
        <v>------------</v>
      </c>
      <c r="V39" s="242" t="s">
        <v>117</v>
      </c>
      <c r="W39" s="235" t="str">
        <f>IF(Output!$D36="",$AB$42,IF(Output!$I36=0,$AB$42,IF(VLOOKUP(Output!$D36,$AB$3:$AC$38,2,FALSE)=W$3,IF(Output!$J36&lt;AG6,Output!$A36,$AB$42),$AB$42)))</f>
        <v>------------</v>
      </c>
      <c r="X39" s="242" t="s">
        <v>117</v>
      </c>
      <c r="Y39" s="236" t="str">
        <f>IF(Output!$D36="",$AB$42,IF(Output!$I36=0,$AB$42,IF(VLOOKUP(Output!$D36,$AB$3:$AC$38,2,FALSE)=Y$3,IF(Output!$J36&lt;AG6,Output!$A36,$AB$42),$AB$42)))</f>
        <v>------------</v>
      </c>
      <c r="Z39" t="s">
        <v>119</v>
      </c>
      <c r="AB39" s="223" t="s">
        <v>111</v>
      </c>
      <c r="AC39" s="224"/>
    </row>
    <row r="40" spans="2:29" ht="15">
      <c r="B40" t="s">
        <v>115</v>
      </c>
      <c r="C40" s="296" t="s">
        <v>120</v>
      </c>
      <c r="D40" s="298" t="s">
        <v>117</v>
      </c>
      <c r="E40" s="301" t="s">
        <v>120</v>
      </c>
      <c r="F40" s="298" t="s">
        <v>117</v>
      </c>
      <c r="G40" s="301" t="s">
        <v>120</v>
      </c>
      <c r="H40" s="298" t="s">
        <v>117</v>
      </c>
      <c r="I40" s="245" t="s">
        <v>120</v>
      </c>
      <c r="J40" t="s">
        <v>117</v>
      </c>
      <c r="K40" s="234" t="str">
        <f>IF(Output!$D37="",$AB$42,IF(Output!$I37=0,$AB$42,IF(VLOOKUP(Output!$D37,$AB$3:$AC$38,2,FALSE)=K$3,IF(Output!$J37&lt;AG6,Output!$A37,$AB$42),$AB$42)))</f>
        <v>------------</v>
      </c>
      <c r="L40" s="242" t="s">
        <v>117</v>
      </c>
      <c r="M40" s="235" t="str">
        <f>IF(Output!$D37="",$AB$42,IF(Output!$I37=0,$AB$42,IF(VLOOKUP(Output!$D37,$AB$3:$AC$38,2,FALSE)=M$3,IF(Output!$J37&lt;AG6,Output!$A37,$AB$42),$AB$42)))</f>
        <v>------------</v>
      </c>
      <c r="N40" s="242" t="s">
        <v>117</v>
      </c>
      <c r="O40" s="235" t="str">
        <f>IF(Output!$D37="",$AB$42,IF(Output!$I37=0,$AB$42,IF(VLOOKUP(Output!$D37,$AB$3:$AC$38,2,FALSE)=O$3,IF(Output!$J37&lt;AG6,Output!$A37,$AB$42),$AB$42)))</f>
        <v>------------</v>
      </c>
      <c r="P40" s="242" t="s">
        <v>117</v>
      </c>
      <c r="Q40" s="235" t="str">
        <f>IF(Output!$D37="",$AB$42,IF(Output!$I37=0,$AB$42,IF(VLOOKUP(Output!$D37,$AB$3:$AC$38,2,FALSE)=Q$3,IF(Output!$J37&lt;AG6,Output!$A37,$AB$42),$AB$42)))</f>
        <v>------------</v>
      </c>
      <c r="R40" s="242" t="s">
        <v>117</v>
      </c>
      <c r="S40" s="235" t="str">
        <f>IF(Output!$D37="",$AB$42,IF(Output!$I37=0,$AB$42,IF(VLOOKUP(Output!$D37,$AB$3:$AC$38,2,FALSE)=S$3,IF(Output!$J37&lt;AG6,Output!$A37,$AB$42),$AB$42)))</f>
        <v>------------</v>
      </c>
      <c r="T40" s="242" t="s">
        <v>117</v>
      </c>
      <c r="U40" s="235" t="str">
        <f>IF(Output!$D37="",$AB$42,IF(Output!$I37=0,$AB$42,IF(VLOOKUP(Output!$D37,$AB$3:$AC$38,2,FALSE)=U$3,IF(Output!$J37&lt;AG6,Output!$A37,$AB$42),$AB$42)))</f>
        <v>------------</v>
      </c>
      <c r="V40" s="242" t="s">
        <v>117</v>
      </c>
      <c r="W40" s="235" t="str">
        <f>IF(Output!$D37="",$AB$42,IF(Output!$I37=0,$AB$42,IF(VLOOKUP(Output!$D37,$AB$3:$AC$38,2,FALSE)=W$3,IF(Output!$J37&lt;AG6,Output!$A37,$AB$42),$AB$42)))</f>
        <v>------------</v>
      </c>
      <c r="X40" s="242" t="s">
        <v>117</v>
      </c>
      <c r="Y40" s="236" t="str">
        <f>IF(Output!$D37="",$AB$42,IF(Output!$I37=0,$AB$42,IF(VLOOKUP(Output!$D37,$AB$3:$AC$38,2,FALSE)=Y$3,IF(Output!$J37&lt;AG6,Output!$A37,$AB$42),$AB$42)))</f>
        <v>------------</v>
      </c>
      <c r="Z40" t="s">
        <v>119</v>
      </c>
      <c r="AB40" s="223" t="s">
        <v>113</v>
      </c>
      <c r="AC40" s="224"/>
    </row>
    <row r="41" spans="2:29" ht="15">
      <c r="B41" t="s">
        <v>115</v>
      </c>
      <c r="C41" s="296" t="s">
        <v>120</v>
      </c>
      <c r="D41" s="298" t="s">
        <v>117</v>
      </c>
      <c r="E41" s="301" t="s">
        <v>120</v>
      </c>
      <c r="F41" s="298" t="s">
        <v>117</v>
      </c>
      <c r="G41" s="301" t="s">
        <v>120</v>
      </c>
      <c r="H41" s="298" t="s">
        <v>117</v>
      </c>
      <c r="I41" s="245" t="s">
        <v>120</v>
      </c>
      <c r="J41" t="s">
        <v>117</v>
      </c>
      <c r="K41" s="234" t="str">
        <f>IF(Output!$D38="",$AB$42,IF(Output!$I38=0,$AB$42,IF(VLOOKUP(Output!$D38,$AB$3:$AC$38,2,FALSE)=K$3,IF(Output!$J38&lt;AG6,Output!$A38,$AB$42),$AB$42)))</f>
        <v>------------</v>
      </c>
      <c r="L41" s="242" t="s">
        <v>117</v>
      </c>
      <c r="M41" s="235" t="str">
        <f>IF(Output!$D38="",$AB$42,IF(Output!$I38=0,$AB$42,IF(VLOOKUP(Output!$D38,$AB$3:$AC$38,2,FALSE)=M$3,IF(Output!$J38&lt;AG6,Output!$A38,$AB$42),$AB$42)))</f>
        <v>------------</v>
      </c>
      <c r="N41" s="242" t="s">
        <v>117</v>
      </c>
      <c r="O41" s="235" t="str">
        <f>IF(Output!$D38="",$AB$42,IF(Output!$I38=0,$AB$42,IF(VLOOKUP(Output!$D38,$AB$3:$AC$38,2,FALSE)=O$3,IF(Output!$J38&lt;AG6,Output!$A38,$AB$42),$AB$42)))</f>
        <v>------------</v>
      </c>
      <c r="P41" s="242" t="s">
        <v>117</v>
      </c>
      <c r="Q41" s="235" t="str">
        <f>IF(Output!$D38="",$AB$42,IF(Output!$I38=0,$AB$42,IF(VLOOKUP(Output!$D38,$AB$3:$AC$38,2,FALSE)=Q$3,IF(Output!$J38&lt;AG6,Output!$A38,$AB$42),$AB$42)))</f>
        <v>------------</v>
      </c>
      <c r="R41" s="242" t="s">
        <v>117</v>
      </c>
      <c r="S41" s="235" t="str">
        <f>IF(Output!$D38="",$AB$42,IF(Output!$I38=0,$AB$42,IF(VLOOKUP(Output!$D38,$AB$3:$AC$38,2,FALSE)=S$3,IF(Output!$J38&lt;AG6,Output!$A38,$AB$42),$AB$42)))</f>
        <v>------------</v>
      </c>
      <c r="T41" s="242" t="s">
        <v>117</v>
      </c>
      <c r="U41" s="235" t="str">
        <f>IF(Output!$D38="",$AB$42,IF(Output!$I38=0,$AB$42,IF(VLOOKUP(Output!$D38,$AB$3:$AC$38,2,FALSE)=U$3,IF(Output!$J38&lt;AG6,Output!$A38,$AB$42),$AB$42)))</f>
        <v>------------</v>
      </c>
      <c r="V41" s="242" t="s">
        <v>117</v>
      </c>
      <c r="W41" s="235" t="str">
        <f>IF(Output!$D38="",$AB$42,IF(Output!$I38=0,$AB$42,IF(VLOOKUP(Output!$D38,$AB$3:$AC$38,2,FALSE)=W$3,IF(Output!$J38&lt;AG6,Output!$A38,$AB$42),$AB$42)))</f>
        <v>------------</v>
      </c>
      <c r="X41" s="242" t="s">
        <v>117</v>
      </c>
      <c r="Y41" s="236" t="str">
        <f>IF(Output!$D38="",$AB$42,IF(Output!$I38=0,$AB$42,IF(VLOOKUP(Output!$D38,$AB$3:$AC$38,2,FALSE)=Y$3,IF(Output!$J38&lt;AG6,Output!$A38,$AB$42),$AB$42)))</f>
        <v>------------</v>
      </c>
      <c r="Z41" t="s">
        <v>119</v>
      </c>
      <c r="AB41" s="223" t="s">
        <v>112</v>
      </c>
      <c r="AC41" s="224"/>
    </row>
    <row r="42" spans="2:29" ht="15.75" thickBot="1">
      <c r="B42" t="s">
        <v>115</v>
      </c>
      <c r="C42" s="296" t="s">
        <v>120</v>
      </c>
      <c r="D42" s="298" t="s">
        <v>117</v>
      </c>
      <c r="E42" s="301" t="s">
        <v>120</v>
      </c>
      <c r="F42" s="298" t="s">
        <v>117</v>
      </c>
      <c r="G42" s="301" t="s">
        <v>120</v>
      </c>
      <c r="H42" s="298" t="s">
        <v>117</v>
      </c>
      <c r="I42" s="245" t="s">
        <v>120</v>
      </c>
      <c r="J42" t="s">
        <v>117</v>
      </c>
      <c r="K42" s="234" t="str">
        <f>IF(Output!$D39="",$AB$42,IF(Output!$I39=0,$AB$42,IF(VLOOKUP(Output!$D39,$AB$3:$AC$38,2,FALSE)=K$3,IF(Output!$J39&lt;AG6,Output!$A39,$AB$42),$AB$42)))</f>
        <v>------------</v>
      </c>
      <c r="L42" s="242" t="s">
        <v>117</v>
      </c>
      <c r="M42" s="235" t="str">
        <f>IF(Output!$D39="",$AB$42,IF(Output!$I39=0,$AB$42,IF(VLOOKUP(Output!$D39,$AB$3:$AC$38,2,FALSE)=M$3,IF(Output!$J39&lt;AG6,Output!$A39,$AB$42),$AB$42)))</f>
        <v>------------</v>
      </c>
      <c r="N42" s="242" t="s">
        <v>117</v>
      </c>
      <c r="O42" s="235" t="str">
        <f>IF(Output!$D39="",$AB$42,IF(Output!$I39=0,$AB$42,IF(VLOOKUP(Output!$D39,$AB$3:$AC$38,2,FALSE)=O$3,IF(Output!$J39&lt;AG6,Output!$A39,$AB$42),$AB$42)))</f>
        <v>------------</v>
      </c>
      <c r="P42" s="242" t="s">
        <v>117</v>
      </c>
      <c r="Q42" s="235" t="str">
        <f>IF(Output!$D39="",$AB$42,IF(Output!$I39=0,$AB$42,IF(VLOOKUP(Output!$D39,$AB$3:$AC$38,2,FALSE)=Q$3,IF(Output!$J39&lt;AG6,Output!$A39,$AB$42),$AB$42)))</f>
        <v>------------</v>
      </c>
      <c r="R42" s="242" t="s">
        <v>117</v>
      </c>
      <c r="S42" s="235" t="str">
        <f>IF(Output!$D39="",$AB$42,IF(Output!$I39=0,$AB$42,IF(VLOOKUP(Output!$D39,$AB$3:$AC$38,2,FALSE)=S$3,IF(Output!$J39&lt;AG6,Output!$A39,$AB$42),$AB$42)))</f>
        <v>------------</v>
      </c>
      <c r="T42" s="242" t="s">
        <v>117</v>
      </c>
      <c r="U42" s="235" t="str">
        <f>IF(Output!$D39="",$AB$42,IF(Output!$I39=0,$AB$42,IF(VLOOKUP(Output!$D39,$AB$3:$AC$38,2,FALSE)=U$3,IF(Output!$J39&lt;AG6,Output!$A39,$AB$42),$AB$42)))</f>
        <v>------------</v>
      </c>
      <c r="V42" s="242" t="s">
        <v>117</v>
      </c>
      <c r="W42" s="235" t="str">
        <f>IF(Output!$D39="",$AB$42,IF(Output!$I39=0,$AB$42,IF(VLOOKUP(Output!$D39,$AB$3:$AC$38,2,FALSE)=W$3,IF(Output!$J39&lt;AG6,Output!$A39,$AB$42),$AB$42)))</f>
        <v>------------</v>
      </c>
      <c r="X42" s="242" t="s">
        <v>117</v>
      </c>
      <c r="Y42" s="236" t="str">
        <f>IF(Output!$D39="",$AB$42,IF(Output!$I39=0,$AB$42,IF(VLOOKUP(Output!$D39,$AB$3:$AC$38,2,FALSE)=Y$3,IF(Output!$J39&lt;AG6,Output!$A39,$AB$42),$AB$42)))</f>
        <v>------------</v>
      </c>
      <c r="Z42" t="s">
        <v>119</v>
      </c>
      <c r="AB42" s="229" t="s">
        <v>122</v>
      </c>
      <c r="AC42" s="221"/>
    </row>
    <row r="43" spans="2:29" ht="15.75" thickTop="1">
      <c r="B43" t="s">
        <v>115</v>
      </c>
      <c r="C43" s="296" t="s">
        <v>120</v>
      </c>
      <c r="D43" s="298" t="s">
        <v>117</v>
      </c>
      <c r="E43" s="301" t="s">
        <v>120</v>
      </c>
      <c r="F43" s="298" t="s">
        <v>117</v>
      </c>
      <c r="G43" s="301" t="s">
        <v>120</v>
      </c>
      <c r="H43" s="298" t="s">
        <v>117</v>
      </c>
      <c r="I43" s="245" t="s">
        <v>120</v>
      </c>
      <c r="J43" t="s">
        <v>117</v>
      </c>
      <c r="K43" s="234" t="str">
        <f>IF(Output!$D40="",$AB$42,IF(Output!$I40=0,$AB$42,IF(VLOOKUP(Output!$D40,$AB$3:$AC$38,2,FALSE)=K$3,IF(Output!$J40&lt;AG6,Output!$A40,$AB$42),$AB$42)))</f>
        <v>------------</v>
      </c>
      <c r="L43" s="242" t="s">
        <v>117</v>
      </c>
      <c r="M43" s="235" t="str">
        <f>IF(Output!$D40="",$AB$42,IF(Output!$I40=0,$AB$42,IF(VLOOKUP(Output!$D40,$AB$3:$AC$38,2,FALSE)=M$3,IF(Output!$J40&lt;AG6,Output!$A40,$AB$42),$AB$42)))</f>
        <v>------------</v>
      </c>
      <c r="N43" s="242" t="s">
        <v>117</v>
      </c>
      <c r="O43" s="235" t="str">
        <f>IF(Output!$D40="",$AB$42,IF(Output!$I40=0,$AB$42,IF(VLOOKUP(Output!$D40,$AB$3:$AC$38,2,FALSE)=O$3,IF(Output!$J40&lt;AG6,Output!$A40,$AB$42),$AB$42)))</f>
        <v>------------</v>
      </c>
      <c r="P43" s="242" t="s">
        <v>117</v>
      </c>
      <c r="Q43" s="235" t="str">
        <f>IF(Output!$D40="",$AB$42,IF(Output!$I40=0,$AB$42,IF(VLOOKUP(Output!$D40,$AB$3:$AC$38,2,FALSE)=Q$3,IF(Output!$J40&lt;AG6,Output!$A40,$AB$42),$AB$42)))</f>
        <v>------------</v>
      </c>
      <c r="R43" s="242" t="s">
        <v>117</v>
      </c>
      <c r="S43" s="235" t="str">
        <f>IF(Output!$D40="",$AB$42,IF(Output!$I40=0,$AB$42,IF(VLOOKUP(Output!$D40,$AB$3:$AC$38,2,FALSE)=S$3,IF(Output!$J40&lt;AG6,Output!$A40,$AB$42),$AB$42)))</f>
        <v>------------</v>
      </c>
      <c r="T43" s="242" t="s">
        <v>117</v>
      </c>
      <c r="U43" s="235" t="str">
        <f>IF(Output!$D40="",$AB$42,IF(Output!$I40=0,$AB$42,IF(VLOOKUP(Output!$D40,$AB$3:$AC$38,2,FALSE)=U$3,IF(Output!$J40&lt;AG6,Output!$A40,$AB$42),$AB$42)))</f>
        <v>------------</v>
      </c>
      <c r="V43" s="242" t="s">
        <v>117</v>
      </c>
      <c r="W43" s="235" t="str">
        <f>IF(Output!$D40="",$AB$42,IF(Output!$I40=0,$AB$42,IF(VLOOKUP(Output!$D40,$AB$3:$AC$38,2,FALSE)=W$3,IF(Output!$J40&lt;AG6,Output!$A40,$AB$42),$AB$42)))</f>
        <v>------------</v>
      </c>
      <c r="X43" s="242" t="s">
        <v>117</v>
      </c>
      <c r="Y43" s="236" t="str">
        <f>IF(Output!$D40="",$AB$42,IF(Output!$I40=0,$AB$42,IF(VLOOKUP(Output!$D40,$AB$3:$AC$38,2,FALSE)=Y$3,IF(Output!$J40&lt;AG6,Output!$A40,$AB$42),$AB$42)))</f>
        <v>------------</v>
      </c>
      <c r="Z43" t="s">
        <v>119</v>
      </c>
    </row>
    <row r="44" spans="2:29" ht="15">
      <c r="B44" t="s">
        <v>115</v>
      </c>
      <c r="C44" s="296" t="s">
        <v>120</v>
      </c>
      <c r="D44" s="298" t="s">
        <v>117</v>
      </c>
      <c r="E44" s="301" t="s">
        <v>120</v>
      </c>
      <c r="F44" s="298" t="s">
        <v>117</v>
      </c>
      <c r="G44" s="301" t="s">
        <v>120</v>
      </c>
      <c r="H44" s="298" t="s">
        <v>117</v>
      </c>
      <c r="I44" s="245" t="s">
        <v>120</v>
      </c>
      <c r="J44" t="s">
        <v>117</v>
      </c>
      <c r="K44" s="234" t="str">
        <f>IF(Output!$D41="",$AB$42,IF(Output!$I41=0,$AB$42,IF(VLOOKUP(Output!$D41,$AB$3:$AC$38,2,FALSE)=K$3,IF(Output!$J41&lt;AG6,Output!$A41,$AB$42),$AB$42)))</f>
        <v>------------</v>
      </c>
      <c r="L44" s="242" t="s">
        <v>117</v>
      </c>
      <c r="M44" s="235" t="str">
        <f>IF(Output!$D41="",$AB$42,IF(Output!$I41=0,$AB$42,IF(VLOOKUP(Output!$D41,$AB$3:$AC$38,2,FALSE)=M$3,IF(Output!$J41&lt;AG6,Output!$A41,$AB$42),$AB$42)))</f>
        <v>------------</v>
      </c>
      <c r="N44" s="242" t="s">
        <v>117</v>
      </c>
      <c r="O44" s="235" t="str">
        <f>IF(Output!$D41="",$AB$42,IF(Output!$I41=0,$AB$42,IF(VLOOKUP(Output!$D41,$AB$3:$AC$38,2,FALSE)=O$3,IF(Output!$J41&lt;AG6,Output!$A41,$AB$42),$AB$42)))</f>
        <v>------------</v>
      </c>
      <c r="P44" s="242" t="s">
        <v>117</v>
      </c>
      <c r="Q44" s="235" t="str">
        <f>IF(Output!$D41="",$AB$42,IF(Output!$I41=0,$AB$42,IF(VLOOKUP(Output!$D41,$AB$3:$AC$38,2,FALSE)=Q$3,IF(Output!$J41&lt;AG6,Output!$A41,$AB$42),$AB$42)))</f>
        <v>------------</v>
      </c>
      <c r="R44" s="242" t="s">
        <v>117</v>
      </c>
      <c r="S44" s="235" t="str">
        <f>IF(Output!$D41="",$AB$42,IF(Output!$I41=0,$AB$42,IF(VLOOKUP(Output!$D41,$AB$3:$AC$38,2,FALSE)=S$3,IF(Output!$J41&lt;AG6,Output!$A41,$AB$42),$AB$42)))</f>
        <v>------------</v>
      </c>
      <c r="T44" s="242" t="s">
        <v>117</v>
      </c>
      <c r="U44" s="235" t="str">
        <f>IF(Output!$D41="",$AB$42,IF(Output!$I41=0,$AB$42,IF(VLOOKUP(Output!$D41,$AB$3:$AC$38,2,FALSE)=U$3,IF(Output!$J41&lt;AG6,Output!$A41,$AB$42),$AB$42)))</f>
        <v>------------</v>
      </c>
      <c r="V44" s="242" t="s">
        <v>117</v>
      </c>
      <c r="W44" s="235" t="str">
        <f>IF(Output!$D41="",$AB$42,IF(Output!$I41=0,$AB$42,IF(VLOOKUP(Output!$D41,$AB$3:$AC$38,2,FALSE)=W$3,IF(Output!$J41&lt;AG6,Output!$A41,$AB$42),$AB$42)))</f>
        <v>------------</v>
      </c>
      <c r="X44" s="242" t="s">
        <v>117</v>
      </c>
      <c r="Y44" s="236" t="str">
        <f>IF(Output!$D41="",$AB$42,IF(Output!$I41=0,$AB$42,IF(VLOOKUP(Output!$D41,$AB$3:$AC$38,2,FALSE)=Y$3,IF(Output!$J41&lt;AG6,Output!$A41,$AB$42),$AB$42)))</f>
        <v>------------</v>
      </c>
      <c r="Z44" t="s">
        <v>119</v>
      </c>
    </row>
    <row r="45" spans="2:29" ht="15">
      <c r="B45" t="s">
        <v>115</v>
      </c>
      <c r="C45" s="296" t="s">
        <v>120</v>
      </c>
      <c r="D45" s="298" t="s">
        <v>117</v>
      </c>
      <c r="E45" s="301" t="s">
        <v>120</v>
      </c>
      <c r="F45" s="298" t="s">
        <v>117</v>
      </c>
      <c r="G45" s="301" t="s">
        <v>120</v>
      </c>
      <c r="H45" s="298" t="s">
        <v>117</v>
      </c>
      <c r="I45" s="245" t="s">
        <v>120</v>
      </c>
      <c r="J45" t="s">
        <v>117</v>
      </c>
      <c r="K45" s="234" t="str">
        <f>IF(Output!$D42="",$AB$42,IF(Output!$I42=0,$AB$42,IF(VLOOKUP(Output!$D42,$AB$3:$AC$38,2,FALSE)=K$3,IF(Output!$J42&lt;AG6,Output!$A42,$AB$42),$AB$42)))</f>
        <v>------------</v>
      </c>
      <c r="L45" s="242" t="s">
        <v>117</v>
      </c>
      <c r="M45" s="235" t="str">
        <f>IF(Output!$D42="",$AB$42,IF(Output!$I42=0,$AB$42,IF(VLOOKUP(Output!$D42,$AB$3:$AC$38,2,FALSE)=M$3,IF(Output!$J42&lt;AG6,Output!$A42,$AB$42),$AB$42)))</f>
        <v>------------</v>
      </c>
      <c r="N45" s="242" t="s">
        <v>117</v>
      </c>
      <c r="O45" s="235" t="str">
        <f>IF(Output!$D42="",$AB$42,IF(Output!$I42=0,$AB$42,IF(VLOOKUP(Output!$D42,$AB$3:$AC$38,2,FALSE)=O$3,IF(Output!$J42&lt;AG6,Output!$A42,$AB$42),$AB$42)))</f>
        <v>------------</v>
      </c>
      <c r="P45" s="242" t="s">
        <v>117</v>
      </c>
      <c r="Q45" s="235" t="str">
        <f>IF(Output!$D42="",$AB$42,IF(Output!$I42=0,$AB$42,IF(VLOOKUP(Output!$D42,$AB$3:$AC$38,2,FALSE)=Q$3,IF(Output!$J42&lt;AG6,Output!$A42,$AB$42),$AB$42)))</f>
        <v>------------</v>
      </c>
      <c r="R45" s="242" t="s">
        <v>117</v>
      </c>
      <c r="S45" s="235" t="str">
        <f>IF(Output!$D42="",$AB$42,IF(Output!$I42=0,$AB$42,IF(VLOOKUP(Output!$D42,$AB$3:$AC$38,2,FALSE)=S$3,IF(Output!$J42&lt;AG6,Output!$A42,$AB$42),$AB$42)))</f>
        <v>------------</v>
      </c>
      <c r="T45" s="242" t="s">
        <v>117</v>
      </c>
      <c r="U45" s="235" t="str">
        <f>IF(Output!$D42="",$AB$42,IF(Output!$I42=0,$AB$42,IF(VLOOKUP(Output!$D42,$AB$3:$AC$38,2,FALSE)=U$3,IF(Output!$J42&lt;AG6,Output!$A42,$AB$42),$AB$42)))</f>
        <v>------------</v>
      </c>
      <c r="V45" s="242" t="s">
        <v>117</v>
      </c>
      <c r="W45" s="235" t="str">
        <f>IF(Output!$D42="",$AB$42,IF(Output!$I42=0,$AB$42,IF(VLOOKUP(Output!$D42,$AB$3:$AC$38,2,FALSE)=W$3,IF(Output!$J42&lt;AG6,Output!$A42,$AB$42),$AB$42)))</f>
        <v>------------</v>
      </c>
      <c r="X45" s="242" t="s">
        <v>117</v>
      </c>
      <c r="Y45" s="236" t="str">
        <f>IF(Output!$D42="",$AB$42,IF(Output!$I42=0,$AB$42,IF(VLOOKUP(Output!$D42,$AB$3:$AC$38,2,FALSE)=Y$3,IF(Output!$J42&lt;AG6,Output!$A42,$AB$42),$AB$42)))</f>
        <v>------------</v>
      </c>
      <c r="Z45" t="s">
        <v>119</v>
      </c>
    </row>
    <row r="46" spans="2:29" ht="15">
      <c r="B46" t="s">
        <v>115</v>
      </c>
      <c r="C46" s="296" t="s">
        <v>120</v>
      </c>
      <c r="D46" s="298" t="s">
        <v>117</v>
      </c>
      <c r="E46" s="301" t="s">
        <v>120</v>
      </c>
      <c r="F46" s="298" t="s">
        <v>117</v>
      </c>
      <c r="G46" s="301" t="s">
        <v>120</v>
      </c>
      <c r="H46" s="298" t="s">
        <v>117</v>
      </c>
      <c r="I46" s="245" t="s">
        <v>120</v>
      </c>
      <c r="J46" t="s">
        <v>117</v>
      </c>
      <c r="K46" s="234" t="str">
        <f>IF(Output!$D43="",$AB$42,IF(Output!$I43=0,$AB$42,IF(VLOOKUP(Output!$D43,$AB$3:$AC$38,2,FALSE)=K$3,IF(Output!$J43&lt;AG6,Output!$A43,$AB$42),$AB$42)))</f>
        <v>------------</v>
      </c>
      <c r="L46" s="242" t="s">
        <v>117</v>
      </c>
      <c r="M46" s="235" t="str">
        <f>IF(Output!$D43="",$AB$42,IF(Output!$I43=0,$AB$42,IF(VLOOKUP(Output!$D43,$AB$3:$AC$38,2,FALSE)=M$3,IF(Output!$J43&lt;AG6,Output!$A43,$AB$42),$AB$42)))</f>
        <v>------------</v>
      </c>
      <c r="N46" s="242" t="s">
        <v>117</v>
      </c>
      <c r="O46" s="235" t="str">
        <f>IF(Output!$D43="",$AB$42,IF(Output!$I43=0,$AB$42,IF(VLOOKUP(Output!$D43,$AB$3:$AC$38,2,FALSE)=O$3,IF(Output!$J43&lt;AG6,Output!$A43,$AB$42),$AB$42)))</f>
        <v>------------</v>
      </c>
      <c r="P46" s="242" t="s">
        <v>117</v>
      </c>
      <c r="Q46" s="235" t="str">
        <f>IF(Output!$D43="",$AB$42,IF(Output!$I43=0,$AB$42,IF(VLOOKUP(Output!$D43,$AB$3:$AC$38,2,FALSE)=Q$3,IF(Output!$J43&lt;AG6,Output!$A43,$AB$42),$AB$42)))</f>
        <v>------------</v>
      </c>
      <c r="R46" s="242" t="s">
        <v>117</v>
      </c>
      <c r="S46" s="235" t="str">
        <f>IF(Output!$D43="",$AB$42,IF(Output!$I43=0,$AB$42,IF(VLOOKUP(Output!$D43,$AB$3:$AC$38,2,FALSE)=S$3,IF(Output!$J43&lt;AG6,Output!$A43,$AB$42),$AB$42)))</f>
        <v>------------</v>
      </c>
      <c r="T46" s="242" t="s">
        <v>117</v>
      </c>
      <c r="U46" s="235" t="str">
        <f>IF(Output!$D43="",$AB$42,IF(Output!$I43=0,$AB$42,IF(VLOOKUP(Output!$D43,$AB$3:$AC$38,2,FALSE)=U$3,IF(Output!$J43&lt;AG6,Output!$A43,$AB$42),$AB$42)))</f>
        <v>------------</v>
      </c>
      <c r="V46" s="242" t="s">
        <v>117</v>
      </c>
      <c r="W46" s="235" t="str">
        <f>IF(Output!$D43="",$AB$42,IF(Output!$I43=0,$AB$42,IF(VLOOKUP(Output!$D43,$AB$3:$AC$38,2,FALSE)=W$3,IF(Output!$J43&lt;AG6,Output!$A43,$AB$42),$AB$42)))</f>
        <v>------------</v>
      </c>
      <c r="X46" s="242" t="s">
        <v>117</v>
      </c>
      <c r="Y46" s="236" t="str">
        <f>IF(Output!$D43="",$AB$42,IF(Output!$I43=0,$AB$42,IF(VLOOKUP(Output!$D43,$AB$3:$AC$38,2,FALSE)=Y$3,IF(Output!$J43&lt;AG6,Output!$A43,$AB$42),$AB$42)))</f>
        <v>------------</v>
      </c>
      <c r="Z46" t="s">
        <v>119</v>
      </c>
    </row>
    <row r="47" spans="2:29" ht="15">
      <c r="B47" t="s">
        <v>115</v>
      </c>
      <c r="C47" s="296" t="s">
        <v>120</v>
      </c>
      <c r="D47" s="298" t="s">
        <v>117</v>
      </c>
      <c r="E47" s="301" t="s">
        <v>120</v>
      </c>
      <c r="F47" s="298" t="s">
        <v>117</v>
      </c>
      <c r="G47" s="301" t="s">
        <v>120</v>
      </c>
      <c r="H47" s="298" t="s">
        <v>117</v>
      </c>
      <c r="I47" s="245" t="s">
        <v>120</v>
      </c>
      <c r="J47" t="s">
        <v>117</v>
      </c>
      <c r="K47" s="234" t="str">
        <f>IF(Output!$D44="",$AB$42,IF(Output!$I44=0,$AB$42,IF(VLOOKUP(Output!$D44,$AB$3:$AC$38,2,FALSE)=K$3,IF(Output!$J44&lt;AG6,Output!$A44,$AB$42),$AB$42)))</f>
        <v>------------</v>
      </c>
      <c r="L47" s="242" t="s">
        <v>117</v>
      </c>
      <c r="M47" s="235" t="str">
        <f>IF(Output!$D44="",$AB$42,IF(Output!$I44=0,$AB$42,IF(VLOOKUP(Output!$D44,$AB$3:$AC$38,2,FALSE)=M$3,IF(Output!$J44&lt;AG6,Output!$A44,$AB$42),$AB$42)))</f>
        <v>------------</v>
      </c>
      <c r="N47" s="242" t="s">
        <v>117</v>
      </c>
      <c r="O47" s="235" t="str">
        <f>IF(Output!$D44="",$AB$42,IF(Output!$I44=0,$AB$42,IF(VLOOKUP(Output!$D44,$AB$3:$AC$38,2,FALSE)=O$3,IF(Output!$J44&lt;AG6,Output!$A44,$AB$42),$AB$42)))</f>
        <v>------------</v>
      </c>
      <c r="P47" s="242" t="s">
        <v>117</v>
      </c>
      <c r="Q47" s="235" t="str">
        <f>IF(Output!$D44="",$AB$42,IF(Output!$I44=0,$AB$42,IF(VLOOKUP(Output!$D44,$AB$3:$AC$38,2,FALSE)=Q$3,IF(Output!$J44&lt;AG6,Output!$A44,$AB$42),$AB$42)))</f>
        <v>------------</v>
      </c>
      <c r="R47" s="242" t="s">
        <v>117</v>
      </c>
      <c r="S47" s="235" t="str">
        <f>IF(Output!$D44="",$AB$42,IF(Output!$I44=0,$AB$42,IF(VLOOKUP(Output!$D44,$AB$3:$AC$38,2,FALSE)=S$3,IF(Output!$J44&lt;AG6,Output!$A44,$AB$42),$AB$42)))</f>
        <v>------------</v>
      </c>
      <c r="T47" s="242" t="s">
        <v>117</v>
      </c>
      <c r="U47" s="235" t="str">
        <f>IF(Output!$D44="",$AB$42,IF(Output!$I44=0,$AB$42,IF(VLOOKUP(Output!$D44,$AB$3:$AC$38,2,FALSE)=U$3,IF(Output!$J44&lt;AG6,Output!$A44,$AB$42),$AB$42)))</f>
        <v>------------</v>
      </c>
      <c r="V47" s="242" t="s">
        <v>117</v>
      </c>
      <c r="W47" s="235" t="str">
        <f>IF(Output!$D44="",$AB$42,IF(Output!$I44=0,$AB$42,IF(VLOOKUP(Output!$D44,$AB$3:$AC$38,2,FALSE)=W$3,IF(Output!$J44&lt;AG6,Output!$A44,$AB$42),$AB$42)))</f>
        <v>------------</v>
      </c>
      <c r="X47" s="242" t="s">
        <v>117</v>
      </c>
      <c r="Y47" s="236" t="str">
        <f>IF(Output!$D44="",$AB$42,IF(Output!$I44=0,$AB$42,IF(VLOOKUP(Output!$D44,$AB$3:$AC$38,2,FALSE)=Y$3,IF(Output!$J44&lt;AG6,Output!$A44,$AB$42),$AB$42)))</f>
        <v>------------</v>
      </c>
      <c r="Z47" t="s">
        <v>119</v>
      </c>
    </row>
    <row r="48" spans="2:29" ht="15">
      <c r="B48" t="s">
        <v>115</v>
      </c>
      <c r="C48" s="296" t="s">
        <v>120</v>
      </c>
      <c r="D48" s="298" t="s">
        <v>117</v>
      </c>
      <c r="E48" s="301" t="s">
        <v>120</v>
      </c>
      <c r="F48" s="298" t="s">
        <v>117</v>
      </c>
      <c r="G48" s="301" t="s">
        <v>120</v>
      </c>
      <c r="H48" s="298" t="s">
        <v>117</v>
      </c>
      <c r="I48" s="245" t="s">
        <v>120</v>
      </c>
      <c r="J48" t="s">
        <v>117</v>
      </c>
      <c r="K48" s="234" t="str">
        <f>IF(Output!$D45="",$AB$42,IF(Output!$I45=0,$AB$42,IF(VLOOKUP(Output!$D45,$AB$3:$AC$38,2,FALSE)=K$3,IF(Output!$J45&lt;AG6,Output!$A45,$AB$42),$AB$42)))</f>
        <v>------------</v>
      </c>
      <c r="L48" s="242" t="s">
        <v>117</v>
      </c>
      <c r="M48" s="235" t="str">
        <f>IF(Output!$D45="",$AB$42,IF(Output!$I45=0,$AB$42,IF(VLOOKUP(Output!$D45,$AB$3:$AC$38,2,FALSE)=M$3,IF(Output!$J45&lt;AG6,Output!$A45,$AB$42),$AB$42)))</f>
        <v>------------</v>
      </c>
      <c r="N48" s="242" t="s">
        <v>117</v>
      </c>
      <c r="O48" s="235" t="str">
        <f>IF(Output!$D45="",$AB$42,IF(Output!$I45=0,$AB$42,IF(VLOOKUP(Output!$D45,$AB$3:$AC$38,2,FALSE)=O$3,IF(Output!$J45&lt;AG6,Output!$A45,$AB$42),$AB$42)))</f>
        <v>------------</v>
      </c>
      <c r="P48" s="242" t="s">
        <v>117</v>
      </c>
      <c r="Q48" s="235" t="str">
        <f>IF(Output!$D45="",$AB$42,IF(Output!$I45=0,$AB$42,IF(VLOOKUP(Output!$D45,$AB$3:$AC$38,2,FALSE)=Q$3,IF(Output!$J45&lt;AG6,Output!$A45,$AB$42),$AB$42)))</f>
        <v>------------</v>
      </c>
      <c r="R48" s="242" t="s">
        <v>117</v>
      </c>
      <c r="S48" s="235" t="str">
        <f>IF(Output!$D45="",$AB$42,IF(Output!$I45=0,$AB$42,IF(VLOOKUP(Output!$D45,$AB$3:$AC$38,2,FALSE)=S$3,IF(Output!$J45&lt;AG6,Output!$A45,$AB$42),$AB$42)))</f>
        <v>------------</v>
      </c>
      <c r="T48" s="242" t="s">
        <v>117</v>
      </c>
      <c r="U48" s="235" t="str">
        <f>IF(Output!$D45="",$AB$42,IF(Output!$I45=0,$AB$42,IF(VLOOKUP(Output!$D45,$AB$3:$AC$38,2,FALSE)=U$3,IF(Output!$J45&lt;AG6,Output!$A45,$AB$42),$AB$42)))</f>
        <v>------------</v>
      </c>
      <c r="V48" s="242" t="s">
        <v>117</v>
      </c>
      <c r="W48" s="235" t="str">
        <f>IF(Output!$D45="",$AB$42,IF(Output!$I45=0,$AB$42,IF(VLOOKUP(Output!$D45,$AB$3:$AC$38,2,FALSE)=W$3,IF(Output!$J45&lt;AG6,Output!$A45,$AB$42),$AB$42)))</f>
        <v>------------</v>
      </c>
      <c r="X48" s="242" t="s">
        <v>117</v>
      </c>
      <c r="Y48" s="236" t="str">
        <f>IF(Output!$D45="",$AB$42,IF(Output!$I45=0,$AB$42,IF(VLOOKUP(Output!$D45,$AB$3:$AC$38,2,FALSE)=Y$3,IF(Output!$J45&lt;AG6,Output!$A45,$AB$42),$AB$42)))</f>
        <v>------------</v>
      </c>
      <c r="Z48" t="s">
        <v>119</v>
      </c>
    </row>
    <row r="49" spans="2:26" ht="15">
      <c r="B49" t="s">
        <v>115</v>
      </c>
      <c r="C49" s="296" t="s">
        <v>120</v>
      </c>
      <c r="D49" s="298" t="s">
        <v>117</v>
      </c>
      <c r="E49" s="301" t="s">
        <v>120</v>
      </c>
      <c r="F49" s="298" t="s">
        <v>117</v>
      </c>
      <c r="G49" s="301" t="s">
        <v>120</v>
      </c>
      <c r="H49" s="298" t="s">
        <v>117</v>
      </c>
      <c r="I49" s="245" t="s">
        <v>120</v>
      </c>
      <c r="J49" t="s">
        <v>117</v>
      </c>
      <c r="K49" s="234" t="str">
        <f>IF(Output!$D46="",$AB$42,IF(Output!$I46=0,$AB$42,IF(VLOOKUP(Output!$D46,$AB$3:$AC$38,2,FALSE)=K$3,IF(Output!$J46&lt;AG6,Output!$A46,$AB$42),$AB$42)))</f>
        <v>------------</v>
      </c>
      <c r="L49" s="242" t="s">
        <v>117</v>
      </c>
      <c r="M49" s="235" t="str">
        <f>IF(Output!$D46="",$AB$42,IF(Output!$I46=0,$AB$42,IF(VLOOKUP(Output!$D46,$AB$3:$AC$38,2,FALSE)=M$3,IF(Output!$J46&lt;AG6,Output!$A46,$AB$42),$AB$42)))</f>
        <v>------------</v>
      </c>
      <c r="N49" s="242" t="s">
        <v>117</v>
      </c>
      <c r="O49" s="235" t="str">
        <f>IF(Output!$D46="",$AB$42,IF(Output!$I46=0,$AB$42,IF(VLOOKUP(Output!$D46,$AB$3:$AC$38,2,FALSE)=O$3,IF(Output!$J46&lt;AG6,Output!$A46,$AB$42),$AB$42)))</f>
        <v>------------</v>
      </c>
      <c r="P49" s="242" t="s">
        <v>117</v>
      </c>
      <c r="Q49" s="235" t="str">
        <f>IF(Output!$D46="",$AB$42,IF(Output!$I46=0,$AB$42,IF(VLOOKUP(Output!$D46,$AB$3:$AC$38,2,FALSE)=Q$3,IF(Output!$J46&lt;AG6,Output!$A46,$AB$42),$AB$42)))</f>
        <v>------------</v>
      </c>
      <c r="R49" s="242" t="s">
        <v>117</v>
      </c>
      <c r="S49" s="235" t="str">
        <f>IF(Output!$D46="",$AB$42,IF(Output!$I46=0,$AB$42,IF(VLOOKUP(Output!$D46,$AB$3:$AC$38,2,FALSE)=S$3,IF(Output!$J46&lt;AG6,Output!$A46,$AB$42),$AB$42)))</f>
        <v>------------</v>
      </c>
      <c r="T49" s="242" t="s">
        <v>117</v>
      </c>
      <c r="U49" s="235" t="str">
        <f>IF(Output!$D46="",$AB$42,IF(Output!$I46=0,$AB$42,IF(VLOOKUP(Output!$D46,$AB$3:$AC$38,2,FALSE)=U$3,IF(Output!$J46&lt;AG6,Output!$A46,$AB$42),$AB$42)))</f>
        <v>------------</v>
      </c>
      <c r="V49" s="242" t="s">
        <v>117</v>
      </c>
      <c r="W49" s="235" t="str">
        <f>IF(Output!$D46="",$AB$42,IF(Output!$I46=0,$AB$42,IF(VLOOKUP(Output!$D46,$AB$3:$AC$38,2,FALSE)=W$3,IF(Output!$J46&lt;AG6,Output!$A46,$AB$42),$AB$42)))</f>
        <v>------------</v>
      </c>
      <c r="X49" s="242" t="s">
        <v>117</v>
      </c>
      <c r="Y49" s="236" t="str">
        <f>IF(Output!$D46="",$AB$42,IF(Output!$I46=0,$AB$42,IF(VLOOKUP(Output!$D46,$AB$3:$AC$38,2,FALSE)=Y$3,IF(Output!$J46&lt;AG6,Output!$A46,$AB$42),$AB$42)))</f>
        <v>------------</v>
      </c>
      <c r="Z49" t="s">
        <v>119</v>
      </c>
    </row>
    <row r="50" spans="2:26" ht="15">
      <c r="B50" t="s">
        <v>115</v>
      </c>
      <c r="C50" s="296" t="s">
        <v>120</v>
      </c>
      <c r="D50" s="298" t="s">
        <v>117</v>
      </c>
      <c r="E50" s="301" t="s">
        <v>120</v>
      </c>
      <c r="F50" s="298" t="s">
        <v>117</v>
      </c>
      <c r="G50" s="301" t="s">
        <v>120</v>
      </c>
      <c r="H50" s="298" t="s">
        <v>117</v>
      </c>
      <c r="I50" s="245" t="s">
        <v>120</v>
      </c>
      <c r="J50" t="s">
        <v>117</v>
      </c>
      <c r="K50" s="234" t="str">
        <f>IF(Output!$D47="",$AB$42,IF(Output!$I47=0,$AB$42,IF(VLOOKUP(Output!$D47,$AB$3:$AC$38,2,FALSE)=K$3,IF(Output!$J47&lt;AG6,Output!$A47,$AB$42),$AB$42)))</f>
        <v>------------</v>
      </c>
      <c r="L50" s="242" t="s">
        <v>117</v>
      </c>
      <c r="M50" s="235" t="str">
        <f>IF(Output!$D47="",$AB$42,IF(Output!$I47=0,$AB$42,IF(VLOOKUP(Output!$D47,$AB$3:$AC$38,2,FALSE)=M$3,IF(Output!$J47&lt;AG6,Output!$A47,$AB$42),$AB$42)))</f>
        <v>------------</v>
      </c>
      <c r="N50" s="242" t="s">
        <v>117</v>
      </c>
      <c r="O50" s="235" t="str">
        <f>IF(Output!$D47="",$AB$42,IF(Output!$I47=0,$AB$42,IF(VLOOKUP(Output!$D47,$AB$3:$AC$38,2,FALSE)=O$3,IF(Output!$J47&lt;AG6,Output!$A47,$AB$42),$AB$42)))</f>
        <v>------------</v>
      </c>
      <c r="P50" s="242" t="s">
        <v>117</v>
      </c>
      <c r="Q50" s="235" t="str">
        <f>IF(Output!$D47="",$AB$42,IF(Output!$I47=0,$AB$42,IF(VLOOKUP(Output!$D47,$AB$3:$AC$38,2,FALSE)=Q$3,IF(Output!$J47&lt;AG6,Output!$A47,$AB$42),$AB$42)))</f>
        <v>------------</v>
      </c>
      <c r="R50" s="242" t="s">
        <v>117</v>
      </c>
      <c r="S50" s="235" t="str">
        <f>IF(Output!$D47="",$AB$42,IF(Output!$I47=0,$AB$42,IF(VLOOKUP(Output!$D47,$AB$3:$AC$38,2,FALSE)=S$3,IF(Output!$J47&lt;AG6,Output!$A47,$AB$42),$AB$42)))</f>
        <v>------------</v>
      </c>
      <c r="T50" s="242" t="s">
        <v>117</v>
      </c>
      <c r="U50" s="235" t="str">
        <f>IF(Output!$D47="",$AB$42,IF(Output!$I47=0,$AB$42,IF(VLOOKUP(Output!$D47,$AB$3:$AC$38,2,FALSE)=U$3,IF(Output!$J47&lt;AG6,Output!$A47,$AB$42),$AB$42)))</f>
        <v>------------</v>
      </c>
      <c r="V50" s="242" t="s">
        <v>117</v>
      </c>
      <c r="W50" s="235" t="str">
        <f>IF(Output!$D47="",$AB$42,IF(Output!$I47=0,$AB$42,IF(VLOOKUP(Output!$D47,$AB$3:$AC$38,2,FALSE)=W$3,IF(Output!$J47&lt;AG6,Output!$A47,$AB$42),$AB$42)))</f>
        <v>------------</v>
      </c>
      <c r="X50" s="242" t="s">
        <v>117</v>
      </c>
      <c r="Y50" s="236" t="str">
        <f>IF(Output!$D47="",$AB$42,IF(Output!$I47=0,$AB$42,IF(VLOOKUP(Output!$D47,$AB$3:$AC$38,2,FALSE)=Y$3,IF(Output!$J47&lt;AG6,Output!$A47,$AB$42),$AB$42)))</f>
        <v>------------</v>
      </c>
      <c r="Z50" t="s">
        <v>119</v>
      </c>
    </row>
    <row r="51" spans="2:26" ht="15">
      <c r="B51" t="s">
        <v>115</v>
      </c>
      <c r="C51" s="296" t="s">
        <v>120</v>
      </c>
      <c r="D51" s="298" t="s">
        <v>117</v>
      </c>
      <c r="E51" s="301" t="s">
        <v>120</v>
      </c>
      <c r="F51" s="298" t="s">
        <v>117</v>
      </c>
      <c r="G51" s="301" t="s">
        <v>120</v>
      </c>
      <c r="H51" s="298" t="s">
        <v>117</v>
      </c>
      <c r="I51" s="245" t="s">
        <v>120</v>
      </c>
      <c r="J51" t="s">
        <v>117</v>
      </c>
      <c r="K51" s="234" t="str">
        <f>IF(Output!$D48="",$AB$42,IF(Output!$I48=0,$AB$42,IF(VLOOKUP(Output!$D48,$AB$3:$AC$38,2,FALSE)=K$3,IF(Output!$J48&lt;AG6,Output!$A48,$AB$42),$AB$42)))</f>
        <v>------------</v>
      </c>
      <c r="L51" s="242" t="s">
        <v>117</v>
      </c>
      <c r="M51" s="235" t="str">
        <f>IF(Output!$D48="",$AB$42,IF(Output!$I48=0,$AB$42,IF(VLOOKUP(Output!$D48,$AB$3:$AC$38,2,FALSE)=M$3,IF(Output!$J48&lt;AG6,Output!$A48,$AB$42),$AB$42)))</f>
        <v>------------</v>
      </c>
      <c r="N51" s="242" t="s">
        <v>117</v>
      </c>
      <c r="O51" s="235" t="str">
        <f>IF(Output!$D48="",$AB$42,IF(Output!$I48=0,$AB$42,IF(VLOOKUP(Output!$D48,$AB$3:$AC$38,2,FALSE)=O$3,IF(Output!$J48&lt;AG6,Output!$A48,$AB$42),$AB$42)))</f>
        <v>------------</v>
      </c>
      <c r="P51" s="242" t="s">
        <v>117</v>
      </c>
      <c r="Q51" s="235" t="str">
        <f>IF(Output!$D48="",$AB$42,IF(Output!$I48=0,$AB$42,IF(VLOOKUP(Output!$D48,$AB$3:$AC$38,2,FALSE)=Q$3,IF(Output!$J48&lt;AG6,Output!$A48,$AB$42),$AB$42)))</f>
        <v>------------</v>
      </c>
      <c r="R51" s="242" t="s">
        <v>117</v>
      </c>
      <c r="S51" s="235" t="str">
        <f>IF(Output!$D48="",$AB$42,IF(Output!$I48=0,$AB$42,IF(VLOOKUP(Output!$D48,$AB$3:$AC$38,2,FALSE)=S$3,IF(Output!$J48&lt;AG6,Output!$A48,$AB$42),$AB$42)))</f>
        <v>------------</v>
      </c>
      <c r="T51" s="242" t="s">
        <v>117</v>
      </c>
      <c r="U51" s="235" t="str">
        <f>IF(Output!$D48="",$AB$42,IF(Output!$I48=0,$AB$42,IF(VLOOKUP(Output!$D48,$AB$3:$AC$38,2,FALSE)=U$3,IF(Output!$J48&lt;AG6,Output!$A48,$AB$42),$AB$42)))</f>
        <v>------------</v>
      </c>
      <c r="V51" s="242" t="s">
        <v>117</v>
      </c>
      <c r="W51" s="235" t="str">
        <f>IF(Output!$D48="",$AB$42,IF(Output!$I48=0,$AB$42,IF(VLOOKUP(Output!$D48,$AB$3:$AC$38,2,FALSE)=W$3,IF(Output!$J48&lt;AG6,Output!$A48,$AB$42),$AB$42)))</f>
        <v>------------</v>
      </c>
      <c r="X51" s="242" t="s">
        <v>117</v>
      </c>
      <c r="Y51" s="236" t="str">
        <f>IF(Output!$D48="",$AB$42,IF(Output!$I48=0,$AB$42,IF(VLOOKUP(Output!$D48,$AB$3:$AC$38,2,FALSE)=Y$3,IF(Output!$J48&lt;AG6,Output!$A48,$AB$42),$AB$42)))</f>
        <v>------------</v>
      </c>
      <c r="Z51" t="s">
        <v>119</v>
      </c>
    </row>
    <row r="52" spans="2:26" ht="15">
      <c r="B52" t="s">
        <v>115</v>
      </c>
      <c r="C52" s="296" t="s">
        <v>120</v>
      </c>
      <c r="D52" s="298" t="s">
        <v>117</v>
      </c>
      <c r="E52" s="301" t="s">
        <v>120</v>
      </c>
      <c r="F52" s="298" t="s">
        <v>117</v>
      </c>
      <c r="G52" s="301" t="s">
        <v>120</v>
      </c>
      <c r="H52" s="298" t="s">
        <v>117</v>
      </c>
      <c r="I52" s="245" t="s">
        <v>120</v>
      </c>
      <c r="J52" t="s">
        <v>117</v>
      </c>
      <c r="K52" s="234" t="str">
        <f>IF(Output!$D49="",$AB$42,IF(Output!$I49=0,$AB$42,IF(VLOOKUP(Output!$D49,$AB$3:$AC$38,2,FALSE)=K$3,IF(Output!$J49&lt;AG6,Output!$A49,$AB$42),$AB$42)))</f>
        <v>------------</v>
      </c>
      <c r="L52" s="242" t="s">
        <v>117</v>
      </c>
      <c r="M52" s="235" t="str">
        <f>IF(Output!$D49="",$AB$42,IF(Output!$I49=0,$AB$42,IF(VLOOKUP(Output!$D49,$AB$3:$AC$38,2,FALSE)=M$3,IF(Output!$J49&lt;AG6,Output!$A49,$AB$42),$AB$42)))</f>
        <v>------------</v>
      </c>
      <c r="N52" s="242" t="s">
        <v>117</v>
      </c>
      <c r="O52" s="235" t="str">
        <f>IF(Output!$D49="",$AB$42,IF(Output!$I49=0,$AB$42,IF(VLOOKUP(Output!$D49,$AB$3:$AC$38,2,FALSE)=O$3,IF(Output!$J49&lt;AG6,Output!$A49,$AB$42),$AB$42)))</f>
        <v>------------</v>
      </c>
      <c r="P52" s="242" t="s">
        <v>117</v>
      </c>
      <c r="Q52" s="235" t="str">
        <f>IF(Output!$D49="",$AB$42,IF(Output!$I49=0,$AB$42,IF(VLOOKUP(Output!$D49,$AB$3:$AC$38,2,FALSE)=Q$3,IF(Output!$J49&lt;AG6,Output!$A49,$AB$42),$AB$42)))</f>
        <v>------------</v>
      </c>
      <c r="R52" s="242" t="s">
        <v>117</v>
      </c>
      <c r="S52" s="235" t="str">
        <f>IF(Output!$D49="",$AB$42,IF(Output!$I49=0,$AB$42,IF(VLOOKUP(Output!$D49,$AB$3:$AC$38,2,FALSE)=S$3,IF(Output!$J49&lt;AG6,Output!$A49,$AB$42),$AB$42)))</f>
        <v>------------</v>
      </c>
      <c r="T52" s="242" t="s">
        <v>117</v>
      </c>
      <c r="U52" s="235" t="str">
        <f>IF(Output!$D49="",$AB$42,IF(Output!$I49=0,$AB$42,IF(VLOOKUP(Output!$D49,$AB$3:$AC$38,2,FALSE)=U$3,IF(Output!$J49&lt;AG6,Output!$A49,$AB$42),$AB$42)))</f>
        <v>------------</v>
      </c>
      <c r="V52" s="242" t="s">
        <v>117</v>
      </c>
      <c r="W52" s="235" t="str">
        <f>IF(Output!$D49="",$AB$42,IF(Output!$I49=0,$AB$42,IF(VLOOKUP(Output!$D49,$AB$3:$AC$38,2,FALSE)=W$3,IF(Output!$J49&lt;AG6,Output!$A49,$AB$42),$AB$42)))</f>
        <v>------------</v>
      </c>
      <c r="X52" s="242" t="s">
        <v>117</v>
      </c>
      <c r="Y52" s="236" t="str">
        <f>IF(Output!$D49="",$AB$42,IF(Output!$I49=0,$AB$42,IF(VLOOKUP(Output!$D49,$AB$3:$AC$38,2,FALSE)=Y$3,IF(Output!$J49&lt;AG6,Output!$A49,$AB$42),$AB$42)))</f>
        <v>------------</v>
      </c>
      <c r="Z52" t="s">
        <v>119</v>
      </c>
    </row>
    <row r="53" spans="2:26" ht="15">
      <c r="B53" t="s">
        <v>115</v>
      </c>
      <c r="C53" s="296" t="s">
        <v>120</v>
      </c>
      <c r="D53" s="298" t="s">
        <v>117</v>
      </c>
      <c r="E53" s="301" t="s">
        <v>120</v>
      </c>
      <c r="F53" s="298" t="s">
        <v>117</v>
      </c>
      <c r="G53" s="301" t="s">
        <v>120</v>
      </c>
      <c r="H53" s="298" t="s">
        <v>117</v>
      </c>
      <c r="I53" s="245" t="s">
        <v>120</v>
      </c>
      <c r="J53" t="s">
        <v>117</v>
      </c>
      <c r="K53" s="234" t="str">
        <f>IF(Output!$D50="",$AB$42,IF(Output!$I50=0,$AB$42,IF(VLOOKUP(Output!$D50,$AB$3:$AC$38,2,FALSE)=K$3,IF(Output!$J50&lt;AG6,Output!$A50,$AB$42),$AB$42)))</f>
        <v>------------</v>
      </c>
      <c r="L53" s="242" t="s">
        <v>117</v>
      </c>
      <c r="M53" s="235" t="str">
        <f>IF(Output!$D50="",$AB$42,IF(Output!$I50=0,$AB$42,IF(VLOOKUP(Output!$D50,$AB$3:$AC$38,2,FALSE)=M$3,IF(Output!$J50&lt;AG6,Output!$A50,$AB$42),$AB$42)))</f>
        <v>------------</v>
      </c>
      <c r="N53" s="242" t="s">
        <v>117</v>
      </c>
      <c r="O53" s="235" t="str">
        <f>IF(Output!$D50="",$AB$42,IF(Output!$I50=0,$AB$42,IF(VLOOKUP(Output!$D50,$AB$3:$AC$38,2,FALSE)=O$3,IF(Output!$J50&lt;AG6,Output!$A50,$AB$42),$AB$42)))</f>
        <v>------------</v>
      </c>
      <c r="P53" s="242" t="s">
        <v>117</v>
      </c>
      <c r="Q53" s="235" t="str">
        <f>IF(Output!$D50="",$AB$42,IF(Output!$I50=0,$AB$42,IF(VLOOKUP(Output!$D50,$AB$3:$AC$38,2,FALSE)=Q$3,IF(Output!$J50&lt;AG6,Output!$A50,$AB$42),$AB$42)))</f>
        <v>------------</v>
      </c>
      <c r="R53" s="242" t="s">
        <v>117</v>
      </c>
      <c r="S53" s="235" t="str">
        <f>IF(Output!$D50="",$AB$42,IF(Output!$I50=0,$AB$42,IF(VLOOKUP(Output!$D50,$AB$3:$AC$38,2,FALSE)=S$3,IF(Output!$J50&lt;AG6,Output!$A50,$AB$42),$AB$42)))</f>
        <v>------------</v>
      </c>
      <c r="T53" s="242" t="s">
        <v>117</v>
      </c>
      <c r="U53" s="235" t="str">
        <f>IF(Output!$D50="",$AB$42,IF(Output!$I50=0,$AB$42,IF(VLOOKUP(Output!$D50,$AB$3:$AC$38,2,FALSE)=U$3,IF(Output!$J50&lt;AG6,Output!$A50,$AB$42),$AB$42)))</f>
        <v>------------</v>
      </c>
      <c r="V53" s="242" t="s">
        <v>117</v>
      </c>
      <c r="W53" s="235" t="str">
        <f>IF(Output!$D50="",$AB$42,IF(Output!$I50=0,$AB$42,IF(VLOOKUP(Output!$D50,$AB$3:$AC$38,2,FALSE)=W$3,IF(Output!$J50&lt;AG6,Output!$A50,$AB$42),$AB$42)))</f>
        <v>------------</v>
      </c>
      <c r="X53" s="242" t="s">
        <v>117</v>
      </c>
      <c r="Y53" s="236" t="str">
        <f>IF(Output!$D50="",$AB$42,IF(Output!$I50=0,$AB$42,IF(VLOOKUP(Output!$D50,$AB$3:$AC$38,2,FALSE)=Y$3,IF(Output!$J50&lt;AG6,Output!$A50,$AB$42),$AB$42)))</f>
        <v>------------</v>
      </c>
      <c r="Z53" t="s">
        <v>119</v>
      </c>
    </row>
    <row r="54" spans="2:26" ht="15">
      <c r="B54" t="s">
        <v>115</v>
      </c>
      <c r="C54" s="296" t="s">
        <v>120</v>
      </c>
      <c r="D54" s="298" t="s">
        <v>117</v>
      </c>
      <c r="E54" s="301" t="s">
        <v>120</v>
      </c>
      <c r="F54" s="298" t="s">
        <v>117</v>
      </c>
      <c r="G54" s="301" t="s">
        <v>120</v>
      </c>
      <c r="H54" s="298" t="s">
        <v>117</v>
      </c>
      <c r="I54" s="245" t="s">
        <v>120</v>
      </c>
      <c r="J54" t="s">
        <v>117</v>
      </c>
      <c r="K54" s="234" t="str">
        <f>IF(Output!$D51="",$AB$42,IF(Output!$I51=0,$AB$42,IF(VLOOKUP(Output!$D51,$AB$3:$AC$38,2,FALSE)=K$3,IF(Output!$J51&lt;AG6,Output!$A51,$AB$42),$AB$42)))</f>
        <v>------------</v>
      </c>
      <c r="L54" s="242" t="s">
        <v>117</v>
      </c>
      <c r="M54" s="235" t="str">
        <f>IF(Output!$D51="",$AB$42,IF(Output!$I51=0,$AB$42,IF(VLOOKUP(Output!$D51,$AB$3:$AC$38,2,FALSE)=M$3,IF(Output!$J51&lt;AG6,Output!$A51,$AB$42),$AB$42)))</f>
        <v>------------</v>
      </c>
      <c r="N54" s="242" t="s">
        <v>117</v>
      </c>
      <c r="O54" s="235" t="str">
        <f>IF(Output!$D51="",$AB$42,IF(Output!$I51=0,$AB$42,IF(VLOOKUP(Output!$D51,$AB$3:$AC$38,2,FALSE)=O$3,IF(Output!$J51&lt;AG6,Output!$A51,$AB$42),$AB$42)))</f>
        <v>------------</v>
      </c>
      <c r="P54" s="242" t="s">
        <v>117</v>
      </c>
      <c r="Q54" s="235" t="str">
        <f>IF(Output!$D51="",$AB$42,IF(Output!$I51=0,$AB$42,IF(VLOOKUP(Output!$D51,$AB$3:$AC$38,2,FALSE)=Q$3,IF(Output!$J51&lt;AG6,Output!$A51,$AB$42),$AB$42)))</f>
        <v>------------</v>
      </c>
      <c r="R54" s="242" t="s">
        <v>117</v>
      </c>
      <c r="S54" s="235" t="str">
        <f>IF(Output!$D51="",$AB$42,IF(Output!$I51=0,$AB$42,IF(VLOOKUP(Output!$D51,$AB$3:$AC$38,2,FALSE)=S$3,IF(Output!$J51&lt;AG6,Output!$A51,$AB$42),$AB$42)))</f>
        <v>------------</v>
      </c>
      <c r="T54" s="242" t="s">
        <v>117</v>
      </c>
      <c r="U54" s="235" t="str">
        <f>IF(Output!$D51="",$AB$42,IF(Output!$I51=0,$AB$42,IF(VLOOKUP(Output!$D51,$AB$3:$AC$38,2,FALSE)=U$3,IF(Output!$J51&lt;AG6,Output!$A51,$AB$42),$AB$42)))</f>
        <v>------------</v>
      </c>
      <c r="V54" s="242" t="s">
        <v>117</v>
      </c>
      <c r="W54" s="235" t="str">
        <f>IF(Output!$D51="",$AB$42,IF(Output!$I51=0,$AB$42,IF(VLOOKUP(Output!$D51,$AB$3:$AC$38,2,FALSE)=W$3,IF(Output!$J51&lt;AG6,Output!$A51,$AB$42),$AB$42)))</f>
        <v>------------</v>
      </c>
      <c r="X54" s="242" t="s">
        <v>117</v>
      </c>
      <c r="Y54" s="236" t="str">
        <f>IF(Output!$D51="",$AB$42,IF(Output!$I51=0,$AB$42,IF(VLOOKUP(Output!$D51,$AB$3:$AC$38,2,FALSE)=Y$3,IF(Output!$J51&lt;AG6,Output!$A51,$AB$42),$AB$42)))</f>
        <v>------------</v>
      </c>
      <c r="Z54" t="s">
        <v>119</v>
      </c>
    </row>
    <row r="55" spans="2:26" ht="15">
      <c r="B55" t="s">
        <v>115</v>
      </c>
      <c r="C55" s="296" t="s">
        <v>120</v>
      </c>
      <c r="D55" s="298" t="s">
        <v>117</v>
      </c>
      <c r="E55" s="301" t="s">
        <v>120</v>
      </c>
      <c r="F55" s="298" t="s">
        <v>117</v>
      </c>
      <c r="G55" s="301" t="s">
        <v>120</v>
      </c>
      <c r="H55" s="298" t="s">
        <v>117</v>
      </c>
      <c r="I55" s="245" t="s">
        <v>120</v>
      </c>
      <c r="J55" t="s">
        <v>117</v>
      </c>
      <c r="K55" s="234" t="str">
        <f>IF(Output!$D52="",$AB$42,IF(Output!$I52=0,$AB$42,IF(VLOOKUP(Output!$D52,$AB$3:$AC$38,2,FALSE)=K$3,IF(Output!$J52&lt;AG6,Output!$A52,$AB$42),$AB$42)))</f>
        <v>------------</v>
      </c>
      <c r="L55" s="242" t="s">
        <v>117</v>
      </c>
      <c r="M55" s="235" t="str">
        <f>IF(Output!$D52="",$AB$42,IF(Output!$I52=0,$AB$42,IF(VLOOKUP(Output!$D52,$AB$3:$AC$38,2,FALSE)=M$3,IF(Output!$J52&lt;AG6,Output!$A52,$AB$42),$AB$42)))</f>
        <v>------------</v>
      </c>
      <c r="N55" s="242" t="s">
        <v>117</v>
      </c>
      <c r="O55" s="235" t="str">
        <f>IF(Output!$D52="",$AB$42,IF(Output!$I52=0,$AB$42,IF(VLOOKUP(Output!$D52,$AB$3:$AC$38,2,FALSE)=O$3,IF(Output!$J52&lt;AG6,Output!$A52,$AB$42),$AB$42)))</f>
        <v>------------</v>
      </c>
      <c r="P55" s="242" t="s">
        <v>117</v>
      </c>
      <c r="Q55" s="235" t="str">
        <f>IF(Output!$D52="",$AB$42,IF(Output!$I52=0,$AB$42,IF(VLOOKUP(Output!$D52,$AB$3:$AC$38,2,FALSE)=Q$3,IF(Output!$J52&lt;AG6,Output!$A52,$AB$42),$AB$42)))</f>
        <v>------------</v>
      </c>
      <c r="R55" s="242" t="s">
        <v>117</v>
      </c>
      <c r="S55" s="235" t="str">
        <f>IF(Output!$D52="",$AB$42,IF(Output!$I52=0,$AB$42,IF(VLOOKUP(Output!$D52,$AB$3:$AC$38,2,FALSE)=S$3,IF(Output!$J52&lt;AG6,Output!$A52,$AB$42),$AB$42)))</f>
        <v>------------</v>
      </c>
      <c r="T55" s="242" t="s">
        <v>117</v>
      </c>
      <c r="U55" s="235" t="str">
        <f>IF(Output!$D52="",$AB$42,IF(Output!$I52=0,$AB$42,IF(VLOOKUP(Output!$D52,$AB$3:$AC$38,2,FALSE)=U$3,IF(Output!$J52&lt;AG6,Output!$A52,$AB$42),$AB$42)))</f>
        <v>------------</v>
      </c>
      <c r="V55" s="242" t="s">
        <v>117</v>
      </c>
      <c r="W55" s="235" t="str">
        <f>IF(Output!$D52="",$AB$42,IF(Output!$I52=0,$AB$42,IF(VLOOKUP(Output!$D52,$AB$3:$AC$38,2,FALSE)=W$3,IF(Output!$J52&lt;AG6,Output!$A52,$AB$42),$AB$42)))</f>
        <v>------------</v>
      </c>
      <c r="X55" s="242" t="s">
        <v>117</v>
      </c>
      <c r="Y55" s="236" t="str">
        <f>IF(Output!$D52="",$AB$42,IF(Output!$I52=0,$AB$42,IF(VLOOKUP(Output!$D52,$AB$3:$AC$38,2,FALSE)=Y$3,IF(Output!$J52&lt;AG6,Output!$A52,$AB$42),$AB$42)))</f>
        <v>------------</v>
      </c>
      <c r="Z55" t="s">
        <v>119</v>
      </c>
    </row>
    <row r="56" spans="2:26" ht="15">
      <c r="B56" t="s">
        <v>115</v>
      </c>
      <c r="C56" s="296" t="s">
        <v>120</v>
      </c>
      <c r="D56" s="298" t="s">
        <v>117</v>
      </c>
      <c r="E56" s="301" t="s">
        <v>120</v>
      </c>
      <c r="F56" s="298" t="s">
        <v>117</v>
      </c>
      <c r="G56" s="301" t="s">
        <v>120</v>
      </c>
      <c r="H56" s="298" t="s">
        <v>117</v>
      </c>
      <c r="I56" s="245" t="s">
        <v>120</v>
      </c>
      <c r="J56" t="s">
        <v>117</v>
      </c>
      <c r="K56" s="234" t="str">
        <f>IF(Output!$D53="",$AB$42,IF(Output!$I53=0,$AB$42,IF(VLOOKUP(Output!$D53,$AB$3:$AC$38,2,FALSE)=K$3,IF(Output!$J53&lt;AG6,Output!$A53,$AB$42),$AB$42)))</f>
        <v>------------</v>
      </c>
      <c r="L56" s="242" t="s">
        <v>117</v>
      </c>
      <c r="M56" s="235" t="str">
        <f>IF(Output!$D53="",$AB$42,IF(Output!$I53=0,$AB$42,IF(VLOOKUP(Output!$D53,$AB$3:$AC$38,2,FALSE)=M$3,IF(Output!$J53&lt;AG6,Output!$A53,$AB$42),$AB$42)))</f>
        <v>------------</v>
      </c>
      <c r="N56" s="242" t="s">
        <v>117</v>
      </c>
      <c r="O56" s="235" t="str">
        <f>IF(Output!$D53="",$AB$42,IF(Output!$I53=0,$AB$42,IF(VLOOKUP(Output!$D53,$AB$3:$AC$38,2,FALSE)=O$3,IF(Output!$J53&lt;AG6,Output!$A53,$AB$42),$AB$42)))</f>
        <v>------------</v>
      </c>
      <c r="P56" s="242" t="s">
        <v>117</v>
      </c>
      <c r="Q56" s="235" t="str">
        <f>IF(Output!$D53="",$AB$42,IF(Output!$I53=0,$AB$42,IF(VLOOKUP(Output!$D53,$AB$3:$AC$38,2,FALSE)=Q$3,IF(Output!$J53&lt;AG6,Output!$A53,$AB$42),$AB$42)))</f>
        <v>------------</v>
      </c>
      <c r="R56" s="242" t="s">
        <v>117</v>
      </c>
      <c r="S56" s="235" t="str">
        <f>IF(Output!$D53="",$AB$42,IF(Output!$I53=0,$AB$42,IF(VLOOKUP(Output!$D53,$AB$3:$AC$38,2,FALSE)=S$3,IF(Output!$J53&lt;AG6,Output!$A53,$AB$42),$AB$42)))</f>
        <v>------------</v>
      </c>
      <c r="T56" s="242" t="s">
        <v>117</v>
      </c>
      <c r="U56" s="235" t="str">
        <f>IF(Output!$D53="",$AB$42,IF(Output!$I53=0,$AB$42,IF(VLOOKUP(Output!$D53,$AB$3:$AC$38,2,FALSE)=U$3,IF(Output!$J53&lt;AG6,Output!$A53,$AB$42),$AB$42)))</f>
        <v>------------</v>
      </c>
      <c r="V56" s="242" t="s">
        <v>117</v>
      </c>
      <c r="W56" s="235" t="str">
        <f>IF(Output!$D53="",$AB$42,IF(Output!$I53=0,$AB$42,IF(VLOOKUP(Output!$D53,$AB$3:$AC$38,2,FALSE)=W$3,IF(Output!$J53&lt;AG6,Output!$A53,$AB$42),$AB$42)))</f>
        <v>------------</v>
      </c>
      <c r="X56" s="242" t="s">
        <v>117</v>
      </c>
      <c r="Y56" s="236" t="str">
        <f>IF(Output!$D53="",$AB$42,IF(Output!$I53=0,$AB$42,IF(VLOOKUP(Output!$D53,$AB$3:$AC$38,2,FALSE)=Y$3,IF(Output!$J53&lt;AG6,Output!$A53,$AB$42),$AB$42)))</f>
        <v>------------</v>
      </c>
      <c r="Z56" t="s">
        <v>119</v>
      </c>
    </row>
    <row r="57" spans="2:26" ht="15">
      <c r="B57" t="s">
        <v>115</v>
      </c>
      <c r="C57" s="296" t="s">
        <v>120</v>
      </c>
      <c r="D57" s="298" t="s">
        <v>117</v>
      </c>
      <c r="E57" s="301" t="s">
        <v>120</v>
      </c>
      <c r="F57" s="298" t="s">
        <v>117</v>
      </c>
      <c r="G57" s="301" t="s">
        <v>120</v>
      </c>
      <c r="H57" s="298" t="s">
        <v>117</v>
      </c>
      <c r="I57" s="245" t="s">
        <v>120</v>
      </c>
      <c r="J57" t="s">
        <v>117</v>
      </c>
      <c r="K57" s="234" t="str">
        <f>IF(Output!$D54="",$AB$42,IF(Output!$I54=0,$AB$42,IF(VLOOKUP(Output!$D54,$AB$3:$AC$38,2,FALSE)=K$3,IF(Output!$J54&lt;AG6,Output!$A54,$AB$42),$AB$42)))</f>
        <v>------------</v>
      </c>
      <c r="L57" s="242" t="s">
        <v>117</v>
      </c>
      <c r="M57" s="235" t="str">
        <f>IF(Output!$D54="",$AB$42,IF(Output!$I54=0,$AB$42,IF(VLOOKUP(Output!$D54,$AB$3:$AC$38,2,FALSE)=M$3,IF(Output!$J54&lt;AG6,Output!$A54,$AB$42),$AB$42)))</f>
        <v>------------</v>
      </c>
      <c r="N57" s="242" t="s">
        <v>117</v>
      </c>
      <c r="O57" s="235" t="str">
        <f>IF(Output!$D54="",$AB$42,IF(Output!$I54=0,$AB$42,IF(VLOOKUP(Output!$D54,$AB$3:$AC$38,2,FALSE)=O$3,IF(Output!$J54&lt;AG6,Output!$A54,$AB$42),$AB$42)))</f>
        <v>------------</v>
      </c>
      <c r="P57" s="242" t="s">
        <v>117</v>
      </c>
      <c r="Q57" s="235" t="str">
        <f>IF(Output!$D54="",$AB$42,IF(Output!$I54=0,$AB$42,IF(VLOOKUP(Output!$D54,$AB$3:$AC$38,2,FALSE)=Q$3,IF(Output!$J54&lt;AG6,Output!$A54,$AB$42),$AB$42)))</f>
        <v>------------</v>
      </c>
      <c r="R57" s="242" t="s">
        <v>117</v>
      </c>
      <c r="S57" s="235" t="str">
        <f>IF(Output!$D54="",$AB$42,IF(Output!$I54=0,$AB$42,IF(VLOOKUP(Output!$D54,$AB$3:$AC$38,2,FALSE)=S$3,IF(Output!$J54&lt;AG6,Output!$A54,$AB$42),$AB$42)))</f>
        <v>------------</v>
      </c>
      <c r="T57" s="242" t="s">
        <v>117</v>
      </c>
      <c r="U57" s="235" t="str">
        <f>IF(Output!$D54="",$AB$42,IF(Output!$I54=0,$AB$42,IF(VLOOKUP(Output!$D54,$AB$3:$AC$38,2,FALSE)=U$3,IF(Output!$J54&lt;AG6,Output!$A54,$AB$42),$AB$42)))</f>
        <v>------------</v>
      </c>
      <c r="V57" s="242" t="s">
        <v>117</v>
      </c>
      <c r="W57" s="235" t="str">
        <f>IF(Output!$D54="",$AB$42,IF(Output!$I54=0,$AB$42,IF(VLOOKUP(Output!$D54,$AB$3:$AC$38,2,FALSE)=W$3,IF(Output!$J54&lt;AG6,Output!$A54,$AB$42),$AB$42)))</f>
        <v>------------</v>
      </c>
      <c r="X57" s="242" t="s">
        <v>117</v>
      </c>
      <c r="Y57" s="236" t="str">
        <f>IF(Output!$D54="",$AB$42,IF(Output!$I54=0,$AB$42,IF(VLOOKUP(Output!$D54,$AB$3:$AC$38,2,FALSE)=Y$3,IF(Output!$J54&lt;AG6,Output!$A54,$AB$42),$AB$42)))</f>
        <v>------------</v>
      </c>
      <c r="Z57" t="s">
        <v>119</v>
      </c>
    </row>
    <row r="58" spans="2:26" ht="15">
      <c r="B58" t="s">
        <v>115</v>
      </c>
      <c r="C58" s="296" t="s">
        <v>120</v>
      </c>
      <c r="D58" s="298" t="s">
        <v>117</v>
      </c>
      <c r="E58" s="301" t="s">
        <v>120</v>
      </c>
      <c r="F58" s="298" t="s">
        <v>117</v>
      </c>
      <c r="G58" s="301" t="s">
        <v>120</v>
      </c>
      <c r="H58" s="298" t="s">
        <v>117</v>
      </c>
      <c r="I58" s="245" t="s">
        <v>120</v>
      </c>
      <c r="J58" t="s">
        <v>117</v>
      </c>
      <c r="K58" s="234" t="str">
        <f>IF(Output!$D55="",$AB$42,IF(Output!$I55=0,$AB$42,IF(VLOOKUP(Output!$D55,$AB$3:$AC$38,2,FALSE)=K$3,IF(Output!$J55&lt;AG6,Output!$A55,$AB$42),$AB$42)))</f>
        <v>------------</v>
      </c>
      <c r="L58" s="242" t="s">
        <v>117</v>
      </c>
      <c r="M58" s="235" t="str">
        <f>IF(Output!$D55="",$AB$42,IF(Output!$I55=0,$AB$42,IF(VLOOKUP(Output!$D55,$AB$3:$AC$38,2,FALSE)=M$3,IF(Output!$J55&lt;AG6,Output!$A55,$AB$42),$AB$42)))</f>
        <v>------------</v>
      </c>
      <c r="N58" s="242" t="s">
        <v>117</v>
      </c>
      <c r="O58" s="235" t="str">
        <f>IF(Output!$D55="",$AB$42,IF(Output!$I55=0,$AB$42,IF(VLOOKUP(Output!$D55,$AB$3:$AC$38,2,FALSE)=O$3,IF(Output!$J55&lt;AG6,Output!$A55,$AB$42),$AB$42)))</f>
        <v>------------</v>
      </c>
      <c r="P58" s="242" t="s">
        <v>117</v>
      </c>
      <c r="Q58" s="235" t="str">
        <f>IF(Output!$D55="",$AB$42,IF(Output!$I55=0,$AB$42,IF(VLOOKUP(Output!$D55,$AB$3:$AC$38,2,FALSE)=Q$3,IF(Output!$J55&lt;AG6,Output!$A55,$AB$42),$AB$42)))</f>
        <v>------------</v>
      </c>
      <c r="R58" s="242" t="s">
        <v>117</v>
      </c>
      <c r="S58" s="235" t="str">
        <f>IF(Output!$D55="",$AB$42,IF(Output!$I55=0,$AB$42,IF(VLOOKUP(Output!$D55,$AB$3:$AC$38,2,FALSE)=S$3,IF(Output!$J55&lt;AG6,Output!$A55,$AB$42),$AB$42)))</f>
        <v>------------</v>
      </c>
      <c r="T58" s="242" t="s">
        <v>117</v>
      </c>
      <c r="U58" s="235" t="str">
        <f>IF(Output!$D55="",$AB$42,IF(Output!$I55=0,$AB$42,IF(VLOOKUP(Output!$D55,$AB$3:$AC$38,2,FALSE)=U$3,IF(Output!$J55&lt;AG6,Output!$A55,$AB$42),$AB$42)))</f>
        <v>------------</v>
      </c>
      <c r="V58" s="242" t="s">
        <v>117</v>
      </c>
      <c r="W58" s="235" t="str">
        <f>IF(Output!$D55="",$AB$42,IF(Output!$I55=0,$AB$42,IF(VLOOKUP(Output!$D55,$AB$3:$AC$38,2,FALSE)=W$3,IF(Output!$J55&lt;AG6,Output!$A55,$AB$42),$AB$42)))</f>
        <v>------------</v>
      </c>
      <c r="X58" s="242" t="s">
        <v>117</v>
      </c>
      <c r="Y58" s="236" t="str">
        <f>IF(Output!$D55="",$AB$42,IF(Output!$I55=0,$AB$42,IF(VLOOKUP(Output!$D55,$AB$3:$AC$38,2,FALSE)=Y$3,IF(Output!$J55&lt;AG6,Output!$A55,$AB$42),$AB$42)))</f>
        <v>------------</v>
      </c>
      <c r="Z58" t="s">
        <v>119</v>
      </c>
    </row>
    <row r="59" spans="2:26" ht="15">
      <c r="B59" t="s">
        <v>115</v>
      </c>
      <c r="C59" s="296" t="s">
        <v>120</v>
      </c>
      <c r="D59" s="298" t="s">
        <v>117</v>
      </c>
      <c r="E59" s="301" t="s">
        <v>120</v>
      </c>
      <c r="F59" s="298" t="s">
        <v>117</v>
      </c>
      <c r="G59" s="301" t="s">
        <v>120</v>
      </c>
      <c r="H59" s="298" t="s">
        <v>117</v>
      </c>
      <c r="I59" s="245" t="s">
        <v>120</v>
      </c>
      <c r="J59" t="s">
        <v>117</v>
      </c>
      <c r="K59" s="234" t="str">
        <f>IF(Output!$D56="",$AB$42,IF(Output!$I56=0,$AB$42,IF(VLOOKUP(Output!$D56,$AB$3:$AC$38,2,FALSE)=K$3,IF(Output!$J56&lt;AG6,Output!$A56,$AB$42),$AB$42)))</f>
        <v>------------</v>
      </c>
      <c r="L59" s="242" t="s">
        <v>117</v>
      </c>
      <c r="M59" s="235" t="str">
        <f>IF(Output!$D56="",$AB$42,IF(Output!$I56=0,$AB$42,IF(VLOOKUP(Output!$D56,$AB$3:$AC$38,2,FALSE)=M$3,IF(Output!$J56&lt;AG6,Output!$A56,$AB$42),$AB$42)))</f>
        <v>------------</v>
      </c>
      <c r="N59" s="242" t="s">
        <v>117</v>
      </c>
      <c r="O59" s="235" t="str">
        <f>IF(Output!$D56="",$AB$42,IF(Output!$I56=0,$AB$42,IF(VLOOKUP(Output!$D56,$AB$3:$AC$38,2,FALSE)=O$3,IF(Output!$J56&lt;AG6,Output!$A56,$AB$42),$AB$42)))</f>
        <v>------------</v>
      </c>
      <c r="P59" s="242" t="s">
        <v>117</v>
      </c>
      <c r="Q59" s="235" t="str">
        <f>IF(Output!$D56="",$AB$42,IF(Output!$I56=0,$AB$42,IF(VLOOKUP(Output!$D56,$AB$3:$AC$38,2,FALSE)=Q$3,IF(Output!$J56&lt;AG6,Output!$A56,$AB$42),$AB$42)))</f>
        <v>------------</v>
      </c>
      <c r="R59" s="242" t="s">
        <v>117</v>
      </c>
      <c r="S59" s="235" t="str">
        <f>IF(Output!$D56="",$AB$42,IF(Output!$I56=0,$AB$42,IF(VLOOKUP(Output!$D56,$AB$3:$AC$38,2,FALSE)=S$3,IF(Output!$J56&lt;AG6,Output!$A56,$AB$42),$AB$42)))</f>
        <v>------------</v>
      </c>
      <c r="T59" s="242" t="s">
        <v>117</v>
      </c>
      <c r="U59" s="235" t="str">
        <f>IF(Output!$D56="",$AB$42,IF(Output!$I56=0,$AB$42,IF(VLOOKUP(Output!$D56,$AB$3:$AC$38,2,FALSE)=U$3,IF(Output!$J56&lt;AG6,Output!$A56,$AB$42),$AB$42)))</f>
        <v>------------</v>
      </c>
      <c r="V59" s="242" t="s">
        <v>117</v>
      </c>
      <c r="W59" s="235" t="str">
        <f>IF(Output!$D56="",$AB$42,IF(Output!$I56=0,$AB$42,IF(VLOOKUP(Output!$D56,$AB$3:$AC$38,2,FALSE)=W$3,IF(Output!$J56&lt;AG6,Output!$A56,$AB$42),$AB$42)))</f>
        <v>------------</v>
      </c>
      <c r="X59" s="242" t="s">
        <v>117</v>
      </c>
      <c r="Y59" s="236" t="str">
        <f>IF(Output!$D56="",$AB$42,IF(Output!$I56=0,$AB$42,IF(VLOOKUP(Output!$D56,$AB$3:$AC$38,2,FALSE)=Y$3,IF(Output!$J56&lt;AG6,Output!$A56,$AB$42),$AB$42)))</f>
        <v>------------</v>
      </c>
      <c r="Z59" t="s">
        <v>119</v>
      </c>
    </row>
    <row r="60" spans="2:26" ht="15">
      <c r="B60" t="s">
        <v>115</v>
      </c>
      <c r="C60" s="296" t="s">
        <v>120</v>
      </c>
      <c r="D60" s="298" t="s">
        <v>117</v>
      </c>
      <c r="E60" s="301" t="s">
        <v>120</v>
      </c>
      <c r="F60" s="298" t="s">
        <v>117</v>
      </c>
      <c r="G60" s="301" t="s">
        <v>120</v>
      </c>
      <c r="H60" s="298" t="s">
        <v>117</v>
      </c>
      <c r="I60" s="245" t="s">
        <v>120</v>
      </c>
      <c r="J60" t="s">
        <v>117</v>
      </c>
      <c r="K60" s="234" t="str">
        <f>IF(Output!$D57="",$AB$42,IF(Output!$I57=0,$AB$42,IF(VLOOKUP(Output!$D57,$AB$3:$AC$38,2,FALSE)=K$3,IF(Output!$J57&lt;AG6,Output!$A57,$AB$42),$AB$42)))</f>
        <v>------------</v>
      </c>
      <c r="L60" s="242" t="s">
        <v>117</v>
      </c>
      <c r="M60" s="235" t="str">
        <f>IF(Output!$D57="",$AB$42,IF(Output!$I57=0,$AB$42,IF(VLOOKUP(Output!$D57,$AB$3:$AC$38,2,FALSE)=M$3,IF(Output!$J57&lt;AG6,Output!$A57,$AB$42),$AB$42)))</f>
        <v>------------</v>
      </c>
      <c r="N60" s="242" t="s">
        <v>117</v>
      </c>
      <c r="O60" s="235" t="str">
        <f>IF(Output!$D57="",$AB$42,IF(Output!$I57=0,$AB$42,IF(VLOOKUP(Output!$D57,$AB$3:$AC$38,2,FALSE)=O$3,IF(Output!$J57&lt;AG6,Output!$A57,$AB$42),$AB$42)))</f>
        <v>------------</v>
      </c>
      <c r="P60" s="242" t="s">
        <v>117</v>
      </c>
      <c r="Q60" s="235" t="str">
        <f>IF(Output!$D57="",$AB$42,IF(Output!$I57=0,$AB$42,IF(VLOOKUP(Output!$D57,$AB$3:$AC$38,2,FALSE)=Q$3,IF(Output!$J57&lt;AG6,Output!$A57,$AB$42),$AB$42)))</f>
        <v>------------</v>
      </c>
      <c r="R60" s="242" t="s">
        <v>117</v>
      </c>
      <c r="S60" s="235" t="str">
        <f>IF(Output!$D57="",$AB$42,IF(Output!$I57=0,$AB$42,IF(VLOOKUP(Output!$D57,$AB$3:$AC$38,2,FALSE)=S$3,IF(Output!$J57&lt;AG6,Output!$A57,$AB$42),$AB$42)))</f>
        <v>------------</v>
      </c>
      <c r="T60" s="242" t="s">
        <v>117</v>
      </c>
      <c r="U60" s="235" t="str">
        <f>IF(Output!$D57="",$AB$42,IF(Output!$I57=0,$AB$42,IF(VLOOKUP(Output!$D57,$AB$3:$AC$38,2,FALSE)=U$3,IF(Output!$J57&lt;AG6,Output!$A57,$AB$42),$AB$42)))</f>
        <v>------------</v>
      </c>
      <c r="V60" s="242" t="s">
        <v>117</v>
      </c>
      <c r="W60" s="235" t="str">
        <f>IF(Output!$D57="",$AB$42,IF(Output!$I57=0,$AB$42,IF(VLOOKUP(Output!$D57,$AB$3:$AC$38,2,FALSE)=W$3,IF(Output!$J57&lt;AG6,Output!$A57,$AB$42),$AB$42)))</f>
        <v>------------</v>
      </c>
      <c r="X60" s="242" t="s">
        <v>117</v>
      </c>
      <c r="Y60" s="236" t="str">
        <f>IF(Output!$D57="",$AB$42,IF(Output!$I57=0,$AB$42,IF(VLOOKUP(Output!$D57,$AB$3:$AC$38,2,FALSE)=Y$3,IF(Output!$J57&lt;AG6,Output!$A57,$AB$42),$AB$42)))</f>
        <v>------------</v>
      </c>
      <c r="Z60" t="s">
        <v>119</v>
      </c>
    </row>
    <row r="61" spans="2:26" ht="15">
      <c r="B61" t="s">
        <v>115</v>
      </c>
      <c r="C61" s="296" t="s">
        <v>120</v>
      </c>
      <c r="D61" s="298" t="s">
        <v>117</v>
      </c>
      <c r="E61" s="301" t="s">
        <v>120</v>
      </c>
      <c r="F61" s="298" t="s">
        <v>117</v>
      </c>
      <c r="G61" s="301" t="s">
        <v>120</v>
      </c>
      <c r="H61" s="298" t="s">
        <v>117</v>
      </c>
      <c r="I61" s="245" t="s">
        <v>120</v>
      </c>
      <c r="J61" t="s">
        <v>117</v>
      </c>
      <c r="K61" s="234" t="str">
        <f>IF(Output!$D58="",$AB$42,IF(Output!$I58=0,$AB$42,IF(VLOOKUP(Output!$D58,$AB$3:$AC$38,2,FALSE)=K$3,IF(Output!$J58&lt;AG6,Output!$A58,$AB$42),$AB$42)))</f>
        <v>------------</v>
      </c>
      <c r="L61" s="242" t="s">
        <v>117</v>
      </c>
      <c r="M61" s="235" t="str">
        <f>IF(Output!$D58="",$AB$42,IF(Output!$I58=0,$AB$42,IF(VLOOKUP(Output!$D58,$AB$3:$AC$38,2,FALSE)=M$3,IF(Output!$J58&lt;AG6,Output!$A58,$AB$42),$AB$42)))</f>
        <v>------------</v>
      </c>
      <c r="N61" s="242" t="s">
        <v>117</v>
      </c>
      <c r="O61" s="235" t="str">
        <f>IF(Output!$D58="",$AB$42,IF(Output!$I58=0,$AB$42,IF(VLOOKUP(Output!$D58,$AB$3:$AC$38,2,FALSE)=O$3,IF(Output!$J58&lt;AG6,Output!$A58,$AB$42),$AB$42)))</f>
        <v>------------</v>
      </c>
      <c r="P61" s="242" t="s">
        <v>117</v>
      </c>
      <c r="Q61" s="235" t="str">
        <f>IF(Output!$D58="",$AB$42,IF(Output!$I58=0,$AB$42,IF(VLOOKUP(Output!$D58,$AB$3:$AC$38,2,FALSE)=Q$3,IF(Output!$J58&lt;AG6,Output!$A58,$AB$42),$AB$42)))</f>
        <v>------------</v>
      </c>
      <c r="R61" s="242" t="s">
        <v>117</v>
      </c>
      <c r="S61" s="235" t="str">
        <f>IF(Output!$D58="",$AB$42,IF(Output!$I58=0,$AB$42,IF(VLOOKUP(Output!$D58,$AB$3:$AC$38,2,FALSE)=S$3,IF(Output!$J58&lt;AG6,Output!$A58,$AB$42),$AB$42)))</f>
        <v>------------</v>
      </c>
      <c r="T61" s="242" t="s">
        <v>117</v>
      </c>
      <c r="U61" s="235" t="str">
        <f>IF(Output!$D58="",$AB$42,IF(Output!$I58=0,$AB$42,IF(VLOOKUP(Output!$D58,$AB$3:$AC$38,2,FALSE)=U$3,IF(Output!$J58&lt;AG6,Output!$A58,$AB$42),$AB$42)))</f>
        <v>------------</v>
      </c>
      <c r="V61" s="242" t="s">
        <v>117</v>
      </c>
      <c r="W61" s="235" t="str">
        <f>IF(Output!$D58="",$AB$42,IF(Output!$I58=0,$AB$42,IF(VLOOKUP(Output!$D58,$AB$3:$AC$38,2,FALSE)=W$3,IF(Output!$J58&lt;AG6,Output!$A58,$AB$42),$AB$42)))</f>
        <v>------------</v>
      </c>
      <c r="X61" s="242" t="s">
        <v>117</v>
      </c>
      <c r="Y61" s="236" t="str">
        <f>IF(Output!$D58="",$AB$42,IF(Output!$I58=0,$AB$42,IF(VLOOKUP(Output!$D58,$AB$3:$AC$38,2,FALSE)=Y$3,IF(Output!$J58&lt;AG6,Output!$A58,$AB$42),$AB$42)))</f>
        <v>------------</v>
      </c>
      <c r="Z61" t="s">
        <v>119</v>
      </c>
    </row>
    <row r="62" spans="2:26" ht="15">
      <c r="B62" t="s">
        <v>115</v>
      </c>
      <c r="C62" s="296" t="s">
        <v>120</v>
      </c>
      <c r="D62" s="298" t="s">
        <v>117</v>
      </c>
      <c r="E62" s="301" t="s">
        <v>120</v>
      </c>
      <c r="F62" s="298" t="s">
        <v>117</v>
      </c>
      <c r="G62" s="301" t="s">
        <v>120</v>
      </c>
      <c r="H62" s="298" t="s">
        <v>117</v>
      </c>
      <c r="I62" s="245" t="s">
        <v>120</v>
      </c>
      <c r="J62" t="s">
        <v>117</v>
      </c>
      <c r="K62" s="234" t="str">
        <f>IF(Output!$D59="",$AB$42,IF(Output!$I59=0,$AB$42,IF(VLOOKUP(Output!$D59,$AB$3:$AC$38,2,FALSE)=K$3,IF(Output!$J59&lt;AG6,Output!$A59,$AB$42),$AB$42)))</f>
        <v>------------</v>
      </c>
      <c r="L62" s="242" t="s">
        <v>117</v>
      </c>
      <c r="M62" s="235" t="str">
        <f>IF(Output!$D59="",$AB$42,IF(Output!$I59=0,$AB$42,IF(VLOOKUP(Output!$D59,$AB$3:$AC$38,2,FALSE)=M$3,IF(Output!$J59&lt;AG6,Output!$A59,$AB$42),$AB$42)))</f>
        <v>------------</v>
      </c>
      <c r="N62" s="242" t="s">
        <v>117</v>
      </c>
      <c r="O62" s="235" t="str">
        <f>IF(Output!$D59="",$AB$42,IF(Output!$I59=0,$AB$42,IF(VLOOKUP(Output!$D59,$AB$3:$AC$38,2,FALSE)=O$3,IF(Output!$J59&lt;AG6,Output!$A59,$AB$42),$AB$42)))</f>
        <v>------------</v>
      </c>
      <c r="P62" s="242" t="s">
        <v>117</v>
      </c>
      <c r="Q62" s="235" t="str">
        <f>IF(Output!$D59="",$AB$42,IF(Output!$I59=0,$AB$42,IF(VLOOKUP(Output!$D59,$AB$3:$AC$38,2,FALSE)=Q$3,IF(Output!$J59&lt;AG6,Output!$A59,$AB$42),$AB$42)))</f>
        <v>------------</v>
      </c>
      <c r="R62" s="242" t="s">
        <v>117</v>
      </c>
      <c r="S62" s="235" t="str">
        <f>IF(Output!$D59="",$AB$42,IF(Output!$I59=0,$AB$42,IF(VLOOKUP(Output!$D59,$AB$3:$AC$38,2,FALSE)=S$3,IF(Output!$J59&lt;AG6,Output!$A59,$AB$42),$AB$42)))</f>
        <v>------------</v>
      </c>
      <c r="T62" s="242" t="s">
        <v>117</v>
      </c>
      <c r="U62" s="235" t="str">
        <f>IF(Output!$D59="",$AB$42,IF(Output!$I59=0,$AB$42,IF(VLOOKUP(Output!$D59,$AB$3:$AC$38,2,FALSE)=U$3,IF(Output!$J59&lt;AG6,Output!$A59,$AB$42),$AB$42)))</f>
        <v>------------</v>
      </c>
      <c r="V62" s="242" t="s">
        <v>117</v>
      </c>
      <c r="W62" s="235" t="str">
        <f>IF(Output!$D59="",$AB$42,IF(Output!$I59=0,$AB$42,IF(VLOOKUP(Output!$D59,$AB$3:$AC$38,2,FALSE)=W$3,IF(Output!$J59&lt;AG6,Output!$A59,$AB$42),$AB$42)))</f>
        <v>------------</v>
      </c>
      <c r="X62" s="242" t="s">
        <v>117</v>
      </c>
      <c r="Y62" s="236" t="str">
        <f>IF(Output!$D59="",$AB$42,IF(Output!$I59=0,$AB$42,IF(VLOOKUP(Output!$D59,$AB$3:$AC$38,2,FALSE)=Y$3,IF(Output!$J59&lt;AG6,Output!$A59,$AB$42),$AB$42)))</f>
        <v>------------</v>
      </c>
      <c r="Z62" t="s">
        <v>119</v>
      </c>
    </row>
    <row r="63" spans="2:26" ht="15">
      <c r="B63" t="s">
        <v>115</v>
      </c>
      <c r="C63" s="296" t="s">
        <v>120</v>
      </c>
      <c r="D63" s="298" t="s">
        <v>117</v>
      </c>
      <c r="E63" s="301" t="s">
        <v>120</v>
      </c>
      <c r="F63" s="298" t="s">
        <v>117</v>
      </c>
      <c r="G63" s="301" t="s">
        <v>120</v>
      </c>
      <c r="H63" s="298" t="s">
        <v>117</v>
      </c>
      <c r="I63" s="245" t="s">
        <v>120</v>
      </c>
      <c r="J63" t="s">
        <v>117</v>
      </c>
      <c r="K63" s="234" t="str">
        <f>IF(Output!$D60="",$AB$42,IF(Output!$I60=0,$AB$42,IF(VLOOKUP(Output!$D60,$AB$3:$AC$38,2,FALSE)=K$3,IF(Output!$J60&lt;AG6,Output!$A60,$AB$42),$AB$42)))</f>
        <v>------------</v>
      </c>
      <c r="L63" s="242" t="s">
        <v>117</v>
      </c>
      <c r="M63" s="235" t="str">
        <f>IF(Output!$D60="",$AB$42,IF(Output!$I60=0,$AB$42,IF(VLOOKUP(Output!$D60,$AB$3:$AC$38,2,FALSE)=M$3,IF(Output!$J60&lt;AG6,Output!$A60,$AB$42),$AB$42)))</f>
        <v>------------</v>
      </c>
      <c r="N63" s="242" t="s">
        <v>117</v>
      </c>
      <c r="O63" s="235" t="str">
        <f>IF(Output!$D60="",$AB$42,IF(Output!$I60=0,$AB$42,IF(VLOOKUP(Output!$D60,$AB$3:$AC$38,2,FALSE)=O$3,IF(Output!$J60&lt;AG6,Output!$A60,$AB$42),$AB$42)))</f>
        <v>------------</v>
      </c>
      <c r="P63" s="242" t="s">
        <v>117</v>
      </c>
      <c r="Q63" s="235" t="str">
        <f>IF(Output!$D60="",$AB$42,IF(Output!$I60=0,$AB$42,IF(VLOOKUP(Output!$D60,$AB$3:$AC$38,2,FALSE)=Q$3,IF(Output!$J60&lt;AG6,Output!$A60,$AB$42),$AB$42)))</f>
        <v>------------</v>
      </c>
      <c r="R63" s="242" t="s">
        <v>117</v>
      </c>
      <c r="S63" s="235" t="str">
        <f>IF(Output!$D60="",$AB$42,IF(Output!$I60=0,$AB$42,IF(VLOOKUP(Output!$D60,$AB$3:$AC$38,2,FALSE)=S$3,IF(Output!$J60&lt;AG6,Output!$A60,$AB$42),$AB$42)))</f>
        <v>------------</v>
      </c>
      <c r="T63" s="242" t="s">
        <v>117</v>
      </c>
      <c r="U63" s="235" t="str">
        <f>IF(Output!$D60="",$AB$42,IF(Output!$I60=0,$AB$42,IF(VLOOKUP(Output!$D60,$AB$3:$AC$38,2,FALSE)=U$3,IF(Output!$J60&lt;AG6,Output!$A60,$AB$42),$AB$42)))</f>
        <v>------------</v>
      </c>
      <c r="V63" s="242" t="s">
        <v>117</v>
      </c>
      <c r="W63" s="235" t="str">
        <f>IF(Output!$D60="",$AB$42,IF(Output!$I60=0,$AB$42,IF(VLOOKUP(Output!$D60,$AB$3:$AC$38,2,FALSE)=W$3,IF(Output!$J60&lt;AG6,Output!$A60,$AB$42),$AB$42)))</f>
        <v>------------</v>
      </c>
      <c r="X63" s="242" t="s">
        <v>117</v>
      </c>
      <c r="Y63" s="236" t="str">
        <f>IF(Output!$D60="",$AB$42,IF(Output!$I60=0,$AB$42,IF(VLOOKUP(Output!$D60,$AB$3:$AC$38,2,FALSE)=Y$3,IF(Output!$J60&lt;AG6,Output!$A60,$AB$42),$AB$42)))</f>
        <v>------------</v>
      </c>
      <c r="Z63" t="s">
        <v>119</v>
      </c>
    </row>
    <row r="64" spans="2:26" ht="15.75" thickBot="1">
      <c r="B64" t="s">
        <v>115</v>
      </c>
      <c r="C64" s="302" t="s">
        <v>120</v>
      </c>
      <c r="D64" s="298" t="s">
        <v>117</v>
      </c>
      <c r="E64" s="303" t="s">
        <v>120</v>
      </c>
      <c r="F64" s="298" t="s">
        <v>117</v>
      </c>
      <c r="G64" s="303" t="s">
        <v>120</v>
      </c>
      <c r="H64" s="298" t="s">
        <v>117</v>
      </c>
      <c r="I64" s="304" t="s">
        <v>120</v>
      </c>
      <c r="J64" t="s">
        <v>117</v>
      </c>
      <c r="K64" s="237" t="str">
        <f>IF(Output!$D61="",$AB$42,IF(Output!$I61=0,$AB$42,IF(VLOOKUP(Output!$D61,$AB$3:$AC$38,2,FALSE)=K$3,IF(Output!$J61&lt;AG6,Output!$A61,$AB$42),$AB$42)))</f>
        <v>------------</v>
      </c>
      <c r="L64" s="242" t="s">
        <v>117</v>
      </c>
      <c r="M64" s="227" t="str">
        <f>IF(Output!$D61="",$AB$42,IF(Output!$I61=0,$AB$42,IF(VLOOKUP(Output!$D61,$AB$3:$AC$38,2,FALSE)=M$3,IF(Output!$J61&lt;AG6,Output!$A61,$AB$42),$AB$42)))</f>
        <v>------------</v>
      </c>
      <c r="N64" s="242" t="s">
        <v>117</v>
      </c>
      <c r="O64" s="227" t="str">
        <f>IF(Output!$D61="",$AB$42,IF(Output!$I61=0,$AB$42,IF(VLOOKUP(Output!$D61,$AB$3:$AC$38,2,FALSE)=O$3,IF(Output!$J61&lt;AG6,Output!$A61,$AB$42),$AB$42)))</f>
        <v>------------</v>
      </c>
      <c r="P64" s="242" t="s">
        <v>117</v>
      </c>
      <c r="Q64" s="227" t="str">
        <f>IF(Output!$D61="",$AB$42,IF(Output!$I61=0,$AB$42,IF(VLOOKUP(Output!$D61,$AB$3:$AC$38,2,FALSE)=Q$3,IF(Output!$J61&lt;AG6,Output!$A61,$AB$42),$AB$42)))</f>
        <v>------------</v>
      </c>
      <c r="R64" s="242" t="s">
        <v>117</v>
      </c>
      <c r="S64" s="227" t="str">
        <f>IF(Output!$D61="",$AB$42,IF(Output!$I61=0,$AB$42,IF(VLOOKUP(Output!$D61,$AB$3:$AC$38,2,FALSE)=S$3,IF(Output!$J61&lt;AG6,Output!$A61,$AB$42),$AB$42)))</f>
        <v>------------</v>
      </c>
      <c r="T64" s="242" t="s">
        <v>117</v>
      </c>
      <c r="U64" s="227" t="str">
        <f>IF(Output!$D61="",$AB$42,IF(Output!$I61=0,$AB$42,IF(VLOOKUP(Output!$D61,$AB$3:$AC$38,2,FALSE)=U$3,IF(Output!$J61&lt;AG6,Output!$A61,$AB$42),$AB$42)))</f>
        <v>------------</v>
      </c>
      <c r="V64" s="242" t="s">
        <v>117</v>
      </c>
      <c r="W64" s="227" t="str">
        <f>IF(Output!$D61="",$AB$42,IF(Output!$I61=0,$AB$42,IF(VLOOKUP(Output!$D61,$AB$3:$AC$38,2,FALSE)=W$3,IF(Output!$J61&lt;AG6,Output!$A61,$AB$42),$AB$42)))</f>
        <v>------------</v>
      </c>
      <c r="X64" s="242" t="s">
        <v>117</v>
      </c>
      <c r="Y64" s="238" t="str">
        <f>IF(Output!$D61="",$AB$42,IF(Output!$I61=0,$AB$42,IF(VLOOKUP(Output!$D61,$AB$3:$AC$38,2,FALSE)=Y$3,IF(Output!$J61&lt;AG6,Output!$A61,$AB$42),$AB$42)))</f>
        <v>------------</v>
      </c>
      <c r="Z64" t="s">
        <v>119</v>
      </c>
    </row>
    <row r="65" spans="2:2" ht="15.75" thickTop="1">
      <c r="B65" s="241" t="s">
        <v>121</v>
      </c>
    </row>
  </sheetData>
  <mergeCells count="3">
    <mergeCell ref="AB26:AC26"/>
    <mergeCell ref="AB33:AC33"/>
    <mergeCell ref="AB2:AC2"/>
  </mergeCells>
  <dataValidations count="2">
    <dataValidation type="list" allowBlank="1" showInputMessage="1" showErrorMessage="1" sqref="C5:C64 G5:G64 I5:I64 E5:E64">
      <formula1>$AB$39:$AB$42</formula1>
    </dataValidation>
    <dataValidation type="list" allowBlank="1" showInputMessage="1" showErrorMessage="1" sqref="AC3:AC25 AC27:AC32 AC34:AC38">
      <formula1>$AF$3:$AF$10</formula1>
    </dataValidation>
  </dataValidation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B1:Z1048574"/>
  <sheetViews>
    <sheetView workbookViewId="0">
      <selection activeCell="C17" sqref="C17"/>
    </sheetView>
  </sheetViews>
  <sheetFormatPr defaultRowHeight="12.75"/>
  <cols>
    <col min="1" max="1" width="1.5703125" customWidth="1"/>
    <col min="2" max="2" width="9.140625" hidden="1" customWidth="1"/>
    <col min="3" max="3" width="10.85546875" bestFit="1" customWidth="1"/>
    <col min="4" max="4" width="9.140625" hidden="1" customWidth="1"/>
    <col min="5" max="5" width="15.85546875" style="213" bestFit="1" customWidth="1"/>
    <col min="6" max="6" width="9.140625" hidden="1" customWidth="1"/>
    <col min="10" max="10" width="9.140625" hidden="1" customWidth="1"/>
    <col min="11" max="11" width="12.5703125" bestFit="1" customWidth="1"/>
    <col min="12" max="12" width="9.140625" hidden="1" customWidth="1"/>
    <col min="13" max="13" width="15.7109375" customWidth="1"/>
    <col min="14" max="14" width="9.140625" hidden="1" customWidth="1"/>
    <col min="16" max="16" width="9.140625" hidden="1" customWidth="1"/>
    <col min="17" max="17" width="12.5703125" bestFit="1" customWidth="1"/>
    <col min="18" max="18" width="9.140625" hidden="1" customWidth="1"/>
    <col min="19" max="19" width="15.7109375" customWidth="1"/>
    <col min="20" max="20" width="9.140625" hidden="1" customWidth="1"/>
    <col min="22" max="22" width="9.140625" hidden="1" customWidth="1"/>
    <col min="23" max="23" width="12.5703125" bestFit="1" customWidth="1"/>
    <col min="24" max="24" width="9.140625" hidden="1" customWidth="1"/>
    <col min="25" max="25" width="15.7109375" customWidth="1"/>
    <col min="26" max="26" width="9.140625" hidden="1" customWidth="1"/>
  </cols>
  <sheetData>
    <row r="1" spans="2:26" ht="13.5" thickBot="1">
      <c r="C1" s="533" t="s">
        <v>134</v>
      </c>
      <c r="D1" s="533"/>
      <c r="E1" s="533"/>
      <c r="K1" s="533" t="s">
        <v>302</v>
      </c>
      <c r="L1" s="533"/>
      <c r="M1" s="533"/>
      <c r="Q1" s="533" t="s">
        <v>303</v>
      </c>
      <c r="R1" s="533"/>
      <c r="S1" s="533"/>
      <c r="W1" s="533" t="s">
        <v>304</v>
      </c>
      <c r="X1" s="533"/>
      <c r="Y1" s="533"/>
    </row>
    <row r="2" spans="2:26" ht="14.25" thickTop="1" thickBot="1">
      <c r="B2" t="s">
        <v>114</v>
      </c>
      <c r="C2" s="326" t="s">
        <v>19</v>
      </c>
      <c r="D2" s="249" t="s">
        <v>116</v>
      </c>
      <c r="E2" s="326" t="s">
        <v>93</v>
      </c>
      <c r="F2" t="s">
        <v>118</v>
      </c>
      <c r="J2" t="s">
        <v>114</v>
      </c>
      <c r="K2" s="326" t="s">
        <v>19</v>
      </c>
      <c r="L2" s="249" t="s">
        <v>116</v>
      </c>
      <c r="M2" s="326" t="s">
        <v>135</v>
      </c>
      <c r="N2" t="s">
        <v>118</v>
      </c>
      <c r="P2" t="s">
        <v>114</v>
      </c>
      <c r="Q2" s="326" t="s">
        <v>19</v>
      </c>
      <c r="R2" s="249" t="s">
        <v>116</v>
      </c>
      <c r="S2" s="326" t="s">
        <v>135</v>
      </c>
      <c r="T2" t="s">
        <v>118</v>
      </c>
      <c r="V2" t="s">
        <v>114</v>
      </c>
      <c r="W2" s="326" t="s">
        <v>19</v>
      </c>
      <c r="X2" s="249" t="s">
        <v>116</v>
      </c>
      <c r="Y2" s="326" t="s">
        <v>135</v>
      </c>
      <c r="Z2" t="s">
        <v>118</v>
      </c>
    </row>
    <row r="3" spans="2:26">
      <c r="B3" t="s">
        <v>115</v>
      </c>
      <c r="C3" s="324">
        <f>IF(VDCC!B2&lt;4,VDCC!A2,0)</f>
        <v>0</v>
      </c>
      <c r="D3" t="s">
        <v>117</v>
      </c>
      <c r="E3" s="327" t="str">
        <f>IF(C3=0,"",VLOOKUP(C3,VDCC!A:B,2,FALSE))</f>
        <v/>
      </c>
      <c r="F3" t="s">
        <v>119</v>
      </c>
      <c r="J3" t="s">
        <v>115</v>
      </c>
      <c r="K3" s="324">
        <f>IF(VDCC!E2&gt;0,VDCC!A2,0)</f>
        <v>0</v>
      </c>
      <c r="L3" t="s">
        <v>117</v>
      </c>
      <c r="M3" s="327" t="str">
        <f>IF(K3=0,"",VLOOKUP(K3,VDCC!A:E,5,FALSE))</f>
        <v/>
      </c>
      <c r="N3" t="s">
        <v>119</v>
      </c>
      <c r="P3" t="s">
        <v>115</v>
      </c>
      <c r="Q3" s="324">
        <f>IF(EDCC!E2&gt;0,EDCC!A2,0)</f>
        <v>0</v>
      </c>
      <c r="R3" t="s">
        <v>117</v>
      </c>
      <c r="S3" s="327" t="str">
        <f>IF(Q3=0,"",VLOOKUP(Q3,EDCC!A:E,5,FALSE))</f>
        <v/>
      </c>
      <c r="T3" t="s">
        <v>119</v>
      </c>
      <c r="V3" t="s">
        <v>115</v>
      </c>
      <c r="W3" s="324">
        <f>IF(TDCC!E2&gt;0,TDCC!A2,0)</f>
        <v>0</v>
      </c>
      <c r="X3" t="s">
        <v>117</v>
      </c>
      <c r="Y3" s="327" t="str">
        <f>IF(W3=0,"",VLOOKUP(W3,TDCC!A:E,5,FALSE))</f>
        <v/>
      </c>
      <c r="Z3" t="s">
        <v>119</v>
      </c>
    </row>
    <row r="4" spans="2:26">
      <c r="B4" t="s">
        <v>115</v>
      </c>
      <c r="C4" s="324">
        <f>IF(VDCC!B3&lt;4,VDCC!A3,0)</f>
        <v>0</v>
      </c>
      <c r="D4" s="298" t="s">
        <v>117</v>
      </c>
      <c r="E4" s="327" t="str">
        <f>IF(C4=0,"",VLOOKUP(C4,VDCC!A:B,2,FALSE))</f>
        <v/>
      </c>
      <c r="F4" t="s">
        <v>119</v>
      </c>
      <c r="J4" t="s">
        <v>115</v>
      </c>
      <c r="K4" s="324">
        <f>IF(VDCC!E3&gt;0,VDCC!A3,0)</f>
        <v>0</v>
      </c>
      <c r="L4" s="298" t="s">
        <v>117</v>
      </c>
      <c r="M4" s="327" t="str">
        <f>IF(K4=0,"",VLOOKUP(K4,VDCC!A:E,5,FALSE))</f>
        <v/>
      </c>
      <c r="N4" t="s">
        <v>119</v>
      </c>
      <c r="P4" t="s">
        <v>115</v>
      </c>
      <c r="Q4" s="324">
        <f>IF(EDCC!E3&gt;0,EDCC!A3,0)</f>
        <v>0</v>
      </c>
      <c r="R4" s="298" t="s">
        <v>117</v>
      </c>
      <c r="S4" s="327" t="str">
        <f>IF(Q4=0,"",VLOOKUP(Q4,EDCC!A:E,5,FALSE))</f>
        <v/>
      </c>
      <c r="T4" t="s">
        <v>119</v>
      </c>
      <c r="V4" t="s">
        <v>115</v>
      </c>
      <c r="W4" s="324">
        <f>IF(TDCC!E3&gt;0,TDCC!A3,0)</f>
        <v>0</v>
      </c>
      <c r="X4" s="298" t="s">
        <v>117</v>
      </c>
      <c r="Y4" s="327" t="str">
        <f>IF(W4=0,"",VLOOKUP(W4,TDCC!A:E,5,FALSE))</f>
        <v/>
      </c>
      <c r="Z4" t="s">
        <v>119</v>
      </c>
    </row>
    <row r="5" spans="2:26">
      <c r="B5" t="s">
        <v>115</v>
      </c>
      <c r="C5" s="324">
        <f>IF(VDCC!B4&lt;4,VDCC!A4,0)</f>
        <v>0</v>
      </c>
      <c r="D5" s="298" t="s">
        <v>117</v>
      </c>
      <c r="E5" s="327" t="str">
        <f>IF(C5=0,"",VLOOKUP(C5,VDCC!A:B,2,FALSE))</f>
        <v/>
      </c>
      <c r="F5" t="s">
        <v>119</v>
      </c>
      <c r="J5" t="s">
        <v>115</v>
      </c>
      <c r="K5" s="324">
        <f>IF(VDCC!E4&gt;0,VDCC!A4,0)</f>
        <v>0</v>
      </c>
      <c r="L5" s="298" t="s">
        <v>117</v>
      </c>
      <c r="M5" s="327" t="str">
        <f>IF(K5=0,"",VLOOKUP(K5,VDCC!A:E,5,FALSE))</f>
        <v/>
      </c>
      <c r="N5" t="s">
        <v>119</v>
      </c>
      <c r="P5" t="s">
        <v>115</v>
      </c>
      <c r="Q5" s="324">
        <f>IF(EDCC!E4&gt;0,EDCC!A4,0)</f>
        <v>0</v>
      </c>
      <c r="R5" s="298" t="s">
        <v>117</v>
      </c>
      <c r="S5" s="327" t="str">
        <f>IF(Q5=0,"",VLOOKUP(Q5,EDCC!A:E,5,FALSE))</f>
        <v/>
      </c>
      <c r="T5" t="s">
        <v>119</v>
      </c>
      <c r="V5" t="s">
        <v>115</v>
      </c>
      <c r="W5" s="324">
        <f>IF(TDCC!E4&gt;0,TDCC!A4,0)</f>
        <v>0</v>
      </c>
      <c r="X5" s="298" t="s">
        <v>117</v>
      </c>
      <c r="Y5" s="327" t="str">
        <f>IF(W5=0,"",VLOOKUP(W5,TDCC!A:E,5,FALSE))</f>
        <v/>
      </c>
      <c r="Z5" t="s">
        <v>119</v>
      </c>
    </row>
    <row r="6" spans="2:26">
      <c r="B6" t="s">
        <v>115</v>
      </c>
      <c r="C6" s="324" t="str">
        <f>IF(VDCC!B5&lt;4,VDCC!A5,0)</f>
        <v>Altrezza</v>
      </c>
      <c r="D6" s="298" t="s">
        <v>117</v>
      </c>
      <c r="E6" s="327">
        <f>IF(C6=0,"",VLOOKUP(C6,VDCC!A:B,2,FALSE))</f>
        <v>1</v>
      </c>
      <c r="F6" t="s">
        <v>119</v>
      </c>
      <c r="J6" t="s">
        <v>115</v>
      </c>
      <c r="K6" s="324">
        <f>IF(VDCC!E5&gt;0,VDCC!A5,0)</f>
        <v>0</v>
      </c>
      <c r="L6" s="298" t="s">
        <v>117</v>
      </c>
      <c r="M6" s="327" t="str">
        <f>IF(K6=0,"",VLOOKUP(K6,VDCC!A:E,5,FALSE))</f>
        <v/>
      </c>
      <c r="N6" t="s">
        <v>119</v>
      </c>
      <c r="P6" t="s">
        <v>115</v>
      </c>
      <c r="Q6" s="324">
        <f>IF(EDCC!E5&gt;0,EDCC!A5,0)</f>
        <v>0</v>
      </c>
      <c r="R6" s="298" t="s">
        <v>117</v>
      </c>
      <c r="S6" s="327" t="str">
        <f>IF(Q6=0,"",VLOOKUP(Q6,EDCC!A:E,5,FALSE))</f>
        <v/>
      </c>
      <c r="T6" t="s">
        <v>119</v>
      </c>
      <c r="V6" t="s">
        <v>115</v>
      </c>
      <c r="W6" s="324">
        <f>IF(TDCC!E5&gt;0,TDCC!A5,0)</f>
        <v>0</v>
      </c>
      <c r="X6" s="298" t="s">
        <v>117</v>
      </c>
      <c r="Y6" s="327" t="str">
        <f>IF(W6=0,"",VLOOKUP(W6,TDCC!A:E,5,FALSE))</f>
        <v/>
      </c>
      <c r="Z6" t="s">
        <v>119</v>
      </c>
    </row>
    <row r="7" spans="2:26">
      <c r="B7" t="s">
        <v>115</v>
      </c>
      <c r="C7" s="324">
        <f>IF(VDCC!B6&lt;4,VDCC!A6,0)</f>
        <v>0</v>
      </c>
      <c r="D7" s="298" t="s">
        <v>117</v>
      </c>
      <c r="E7" s="327" t="str">
        <f>IF(C7=0,"",VLOOKUP(C7,VDCC!A:B,2,FALSE))</f>
        <v/>
      </c>
      <c r="F7" t="s">
        <v>119</v>
      </c>
      <c r="J7" t="s">
        <v>115</v>
      </c>
      <c r="K7" s="324">
        <f>IF(VDCC!E6&gt;0,VDCC!A6,0)</f>
        <v>0</v>
      </c>
      <c r="L7" s="298" t="s">
        <v>117</v>
      </c>
      <c r="M7" s="327" t="str">
        <f>IF(K7=0,"",VLOOKUP(K7,VDCC!A:E,5,FALSE))</f>
        <v/>
      </c>
      <c r="N7" t="s">
        <v>119</v>
      </c>
      <c r="P7" t="s">
        <v>115</v>
      </c>
      <c r="Q7" s="324">
        <f>IF(EDCC!E6&gt;0,EDCC!A6,0)</f>
        <v>0</v>
      </c>
      <c r="R7" s="298" t="s">
        <v>117</v>
      </c>
      <c r="S7" s="327" t="str">
        <f>IF(Q7=0,"",VLOOKUP(Q7,EDCC!A:E,5,FALSE))</f>
        <v/>
      </c>
      <c r="T7" t="s">
        <v>119</v>
      </c>
      <c r="V7" t="s">
        <v>115</v>
      </c>
      <c r="W7" s="324">
        <f>IF(TDCC!E6&gt;0,TDCC!A6,0)</f>
        <v>0</v>
      </c>
      <c r="X7" s="298" t="s">
        <v>117</v>
      </c>
      <c r="Y7" s="327" t="str">
        <f>IF(W7=0,"",VLOOKUP(W7,TDCC!A:E,5,FALSE))</f>
        <v/>
      </c>
      <c r="Z7" t="s">
        <v>119</v>
      </c>
    </row>
    <row r="8" spans="2:26">
      <c r="B8" t="s">
        <v>115</v>
      </c>
      <c r="C8" s="324">
        <f>IF(VDCC!B7&lt;4,VDCC!A7,0)</f>
        <v>0</v>
      </c>
      <c r="D8" s="298" t="s">
        <v>117</v>
      </c>
      <c r="E8" s="327" t="str">
        <f>IF(C8=0,"",VLOOKUP(C8,VDCC!A:B,2,FALSE))</f>
        <v/>
      </c>
      <c r="F8" t="s">
        <v>119</v>
      </c>
      <c r="J8" t="s">
        <v>115</v>
      </c>
      <c r="K8" s="324">
        <f>IF(VDCC!E7&gt;0,VDCC!A7,0)</f>
        <v>0</v>
      </c>
      <c r="L8" s="298" t="s">
        <v>117</v>
      </c>
      <c r="M8" s="327" t="str">
        <f>IF(K8=0,"",VLOOKUP(K8,VDCC!A:E,5,FALSE))</f>
        <v/>
      </c>
      <c r="N8" t="s">
        <v>119</v>
      </c>
      <c r="P8" t="s">
        <v>115</v>
      </c>
      <c r="Q8" s="324">
        <f>IF(EDCC!E7&gt;0,EDCC!A7,0)</f>
        <v>0</v>
      </c>
      <c r="R8" s="298" t="s">
        <v>117</v>
      </c>
      <c r="S8" s="327" t="str">
        <f>IF(Q8=0,"",VLOOKUP(Q8,EDCC!A:E,5,FALSE))</f>
        <v/>
      </c>
      <c r="T8" t="s">
        <v>119</v>
      </c>
      <c r="V8" t="s">
        <v>115</v>
      </c>
      <c r="W8" s="324">
        <f>IF(TDCC!E7&gt;0,TDCC!A7,0)</f>
        <v>0</v>
      </c>
      <c r="X8" s="298" t="s">
        <v>117</v>
      </c>
      <c r="Y8" s="327" t="str">
        <f>IF(W8=0,"",VLOOKUP(W8,TDCC!A:E,5,FALSE))</f>
        <v/>
      </c>
      <c r="Z8" t="s">
        <v>119</v>
      </c>
    </row>
    <row r="9" spans="2:26">
      <c r="B9" t="s">
        <v>115</v>
      </c>
      <c r="C9" s="324" t="str">
        <f>IF(VDCC!B8&lt;4,VDCC!A8,0)</f>
        <v>Ánja</v>
      </c>
      <c r="D9" s="298" t="s">
        <v>117</v>
      </c>
      <c r="E9" s="327">
        <f>IF(C9=0,"",VLOOKUP(C9,VDCC!A:B,2,FALSE))</f>
        <v>2</v>
      </c>
      <c r="F9" t="s">
        <v>119</v>
      </c>
      <c r="J9" t="s">
        <v>115</v>
      </c>
      <c r="K9" s="324">
        <f>IF(VDCC!E8&gt;0,VDCC!A8,0)</f>
        <v>0</v>
      </c>
      <c r="L9" s="298" t="s">
        <v>117</v>
      </c>
      <c r="M9" s="327" t="str">
        <f>IF(K9=0,"",VLOOKUP(K9,VDCC!A:E,5,FALSE))</f>
        <v/>
      </c>
      <c r="N9" t="s">
        <v>119</v>
      </c>
      <c r="P9" t="s">
        <v>115</v>
      </c>
      <c r="Q9" s="324">
        <f>IF(EDCC!E8&gt;0,EDCC!A8,0)</f>
        <v>0</v>
      </c>
      <c r="R9" s="298" t="s">
        <v>117</v>
      </c>
      <c r="S9" s="327" t="str">
        <f>IF(Q9=0,"",VLOOKUP(Q9,EDCC!A:E,5,FALSE))</f>
        <v/>
      </c>
      <c r="T9" t="s">
        <v>119</v>
      </c>
      <c r="V9" t="s">
        <v>115</v>
      </c>
      <c r="W9" s="324">
        <f>IF(TDCC!E8&gt;0,TDCC!A8,0)</f>
        <v>0</v>
      </c>
      <c r="X9" s="298" t="s">
        <v>117</v>
      </c>
      <c r="Y9" s="327" t="str">
        <f>IF(W9=0,"",VLOOKUP(W9,TDCC!A:E,5,FALSE))</f>
        <v/>
      </c>
      <c r="Z9" t="s">
        <v>119</v>
      </c>
    </row>
    <row r="10" spans="2:26">
      <c r="B10" t="s">
        <v>115</v>
      </c>
      <c r="C10" s="324">
        <f>IF(VDCC!B9&lt;4,VDCC!A9,0)</f>
        <v>0</v>
      </c>
      <c r="D10" s="298" t="s">
        <v>117</v>
      </c>
      <c r="E10" s="327" t="str">
        <f>IF(C10=0,"",VLOOKUP(C10,VDCC!A:B,2,FALSE))</f>
        <v/>
      </c>
      <c r="F10" t="s">
        <v>119</v>
      </c>
      <c r="J10" t="s">
        <v>115</v>
      </c>
      <c r="K10" s="324">
        <f>IF(VDCC!E9&gt;0,VDCC!A9,0)</f>
        <v>0</v>
      </c>
      <c r="L10" s="298" t="s">
        <v>117</v>
      </c>
      <c r="M10" s="327" t="str">
        <f>IF(K10=0,"",VLOOKUP(K10,VDCC!A:E,5,FALSE))</f>
        <v/>
      </c>
      <c r="N10" t="s">
        <v>119</v>
      </c>
      <c r="P10" t="s">
        <v>115</v>
      </c>
      <c r="Q10" s="324">
        <f>IF(EDCC!E9&gt;0,EDCC!A9,0)</f>
        <v>0</v>
      </c>
      <c r="R10" s="298" t="s">
        <v>117</v>
      </c>
      <c r="S10" s="327" t="str">
        <f>IF(Q10=0,"",VLOOKUP(Q10,EDCC!A:E,5,FALSE))</f>
        <v/>
      </c>
      <c r="T10" t="s">
        <v>119</v>
      </c>
      <c r="V10" t="s">
        <v>115</v>
      </c>
      <c r="W10" s="324">
        <f>IF(TDCC!E9&gt;0,TDCC!A9,0)</f>
        <v>0</v>
      </c>
      <c r="X10" s="298" t="s">
        <v>117</v>
      </c>
      <c r="Y10" s="327" t="str">
        <f>IF(W10=0,"",VLOOKUP(W10,TDCC!A:E,5,FALSE))</f>
        <v/>
      </c>
      <c r="Z10" t="s">
        <v>119</v>
      </c>
    </row>
    <row r="11" spans="2:26">
      <c r="B11" t="s">
        <v>115</v>
      </c>
      <c r="C11" s="324">
        <f>IF(VDCC!B10&lt;4,VDCC!A10,0)</f>
        <v>0</v>
      </c>
      <c r="D11" s="298" t="s">
        <v>117</v>
      </c>
      <c r="E11" s="327" t="str">
        <f>IF(C11=0,"",VLOOKUP(C11,VDCC!A:B,2,FALSE))</f>
        <v/>
      </c>
      <c r="F11" t="s">
        <v>119</v>
      </c>
      <c r="J11" t="s">
        <v>115</v>
      </c>
      <c r="K11" s="324">
        <f>IF(VDCC!E10&gt;0,VDCC!A10,0)</f>
        <v>0</v>
      </c>
      <c r="L11" s="298" t="s">
        <v>117</v>
      </c>
      <c r="M11" s="327" t="str">
        <f>IF(K11=0,"",VLOOKUP(K11,VDCC!A:E,5,FALSE))</f>
        <v/>
      </c>
      <c r="N11" t="s">
        <v>119</v>
      </c>
      <c r="P11" t="s">
        <v>115</v>
      </c>
      <c r="Q11" s="324">
        <f>IF(EDCC!E10&gt;0,EDCC!A10,0)</f>
        <v>0</v>
      </c>
      <c r="R11" s="298" t="s">
        <v>117</v>
      </c>
      <c r="S11" s="327" t="str">
        <f>IF(Q11=0,"",VLOOKUP(Q11,EDCC!A:E,5,FALSE))</f>
        <v/>
      </c>
      <c r="T11" t="s">
        <v>119</v>
      </c>
      <c r="V11" t="s">
        <v>115</v>
      </c>
      <c r="W11" s="324">
        <f>IF(TDCC!E10&gt;0,TDCC!A10,0)</f>
        <v>0</v>
      </c>
      <c r="X11" s="298" t="s">
        <v>117</v>
      </c>
      <c r="Y11" s="327" t="str">
        <f>IF(W11=0,"",VLOOKUP(W11,TDCC!A:E,5,FALSE))</f>
        <v/>
      </c>
      <c r="Z11" t="s">
        <v>119</v>
      </c>
    </row>
    <row r="12" spans="2:26">
      <c r="B12" t="s">
        <v>115</v>
      </c>
      <c r="C12" s="324">
        <f>IF(VDCC!B11&lt;4,VDCC!A11,0)</f>
        <v>0</v>
      </c>
      <c r="D12" s="298" t="s">
        <v>117</v>
      </c>
      <c r="E12" s="327" t="str">
        <f>IF(C12=0,"",VLOOKUP(C12,VDCC!A:B,2,FALSE))</f>
        <v/>
      </c>
      <c r="F12" t="s">
        <v>119</v>
      </c>
      <c r="J12" t="s">
        <v>115</v>
      </c>
      <c r="K12" s="324">
        <f>IF(VDCC!E11&gt;0,VDCC!A11,0)</f>
        <v>0</v>
      </c>
      <c r="L12" s="298" t="s">
        <v>117</v>
      </c>
      <c r="M12" s="327" t="str">
        <f>IF(K12=0,"",VLOOKUP(K12,VDCC!A:E,5,FALSE))</f>
        <v/>
      </c>
      <c r="N12" t="s">
        <v>119</v>
      </c>
      <c r="P12" t="s">
        <v>115</v>
      </c>
      <c r="Q12" s="324">
        <f>IF(EDCC!E11&gt;0,EDCC!A11,0)</f>
        <v>0</v>
      </c>
      <c r="R12" s="298" t="s">
        <v>117</v>
      </c>
      <c r="S12" s="327" t="str">
        <f>IF(Q12=0,"",VLOOKUP(Q12,EDCC!A:E,5,FALSE))</f>
        <v/>
      </c>
      <c r="T12" t="s">
        <v>119</v>
      </c>
      <c r="V12" t="s">
        <v>115</v>
      </c>
      <c r="W12" s="324">
        <f>IF(TDCC!E11&gt;0,TDCC!A11,0)</f>
        <v>0</v>
      </c>
      <c r="X12" s="298" t="s">
        <v>117</v>
      </c>
      <c r="Y12" s="327" t="str">
        <f>IF(W12=0,"",VLOOKUP(W12,TDCC!A:E,5,FALSE))</f>
        <v/>
      </c>
      <c r="Z12" t="s">
        <v>119</v>
      </c>
    </row>
    <row r="13" spans="2:26">
      <c r="B13" t="s">
        <v>115</v>
      </c>
      <c r="C13" s="324" t="str">
        <f>IF(VDCC!B12&lt;4,VDCC!A12,0)</f>
        <v>Blackcheeta</v>
      </c>
      <c r="D13" s="298" t="s">
        <v>117</v>
      </c>
      <c r="E13" s="327">
        <f>IF(C13=0,"",VLOOKUP(C13,VDCC!A:B,2,FALSE))</f>
        <v>2</v>
      </c>
      <c r="F13" t="s">
        <v>119</v>
      </c>
      <c r="J13" t="s">
        <v>115</v>
      </c>
      <c r="K13" s="324">
        <f>IF(VDCC!E12&gt;0,VDCC!A12,0)</f>
        <v>0</v>
      </c>
      <c r="L13" s="298" t="s">
        <v>117</v>
      </c>
      <c r="M13" s="327" t="str">
        <f>IF(K13=0,"",VLOOKUP(K13,VDCC!A:E,5,FALSE))</f>
        <v/>
      </c>
      <c r="N13" t="s">
        <v>119</v>
      </c>
      <c r="P13" t="s">
        <v>115</v>
      </c>
      <c r="Q13" s="324">
        <f>IF(EDCC!E12&gt;0,EDCC!A12,0)</f>
        <v>0</v>
      </c>
      <c r="R13" s="298" t="s">
        <v>117</v>
      </c>
      <c r="S13" s="327" t="str">
        <f>IF(Q13=0,"",VLOOKUP(Q13,EDCC!A:E,5,FALSE))</f>
        <v/>
      </c>
      <c r="T13" t="s">
        <v>119</v>
      </c>
      <c r="V13" t="s">
        <v>115</v>
      </c>
      <c r="W13" s="324">
        <f>IF(TDCC!E12&gt;0,TDCC!A12,0)</f>
        <v>0</v>
      </c>
      <c r="X13" s="298" t="s">
        <v>117</v>
      </c>
      <c r="Y13" s="327" t="str">
        <f>IF(W13=0,"",VLOOKUP(W13,TDCC!A:E,5,FALSE))</f>
        <v/>
      </c>
      <c r="Z13" t="s">
        <v>119</v>
      </c>
    </row>
    <row r="14" spans="2:26">
      <c r="B14" t="s">
        <v>115</v>
      </c>
      <c r="C14" s="324">
        <f>IF(VDCC!B13&lt;4,VDCC!A13,0)</f>
        <v>0</v>
      </c>
      <c r="D14" s="298" t="s">
        <v>117</v>
      </c>
      <c r="E14" s="327" t="str">
        <f>IF(C14=0,"",VLOOKUP(C14,VDCC!A:B,2,FALSE))</f>
        <v/>
      </c>
      <c r="F14" t="s">
        <v>119</v>
      </c>
      <c r="J14" t="s">
        <v>115</v>
      </c>
      <c r="K14" s="324">
        <f>IF(VDCC!E13&gt;0,VDCC!A13,0)</f>
        <v>0</v>
      </c>
      <c r="L14" s="298" t="s">
        <v>117</v>
      </c>
      <c r="M14" s="327" t="str">
        <f>IF(K14=0,"",VLOOKUP(K14,VDCC!A:E,5,FALSE))</f>
        <v/>
      </c>
      <c r="N14" t="s">
        <v>119</v>
      </c>
      <c r="P14" t="s">
        <v>115</v>
      </c>
      <c r="Q14" s="324">
        <f>IF(EDCC!E13&gt;0,EDCC!A13,0)</f>
        <v>0</v>
      </c>
      <c r="R14" s="298" t="s">
        <v>117</v>
      </c>
      <c r="S14" s="327" t="str">
        <f>IF(Q14=0,"",VLOOKUP(Q14,EDCC!A:E,5,FALSE))</f>
        <v/>
      </c>
      <c r="T14" t="s">
        <v>119</v>
      </c>
      <c r="V14" t="s">
        <v>115</v>
      </c>
      <c r="W14" s="324">
        <f>IF(TDCC!E13&gt;0,TDCC!A13,0)</f>
        <v>0</v>
      </c>
      <c r="X14" s="298" t="s">
        <v>117</v>
      </c>
      <c r="Y14" s="327" t="str">
        <f>IF(W14=0,"",VLOOKUP(W14,TDCC!A:E,5,FALSE))</f>
        <v/>
      </c>
      <c r="Z14" t="s">
        <v>119</v>
      </c>
    </row>
    <row r="15" spans="2:26">
      <c r="B15" t="s">
        <v>115</v>
      </c>
      <c r="C15" s="324" t="str">
        <f>IF(VDCC!B14&lt;4,VDCC!A14,0)</f>
        <v>Brownale</v>
      </c>
      <c r="D15" s="298" t="s">
        <v>117</v>
      </c>
      <c r="E15" s="327">
        <f>IF(C15=0,"",VLOOKUP(C15,VDCC!A:B,2,FALSE))</f>
        <v>2</v>
      </c>
      <c r="F15" t="s">
        <v>119</v>
      </c>
      <c r="J15" t="s">
        <v>115</v>
      </c>
      <c r="K15" s="324">
        <f>IF(VDCC!E14&gt;0,VDCC!A14,0)</f>
        <v>0</v>
      </c>
      <c r="L15" s="298" t="s">
        <v>117</v>
      </c>
      <c r="M15" s="327" t="str">
        <f>IF(K15=0,"",VLOOKUP(K15,VDCC!A:E,5,FALSE))</f>
        <v/>
      </c>
      <c r="N15" t="s">
        <v>119</v>
      </c>
      <c r="P15" t="s">
        <v>115</v>
      </c>
      <c r="Q15" s="324">
        <f>IF(EDCC!E14&gt;0,EDCC!A14,0)</f>
        <v>0</v>
      </c>
      <c r="R15" s="298" t="s">
        <v>117</v>
      </c>
      <c r="S15" s="327" t="str">
        <f>IF(Q15=0,"",VLOOKUP(Q15,EDCC!A:E,5,FALSE))</f>
        <v/>
      </c>
      <c r="T15" t="s">
        <v>119</v>
      </c>
      <c r="V15" t="s">
        <v>115</v>
      </c>
      <c r="W15" s="324">
        <f>IF(TDCC!E14&gt;0,TDCC!A14,0)</f>
        <v>0</v>
      </c>
      <c r="X15" s="298" t="s">
        <v>117</v>
      </c>
      <c r="Y15" s="327" t="str">
        <f>IF(W15=0,"",VLOOKUP(W15,TDCC!A:E,5,FALSE))</f>
        <v/>
      </c>
      <c r="Z15" t="s">
        <v>119</v>
      </c>
    </row>
    <row r="16" spans="2:26">
      <c r="B16" t="s">
        <v>115</v>
      </c>
      <c r="C16" s="324">
        <f>IF(VDCC!B15&lt;4,VDCC!A15,0)</f>
        <v>0</v>
      </c>
      <c r="D16" s="298" t="s">
        <v>117</v>
      </c>
      <c r="E16" s="327" t="str">
        <f>IF(C16=0,"",VLOOKUP(C16,VDCC!A:B,2,FALSE))</f>
        <v/>
      </c>
      <c r="F16" t="s">
        <v>119</v>
      </c>
      <c r="J16" t="s">
        <v>115</v>
      </c>
      <c r="K16" s="324">
        <f>IF(VDCC!E15&gt;0,VDCC!A15,0)</f>
        <v>0</v>
      </c>
      <c r="L16" s="298" t="s">
        <v>117</v>
      </c>
      <c r="M16" s="327" t="str">
        <f>IF(K16=0,"",VLOOKUP(K16,VDCC!A:E,5,FALSE))</f>
        <v/>
      </c>
      <c r="N16" t="s">
        <v>119</v>
      </c>
      <c r="P16" t="s">
        <v>115</v>
      </c>
      <c r="Q16" s="324">
        <f>IF(EDCC!E15&gt;0,EDCC!A15,0)</f>
        <v>0</v>
      </c>
      <c r="R16" s="298" t="s">
        <v>117</v>
      </c>
      <c r="S16" s="327" t="str">
        <f>IF(Q16=0,"",VLOOKUP(Q16,EDCC!A:E,5,FALSE))</f>
        <v/>
      </c>
      <c r="T16" t="s">
        <v>119</v>
      </c>
      <c r="V16" t="s">
        <v>115</v>
      </c>
      <c r="W16" s="324">
        <f>IF(TDCC!E15&gt;0,TDCC!A15,0)</f>
        <v>0</v>
      </c>
      <c r="X16" s="298" t="s">
        <v>117</v>
      </c>
      <c r="Y16" s="327" t="str">
        <f>IF(W16=0,"",VLOOKUP(W16,TDCC!A:E,5,FALSE))</f>
        <v/>
      </c>
      <c r="Z16" t="s">
        <v>119</v>
      </c>
    </row>
    <row r="17" spans="2:26">
      <c r="B17" t="s">
        <v>115</v>
      </c>
      <c r="C17" s="324">
        <f>IF(VDCC!B16&lt;4,VDCC!A16,0)</f>
        <v>0</v>
      </c>
      <c r="D17" s="298" t="s">
        <v>117</v>
      </c>
      <c r="E17" s="327" t="str">
        <f>IF(C17=0,"",VLOOKUP(C17,VDCC!A:B,2,FALSE))</f>
        <v/>
      </c>
      <c r="F17" t="s">
        <v>119</v>
      </c>
      <c r="J17" t="s">
        <v>115</v>
      </c>
      <c r="K17" s="324">
        <f>IF(VDCC!E16&gt;0,VDCC!A16,0)</f>
        <v>0</v>
      </c>
      <c r="L17" s="298" t="s">
        <v>117</v>
      </c>
      <c r="M17" s="327" t="str">
        <f>IF(K17=0,"",VLOOKUP(K17,VDCC!A:E,5,FALSE))</f>
        <v/>
      </c>
      <c r="N17" t="s">
        <v>119</v>
      </c>
      <c r="P17" t="s">
        <v>115</v>
      </c>
      <c r="Q17" s="324">
        <f>IF(EDCC!E16&gt;0,EDCC!A16,0)</f>
        <v>0</v>
      </c>
      <c r="R17" s="298" t="s">
        <v>117</v>
      </c>
      <c r="S17" s="327" t="str">
        <f>IF(Q17=0,"",VLOOKUP(Q17,EDCC!A:E,5,FALSE))</f>
        <v/>
      </c>
      <c r="T17" t="s">
        <v>119</v>
      </c>
      <c r="V17" t="s">
        <v>115</v>
      </c>
      <c r="W17" s="324">
        <f>IF(TDCC!E16&gt;0,TDCC!A16,0)</f>
        <v>0</v>
      </c>
      <c r="X17" s="298" t="s">
        <v>117</v>
      </c>
      <c r="Y17" s="327" t="str">
        <f>IF(W17=0,"",VLOOKUP(W17,TDCC!A:E,5,FALSE))</f>
        <v/>
      </c>
      <c r="Z17" t="s">
        <v>119</v>
      </c>
    </row>
    <row r="18" spans="2:26">
      <c r="B18" t="s">
        <v>115</v>
      </c>
      <c r="C18" s="324" t="str">
        <f>IF(VDCC!B17&lt;4,VDCC!A17,0)</f>
        <v>Dottiee</v>
      </c>
      <c r="D18" s="298" t="s">
        <v>117</v>
      </c>
      <c r="E18" s="327">
        <f>IF(C18=0,"",VLOOKUP(C18,VDCC!A:B,2,FALSE))</f>
        <v>2</v>
      </c>
      <c r="F18" t="s">
        <v>119</v>
      </c>
      <c r="J18" t="s">
        <v>115</v>
      </c>
      <c r="K18" s="324">
        <f>IF(VDCC!E17&gt;0,VDCC!A17,0)</f>
        <v>0</v>
      </c>
      <c r="L18" s="298" t="s">
        <v>117</v>
      </c>
      <c r="M18" s="327" t="str">
        <f>IF(K18=0,"",VLOOKUP(K18,VDCC!A:E,5,FALSE))</f>
        <v/>
      </c>
      <c r="N18" t="s">
        <v>119</v>
      </c>
      <c r="P18" t="s">
        <v>115</v>
      </c>
      <c r="Q18" s="324">
        <f>IF(EDCC!E17&gt;0,EDCC!A17,0)</f>
        <v>0</v>
      </c>
      <c r="R18" s="298" t="s">
        <v>117</v>
      </c>
      <c r="S18" s="327" t="str">
        <f>IF(Q18=0,"",VLOOKUP(Q18,EDCC!A:E,5,FALSE))</f>
        <v/>
      </c>
      <c r="T18" t="s">
        <v>119</v>
      </c>
      <c r="V18" t="s">
        <v>115</v>
      </c>
      <c r="W18" s="324">
        <f>IF(TDCC!E17&gt;0,TDCC!A17,0)</f>
        <v>0</v>
      </c>
      <c r="X18" s="298" t="s">
        <v>117</v>
      </c>
      <c r="Y18" s="327" t="str">
        <f>IF(W18=0,"",VLOOKUP(W18,TDCC!A:E,5,FALSE))</f>
        <v/>
      </c>
      <c r="Z18" t="s">
        <v>119</v>
      </c>
    </row>
    <row r="19" spans="2:26">
      <c r="B19" t="s">
        <v>115</v>
      </c>
      <c r="C19" s="324">
        <f>IF(VDCC!B18&lt;4,VDCC!A18,0)</f>
        <v>0</v>
      </c>
      <c r="D19" s="298" t="s">
        <v>117</v>
      </c>
      <c r="E19" s="327" t="str">
        <f>IF(C19=0,"",VLOOKUP(C19,VDCC!A:B,2,FALSE))</f>
        <v/>
      </c>
      <c r="F19" t="s">
        <v>119</v>
      </c>
      <c r="J19" t="s">
        <v>115</v>
      </c>
      <c r="K19" s="324">
        <f>IF(VDCC!E18&gt;0,VDCC!A18,0)</f>
        <v>0</v>
      </c>
      <c r="L19" s="298" t="s">
        <v>117</v>
      </c>
      <c r="M19" s="327" t="str">
        <f>IF(K19=0,"",VLOOKUP(K19,VDCC!A:E,5,FALSE))</f>
        <v/>
      </c>
      <c r="N19" t="s">
        <v>119</v>
      </c>
      <c r="P19" t="s">
        <v>115</v>
      </c>
      <c r="Q19" s="324">
        <f>IF(EDCC!E18&gt;0,EDCC!A18,0)</f>
        <v>0</v>
      </c>
      <c r="R19" s="298" t="s">
        <v>117</v>
      </c>
      <c r="S19" s="327" t="str">
        <f>IF(Q19=0,"",VLOOKUP(Q19,EDCC!A:E,5,FALSE))</f>
        <v/>
      </c>
      <c r="T19" t="s">
        <v>119</v>
      </c>
      <c r="V19" t="s">
        <v>115</v>
      </c>
      <c r="W19" s="324">
        <f>IF(TDCC!E18&gt;0,TDCC!A18,0)</f>
        <v>0</v>
      </c>
      <c r="X19" s="298" t="s">
        <v>117</v>
      </c>
      <c r="Y19" s="327" t="str">
        <f>IF(W19=0,"",VLOOKUP(W19,TDCC!A:E,5,FALSE))</f>
        <v/>
      </c>
      <c r="Z19" t="s">
        <v>119</v>
      </c>
    </row>
    <row r="20" spans="2:26">
      <c r="B20" t="s">
        <v>115</v>
      </c>
      <c r="C20" s="324" t="str">
        <f>IF(VDCC!B19&lt;4,VDCC!A19,0)</f>
        <v>Drakodin</v>
      </c>
      <c r="D20" s="298" t="s">
        <v>117</v>
      </c>
      <c r="E20" s="327">
        <f>IF(C20=0,"",VLOOKUP(C20,VDCC!A:B,2,FALSE))</f>
        <v>2</v>
      </c>
      <c r="F20" t="s">
        <v>119</v>
      </c>
      <c r="J20" t="s">
        <v>115</v>
      </c>
      <c r="K20" s="324">
        <f>IF(VDCC!E19&gt;0,VDCC!A19,0)</f>
        <v>0</v>
      </c>
      <c r="L20" s="298" t="s">
        <v>117</v>
      </c>
      <c r="M20" s="327" t="str">
        <f>IF(K20=0,"",VLOOKUP(K20,VDCC!A:E,5,FALSE))</f>
        <v/>
      </c>
      <c r="N20" t="s">
        <v>119</v>
      </c>
      <c r="P20" t="s">
        <v>115</v>
      </c>
      <c r="Q20" s="324">
        <f>IF(EDCC!E19&gt;0,EDCC!A19,0)</f>
        <v>0</v>
      </c>
      <c r="R20" s="298" t="s">
        <v>117</v>
      </c>
      <c r="S20" s="327" t="str">
        <f>IF(Q20=0,"",VLOOKUP(Q20,EDCC!A:E,5,FALSE))</f>
        <v/>
      </c>
      <c r="T20" t="s">
        <v>119</v>
      </c>
      <c r="V20" t="s">
        <v>115</v>
      </c>
      <c r="W20" s="324">
        <f>IF(TDCC!E19&gt;0,TDCC!A19,0)</f>
        <v>0</v>
      </c>
      <c r="X20" s="298" t="s">
        <v>117</v>
      </c>
      <c r="Y20" s="327" t="str">
        <f>IF(W20=0,"",VLOOKUP(W20,TDCC!A:E,5,FALSE))</f>
        <v/>
      </c>
      <c r="Z20" t="s">
        <v>119</v>
      </c>
    </row>
    <row r="21" spans="2:26">
      <c r="B21" t="s">
        <v>115</v>
      </c>
      <c r="C21" s="324" t="str">
        <f>IF(VDCC!B20&lt;4,VDCC!A20,0)</f>
        <v>Drugged</v>
      </c>
      <c r="D21" s="298" t="s">
        <v>117</v>
      </c>
      <c r="E21" s="327">
        <f>IF(C21=0,"",VLOOKUP(C21,VDCC!A:B,2,FALSE))</f>
        <v>2</v>
      </c>
      <c r="F21" t="s">
        <v>119</v>
      </c>
      <c r="J21" t="s">
        <v>115</v>
      </c>
      <c r="K21" s="324">
        <f>IF(VDCC!E20&gt;0,VDCC!A20,0)</f>
        <v>0</v>
      </c>
      <c r="L21" s="298" t="s">
        <v>117</v>
      </c>
      <c r="M21" s="327" t="str">
        <f>IF(K21=0,"",VLOOKUP(K21,VDCC!A:E,5,FALSE))</f>
        <v/>
      </c>
      <c r="N21" t="s">
        <v>119</v>
      </c>
      <c r="P21" t="s">
        <v>115</v>
      </c>
      <c r="Q21" s="324">
        <f>IF(EDCC!E20&gt;0,EDCC!A20,0)</f>
        <v>0</v>
      </c>
      <c r="R21" s="298" t="s">
        <v>117</v>
      </c>
      <c r="S21" s="327" t="str">
        <f>IF(Q21=0,"",VLOOKUP(Q21,EDCC!A:E,5,FALSE))</f>
        <v/>
      </c>
      <c r="T21" t="s">
        <v>119</v>
      </c>
      <c r="V21" t="s">
        <v>115</v>
      </c>
      <c r="W21" s="324">
        <f>IF(TDCC!E20&gt;0,TDCC!A20,0)</f>
        <v>0</v>
      </c>
      <c r="X21" s="298" t="s">
        <v>117</v>
      </c>
      <c r="Y21" s="327" t="str">
        <f>IF(W21=0,"",VLOOKUP(W21,TDCC!A:E,5,FALSE))</f>
        <v/>
      </c>
      <c r="Z21" t="s">
        <v>119</v>
      </c>
    </row>
    <row r="22" spans="2:26">
      <c r="B22" t="s">
        <v>115</v>
      </c>
      <c r="C22" s="324" t="str">
        <f>IF(VDCC!B21&lt;4,VDCC!A21,0)</f>
        <v>Eárendíl</v>
      </c>
      <c r="D22" s="298" t="s">
        <v>117</v>
      </c>
      <c r="E22" s="327">
        <f>IF(C22=0,"",VLOOKUP(C22,VDCC!A:B,2,FALSE))</f>
        <v>2</v>
      </c>
      <c r="F22" t="s">
        <v>119</v>
      </c>
      <c r="J22" t="s">
        <v>115</v>
      </c>
      <c r="K22" s="324">
        <f>IF(VDCC!E21&gt;0,VDCC!A21,0)</f>
        <v>0</v>
      </c>
      <c r="L22" s="298" t="s">
        <v>117</v>
      </c>
      <c r="M22" s="327" t="str">
        <f>IF(K22=0,"",VLOOKUP(K22,VDCC!A:E,5,FALSE))</f>
        <v/>
      </c>
      <c r="N22" t="s">
        <v>119</v>
      </c>
      <c r="P22" t="s">
        <v>115</v>
      </c>
      <c r="Q22" s="324">
        <f>IF(EDCC!E21&gt;0,EDCC!A21,0)</f>
        <v>0</v>
      </c>
      <c r="R22" s="298" t="s">
        <v>117</v>
      </c>
      <c r="S22" s="327" t="str">
        <f>IF(Q22=0,"",VLOOKUP(Q22,EDCC!A:E,5,FALSE))</f>
        <v/>
      </c>
      <c r="T22" t="s">
        <v>119</v>
      </c>
      <c r="V22" t="s">
        <v>115</v>
      </c>
      <c r="W22" s="324">
        <f>IF(TDCC!E21&gt;0,TDCC!A21,0)</f>
        <v>0</v>
      </c>
      <c r="X22" s="298" t="s">
        <v>117</v>
      </c>
      <c r="Y22" s="327" t="str">
        <f>IF(W22=0,"",VLOOKUP(W22,TDCC!A:E,5,FALSE))</f>
        <v/>
      </c>
      <c r="Z22" t="s">
        <v>119</v>
      </c>
    </row>
    <row r="23" spans="2:26">
      <c r="B23" t="s">
        <v>115</v>
      </c>
      <c r="C23" s="324">
        <f>IF(VDCC!B22&lt;4,VDCC!A22,0)</f>
        <v>0</v>
      </c>
      <c r="D23" s="298" t="s">
        <v>117</v>
      </c>
      <c r="E23" s="327" t="str">
        <f>IF(C23=0,"",VLOOKUP(C23,VDCC!A:B,2,FALSE))</f>
        <v/>
      </c>
      <c r="F23" t="s">
        <v>119</v>
      </c>
      <c r="J23" t="s">
        <v>115</v>
      </c>
      <c r="K23" s="324">
        <f>IF(VDCC!E22&gt;0,VDCC!A22,0)</f>
        <v>0</v>
      </c>
      <c r="L23" s="298" t="s">
        <v>117</v>
      </c>
      <c r="M23" s="327" t="str">
        <f>IF(K23=0,"",VLOOKUP(K23,VDCC!A:E,5,FALSE))</f>
        <v/>
      </c>
      <c r="N23" t="s">
        <v>119</v>
      </c>
      <c r="P23" t="s">
        <v>115</v>
      </c>
      <c r="Q23" s="324">
        <f>IF(EDCC!E22&gt;0,EDCC!A22,0)</f>
        <v>0</v>
      </c>
      <c r="R23" s="298" t="s">
        <v>117</v>
      </c>
      <c r="S23" s="327" t="str">
        <f>IF(Q23=0,"",VLOOKUP(Q23,EDCC!A:E,5,FALSE))</f>
        <v/>
      </c>
      <c r="T23" t="s">
        <v>119</v>
      </c>
      <c r="V23" t="s">
        <v>115</v>
      </c>
      <c r="W23" s="324">
        <f>IF(TDCC!E22&gt;0,TDCC!A22,0)</f>
        <v>0</v>
      </c>
      <c r="X23" s="298" t="s">
        <v>117</v>
      </c>
      <c r="Y23" s="327" t="str">
        <f>IF(W23=0,"",VLOOKUP(W23,TDCC!A:E,5,FALSE))</f>
        <v/>
      </c>
      <c r="Z23" t="s">
        <v>119</v>
      </c>
    </row>
    <row r="24" spans="2:26">
      <c r="B24" t="s">
        <v>115</v>
      </c>
      <c r="C24" s="324" t="str">
        <f>IF(VDCC!B23&lt;4,VDCC!A23,0)</f>
        <v>Halfthings</v>
      </c>
      <c r="D24" s="298" t="s">
        <v>117</v>
      </c>
      <c r="E24" s="327">
        <f>IF(C24=0,"",VLOOKUP(C24,VDCC!A:B,2,FALSE))</f>
        <v>0</v>
      </c>
      <c r="F24" t="s">
        <v>119</v>
      </c>
      <c r="J24" t="s">
        <v>115</v>
      </c>
      <c r="K24" s="324">
        <f>IF(VDCC!E23&gt;0,VDCC!A23,0)</f>
        <v>0</v>
      </c>
      <c r="L24" s="298" t="s">
        <v>117</v>
      </c>
      <c r="M24" s="327" t="str">
        <f>IF(K24=0,"",VLOOKUP(K24,VDCC!A:E,5,FALSE))</f>
        <v/>
      </c>
      <c r="N24" t="s">
        <v>119</v>
      </c>
      <c r="P24" t="s">
        <v>115</v>
      </c>
      <c r="Q24" s="324">
        <f>IF(EDCC!E23&gt;0,EDCC!A23,0)</f>
        <v>0</v>
      </c>
      <c r="R24" s="298" t="s">
        <v>117</v>
      </c>
      <c r="S24" s="327" t="str">
        <f>IF(Q24=0,"",VLOOKUP(Q24,EDCC!A:E,5,FALSE))</f>
        <v/>
      </c>
      <c r="T24" t="s">
        <v>119</v>
      </c>
      <c r="V24" t="s">
        <v>115</v>
      </c>
      <c r="W24" s="324">
        <f>IF(TDCC!E23&gt;0,TDCC!A23,0)</f>
        <v>0</v>
      </c>
      <c r="X24" s="298" t="s">
        <v>117</v>
      </c>
      <c r="Y24" s="327" t="str">
        <f>IF(W24=0,"",VLOOKUP(W24,TDCC!A:E,5,FALSE))</f>
        <v/>
      </c>
      <c r="Z24" t="s">
        <v>119</v>
      </c>
    </row>
    <row r="25" spans="2:26">
      <c r="B25" t="s">
        <v>115</v>
      </c>
      <c r="C25" s="324" t="str">
        <f>IF(VDCC!B24&lt;4,VDCC!A24,0)</f>
        <v>Harkar</v>
      </c>
      <c r="D25" s="298" t="s">
        <v>117</v>
      </c>
      <c r="E25" s="327">
        <f>IF(C25=0,"",VLOOKUP(C25,VDCC!A:B,2,FALSE))</f>
        <v>1</v>
      </c>
      <c r="F25" t="s">
        <v>119</v>
      </c>
      <c r="J25" t="s">
        <v>115</v>
      </c>
      <c r="K25" s="324">
        <f>IF(VDCC!E24&gt;0,VDCC!A24,0)</f>
        <v>0</v>
      </c>
      <c r="L25" s="298" t="s">
        <v>117</v>
      </c>
      <c r="M25" s="327" t="str">
        <f>IF(K25=0,"",VLOOKUP(K25,VDCC!A:E,5,FALSE))</f>
        <v/>
      </c>
      <c r="N25" t="s">
        <v>119</v>
      </c>
      <c r="P25" t="s">
        <v>115</v>
      </c>
      <c r="Q25" s="324">
        <f>IF(EDCC!E24&gt;0,EDCC!A24,0)</f>
        <v>0</v>
      </c>
      <c r="R25" s="298" t="s">
        <v>117</v>
      </c>
      <c r="S25" s="327" t="str">
        <f>IF(Q25=0,"",VLOOKUP(Q25,EDCC!A:E,5,FALSE))</f>
        <v/>
      </c>
      <c r="T25" t="s">
        <v>119</v>
      </c>
      <c r="V25" t="s">
        <v>115</v>
      </c>
      <c r="W25" s="324">
        <f>IF(TDCC!E24&gt;0,TDCC!A24,0)</f>
        <v>0</v>
      </c>
      <c r="X25" s="298" t="s">
        <v>117</v>
      </c>
      <c r="Y25" s="327" t="str">
        <f>IF(W25=0,"",VLOOKUP(W25,TDCC!A:E,5,FALSE))</f>
        <v/>
      </c>
      <c r="Z25" t="s">
        <v>119</v>
      </c>
    </row>
    <row r="26" spans="2:26">
      <c r="B26" t="s">
        <v>115</v>
      </c>
      <c r="C26" s="324" t="str">
        <f>IF(VDCC!B25&lt;4,VDCC!A25,0)</f>
        <v>Hlianna</v>
      </c>
      <c r="D26" s="298" t="s">
        <v>117</v>
      </c>
      <c r="E26" s="327">
        <f>IF(C26=0,"",VLOOKUP(C26,VDCC!A:B,2,FALSE))</f>
        <v>2</v>
      </c>
      <c r="F26" t="s">
        <v>119</v>
      </c>
      <c r="J26" t="s">
        <v>115</v>
      </c>
      <c r="K26" s="324">
        <f>IF(VDCC!E25&gt;0,VDCC!A25,0)</f>
        <v>0</v>
      </c>
      <c r="L26" s="298" t="s">
        <v>117</v>
      </c>
      <c r="M26" s="327" t="str">
        <f>IF(K26=0,"",VLOOKUP(K26,VDCC!A:E,5,FALSE))</f>
        <v/>
      </c>
      <c r="N26" t="s">
        <v>119</v>
      </c>
      <c r="P26" t="s">
        <v>115</v>
      </c>
      <c r="Q26" s="324">
        <f>IF(EDCC!E25&gt;0,EDCC!A25,0)</f>
        <v>0</v>
      </c>
      <c r="R26" s="298" t="s">
        <v>117</v>
      </c>
      <c r="S26" s="327" t="str">
        <f>IF(Q26=0,"",VLOOKUP(Q26,EDCC!A:E,5,FALSE))</f>
        <v/>
      </c>
      <c r="T26" t="s">
        <v>119</v>
      </c>
      <c r="V26" t="s">
        <v>115</v>
      </c>
      <c r="W26" s="324">
        <f>IF(TDCC!E25&gt;0,TDCC!A25,0)</f>
        <v>0</v>
      </c>
      <c r="X26" s="298" t="s">
        <v>117</v>
      </c>
      <c r="Y26" s="327" t="str">
        <f>IF(W26=0,"",VLOOKUP(W26,TDCC!A:E,5,FALSE))</f>
        <v/>
      </c>
      <c r="Z26" t="s">
        <v>119</v>
      </c>
    </row>
    <row r="27" spans="2:26">
      <c r="B27" t="s">
        <v>115</v>
      </c>
      <c r="C27" s="324">
        <f>IF(VDCC!B26&lt;4,VDCC!A26,0)</f>
        <v>0</v>
      </c>
      <c r="D27" s="298" t="s">
        <v>117</v>
      </c>
      <c r="E27" s="327" t="str">
        <f>IF(C27=0,"",VLOOKUP(C27,VDCC!A:B,2,FALSE))</f>
        <v/>
      </c>
      <c r="F27" t="s">
        <v>119</v>
      </c>
      <c r="J27" t="s">
        <v>115</v>
      </c>
      <c r="K27" s="324">
        <f>IF(VDCC!E26&gt;0,VDCC!A26,0)</f>
        <v>0</v>
      </c>
      <c r="L27" s="298" t="s">
        <v>117</v>
      </c>
      <c r="M27" s="327" t="str">
        <f>IF(K27=0,"",VLOOKUP(K27,VDCC!A:E,5,FALSE))</f>
        <v/>
      </c>
      <c r="N27" t="s">
        <v>119</v>
      </c>
      <c r="P27" t="s">
        <v>115</v>
      </c>
      <c r="Q27" s="324">
        <f>IF(EDCC!E26&gt;0,EDCC!A26,0)</f>
        <v>0</v>
      </c>
      <c r="R27" s="298" t="s">
        <v>117</v>
      </c>
      <c r="S27" s="327" t="str">
        <f>IF(Q27=0,"",VLOOKUP(Q27,EDCC!A:E,5,FALSE))</f>
        <v/>
      </c>
      <c r="T27" t="s">
        <v>119</v>
      </c>
      <c r="V27" t="s">
        <v>115</v>
      </c>
      <c r="W27" s="324">
        <f>IF(TDCC!E26&gt;0,TDCC!A26,0)</f>
        <v>0</v>
      </c>
      <c r="X27" s="298" t="s">
        <v>117</v>
      </c>
      <c r="Y27" s="327" t="str">
        <f>IF(W27=0,"",VLOOKUP(W27,TDCC!A:E,5,FALSE))</f>
        <v/>
      </c>
      <c r="Z27" t="s">
        <v>119</v>
      </c>
    </row>
    <row r="28" spans="2:26">
      <c r="B28" t="s">
        <v>115</v>
      </c>
      <c r="C28" s="324" t="str">
        <f>IF(VDCC!B27&lt;4,VDCC!A27,0)</f>
        <v>Hyperïon</v>
      </c>
      <c r="D28" s="298" t="s">
        <v>117</v>
      </c>
      <c r="E28" s="327">
        <f>IF(C28=0,"",VLOOKUP(C28,VDCC!A:B,2,FALSE))</f>
        <v>0</v>
      </c>
      <c r="F28" t="s">
        <v>119</v>
      </c>
      <c r="J28" t="s">
        <v>115</v>
      </c>
      <c r="K28" s="324">
        <f>IF(VDCC!E27&gt;0,VDCC!A27,0)</f>
        <v>0</v>
      </c>
      <c r="L28" s="298" t="s">
        <v>117</v>
      </c>
      <c r="M28" s="327" t="str">
        <f>IF(K28=0,"",VLOOKUP(K28,VDCC!A:E,5,FALSE))</f>
        <v/>
      </c>
      <c r="N28" t="s">
        <v>119</v>
      </c>
      <c r="P28" t="s">
        <v>115</v>
      </c>
      <c r="Q28" s="324">
        <f>IF(EDCC!E27&gt;0,EDCC!A27,0)</f>
        <v>0</v>
      </c>
      <c r="R28" s="298" t="s">
        <v>117</v>
      </c>
      <c r="S28" s="327" t="str">
        <f>IF(Q28=0,"",VLOOKUP(Q28,EDCC!A:E,5,FALSE))</f>
        <v/>
      </c>
      <c r="T28" t="s">
        <v>119</v>
      </c>
      <c r="V28" t="s">
        <v>115</v>
      </c>
      <c r="W28" s="324">
        <f>IF(TDCC!E27&gt;0,TDCC!A27,0)</f>
        <v>0</v>
      </c>
      <c r="X28" s="298" t="s">
        <v>117</v>
      </c>
      <c r="Y28" s="327" t="str">
        <f>IF(W28=0,"",VLOOKUP(W28,TDCC!A:E,5,FALSE))</f>
        <v/>
      </c>
      <c r="Z28" t="s">
        <v>119</v>
      </c>
    </row>
    <row r="29" spans="2:26">
      <c r="B29" t="s">
        <v>115</v>
      </c>
      <c r="C29" s="324">
        <f>IF(VDCC!B28&lt;4,VDCC!A28,0)</f>
        <v>0</v>
      </c>
      <c r="D29" s="298" t="s">
        <v>117</v>
      </c>
      <c r="E29" s="327" t="str">
        <f>IF(C29=0,"",VLOOKUP(C29,VDCC!A:B,2,FALSE))</f>
        <v/>
      </c>
      <c r="F29" t="s">
        <v>119</v>
      </c>
      <c r="J29" t="s">
        <v>115</v>
      </c>
      <c r="K29" s="324">
        <f>IF(VDCC!E28&gt;0,VDCC!A28,0)</f>
        <v>0</v>
      </c>
      <c r="L29" s="298" t="s">
        <v>117</v>
      </c>
      <c r="M29" s="327" t="str">
        <f>IF(K29=0,"",VLOOKUP(K29,VDCC!A:E,5,FALSE))</f>
        <v/>
      </c>
      <c r="N29" t="s">
        <v>119</v>
      </c>
      <c r="P29" t="s">
        <v>115</v>
      </c>
      <c r="Q29" s="324">
        <f>IF(EDCC!E28&gt;0,EDCC!A28,0)</f>
        <v>0</v>
      </c>
      <c r="R29" s="298" t="s">
        <v>117</v>
      </c>
      <c r="S29" s="327" t="str">
        <f>IF(Q29=0,"",VLOOKUP(Q29,EDCC!A:E,5,FALSE))</f>
        <v/>
      </c>
      <c r="T29" t="s">
        <v>119</v>
      </c>
      <c r="V29" t="s">
        <v>115</v>
      </c>
      <c r="W29" s="324">
        <f>IF(TDCC!E28&gt;0,TDCC!A28,0)</f>
        <v>0</v>
      </c>
      <c r="X29" s="298" t="s">
        <v>117</v>
      </c>
      <c r="Y29" s="327" t="str">
        <f>IF(W29=0,"",VLOOKUP(W29,TDCC!A:E,5,FALSE))</f>
        <v/>
      </c>
      <c r="Z29" t="s">
        <v>119</v>
      </c>
    </row>
    <row r="30" spans="2:26">
      <c r="B30" t="s">
        <v>115</v>
      </c>
      <c r="C30" s="324" t="str">
        <f>IF(VDCC!B29&lt;4,VDCC!A29,0)</f>
        <v>Izzabelle</v>
      </c>
      <c r="D30" s="298" t="s">
        <v>117</v>
      </c>
      <c r="E30" s="327">
        <f>IF(C30=0,"",VLOOKUP(C30,VDCC!A:B,2,FALSE))</f>
        <v>0</v>
      </c>
      <c r="F30" t="s">
        <v>119</v>
      </c>
      <c r="J30" t="s">
        <v>115</v>
      </c>
      <c r="K30" s="324">
        <f>IF(VDCC!E29&gt;0,VDCC!A29,0)</f>
        <v>0</v>
      </c>
      <c r="L30" s="298" t="s">
        <v>117</v>
      </c>
      <c r="M30" s="327" t="str">
        <f>IF(K30=0,"",VLOOKUP(K30,VDCC!A:E,5,FALSE))</f>
        <v/>
      </c>
      <c r="N30" t="s">
        <v>119</v>
      </c>
      <c r="P30" t="s">
        <v>115</v>
      </c>
      <c r="Q30" s="324">
        <f>IF(EDCC!E29&gt;0,EDCC!A29,0)</f>
        <v>0</v>
      </c>
      <c r="R30" s="298" t="s">
        <v>117</v>
      </c>
      <c r="S30" s="327" t="str">
        <f>IF(Q30=0,"",VLOOKUP(Q30,EDCC!A:E,5,FALSE))</f>
        <v/>
      </c>
      <c r="T30" t="s">
        <v>119</v>
      </c>
      <c r="V30" t="s">
        <v>115</v>
      </c>
      <c r="W30" s="324">
        <f>IF(TDCC!E29&gt;0,TDCC!A29,0)</f>
        <v>0</v>
      </c>
      <c r="X30" s="298" t="s">
        <v>117</v>
      </c>
      <c r="Y30" s="327" t="str">
        <f>IF(W30=0,"",VLOOKUP(W30,TDCC!A:E,5,FALSE))</f>
        <v/>
      </c>
      <c r="Z30" t="s">
        <v>119</v>
      </c>
    </row>
    <row r="31" spans="2:26">
      <c r="B31" t="s">
        <v>115</v>
      </c>
      <c r="C31" s="324" t="str">
        <f>IF(VDCC!B30&lt;4,VDCC!A30,0)</f>
        <v>Jimentoez</v>
      </c>
      <c r="D31" s="298" t="s">
        <v>117</v>
      </c>
      <c r="E31" s="327">
        <f>IF(C31=0,"",VLOOKUP(C31,VDCC!A:B,2,FALSE))</f>
        <v>2</v>
      </c>
      <c r="F31" t="s">
        <v>119</v>
      </c>
      <c r="J31" t="s">
        <v>115</v>
      </c>
      <c r="K31" s="324">
        <f>IF(VDCC!E30&gt;0,VDCC!A30,0)</f>
        <v>0</v>
      </c>
      <c r="L31" s="298" t="s">
        <v>117</v>
      </c>
      <c r="M31" s="327" t="str">
        <f>IF(K31=0,"",VLOOKUP(K31,VDCC!A:E,5,FALSE))</f>
        <v/>
      </c>
      <c r="N31" t="s">
        <v>119</v>
      </c>
      <c r="P31" t="s">
        <v>115</v>
      </c>
      <c r="Q31" s="324">
        <f>IF(EDCC!E30&gt;0,EDCC!A30,0)</f>
        <v>0</v>
      </c>
      <c r="R31" s="298" t="s">
        <v>117</v>
      </c>
      <c r="S31" s="327" t="str">
        <f>IF(Q31=0,"",VLOOKUP(Q31,EDCC!A:E,5,FALSE))</f>
        <v/>
      </c>
      <c r="T31" t="s">
        <v>119</v>
      </c>
      <c r="V31" t="s">
        <v>115</v>
      </c>
      <c r="W31" s="324">
        <f>IF(TDCC!E30&gt;0,TDCC!A30,0)</f>
        <v>0</v>
      </c>
      <c r="X31" s="298" t="s">
        <v>117</v>
      </c>
      <c r="Y31" s="327" t="str">
        <f>IF(W31=0,"",VLOOKUP(W31,TDCC!A:E,5,FALSE))</f>
        <v/>
      </c>
      <c r="Z31" t="s">
        <v>119</v>
      </c>
    </row>
    <row r="32" spans="2:26">
      <c r="B32" t="s">
        <v>115</v>
      </c>
      <c r="C32" s="324" t="str">
        <f>IF(VDCC!B31&lt;4,VDCC!A31,0)</f>
        <v>Judge</v>
      </c>
      <c r="D32" s="298" t="s">
        <v>117</v>
      </c>
      <c r="E32" s="327">
        <f>IF(C32=0,"",VLOOKUP(C32,VDCC!A:B,2,FALSE))</f>
        <v>2</v>
      </c>
      <c r="F32" t="s">
        <v>119</v>
      </c>
      <c r="J32" t="s">
        <v>115</v>
      </c>
      <c r="K32" s="324">
        <f>IF(VDCC!E31&gt;0,VDCC!A31,0)</f>
        <v>0</v>
      </c>
      <c r="L32" s="298" t="s">
        <v>117</v>
      </c>
      <c r="M32" s="327" t="str">
        <f>IF(K32=0,"",VLOOKUP(K32,VDCC!A:E,5,FALSE))</f>
        <v/>
      </c>
      <c r="N32" t="s">
        <v>119</v>
      </c>
      <c r="P32" t="s">
        <v>115</v>
      </c>
      <c r="Q32" s="324">
        <f>IF(EDCC!E31&gt;0,EDCC!A31,0)</f>
        <v>0</v>
      </c>
      <c r="R32" s="298" t="s">
        <v>117</v>
      </c>
      <c r="S32" s="327" t="str">
        <f>IF(Q32=0,"",VLOOKUP(Q32,EDCC!A:E,5,FALSE))</f>
        <v/>
      </c>
      <c r="T32" t="s">
        <v>119</v>
      </c>
      <c r="V32" t="s">
        <v>115</v>
      </c>
      <c r="W32" s="324">
        <f>IF(TDCC!E31&gt;0,TDCC!A31,0)</f>
        <v>0</v>
      </c>
      <c r="X32" s="298" t="s">
        <v>117</v>
      </c>
      <c r="Y32" s="327" t="str">
        <f>IF(W32=0,"",VLOOKUP(W32,TDCC!A:E,5,FALSE))</f>
        <v/>
      </c>
      <c r="Z32" t="s">
        <v>119</v>
      </c>
    </row>
    <row r="33" spans="2:26">
      <c r="B33" t="s">
        <v>115</v>
      </c>
      <c r="C33" s="324">
        <f>IF(VDCC!B32&lt;4,VDCC!A32,0)</f>
        <v>0</v>
      </c>
      <c r="D33" s="298" t="s">
        <v>117</v>
      </c>
      <c r="E33" s="327" t="str">
        <f>IF(C33=0,"",VLOOKUP(C33,VDCC!A:B,2,FALSE))</f>
        <v/>
      </c>
      <c r="F33" t="s">
        <v>119</v>
      </c>
      <c r="J33" t="s">
        <v>115</v>
      </c>
      <c r="K33" s="324">
        <f>IF(VDCC!E32&gt;0,VDCC!A32,0)</f>
        <v>0</v>
      </c>
      <c r="L33" s="298" t="s">
        <v>117</v>
      </c>
      <c r="M33" s="327" t="str">
        <f>IF(K33=0,"",VLOOKUP(K33,VDCC!A:E,5,FALSE))</f>
        <v/>
      </c>
      <c r="N33" t="s">
        <v>119</v>
      </c>
      <c r="P33" t="s">
        <v>115</v>
      </c>
      <c r="Q33" s="324">
        <f>IF(EDCC!E32&gt;0,EDCC!A32,0)</f>
        <v>0</v>
      </c>
      <c r="R33" s="298" t="s">
        <v>117</v>
      </c>
      <c r="S33" s="327" t="str">
        <f>IF(Q33=0,"",VLOOKUP(Q33,EDCC!A:E,5,FALSE))</f>
        <v/>
      </c>
      <c r="T33" t="s">
        <v>119</v>
      </c>
      <c r="V33" t="s">
        <v>115</v>
      </c>
      <c r="W33" s="324">
        <f>IF(TDCC!E32&gt;0,TDCC!A32,0)</f>
        <v>0</v>
      </c>
      <c r="X33" s="298" t="s">
        <v>117</v>
      </c>
      <c r="Y33" s="327" t="str">
        <f>IF(W33=0,"",VLOOKUP(W33,TDCC!A:E,5,FALSE))</f>
        <v/>
      </c>
      <c r="Z33" t="s">
        <v>119</v>
      </c>
    </row>
    <row r="34" spans="2:26">
      <c r="B34" t="s">
        <v>115</v>
      </c>
      <c r="C34" s="324" t="str">
        <f>IF(VDCC!B33&lt;4,VDCC!A33,0)</f>
        <v>Kanoni</v>
      </c>
      <c r="D34" s="298" t="s">
        <v>117</v>
      </c>
      <c r="E34" s="327">
        <f>IF(C34=0,"",VLOOKUP(C34,VDCC!A:B,2,FALSE))</f>
        <v>2</v>
      </c>
      <c r="F34" t="s">
        <v>119</v>
      </c>
      <c r="J34" t="s">
        <v>115</v>
      </c>
      <c r="K34" s="324">
        <f>IF(VDCC!E33&gt;0,VDCC!A33,0)</f>
        <v>0</v>
      </c>
      <c r="L34" s="298" t="s">
        <v>117</v>
      </c>
      <c r="M34" s="327" t="str">
        <f>IF(K34=0,"",VLOOKUP(K34,VDCC!A:E,5,FALSE))</f>
        <v/>
      </c>
      <c r="N34" t="s">
        <v>119</v>
      </c>
      <c r="P34" t="s">
        <v>115</v>
      </c>
      <c r="Q34" s="324">
        <f>IF(EDCC!E33&gt;0,EDCC!A33,0)</f>
        <v>0</v>
      </c>
      <c r="R34" s="298" t="s">
        <v>117</v>
      </c>
      <c r="S34" s="327" t="str">
        <f>IF(Q34=0,"",VLOOKUP(Q34,EDCC!A:E,5,FALSE))</f>
        <v/>
      </c>
      <c r="T34" t="s">
        <v>119</v>
      </c>
      <c r="V34" t="s">
        <v>115</v>
      </c>
      <c r="W34" s="324">
        <f>IF(TDCC!E33&gt;0,TDCC!A33,0)</f>
        <v>0</v>
      </c>
      <c r="X34" s="298" t="s">
        <v>117</v>
      </c>
      <c r="Y34" s="327" t="str">
        <f>IF(W34=0,"",VLOOKUP(W34,TDCC!A:E,5,FALSE))</f>
        <v/>
      </c>
      <c r="Z34" t="s">
        <v>119</v>
      </c>
    </row>
    <row r="35" spans="2:26">
      <c r="B35" t="s">
        <v>115</v>
      </c>
      <c r="C35" s="324" t="str">
        <f>IF(VDCC!B34&lt;4,VDCC!A34,0)</f>
        <v>Kristofix</v>
      </c>
      <c r="D35" s="298" t="s">
        <v>117</v>
      </c>
      <c r="E35" s="327">
        <f>IF(C35=0,"",VLOOKUP(C35,VDCC!A:B,2,FALSE))</f>
        <v>0</v>
      </c>
      <c r="F35" t="s">
        <v>119</v>
      </c>
      <c r="J35" t="s">
        <v>115</v>
      </c>
      <c r="K35" s="324">
        <f>IF(VDCC!E34&gt;0,VDCC!A34,0)</f>
        <v>0</v>
      </c>
      <c r="L35" s="298" t="s">
        <v>117</v>
      </c>
      <c r="M35" s="327" t="str">
        <f>IF(K35=0,"",VLOOKUP(K35,VDCC!A:E,5,FALSE))</f>
        <v/>
      </c>
      <c r="N35" t="s">
        <v>119</v>
      </c>
      <c r="P35" t="s">
        <v>115</v>
      </c>
      <c r="Q35" s="324">
        <f>IF(EDCC!E34&gt;0,EDCC!A34,0)</f>
        <v>0</v>
      </c>
      <c r="R35" s="298" t="s">
        <v>117</v>
      </c>
      <c r="S35" s="327" t="str">
        <f>IF(Q35=0,"",VLOOKUP(Q35,EDCC!A:E,5,FALSE))</f>
        <v/>
      </c>
      <c r="T35" t="s">
        <v>119</v>
      </c>
      <c r="V35" t="s">
        <v>115</v>
      </c>
      <c r="W35" s="324">
        <f>IF(TDCC!E34&gt;0,TDCC!A34,0)</f>
        <v>0</v>
      </c>
      <c r="X35" s="298" t="s">
        <v>117</v>
      </c>
      <c r="Y35" s="327" t="str">
        <f>IF(W35=0,"",VLOOKUP(W35,TDCC!A:E,5,FALSE))</f>
        <v/>
      </c>
      <c r="Z35" t="s">
        <v>119</v>
      </c>
    </row>
    <row r="36" spans="2:26">
      <c r="B36" t="s">
        <v>115</v>
      </c>
      <c r="C36" s="324">
        <f>IF(VDCC!B35&lt;4,VDCC!A35,0)</f>
        <v>0</v>
      </c>
      <c r="D36" s="298" t="s">
        <v>117</v>
      </c>
      <c r="E36" s="327" t="str">
        <f>IF(C36=0,"",VLOOKUP(C36,VDCC!A:B,2,FALSE))</f>
        <v/>
      </c>
      <c r="F36" t="s">
        <v>119</v>
      </c>
      <c r="J36" t="s">
        <v>115</v>
      </c>
      <c r="K36" s="324">
        <f>IF(VDCC!E35&gt;0,VDCC!A35,0)</f>
        <v>0</v>
      </c>
      <c r="L36" s="298" t="s">
        <v>117</v>
      </c>
      <c r="M36" s="327" t="str">
        <f>IF(K36=0,"",VLOOKUP(K36,VDCC!A:E,5,FALSE))</f>
        <v/>
      </c>
      <c r="N36" t="s">
        <v>119</v>
      </c>
      <c r="P36" t="s">
        <v>115</v>
      </c>
      <c r="Q36" s="324">
        <f>IF(EDCC!E35&gt;0,EDCC!A35,0)</f>
        <v>0</v>
      </c>
      <c r="R36" s="298" t="s">
        <v>117</v>
      </c>
      <c r="S36" s="327" t="str">
        <f>IF(Q36=0,"",VLOOKUP(Q36,EDCC!A:E,5,FALSE))</f>
        <v/>
      </c>
      <c r="T36" t="s">
        <v>119</v>
      </c>
      <c r="V36" t="s">
        <v>115</v>
      </c>
      <c r="W36" s="324">
        <f>IF(TDCC!E35&gt;0,TDCC!A35,0)</f>
        <v>0</v>
      </c>
      <c r="X36" s="298" t="s">
        <v>117</v>
      </c>
      <c r="Y36" s="327" t="str">
        <f>IF(W36=0,"",VLOOKUP(W36,TDCC!A:E,5,FALSE))</f>
        <v/>
      </c>
      <c r="Z36" t="s">
        <v>119</v>
      </c>
    </row>
    <row r="37" spans="2:26">
      <c r="B37" t="s">
        <v>115</v>
      </c>
      <c r="C37" s="324">
        <f>IF(VDCC!B36&lt;4,VDCC!A36,0)</f>
        <v>0</v>
      </c>
      <c r="D37" s="298" t="s">
        <v>117</v>
      </c>
      <c r="E37" s="327" t="str">
        <f>IF(C37=0,"",VLOOKUP(C37,VDCC!A:B,2,FALSE))</f>
        <v/>
      </c>
      <c r="F37" t="s">
        <v>119</v>
      </c>
      <c r="J37" t="s">
        <v>115</v>
      </c>
      <c r="K37" s="324">
        <f>IF(VDCC!E36&gt;0,VDCC!A36,0)</f>
        <v>0</v>
      </c>
      <c r="L37" s="298" t="s">
        <v>117</v>
      </c>
      <c r="M37" s="327" t="str">
        <f>IF(K37=0,"",VLOOKUP(K37,VDCC!A:E,5,FALSE))</f>
        <v/>
      </c>
      <c r="N37" t="s">
        <v>119</v>
      </c>
      <c r="P37" t="s">
        <v>115</v>
      </c>
      <c r="Q37" s="324">
        <f>IF(EDCC!E36&gt;0,EDCC!A36,0)</f>
        <v>0</v>
      </c>
      <c r="R37" s="298" t="s">
        <v>117</v>
      </c>
      <c r="S37" s="327" t="str">
        <f>IF(Q37=0,"",VLOOKUP(Q37,EDCC!A:E,5,FALSE))</f>
        <v/>
      </c>
      <c r="T37" t="s">
        <v>119</v>
      </c>
      <c r="V37" t="s">
        <v>115</v>
      </c>
      <c r="W37" s="324">
        <f>IF(TDCC!E36&gt;0,TDCC!A36,0)</f>
        <v>0</v>
      </c>
      <c r="X37" s="298" t="s">
        <v>117</v>
      </c>
      <c r="Y37" s="327" t="str">
        <f>IF(W37=0,"",VLOOKUP(W37,TDCC!A:E,5,FALSE))</f>
        <v/>
      </c>
      <c r="Z37" t="s">
        <v>119</v>
      </c>
    </row>
    <row r="38" spans="2:26">
      <c r="B38" t="s">
        <v>115</v>
      </c>
      <c r="C38" s="324">
        <f>IF(VDCC!B37&lt;4,VDCC!A37,0)</f>
        <v>0</v>
      </c>
      <c r="D38" s="298" t="s">
        <v>117</v>
      </c>
      <c r="E38" s="327" t="str">
        <f>IF(C38=0,"",VLOOKUP(C38,VDCC!A:B,2,FALSE))</f>
        <v/>
      </c>
      <c r="F38" t="s">
        <v>119</v>
      </c>
      <c r="J38" t="s">
        <v>115</v>
      </c>
      <c r="K38" s="324">
        <f>IF(VDCC!E37&gt;0,VDCC!A37,0)</f>
        <v>0</v>
      </c>
      <c r="L38" s="298" t="s">
        <v>117</v>
      </c>
      <c r="M38" s="327" t="str">
        <f>IF(K38=0,"",VLOOKUP(K38,VDCC!A:E,5,FALSE))</f>
        <v/>
      </c>
      <c r="N38" t="s">
        <v>119</v>
      </c>
      <c r="P38" t="s">
        <v>115</v>
      </c>
      <c r="Q38" s="324">
        <f>IF(EDCC!E37&gt;0,EDCC!A37,0)</f>
        <v>0</v>
      </c>
      <c r="R38" s="298" t="s">
        <v>117</v>
      </c>
      <c r="S38" s="327" t="str">
        <f>IF(Q38=0,"",VLOOKUP(Q38,EDCC!A:E,5,FALSE))</f>
        <v/>
      </c>
      <c r="T38" t="s">
        <v>119</v>
      </c>
      <c r="V38" t="s">
        <v>115</v>
      </c>
      <c r="W38" s="324">
        <f>IF(TDCC!E37&gt;0,TDCC!A37,0)</f>
        <v>0</v>
      </c>
      <c r="X38" s="298" t="s">
        <v>117</v>
      </c>
      <c r="Y38" s="327" t="str">
        <f>IF(W38=0,"",VLOOKUP(W38,TDCC!A:E,5,FALSE))</f>
        <v/>
      </c>
      <c r="Z38" t="s">
        <v>119</v>
      </c>
    </row>
    <row r="39" spans="2:26">
      <c r="B39" t="s">
        <v>115</v>
      </c>
      <c r="C39" s="324">
        <f>IF(VDCC!B38&lt;4,VDCC!A38,0)</f>
        <v>0</v>
      </c>
      <c r="D39" s="298" t="s">
        <v>117</v>
      </c>
      <c r="E39" s="327" t="str">
        <f>IF(C39=0,"",VLOOKUP(C39,VDCC!A:B,2,FALSE))</f>
        <v/>
      </c>
      <c r="F39" t="s">
        <v>119</v>
      </c>
      <c r="J39" t="s">
        <v>115</v>
      </c>
      <c r="K39" s="324">
        <f>IF(VDCC!E38&gt;0,VDCC!A38,0)</f>
        <v>0</v>
      </c>
      <c r="L39" s="298" t="s">
        <v>117</v>
      </c>
      <c r="M39" s="327" t="str">
        <f>IF(K39=0,"",VLOOKUP(K39,VDCC!A:E,5,FALSE))</f>
        <v/>
      </c>
      <c r="N39" t="s">
        <v>119</v>
      </c>
      <c r="P39" t="s">
        <v>115</v>
      </c>
      <c r="Q39" s="324">
        <f>IF(EDCC!E38&gt;0,EDCC!A38,0)</f>
        <v>0</v>
      </c>
      <c r="R39" s="298" t="s">
        <v>117</v>
      </c>
      <c r="S39" s="327" t="str">
        <f>IF(Q39=0,"",VLOOKUP(Q39,EDCC!A:E,5,FALSE))</f>
        <v/>
      </c>
      <c r="T39" t="s">
        <v>119</v>
      </c>
      <c r="V39" t="s">
        <v>115</v>
      </c>
      <c r="W39" s="324">
        <f>IF(TDCC!E38&gt;0,TDCC!A38,0)</f>
        <v>0</v>
      </c>
      <c r="X39" s="298" t="s">
        <v>117</v>
      </c>
      <c r="Y39" s="327" t="str">
        <f>IF(W39=0,"",VLOOKUP(W39,TDCC!A:E,5,FALSE))</f>
        <v/>
      </c>
      <c r="Z39" t="s">
        <v>119</v>
      </c>
    </row>
    <row r="40" spans="2:26">
      <c r="B40" t="s">
        <v>115</v>
      </c>
      <c r="C40" s="324" t="str">
        <f>IF(VDCC!B39&lt;4,VDCC!A39,0)</f>
        <v>Mardazur</v>
      </c>
      <c r="D40" s="298" t="s">
        <v>117</v>
      </c>
      <c r="E40" s="327">
        <f>IF(C40=0,"",VLOOKUP(C40,VDCC!A:B,2,FALSE))</f>
        <v>0</v>
      </c>
      <c r="F40" t="s">
        <v>119</v>
      </c>
      <c r="J40" t="s">
        <v>115</v>
      </c>
      <c r="K40" s="324">
        <f>IF(VDCC!E39&gt;0,VDCC!A39,0)</f>
        <v>0</v>
      </c>
      <c r="L40" s="298" t="s">
        <v>117</v>
      </c>
      <c r="M40" s="327" t="str">
        <f>IF(K40=0,"",VLOOKUP(K40,VDCC!A:E,5,FALSE))</f>
        <v/>
      </c>
      <c r="N40" t="s">
        <v>119</v>
      </c>
      <c r="P40" t="s">
        <v>115</v>
      </c>
      <c r="Q40" s="324">
        <f>IF(EDCC!E39&gt;0,EDCC!A39,0)</f>
        <v>0</v>
      </c>
      <c r="R40" s="298" t="s">
        <v>117</v>
      </c>
      <c r="S40" s="327" t="str">
        <f>IF(Q40=0,"",VLOOKUP(Q40,EDCC!A:E,5,FALSE))</f>
        <v/>
      </c>
      <c r="T40" t="s">
        <v>119</v>
      </c>
      <c r="V40" t="s">
        <v>115</v>
      </c>
      <c r="W40" s="324">
        <f>IF(TDCC!E39&gt;0,TDCC!A39,0)</f>
        <v>0</v>
      </c>
      <c r="X40" s="298" t="s">
        <v>117</v>
      </c>
      <c r="Y40" s="327" t="str">
        <f>IF(W40=0,"",VLOOKUP(W40,TDCC!A:E,5,FALSE))</f>
        <v/>
      </c>
      <c r="Z40" t="s">
        <v>119</v>
      </c>
    </row>
    <row r="41" spans="2:26">
      <c r="B41" t="s">
        <v>115</v>
      </c>
      <c r="C41" s="324">
        <f>IF(VDCC!B40&lt;4,VDCC!A40,0)</f>
        <v>0</v>
      </c>
      <c r="D41" s="298" t="s">
        <v>117</v>
      </c>
      <c r="E41" s="327" t="str">
        <f>IF(C41=0,"",VLOOKUP(C41,VDCC!A:B,2,FALSE))</f>
        <v/>
      </c>
      <c r="F41" t="s">
        <v>119</v>
      </c>
      <c r="J41" t="s">
        <v>115</v>
      </c>
      <c r="K41" s="324">
        <f>IF(VDCC!E40&gt;0,VDCC!A40,0)</f>
        <v>0</v>
      </c>
      <c r="L41" s="298" t="s">
        <v>117</v>
      </c>
      <c r="M41" s="327" t="str">
        <f>IF(K41=0,"",VLOOKUP(K41,VDCC!A:E,5,FALSE))</f>
        <v/>
      </c>
      <c r="N41" t="s">
        <v>119</v>
      </c>
      <c r="P41" t="s">
        <v>115</v>
      </c>
      <c r="Q41" s="324">
        <f>IF(EDCC!E40&gt;0,EDCC!A40,0)</f>
        <v>0</v>
      </c>
      <c r="R41" s="298" t="s">
        <v>117</v>
      </c>
      <c r="S41" s="327" t="str">
        <f>IF(Q41=0,"",VLOOKUP(Q41,EDCC!A:E,5,FALSE))</f>
        <v/>
      </c>
      <c r="T41" t="s">
        <v>119</v>
      </c>
      <c r="V41" t="s">
        <v>115</v>
      </c>
      <c r="W41" s="324">
        <f>IF(TDCC!E40&gt;0,TDCC!A40,0)</f>
        <v>0</v>
      </c>
      <c r="X41" s="298" t="s">
        <v>117</v>
      </c>
      <c r="Y41" s="327" t="str">
        <f>IF(W41=0,"",VLOOKUP(W41,TDCC!A:E,5,FALSE))</f>
        <v/>
      </c>
      <c r="Z41" t="s">
        <v>119</v>
      </c>
    </row>
    <row r="42" spans="2:26">
      <c r="B42" t="s">
        <v>115</v>
      </c>
      <c r="C42" s="324">
        <f>IF(VDCC!B41&lt;4,VDCC!A41,0)</f>
        <v>0</v>
      </c>
      <c r="D42" s="298" t="s">
        <v>117</v>
      </c>
      <c r="E42" s="327" t="str">
        <f>IF(C42=0,"",VLOOKUP(C42,VDCC!A:B,2,FALSE))</f>
        <v/>
      </c>
      <c r="F42" t="s">
        <v>119</v>
      </c>
      <c r="J42" t="s">
        <v>115</v>
      </c>
      <c r="K42" s="324">
        <f>IF(VDCC!E41&gt;0,VDCC!A41,0)</f>
        <v>0</v>
      </c>
      <c r="L42" s="298" t="s">
        <v>117</v>
      </c>
      <c r="M42" s="327" t="str">
        <f>IF(K42=0,"",VLOOKUP(K42,VDCC!A:E,5,FALSE))</f>
        <v/>
      </c>
      <c r="N42" t="s">
        <v>119</v>
      </c>
      <c r="P42" t="s">
        <v>115</v>
      </c>
      <c r="Q42" s="324">
        <f>IF(EDCC!E41&gt;0,EDCC!A41,0)</f>
        <v>0</v>
      </c>
      <c r="R42" s="298" t="s">
        <v>117</v>
      </c>
      <c r="S42" s="327" t="str">
        <f>IF(Q42=0,"",VLOOKUP(Q42,EDCC!A:E,5,FALSE))</f>
        <v/>
      </c>
      <c r="T42" t="s">
        <v>119</v>
      </c>
      <c r="V42" t="s">
        <v>115</v>
      </c>
      <c r="W42" s="324">
        <f>IF(TDCC!E41&gt;0,TDCC!A41,0)</f>
        <v>0</v>
      </c>
      <c r="X42" s="298" t="s">
        <v>117</v>
      </c>
      <c r="Y42" s="327" t="str">
        <f>IF(W42=0,"",VLOOKUP(W42,TDCC!A:E,5,FALSE))</f>
        <v/>
      </c>
      <c r="Z42" t="s">
        <v>119</v>
      </c>
    </row>
    <row r="43" spans="2:26">
      <c r="B43" t="s">
        <v>115</v>
      </c>
      <c r="C43" s="324" t="str">
        <f>IF(VDCC!B42&lt;4,VDCC!A42,0)</f>
        <v>Morenna</v>
      </c>
      <c r="D43" s="298" t="s">
        <v>117</v>
      </c>
      <c r="E43" s="327">
        <f>IF(C43=0,"",VLOOKUP(C43,VDCC!A:B,2,FALSE))</f>
        <v>0</v>
      </c>
      <c r="F43" t="s">
        <v>119</v>
      </c>
      <c r="J43" t="s">
        <v>115</v>
      </c>
      <c r="K43" s="324">
        <f>IF(VDCC!E42&gt;0,VDCC!A42,0)</f>
        <v>0</v>
      </c>
      <c r="L43" s="298" t="s">
        <v>117</v>
      </c>
      <c r="M43" s="327" t="str">
        <f>IF(K43=0,"",VLOOKUP(K43,VDCC!A:E,5,FALSE))</f>
        <v/>
      </c>
      <c r="N43" t="s">
        <v>119</v>
      </c>
      <c r="P43" t="s">
        <v>115</v>
      </c>
      <c r="Q43" s="324">
        <f>IF(EDCC!E42&gt;0,EDCC!A42,0)</f>
        <v>0</v>
      </c>
      <c r="R43" s="298" t="s">
        <v>117</v>
      </c>
      <c r="S43" s="327" t="str">
        <f>IF(Q43=0,"",VLOOKUP(Q43,EDCC!A:E,5,FALSE))</f>
        <v/>
      </c>
      <c r="T43" t="s">
        <v>119</v>
      </c>
      <c r="V43" t="s">
        <v>115</v>
      </c>
      <c r="W43" s="324">
        <f>IF(TDCC!E42&gt;0,TDCC!A42,0)</f>
        <v>0</v>
      </c>
      <c r="X43" s="298" t="s">
        <v>117</v>
      </c>
      <c r="Y43" s="327" t="str">
        <f>IF(W43=0,"",VLOOKUP(W43,TDCC!A:E,5,FALSE))</f>
        <v/>
      </c>
      <c r="Z43" t="s">
        <v>119</v>
      </c>
    </row>
    <row r="44" spans="2:26">
      <c r="B44" t="s">
        <v>115</v>
      </c>
      <c r="C44" s="324">
        <f>IF(VDCC!B43&lt;4,VDCC!A43,0)</f>
        <v>0</v>
      </c>
      <c r="D44" s="298" t="s">
        <v>117</v>
      </c>
      <c r="E44" s="327" t="str">
        <f>IF(C44=0,"",VLOOKUP(C44,VDCC!A:B,2,FALSE))</f>
        <v/>
      </c>
      <c r="F44" t="s">
        <v>119</v>
      </c>
      <c r="J44" t="s">
        <v>115</v>
      </c>
      <c r="K44" s="324">
        <f>IF(VDCC!E43&gt;0,VDCC!A43,0)</f>
        <v>0</v>
      </c>
      <c r="L44" s="298" t="s">
        <v>117</v>
      </c>
      <c r="M44" s="327" t="str">
        <f>IF(K44=0,"",VLOOKUP(K44,VDCC!A:E,5,FALSE))</f>
        <v/>
      </c>
      <c r="N44" t="s">
        <v>119</v>
      </c>
      <c r="P44" t="s">
        <v>115</v>
      </c>
      <c r="Q44" s="324">
        <f>IF(EDCC!E43&gt;0,EDCC!A43,0)</f>
        <v>0</v>
      </c>
      <c r="R44" s="298" t="s">
        <v>117</v>
      </c>
      <c r="S44" s="327" t="str">
        <f>IF(Q44=0,"",VLOOKUP(Q44,EDCC!A:E,5,FALSE))</f>
        <v/>
      </c>
      <c r="T44" t="s">
        <v>119</v>
      </c>
      <c r="V44" t="s">
        <v>115</v>
      </c>
      <c r="W44" s="324">
        <f>IF(TDCC!E43&gt;0,TDCC!A43,0)</f>
        <v>0</v>
      </c>
      <c r="X44" s="298" t="s">
        <v>117</v>
      </c>
      <c r="Y44" s="327" t="str">
        <f>IF(W44=0,"",VLOOKUP(W44,TDCC!A:E,5,FALSE))</f>
        <v/>
      </c>
      <c r="Z44" t="s">
        <v>119</v>
      </c>
    </row>
    <row r="45" spans="2:26">
      <c r="B45" t="s">
        <v>115</v>
      </c>
      <c r="C45" s="324">
        <f>IF(VDCC!B44&lt;4,VDCC!A44,0)</f>
        <v>0</v>
      </c>
      <c r="D45" s="298" t="s">
        <v>117</v>
      </c>
      <c r="E45" s="327" t="str">
        <f>IF(C45=0,"",VLOOKUP(C45,VDCC!A:B,2,FALSE))</f>
        <v/>
      </c>
      <c r="F45" t="s">
        <v>119</v>
      </c>
      <c r="J45" t="s">
        <v>115</v>
      </c>
      <c r="K45" s="324">
        <f>IF(VDCC!E44&gt;0,VDCC!A44,0)</f>
        <v>0</v>
      </c>
      <c r="L45" s="298" t="s">
        <v>117</v>
      </c>
      <c r="M45" s="327" t="str">
        <f>IF(K45=0,"",VLOOKUP(K45,VDCC!A:E,5,FALSE))</f>
        <v/>
      </c>
      <c r="N45" t="s">
        <v>119</v>
      </c>
      <c r="P45" t="s">
        <v>115</v>
      </c>
      <c r="Q45" s="324">
        <f>IF(EDCC!E44&gt;0,EDCC!A44,0)</f>
        <v>0</v>
      </c>
      <c r="R45" s="298" t="s">
        <v>117</v>
      </c>
      <c r="S45" s="327" t="str">
        <f>IF(Q45=0,"",VLOOKUP(Q45,EDCC!A:E,5,FALSE))</f>
        <v/>
      </c>
      <c r="T45" t="s">
        <v>119</v>
      </c>
      <c r="V45" t="s">
        <v>115</v>
      </c>
      <c r="W45" s="324">
        <f>IF(TDCC!E44&gt;0,TDCC!A44,0)</f>
        <v>0</v>
      </c>
      <c r="X45" s="298" t="s">
        <v>117</v>
      </c>
      <c r="Y45" s="327" t="str">
        <f>IF(W45=0,"",VLOOKUP(W45,TDCC!A:E,5,FALSE))</f>
        <v/>
      </c>
      <c r="Z45" t="s">
        <v>119</v>
      </c>
    </row>
    <row r="46" spans="2:26">
      <c r="B46" t="s">
        <v>115</v>
      </c>
      <c r="C46" s="324">
        <f>IF(VDCC!B45&lt;4,VDCC!A45,0)</f>
        <v>0</v>
      </c>
      <c r="D46" s="298" t="s">
        <v>117</v>
      </c>
      <c r="E46" s="327" t="str">
        <f>IF(C46=0,"",VLOOKUP(C46,VDCC!A:B,2,FALSE))</f>
        <v/>
      </c>
      <c r="F46" t="s">
        <v>119</v>
      </c>
      <c r="J46" t="s">
        <v>115</v>
      </c>
      <c r="K46" s="324">
        <f>IF(VDCC!E45&gt;0,VDCC!A45,0)</f>
        <v>0</v>
      </c>
      <c r="L46" s="298" t="s">
        <v>117</v>
      </c>
      <c r="M46" s="327" t="str">
        <f>IF(K46=0,"",VLOOKUP(K46,VDCC!A:E,5,FALSE))</f>
        <v/>
      </c>
      <c r="N46" t="s">
        <v>119</v>
      </c>
      <c r="P46" t="s">
        <v>115</v>
      </c>
      <c r="Q46" s="324">
        <f>IF(EDCC!E45&gt;0,EDCC!A45,0)</f>
        <v>0</v>
      </c>
      <c r="R46" s="298" t="s">
        <v>117</v>
      </c>
      <c r="S46" s="327" t="str">
        <f>IF(Q46=0,"",VLOOKUP(Q46,EDCC!A:E,5,FALSE))</f>
        <v/>
      </c>
      <c r="T46" t="s">
        <v>119</v>
      </c>
      <c r="V46" t="s">
        <v>115</v>
      </c>
      <c r="W46" s="324">
        <f>IF(TDCC!E45&gt;0,TDCC!A45,0)</f>
        <v>0</v>
      </c>
      <c r="X46" s="298" t="s">
        <v>117</v>
      </c>
      <c r="Y46" s="327" t="str">
        <f>IF(W46=0,"",VLOOKUP(W46,TDCC!A:E,5,FALSE))</f>
        <v/>
      </c>
      <c r="Z46" t="s">
        <v>119</v>
      </c>
    </row>
    <row r="47" spans="2:26">
      <c r="B47" t="s">
        <v>115</v>
      </c>
      <c r="C47" s="324" t="str">
        <f>IF(VDCC!B46&lt;4,VDCC!A46,0)</f>
        <v>Niiwa</v>
      </c>
      <c r="D47" s="298" t="s">
        <v>117</v>
      </c>
      <c r="E47" s="327">
        <f>IF(C47=0,"",VLOOKUP(C47,VDCC!A:B,2,FALSE))</f>
        <v>2</v>
      </c>
      <c r="F47" t="s">
        <v>119</v>
      </c>
      <c r="J47" t="s">
        <v>115</v>
      </c>
      <c r="K47" s="324">
        <f>IF(VDCC!E46&gt;0,VDCC!A46,0)</f>
        <v>0</v>
      </c>
      <c r="L47" s="298" t="s">
        <v>117</v>
      </c>
      <c r="M47" s="327" t="str">
        <f>IF(K47=0,"",VLOOKUP(K47,VDCC!A:E,5,FALSE))</f>
        <v/>
      </c>
      <c r="N47" t="s">
        <v>119</v>
      </c>
      <c r="P47" t="s">
        <v>115</v>
      </c>
      <c r="Q47" s="324">
        <f>IF(EDCC!E46&gt;0,EDCC!A46,0)</f>
        <v>0</v>
      </c>
      <c r="R47" s="298" t="s">
        <v>117</v>
      </c>
      <c r="S47" s="327" t="str">
        <f>IF(Q47=0,"",VLOOKUP(Q47,EDCC!A:E,5,FALSE))</f>
        <v/>
      </c>
      <c r="T47" t="s">
        <v>119</v>
      </c>
      <c r="V47" t="s">
        <v>115</v>
      </c>
      <c r="W47" s="324">
        <f>IF(TDCC!E46&gt;0,TDCC!A46,0)</f>
        <v>0</v>
      </c>
      <c r="X47" s="298" t="s">
        <v>117</v>
      </c>
      <c r="Y47" s="327" t="str">
        <f>IF(W47=0,"",VLOOKUP(W47,TDCC!A:E,5,FALSE))</f>
        <v/>
      </c>
      <c r="Z47" t="s">
        <v>119</v>
      </c>
    </row>
    <row r="48" spans="2:26">
      <c r="B48" t="s">
        <v>115</v>
      </c>
      <c r="C48" s="324" t="str">
        <f>IF(VDCC!B47&lt;4,VDCC!A47,0)</f>
        <v>Octavìus</v>
      </c>
      <c r="D48" s="298" t="s">
        <v>117</v>
      </c>
      <c r="E48" s="327">
        <f>IF(C48=0,"",VLOOKUP(C48,VDCC!A:B,2,FALSE))</f>
        <v>2</v>
      </c>
      <c r="F48" t="s">
        <v>119</v>
      </c>
      <c r="J48" t="s">
        <v>115</v>
      </c>
      <c r="K48" s="324">
        <f>IF(VDCC!E47&gt;0,VDCC!A47,0)</f>
        <v>0</v>
      </c>
      <c r="L48" s="298" t="s">
        <v>117</v>
      </c>
      <c r="M48" s="327" t="str">
        <f>IF(K48=0,"",VLOOKUP(K48,VDCC!A:E,5,FALSE))</f>
        <v/>
      </c>
      <c r="N48" t="s">
        <v>119</v>
      </c>
      <c r="P48" t="s">
        <v>115</v>
      </c>
      <c r="Q48" s="324">
        <f>IF(EDCC!E47&gt;0,EDCC!A47,0)</f>
        <v>0</v>
      </c>
      <c r="R48" s="298" t="s">
        <v>117</v>
      </c>
      <c r="S48" s="327" t="str">
        <f>IF(Q48=0,"",VLOOKUP(Q48,EDCC!A:E,5,FALSE))</f>
        <v/>
      </c>
      <c r="T48" t="s">
        <v>119</v>
      </c>
      <c r="V48" t="s">
        <v>115</v>
      </c>
      <c r="W48" s="324">
        <f>IF(TDCC!E47&gt;0,TDCC!A47,0)</f>
        <v>0</v>
      </c>
      <c r="X48" s="298" t="s">
        <v>117</v>
      </c>
      <c r="Y48" s="327" t="str">
        <f>IF(W48=0,"",VLOOKUP(W48,TDCC!A:E,5,FALSE))</f>
        <v/>
      </c>
      <c r="Z48" t="s">
        <v>119</v>
      </c>
    </row>
    <row r="49" spans="2:26">
      <c r="B49" t="s">
        <v>115</v>
      </c>
      <c r="C49" s="324" t="str">
        <f>IF(VDCC!B48&lt;4,VDCC!A48,0)</f>
        <v>Overtake</v>
      </c>
      <c r="D49" s="298" t="s">
        <v>117</v>
      </c>
      <c r="E49" s="327">
        <f>IF(C49=0,"",VLOOKUP(C49,VDCC!A:B,2,FALSE))</f>
        <v>2</v>
      </c>
      <c r="F49" t="s">
        <v>119</v>
      </c>
      <c r="J49" t="s">
        <v>115</v>
      </c>
      <c r="K49" s="324">
        <f>IF(VDCC!E48&gt;0,VDCC!A48,0)</f>
        <v>0</v>
      </c>
      <c r="L49" s="298" t="s">
        <v>117</v>
      </c>
      <c r="M49" s="327" t="str">
        <f>IF(K49=0,"",VLOOKUP(K49,VDCC!A:E,5,FALSE))</f>
        <v/>
      </c>
      <c r="N49" t="s">
        <v>119</v>
      </c>
      <c r="P49" t="s">
        <v>115</v>
      </c>
      <c r="Q49" s="324">
        <f>IF(EDCC!E48&gt;0,EDCC!A48,0)</f>
        <v>0</v>
      </c>
      <c r="R49" s="298" t="s">
        <v>117</v>
      </c>
      <c r="S49" s="327" t="str">
        <f>IF(Q49=0,"",VLOOKUP(Q49,EDCC!A:E,5,FALSE))</f>
        <v/>
      </c>
      <c r="T49" t="s">
        <v>119</v>
      </c>
      <c r="V49" t="s">
        <v>115</v>
      </c>
      <c r="W49" s="324">
        <f>IF(TDCC!E48&gt;0,TDCC!A48,0)</f>
        <v>0</v>
      </c>
      <c r="X49" s="298" t="s">
        <v>117</v>
      </c>
      <c r="Y49" s="327" t="str">
        <f>IF(W49=0,"",VLOOKUP(W49,TDCC!A:E,5,FALSE))</f>
        <v/>
      </c>
      <c r="Z49" t="s">
        <v>119</v>
      </c>
    </row>
    <row r="50" spans="2:26">
      <c r="B50" t="s">
        <v>115</v>
      </c>
      <c r="C50" s="324">
        <f>IF(VDCC!B49&lt;4,VDCC!A49,0)</f>
        <v>0</v>
      </c>
      <c r="D50" s="298" t="s">
        <v>117</v>
      </c>
      <c r="E50" s="327" t="str">
        <f>IF(C50=0,"",VLOOKUP(C50,VDCC!A:B,2,FALSE))</f>
        <v/>
      </c>
      <c r="F50" t="s">
        <v>119</v>
      </c>
      <c r="J50" t="s">
        <v>115</v>
      </c>
      <c r="K50" s="324">
        <f>IF(VDCC!E49&gt;0,VDCC!A49,0)</f>
        <v>0</v>
      </c>
      <c r="L50" s="298" t="s">
        <v>117</v>
      </c>
      <c r="M50" s="327" t="str">
        <f>IF(K50=0,"",VLOOKUP(K50,VDCC!A:E,5,FALSE))</f>
        <v/>
      </c>
      <c r="N50" t="s">
        <v>119</v>
      </c>
      <c r="P50" t="s">
        <v>115</v>
      </c>
      <c r="Q50" s="324">
        <f>IF(EDCC!E49&gt;0,EDCC!A49,0)</f>
        <v>0</v>
      </c>
      <c r="R50" s="298" t="s">
        <v>117</v>
      </c>
      <c r="S50" s="327" t="str">
        <f>IF(Q50=0,"",VLOOKUP(Q50,EDCC!A:E,5,FALSE))</f>
        <v/>
      </c>
      <c r="T50" t="s">
        <v>119</v>
      </c>
      <c r="V50" t="s">
        <v>115</v>
      </c>
      <c r="W50" s="324">
        <f>IF(TDCC!E49&gt;0,TDCC!A49,0)</f>
        <v>0</v>
      </c>
      <c r="X50" s="298" t="s">
        <v>117</v>
      </c>
      <c r="Y50" s="327" t="str">
        <f>IF(W50=0,"",VLOOKUP(W50,TDCC!A:E,5,FALSE))</f>
        <v/>
      </c>
      <c r="Z50" t="s">
        <v>119</v>
      </c>
    </row>
    <row r="51" spans="2:26">
      <c r="B51" t="s">
        <v>115</v>
      </c>
      <c r="C51" s="324" t="str">
        <f>IF(VDCC!B50&lt;4,VDCC!A50,0)</f>
        <v>Páula</v>
      </c>
      <c r="D51" s="298" t="s">
        <v>117</v>
      </c>
      <c r="E51" s="327">
        <f>IF(C51=0,"",VLOOKUP(C51,VDCC!A:B,2,FALSE))</f>
        <v>2</v>
      </c>
      <c r="F51" t="s">
        <v>119</v>
      </c>
      <c r="J51" t="s">
        <v>115</v>
      </c>
      <c r="K51" s="324">
        <f>IF(VDCC!E50&gt;0,VDCC!A50,0)</f>
        <v>0</v>
      </c>
      <c r="L51" s="298" t="s">
        <v>117</v>
      </c>
      <c r="M51" s="327" t="str">
        <f>IF(K51=0,"",VLOOKUP(K51,VDCC!A:E,5,FALSE))</f>
        <v/>
      </c>
      <c r="N51" t="s">
        <v>119</v>
      </c>
      <c r="P51" t="s">
        <v>115</v>
      </c>
      <c r="Q51" s="324">
        <f>IF(EDCC!E50&gt;0,EDCC!A50,0)</f>
        <v>0</v>
      </c>
      <c r="R51" s="298" t="s">
        <v>117</v>
      </c>
      <c r="S51" s="327" t="str">
        <f>IF(Q51=0,"",VLOOKUP(Q51,EDCC!A:E,5,FALSE))</f>
        <v/>
      </c>
      <c r="T51" t="s">
        <v>119</v>
      </c>
      <c r="V51" t="s">
        <v>115</v>
      </c>
      <c r="W51" s="324">
        <f>IF(TDCC!E50&gt;0,TDCC!A50,0)</f>
        <v>0</v>
      </c>
      <c r="X51" s="298" t="s">
        <v>117</v>
      </c>
      <c r="Y51" s="327" t="str">
        <f>IF(W51=0,"",VLOOKUP(W51,TDCC!A:E,5,FALSE))</f>
        <v/>
      </c>
      <c r="Z51" t="s">
        <v>119</v>
      </c>
    </row>
    <row r="52" spans="2:26">
      <c r="B52" t="s">
        <v>115</v>
      </c>
      <c r="C52" s="324" t="str">
        <f>IF(VDCC!B51&lt;4,VDCC!A51,0)</f>
        <v>Predictable</v>
      </c>
      <c r="D52" s="298" t="s">
        <v>117</v>
      </c>
      <c r="E52" s="327">
        <f>IF(C52=0,"",VLOOKUP(C52,VDCC!A:B,2,FALSE))</f>
        <v>2</v>
      </c>
      <c r="F52" t="s">
        <v>119</v>
      </c>
      <c r="J52" t="s">
        <v>115</v>
      </c>
      <c r="K52" s="324">
        <f>IF(VDCC!E51&gt;0,VDCC!A51,0)</f>
        <v>0</v>
      </c>
      <c r="L52" s="298" t="s">
        <v>117</v>
      </c>
      <c r="M52" s="327" t="str">
        <f>IF(K52=0,"",VLOOKUP(K52,VDCC!A:E,5,FALSE))</f>
        <v/>
      </c>
      <c r="N52" t="s">
        <v>119</v>
      </c>
      <c r="P52" t="s">
        <v>115</v>
      </c>
      <c r="Q52" s="324">
        <f>IF(EDCC!E51&gt;0,EDCC!A51,0)</f>
        <v>0</v>
      </c>
      <c r="R52" s="298" t="s">
        <v>117</v>
      </c>
      <c r="S52" s="327" t="str">
        <f>IF(Q52=0,"",VLOOKUP(Q52,EDCC!A:E,5,FALSE))</f>
        <v/>
      </c>
      <c r="T52" t="s">
        <v>119</v>
      </c>
      <c r="V52" t="s">
        <v>115</v>
      </c>
      <c r="W52" s="324">
        <f>IF(TDCC!E51&gt;0,TDCC!A51,0)</f>
        <v>0</v>
      </c>
      <c r="X52" s="298" t="s">
        <v>117</v>
      </c>
      <c r="Y52" s="327" t="str">
        <f>IF(W52=0,"",VLOOKUP(W52,TDCC!A:E,5,FALSE))</f>
        <v/>
      </c>
      <c r="Z52" t="s">
        <v>119</v>
      </c>
    </row>
    <row r="53" spans="2:26">
      <c r="B53" t="s">
        <v>115</v>
      </c>
      <c r="C53" s="324">
        <f>IF(VDCC!B52&lt;4,VDCC!A52,0)</f>
        <v>0</v>
      </c>
      <c r="D53" s="298" t="s">
        <v>117</v>
      </c>
      <c r="E53" s="327" t="str">
        <f>IF(C53=0,"",VLOOKUP(C53,VDCC!A:B,2,FALSE))</f>
        <v/>
      </c>
      <c r="F53" t="s">
        <v>119</v>
      </c>
      <c r="J53" t="s">
        <v>115</v>
      </c>
      <c r="K53" s="324">
        <f>IF(VDCC!E52&gt;0,VDCC!A52,0)</f>
        <v>0</v>
      </c>
      <c r="L53" s="298" t="s">
        <v>117</v>
      </c>
      <c r="M53" s="327" t="str">
        <f>IF(K53=0,"",VLOOKUP(K53,VDCC!A:E,5,FALSE))</f>
        <v/>
      </c>
      <c r="N53" t="s">
        <v>119</v>
      </c>
      <c r="P53" t="s">
        <v>115</v>
      </c>
      <c r="Q53" s="324">
        <f>IF(EDCC!E52&gt;0,EDCC!A52,0)</f>
        <v>0</v>
      </c>
      <c r="R53" s="298" t="s">
        <v>117</v>
      </c>
      <c r="S53" s="327" t="str">
        <f>IF(Q53=0,"",VLOOKUP(Q53,EDCC!A:E,5,FALSE))</f>
        <v/>
      </c>
      <c r="T53" t="s">
        <v>119</v>
      </c>
      <c r="V53" t="s">
        <v>115</v>
      </c>
      <c r="W53" s="324">
        <f>IF(TDCC!E52&gt;0,TDCC!A52,0)</f>
        <v>0</v>
      </c>
      <c r="X53" s="298" t="s">
        <v>117</v>
      </c>
      <c r="Y53" s="327" t="str">
        <f>IF(W53=0,"",VLOOKUP(W53,TDCC!A:E,5,FALSE))</f>
        <v/>
      </c>
      <c r="Z53" t="s">
        <v>119</v>
      </c>
    </row>
    <row r="54" spans="2:26">
      <c r="B54" t="s">
        <v>115</v>
      </c>
      <c r="C54" s="324">
        <f>IF(VDCC!B53&lt;4,VDCC!A53,0)</f>
        <v>0</v>
      </c>
      <c r="D54" s="298" t="s">
        <v>117</v>
      </c>
      <c r="E54" s="327" t="str">
        <f>IF(C54=0,"",VLOOKUP(C54,VDCC!A:B,2,FALSE))</f>
        <v/>
      </c>
      <c r="F54" t="s">
        <v>119</v>
      </c>
      <c r="J54" t="s">
        <v>115</v>
      </c>
      <c r="K54" s="324">
        <f>IF(VDCC!E53&gt;0,VDCC!A53,0)</f>
        <v>0</v>
      </c>
      <c r="L54" s="298" t="s">
        <v>117</v>
      </c>
      <c r="M54" s="327" t="str">
        <f>IF(K54=0,"",VLOOKUP(K54,VDCC!A:E,5,FALSE))</f>
        <v/>
      </c>
      <c r="N54" t="s">
        <v>119</v>
      </c>
      <c r="P54" t="s">
        <v>115</v>
      </c>
      <c r="Q54" s="324">
        <f>IF(EDCC!E53&gt;0,EDCC!A53,0)</f>
        <v>0</v>
      </c>
      <c r="R54" s="298" t="s">
        <v>117</v>
      </c>
      <c r="S54" s="327" t="str">
        <f>IF(Q54=0,"",VLOOKUP(Q54,EDCC!A:E,5,FALSE))</f>
        <v/>
      </c>
      <c r="T54" t="s">
        <v>119</v>
      </c>
      <c r="V54" t="s">
        <v>115</v>
      </c>
      <c r="W54" s="324">
        <f>IF(TDCC!E53&gt;0,TDCC!A53,0)</f>
        <v>0</v>
      </c>
      <c r="X54" s="298" t="s">
        <v>117</v>
      </c>
      <c r="Y54" s="327" t="str">
        <f>IF(W54=0,"",VLOOKUP(W54,TDCC!A:E,5,FALSE))</f>
        <v/>
      </c>
      <c r="Z54" t="s">
        <v>119</v>
      </c>
    </row>
    <row r="55" spans="2:26">
      <c r="B55" t="s">
        <v>115</v>
      </c>
      <c r="C55" s="324" t="str">
        <f>IF(VDCC!B54&lt;4,VDCC!A54,0)</f>
        <v>Saltycream</v>
      </c>
      <c r="D55" s="298" t="s">
        <v>117</v>
      </c>
      <c r="E55" s="327">
        <f>IF(C55=0,"",VLOOKUP(C55,VDCC!A:B,2,FALSE))</f>
        <v>2</v>
      </c>
      <c r="F55" t="s">
        <v>119</v>
      </c>
      <c r="J55" t="s">
        <v>115</v>
      </c>
      <c r="K55" s="324">
        <f>IF(VDCC!E54&gt;0,VDCC!A54,0)</f>
        <v>0</v>
      </c>
      <c r="L55" s="298" t="s">
        <v>117</v>
      </c>
      <c r="M55" s="327" t="str">
        <f>IF(K55=0,"",VLOOKUP(K55,VDCC!A:E,5,FALSE))</f>
        <v/>
      </c>
      <c r="N55" t="s">
        <v>119</v>
      </c>
      <c r="P55" t="s">
        <v>115</v>
      </c>
      <c r="Q55" s="324">
        <f>IF(EDCC!E54&gt;0,EDCC!A54,0)</f>
        <v>0</v>
      </c>
      <c r="R55" s="298" t="s">
        <v>117</v>
      </c>
      <c r="S55" s="327" t="str">
        <f>IF(Q55=0,"",VLOOKUP(Q55,EDCC!A:E,5,FALSE))</f>
        <v/>
      </c>
      <c r="T55" t="s">
        <v>119</v>
      </c>
      <c r="V55" t="s">
        <v>115</v>
      </c>
      <c r="W55" s="324">
        <f>IF(TDCC!E54&gt;0,TDCC!A54,0)</f>
        <v>0</v>
      </c>
      <c r="X55" s="298" t="s">
        <v>117</v>
      </c>
      <c r="Y55" s="327" t="str">
        <f>IF(W55=0,"",VLOOKUP(W55,TDCC!A:E,5,FALSE))</f>
        <v/>
      </c>
      <c r="Z55" t="s">
        <v>119</v>
      </c>
    </row>
    <row r="56" spans="2:26">
      <c r="B56" t="s">
        <v>115</v>
      </c>
      <c r="C56" s="324" t="str">
        <f>IF(VDCC!B55&lt;4,VDCC!A55,0)</f>
        <v>Sarjezzar</v>
      </c>
      <c r="D56" s="298" t="s">
        <v>117</v>
      </c>
      <c r="E56" s="327">
        <f>IF(C56=0,"",VLOOKUP(C56,VDCC!A:B,2,FALSE))</f>
        <v>1</v>
      </c>
      <c r="F56" t="s">
        <v>119</v>
      </c>
      <c r="J56" t="s">
        <v>115</v>
      </c>
      <c r="K56" s="324">
        <f>IF(VDCC!E55&gt;0,VDCC!A55,0)</f>
        <v>0</v>
      </c>
      <c r="L56" s="298" t="s">
        <v>117</v>
      </c>
      <c r="M56" s="327" t="str">
        <f>IF(K56=0,"",VLOOKUP(K56,VDCC!A:E,5,FALSE))</f>
        <v/>
      </c>
      <c r="N56" t="s">
        <v>119</v>
      </c>
      <c r="P56" t="s">
        <v>115</v>
      </c>
      <c r="Q56" s="324">
        <f>IF(EDCC!E55&gt;0,EDCC!A55,0)</f>
        <v>0</v>
      </c>
      <c r="R56" s="298" t="s">
        <v>117</v>
      </c>
      <c r="S56" s="327" t="str">
        <f>IF(Q56=0,"",VLOOKUP(Q56,EDCC!A:E,5,FALSE))</f>
        <v/>
      </c>
      <c r="T56" t="s">
        <v>119</v>
      </c>
      <c r="V56" t="s">
        <v>115</v>
      </c>
      <c r="W56" s="324">
        <f>IF(TDCC!E55&gt;0,TDCC!A55,0)</f>
        <v>0</v>
      </c>
      <c r="X56" s="298" t="s">
        <v>117</v>
      </c>
      <c r="Y56" s="327" t="str">
        <f>IF(W56=0,"",VLOOKUP(W56,TDCC!A:E,5,FALSE))</f>
        <v/>
      </c>
      <c r="Z56" t="s">
        <v>119</v>
      </c>
    </row>
    <row r="57" spans="2:26">
      <c r="B57" t="s">
        <v>115</v>
      </c>
      <c r="C57" s="324">
        <f>IF(VDCC!B56&lt;4,VDCC!A56,0)</f>
        <v>0</v>
      </c>
      <c r="D57" s="298" t="s">
        <v>117</v>
      </c>
      <c r="E57" s="327" t="str">
        <f>IF(C57=0,"",VLOOKUP(C57,VDCC!A:B,2,FALSE))</f>
        <v/>
      </c>
      <c r="F57" t="s">
        <v>119</v>
      </c>
      <c r="J57" t="s">
        <v>115</v>
      </c>
      <c r="K57" s="324">
        <f>IF(VDCC!E56&gt;0,VDCC!A56,0)</f>
        <v>0</v>
      </c>
      <c r="L57" s="298" t="s">
        <v>117</v>
      </c>
      <c r="M57" s="327" t="str">
        <f>IF(K57=0,"",VLOOKUP(K57,VDCC!A:E,5,FALSE))</f>
        <v/>
      </c>
      <c r="N57" t="s">
        <v>119</v>
      </c>
      <c r="P57" t="s">
        <v>115</v>
      </c>
      <c r="Q57" s="324">
        <f>IF(EDCC!E56&gt;0,EDCC!A56,0)</f>
        <v>0</v>
      </c>
      <c r="R57" s="298" t="s">
        <v>117</v>
      </c>
      <c r="S57" s="327" t="str">
        <f>IF(Q57=0,"",VLOOKUP(Q57,EDCC!A:E,5,FALSE))</f>
        <v/>
      </c>
      <c r="T57" t="s">
        <v>119</v>
      </c>
      <c r="V57" t="s">
        <v>115</v>
      </c>
      <c r="W57" s="324">
        <f>IF(TDCC!E56&gt;0,TDCC!A56,0)</f>
        <v>0</v>
      </c>
      <c r="X57" s="298" t="s">
        <v>117</v>
      </c>
      <c r="Y57" s="327" t="str">
        <f>IF(W57=0,"",VLOOKUP(W57,TDCC!A:E,5,FALSE))</f>
        <v/>
      </c>
      <c r="Z57" t="s">
        <v>119</v>
      </c>
    </row>
    <row r="58" spans="2:26">
      <c r="B58" t="s">
        <v>115</v>
      </c>
      <c r="C58" s="324" t="str">
        <f>IF(VDCC!B57&lt;4,VDCC!A57,0)</f>
        <v>Shinkai</v>
      </c>
      <c r="D58" s="298" t="s">
        <v>117</v>
      </c>
      <c r="E58" s="327">
        <f>IF(C58=0,"",VLOOKUP(C58,VDCC!A:B,2,FALSE))</f>
        <v>0</v>
      </c>
      <c r="F58" t="s">
        <v>119</v>
      </c>
      <c r="J58" t="s">
        <v>115</v>
      </c>
      <c r="K58" s="324">
        <f>IF(VDCC!E57&gt;0,VDCC!A57,0)</f>
        <v>0</v>
      </c>
      <c r="L58" s="298" t="s">
        <v>117</v>
      </c>
      <c r="M58" s="327" t="str">
        <f>IF(K58=0,"",VLOOKUP(K58,VDCC!A:E,5,FALSE))</f>
        <v/>
      </c>
      <c r="N58" t="s">
        <v>119</v>
      </c>
      <c r="P58" t="s">
        <v>115</v>
      </c>
      <c r="Q58" s="324">
        <f>IF(EDCC!E57&gt;0,EDCC!A57,0)</f>
        <v>0</v>
      </c>
      <c r="R58" s="298" t="s">
        <v>117</v>
      </c>
      <c r="S58" s="327" t="str">
        <f>IF(Q58=0,"",VLOOKUP(Q58,EDCC!A:E,5,FALSE))</f>
        <v/>
      </c>
      <c r="T58" t="s">
        <v>119</v>
      </c>
      <c r="V58" t="s">
        <v>115</v>
      </c>
      <c r="W58" s="324">
        <f>IF(TDCC!E57&gt;0,TDCC!A57,0)</f>
        <v>0</v>
      </c>
      <c r="X58" s="298" t="s">
        <v>117</v>
      </c>
      <c r="Y58" s="327" t="str">
        <f>IF(W58=0,"",VLOOKUP(W58,TDCC!A:E,5,FALSE))</f>
        <v/>
      </c>
      <c r="Z58" t="s">
        <v>119</v>
      </c>
    </row>
    <row r="59" spans="2:26">
      <c r="B59" t="s">
        <v>115</v>
      </c>
      <c r="C59" s="324">
        <f>IF(VDCC!B58&lt;4,VDCC!A58,0)</f>
        <v>0</v>
      </c>
      <c r="D59" s="298" t="s">
        <v>117</v>
      </c>
      <c r="E59" s="327" t="str">
        <f>IF(C59=0,"",VLOOKUP(C59,VDCC!A:B,2,FALSE))</f>
        <v/>
      </c>
      <c r="F59" t="s">
        <v>119</v>
      </c>
      <c r="J59" t="s">
        <v>115</v>
      </c>
      <c r="K59" s="324">
        <f>IF(VDCC!E58&gt;0,VDCC!A58,0)</f>
        <v>0</v>
      </c>
      <c r="L59" s="298" t="s">
        <v>117</v>
      </c>
      <c r="M59" s="327" t="str">
        <f>IF(K59=0,"",VLOOKUP(K59,VDCC!A:E,5,FALSE))</f>
        <v/>
      </c>
      <c r="N59" t="s">
        <v>119</v>
      </c>
      <c r="P59" t="s">
        <v>115</v>
      </c>
      <c r="Q59" s="324">
        <f>IF(EDCC!E58&gt;0,EDCC!A58,0)</f>
        <v>0</v>
      </c>
      <c r="R59" s="298" t="s">
        <v>117</v>
      </c>
      <c r="S59" s="327" t="str">
        <f>IF(Q59=0,"",VLOOKUP(Q59,EDCC!A:E,5,FALSE))</f>
        <v/>
      </c>
      <c r="T59" t="s">
        <v>119</v>
      </c>
      <c r="V59" t="s">
        <v>115</v>
      </c>
      <c r="W59" s="324">
        <f>IF(TDCC!E58&gt;0,TDCC!A58,0)</f>
        <v>0</v>
      </c>
      <c r="X59" s="298" t="s">
        <v>117</v>
      </c>
      <c r="Y59" s="327" t="str">
        <f>IF(W59=0,"",VLOOKUP(W59,TDCC!A:E,5,FALSE))</f>
        <v/>
      </c>
      <c r="Z59" t="s">
        <v>119</v>
      </c>
    </row>
    <row r="60" spans="2:26">
      <c r="B60" t="s">
        <v>115</v>
      </c>
      <c r="C60" s="324" t="str">
        <f>IF(VDCC!B59&lt;4,VDCC!A59,0)</f>
        <v>Snowies</v>
      </c>
      <c r="D60" s="298" t="s">
        <v>117</v>
      </c>
      <c r="E60" s="327">
        <f>IF(C60=0,"",VLOOKUP(C60,VDCC!A:B,2,FALSE))</f>
        <v>2</v>
      </c>
      <c r="F60" t="s">
        <v>119</v>
      </c>
      <c r="J60" t="s">
        <v>115</v>
      </c>
      <c r="K60" s="324">
        <f>IF(VDCC!E59&gt;0,VDCC!A59,0)</f>
        <v>0</v>
      </c>
      <c r="L60" s="298" t="s">
        <v>117</v>
      </c>
      <c r="M60" s="327" t="str">
        <f>IF(K60=0,"",VLOOKUP(K60,VDCC!A:E,5,FALSE))</f>
        <v/>
      </c>
      <c r="N60" t="s">
        <v>119</v>
      </c>
      <c r="P60" t="s">
        <v>115</v>
      </c>
      <c r="Q60" s="324">
        <f>IF(EDCC!E59&gt;0,EDCC!A59,0)</f>
        <v>0</v>
      </c>
      <c r="R60" s="298" t="s">
        <v>117</v>
      </c>
      <c r="S60" s="327" t="str">
        <f>IF(Q60=0,"",VLOOKUP(Q60,EDCC!A:E,5,FALSE))</f>
        <v/>
      </c>
      <c r="T60" t="s">
        <v>119</v>
      </c>
      <c r="V60" t="s">
        <v>115</v>
      </c>
      <c r="W60" s="324">
        <f>IF(TDCC!E59&gt;0,TDCC!A59,0)</f>
        <v>0</v>
      </c>
      <c r="X60" s="298" t="s">
        <v>117</v>
      </c>
      <c r="Y60" s="327" t="str">
        <f>IF(W60=0,"",VLOOKUP(W60,TDCC!A:E,5,FALSE))</f>
        <v/>
      </c>
      <c r="Z60" t="s">
        <v>119</v>
      </c>
    </row>
    <row r="61" spans="2:26">
      <c r="B61" t="s">
        <v>115</v>
      </c>
      <c r="C61" s="324" t="str">
        <f>IF(VDCC!B60&lt;4,VDCC!A60,0)</f>
        <v>Spruch</v>
      </c>
      <c r="D61" s="298" t="s">
        <v>117</v>
      </c>
      <c r="E61" s="327">
        <f>IF(C61=0,"",VLOOKUP(C61,VDCC!A:B,2,FALSE))</f>
        <v>2</v>
      </c>
      <c r="F61" t="s">
        <v>119</v>
      </c>
      <c r="J61" t="s">
        <v>115</v>
      </c>
      <c r="K61" s="324">
        <f>IF(VDCC!E60&gt;0,VDCC!A60,0)</f>
        <v>0</v>
      </c>
      <c r="L61" s="298" t="s">
        <v>117</v>
      </c>
      <c r="M61" s="327" t="str">
        <f>IF(K61=0,"",VLOOKUP(K61,VDCC!A:E,5,FALSE))</f>
        <v/>
      </c>
      <c r="N61" t="s">
        <v>119</v>
      </c>
      <c r="P61" t="s">
        <v>115</v>
      </c>
      <c r="Q61" s="324">
        <f>IF(EDCC!E60&gt;0,EDCC!A60,0)</f>
        <v>0</v>
      </c>
      <c r="R61" s="298" t="s">
        <v>117</v>
      </c>
      <c r="S61" s="327" t="str">
        <f>IF(Q61=0,"",VLOOKUP(Q61,EDCC!A:E,5,FALSE))</f>
        <v/>
      </c>
      <c r="T61" t="s">
        <v>119</v>
      </c>
      <c r="V61" t="s">
        <v>115</v>
      </c>
      <c r="W61" s="324">
        <f>IF(TDCC!E60&gt;0,TDCC!A60,0)</f>
        <v>0</v>
      </c>
      <c r="X61" s="298" t="s">
        <v>117</v>
      </c>
      <c r="Y61" s="327" t="str">
        <f>IF(W61=0,"",VLOOKUP(W61,TDCC!A:E,5,FALSE))</f>
        <v/>
      </c>
      <c r="Z61" t="s">
        <v>119</v>
      </c>
    </row>
    <row r="62" spans="2:26">
      <c r="B62" t="s">
        <v>115</v>
      </c>
      <c r="C62" s="324" t="str">
        <f>IF(VDCC!B61&lt;4,VDCC!A61,0)</f>
        <v>Svicane</v>
      </c>
      <c r="D62" s="298" t="s">
        <v>117</v>
      </c>
      <c r="E62" s="327">
        <f>IF(C62=0,"",VLOOKUP(C62,VDCC!A:B,2,FALSE))</f>
        <v>2</v>
      </c>
      <c r="F62" t="s">
        <v>119</v>
      </c>
      <c r="J62" t="s">
        <v>115</v>
      </c>
      <c r="K62" s="324">
        <f>IF(VDCC!E61&gt;0,VDCC!A61,0)</f>
        <v>0</v>
      </c>
      <c r="L62" s="298" t="s">
        <v>117</v>
      </c>
      <c r="M62" s="327" t="str">
        <f>IF(K62=0,"",VLOOKUP(K62,VDCC!A:E,5,FALSE))</f>
        <v/>
      </c>
      <c r="N62" t="s">
        <v>119</v>
      </c>
      <c r="P62" t="s">
        <v>115</v>
      </c>
      <c r="Q62" s="324">
        <f>IF(EDCC!E61&gt;0,EDCC!A61,0)</f>
        <v>0</v>
      </c>
      <c r="R62" s="428" t="s">
        <v>117</v>
      </c>
      <c r="S62" s="327" t="str">
        <f>IF(Q62=0,"",VLOOKUP(Q62,EDCC!A:E,5,FALSE))</f>
        <v/>
      </c>
      <c r="T62" t="s">
        <v>119</v>
      </c>
      <c r="V62" t="s">
        <v>115</v>
      </c>
      <c r="W62" s="324">
        <f>IF(TDCC!E61&gt;0,TDCC!A61,0)</f>
        <v>0</v>
      </c>
      <c r="X62" s="428" t="s">
        <v>117</v>
      </c>
      <c r="Y62" s="327" t="str">
        <f>IF(W62=0,"",VLOOKUP(W62,TDCC!A:E,5,FALSE))</f>
        <v/>
      </c>
      <c r="Z62" t="s">
        <v>119</v>
      </c>
    </row>
    <row r="63" spans="2:26">
      <c r="B63" t="s">
        <v>115</v>
      </c>
      <c r="C63" s="324" t="str">
        <f>IF(VDCC!B62&lt;4,VDCC!A62,0)</f>
        <v>Téasey</v>
      </c>
      <c r="D63" s="298" t="s">
        <v>117</v>
      </c>
      <c r="E63" s="327">
        <f>IF(C63=0,"",VLOOKUP(C63,VDCC!A:B,2,FALSE))</f>
        <v>2</v>
      </c>
      <c r="F63" t="s">
        <v>119</v>
      </c>
      <c r="J63" t="s">
        <v>115</v>
      </c>
      <c r="K63" s="324">
        <f>IF(VDCC!E62&gt;0,VDCC!A62,0)</f>
        <v>0</v>
      </c>
      <c r="L63" s="298" t="s">
        <v>117</v>
      </c>
      <c r="M63" s="327" t="str">
        <f>IF(K63=0,"",VLOOKUP(K63,VDCC!A:E,5,FALSE))</f>
        <v/>
      </c>
      <c r="N63" t="s">
        <v>119</v>
      </c>
      <c r="P63" t="s">
        <v>115</v>
      </c>
      <c r="Q63" s="324">
        <f>IF(EDCC!E62&gt;0,EDCC!A62,0)</f>
        <v>0</v>
      </c>
      <c r="R63" s="298" t="s">
        <v>117</v>
      </c>
      <c r="S63" s="327" t="str">
        <f>IF(Q63=0,"",VLOOKUP(Q63,EDCC!A:E,5,FALSE))</f>
        <v/>
      </c>
      <c r="T63" t="s">
        <v>119</v>
      </c>
      <c r="V63" t="s">
        <v>115</v>
      </c>
      <c r="W63" s="324">
        <f>IF(TDCC!E62&gt;0,TDCC!A62,0)</f>
        <v>0</v>
      </c>
      <c r="X63" s="298" t="s">
        <v>117</v>
      </c>
      <c r="Y63" s="327" t="str">
        <f>IF(W63=0,"",VLOOKUP(W63,TDCC!A:E,5,FALSE))</f>
        <v/>
      </c>
      <c r="Z63" t="s">
        <v>119</v>
      </c>
    </row>
    <row r="64" spans="2:26">
      <c r="B64" t="s">
        <v>115</v>
      </c>
      <c r="C64" s="324">
        <f>IF(VDCC!B63&lt;4,VDCC!A63,0)</f>
        <v>0</v>
      </c>
      <c r="D64" s="298" t="s">
        <v>117</v>
      </c>
      <c r="E64" s="327" t="str">
        <f>IF(C64=0,"",VLOOKUP(C64,VDCC!A:B,2,FALSE))</f>
        <v/>
      </c>
      <c r="F64" t="s">
        <v>119</v>
      </c>
      <c r="J64" t="s">
        <v>115</v>
      </c>
      <c r="K64" s="324">
        <f>IF(VDCC!E63&gt;0,VDCC!A63,0)</f>
        <v>0</v>
      </c>
      <c r="L64" s="298" t="s">
        <v>117</v>
      </c>
      <c r="M64" s="327" t="str">
        <f>IF(K64=0,"",VLOOKUP(K64,VDCC!A:E,5,FALSE))</f>
        <v/>
      </c>
      <c r="N64" t="s">
        <v>119</v>
      </c>
      <c r="P64" t="s">
        <v>115</v>
      </c>
      <c r="Q64" s="324">
        <f>IF(EDCC!E63&gt;0,EDCC!A63,0)</f>
        <v>0</v>
      </c>
      <c r="R64" s="298" t="s">
        <v>117</v>
      </c>
      <c r="S64" s="327" t="str">
        <f>IF(Q64=0,"",VLOOKUP(Q64,EDCC!A:E,5,FALSE))</f>
        <v/>
      </c>
      <c r="T64" t="s">
        <v>119</v>
      </c>
      <c r="V64" t="s">
        <v>115</v>
      </c>
      <c r="W64" s="324">
        <f>IF(TDCC!E63&gt;0,TDCC!A63,0)</f>
        <v>0</v>
      </c>
      <c r="X64" s="298" t="s">
        <v>117</v>
      </c>
      <c r="Y64" s="327" t="str">
        <f>IF(W64=0,"",VLOOKUP(W64,TDCC!A:E,5,FALSE))</f>
        <v/>
      </c>
      <c r="Z64" t="s">
        <v>119</v>
      </c>
    </row>
    <row r="65" spans="2:26">
      <c r="B65" t="s">
        <v>115</v>
      </c>
      <c r="C65" s="324" t="str">
        <f>IF(VDCC!B64&lt;4,VDCC!A64,0)</f>
        <v>Tonitrum</v>
      </c>
      <c r="D65" s="298" t="s">
        <v>117</v>
      </c>
      <c r="E65" s="327">
        <f>IF(C65=0,"",VLOOKUP(C65,VDCC!A:B,2,FALSE))</f>
        <v>2</v>
      </c>
      <c r="F65" t="s">
        <v>119</v>
      </c>
      <c r="J65" t="s">
        <v>115</v>
      </c>
      <c r="K65" s="324">
        <f>IF(VDCC!E64&gt;0,VDCC!A64,0)</f>
        <v>0</v>
      </c>
      <c r="L65" s="298" t="s">
        <v>117</v>
      </c>
      <c r="M65" s="327" t="str">
        <f>IF(K65=0,"",VLOOKUP(K65,VDCC!A:E,5,FALSE))</f>
        <v/>
      </c>
      <c r="N65" t="s">
        <v>119</v>
      </c>
      <c r="P65" t="s">
        <v>115</v>
      </c>
      <c r="Q65" s="324">
        <f>IF(EDCC!E64&gt;0,EDCC!A64,0)</f>
        <v>0</v>
      </c>
      <c r="R65" s="298" t="s">
        <v>117</v>
      </c>
      <c r="S65" s="327" t="str">
        <f>IF(Q65=0,"",VLOOKUP(Q65,EDCC!A:E,5,FALSE))</f>
        <v/>
      </c>
      <c r="T65" t="s">
        <v>119</v>
      </c>
      <c r="V65" t="s">
        <v>115</v>
      </c>
      <c r="W65" s="324">
        <f>IF(TDCC!E64&gt;0,TDCC!A64,0)</f>
        <v>0</v>
      </c>
      <c r="X65" s="298" t="s">
        <v>117</v>
      </c>
      <c r="Y65" s="327" t="str">
        <f>IF(W65=0,"",VLOOKUP(W65,TDCC!A:E,5,FALSE))</f>
        <v/>
      </c>
      <c r="Z65" t="s">
        <v>119</v>
      </c>
    </row>
    <row r="66" spans="2:26">
      <c r="B66" t="s">
        <v>115</v>
      </c>
      <c r="C66" s="324">
        <f>IF(VDCC!B65&lt;4,VDCC!A65,0)</f>
        <v>0</v>
      </c>
      <c r="D66" s="298" t="s">
        <v>117</v>
      </c>
      <c r="E66" s="327" t="str">
        <f>IF(C66=0,"",VLOOKUP(C66,VDCC!A:B,2,FALSE))</f>
        <v/>
      </c>
      <c r="F66" t="s">
        <v>119</v>
      </c>
      <c r="J66" t="s">
        <v>115</v>
      </c>
      <c r="K66" s="324">
        <f>IF(VDCC!E65&gt;0,VDCC!A65,0)</f>
        <v>0</v>
      </c>
      <c r="L66" s="298" t="s">
        <v>117</v>
      </c>
      <c r="M66" s="327" t="str">
        <f>IF(K66=0,"",VLOOKUP(K66,VDCC!A:E,5,FALSE))</f>
        <v/>
      </c>
      <c r="N66" t="s">
        <v>119</v>
      </c>
      <c r="P66" t="s">
        <v>115</v>
      </c>
      <c r="Q66" s="324">
        <f>IF(EDCC!E65&gt;0,EDCC!A65,0)</f>
        <v>0</v>
      </c>
      <c r="R66" s="298" t="s">
        <v>117</v>
      </c>
      <c r="S66" s="327" t="str">
        <f>IF(Q66=0,"",VLOOKUP(Q66,EDCC!A:E,5,FALSE))</f>
        <v/>
      </c>
      <c r="T66" t="s">
        <v>119</v>
      </c>
      <c r="V66" t="s">
        <v>115</v>
      </c>
      <c r="W66" s="324">
        <f>IF(TDCC!E65&gt;0,TDCC!A65,0)</f>
        <v>0</v>
      </c>
      <c r="X66" s="298" t="s">
        <v>117</v>
      </c>
      <c r="Y66" s="327" t="str">
        <f>IF(W66=0,"",VLOOKUP(W66,TDCC!A:E,5,FALSE))</f>
        <v/>
      </c>
      <c r="Z66" t="s">
        <v>119</v>
      </c>
    </row>
    <row r="67" spans="2:26">
      <c r="B67" t="s">
        <v>115</v>
      </c>
      <c r="C67" s="324" t="str">
        <f>IF(VDCC!B66&lt;4,VDCC!A66,0)</f>
        <v>Twicemore</v>
      </c>
      <c r="D67" s="298" t="s">
        <v>117</v>
      </c>
      <c r="E67" s="327">
        <f>IF(C67=0,"",VLOOKUP(C67,VDCC!A:B,2,FALSE))</f>
        <v>2</v>
      </c>
      <c r="F67" t="s">
        <v>119</v>
      </c>
      <c r="J67" t="s">
        <v>115</v>
      </c>
      <c r="K67" s="324">
        <f>IF(VDCC!E66&gt;0,VDCC!A66,0)</f>
        <v>0</v>
      </c>
      <c r="L67" s="298" t="s">
        <v>117</v>
      </c>
      <c r="M67" s="327" t="str">
        <f>IF(K67=0,"",VLOOKUP(K67,VDCC!A:E,5,FALSE))</f>
        <v/>
      </c>
      <c r="N67" t="s">
        <v>119</v>
      </c>
      <c r="P67" t="s">
        <v>115</v>
      </c>
      <c r="Q67" s="324">
        <f>IF(EDCC!E66&gt;0,EDCC!A66,0)</f>
        <v>0</v>
      </c>
      <c r="R67" s="298" t="s">
        <v>117</v>
      </c>
      <c r="S67" s="327" t="str">
        <f>IF(Q67=0,"",VLOOKUP(Q67,EDCC!A:E,5,FALSE))</f>
        <v/>
      </c>
      <c r="T67" t="s">
        <v>119</v>
      </c>
      <c r="V67" t="s">
        <v>115</v>
      </c>
      <c r="W67" s="324">
        <f>IF(TDCC!E66&gt;0,TDCC!A66,0)</f>
        <v>0</v>
      </c>
      <c r="X67" s="298" t="s">
        <v>117</v>
      </c>
      <c r="Y67" s="327" t="str">
        <f>IF(W67=0,"",VLOOKUP(W67,TDCC!A:E,5,FALSE))</f>
        <v/>
      </c>
      <c r="Z67" t="s">
        <v>119</v>
      </c>
    </row>
    <row r="68" spans="2:26">
      <c r="B68" t="s">
        <v>115</v>
      </c>
      <c r="C68" s="324">
        <f>IF(VDCC!B67&lt;4,VDCC!A67,0)</f>
        <v>0</v>
      </c>
      <c r="D68" s="298" t="s">
        <v>117</v>
      </c>
      <c r="E68" s="327" t="str">
        <f>IF(C68=0,"",VLOOKUP(C68,VDCC!A:B,2,FALSE))</f>
        <v/>
      </c>
      <c r="F68" t="s">
        <v>119</v>
      </c>
      <c r="J68" t="s">
        <v>115</v>
      </c>
      <c r="K68" s="324">
        <f>IF(VDCC!E67&gt;0,VDCC!A67,0)</f>
        <v>0</v>
      </c>
      <c r="L68" s="298" t="s">
        <v>117</v>
      </c>
      <c r="M68" s="327" t="str">
        <f>IF(K68=0,"",VLOOKUP(K68,VDCC!A:E,5,FALSE))</f>
        <v/>
      </c>
      <c r="N68" t="s">
        <v>119</v>
      </c>
      <c r="P68" t="s">
        <v>115</v>
      </c>
      <c r="Q68" s="324">
        <f>IF(EDCC!E67&gt;0,EDCC!A67,0)</f>
        <v>0</v>
      </c>
      <c r="R68" s="298" t="s">
        <v>117</v>
      </c>
      <c r="S68" s="327" t="str">
        <f>IF(Q68=0,"",VLOOKUP(Q68,EDCC!A:E,5,FALSE))</f>
        <v/>
      </c>
      <c r="T68" t="s">
        <v>119</v>
      </c>
      <c r="V68" t="s">
        <v>115</v>
      </c>
      <c r="W68" s="324">
        <f>IF(TDCC!E67&gt;0,TDCC!A67,0)</f>
        <v>0</v>
      </c>
      <c r="X68" s="298" t="s">
        <v>117</v>
      </c>
      <c r="Y68" s="327" t="str">
        <f>IF(W68=0,"",VLOOKUP(W68,TDCC!A:E,5,FALSE))</f>
        <v/>
      </c>
      <c r="Z68" t="s">
        <v>119</v>
      </c>
    </row>
    <row r="69" spans="2:26">
      <c r="B69" t="s">
        <v>115</v>
      </c>
      <c r="C69" s="324" t="str">
        <f>IF(VDCC!B68&lt;4,VDCC!A68,0)</f>
        <v>Xanadaria</v>
      </c>
      <c r="D69" s="298" t="s">
        <v>117</v>
      </c>
      <c r="E69" s="327">
        <f>IF(C69=0,"",VLOOKUP(C69,VDCC!A:B,2,FALSE))</f>
        <v>2</v>
      </c>
      <c r="F69" t="s">
        <v>119</v>
      </c>
      <c r="J69" t="s">
        <v>115</v>
      </c>
      <c r="K69" s="324">
        <f>IF(VDCC!E68&gt;0,VDCC!A68,0)</f>
        <v>0</v>
      </c>
      <c r="L69" s="298" t="s">
        <v>117</v>
      </c>
      <c r="M69" s="327" t="str">
        <f>IF(K69=0,"",VLOOKUP(K69,VDCC!A:E,5,FALSE))</f>
        <v/>
      </c>
      <c r="N69" t="s">
        <v>119</v>
      </c>
      <c r="P69" t="s">
        <v>115</v>
      </c>
      <c r="Q69" s="324">
        <f>IF(EDCC!E68&gt;0,EDCC!A68,0)</f>
        <v>0</v>
      </c>
      <c r="R69" s="298" t="s">
        <v>117</v>
      </c>
      <c r="S69" s="327" t="str">
        <f>IF(Q69=0,"",VLOOKUP(Q69,EDCC!A:E,5,FALSE))</f>
        <v/>
      </c>
      <c r="T69" t="s">
        <v>119</v>
      </c>
      <c r="V69" t="s">
        <v>115</v>
      </c>
      <c r="W69" s="324">
        <f>IF(TDCC!E68&gt;0,TDCC!A68,0)</f>
        <v>0</v>
      </c>
      <c r="X69" s="298" t="s">
        <v>117</v>
      </c>
      <c r="Y69" s="327" t="str">
        <f>IF(W69=0,"",VLOOKUP(W69,TDCC!A:E,5,FALSE))</f>
        <v/>
      </c>
      <c r="Z69" t="s">
        <v>119</v>
      </c>
    </row>
    <row r="70" spans="2:26">
      <c r="B70" t="s">
        <v>115</v>
      </c>
      <c r="C70" s="324">
        <f>IF(VDCC!B69&lt;4,VDCC!A69,0)</f>
        <v>0</v>
      </c>
      <c r="D70" s="298" t="s">
        <v>117</v>
      </c>
      <c r="E70" s="327" t="str">
        <f>IF(C70=0,"",VLOOKUP(C70,VDCC!A:B,2,FALSE))</f>
        <v/>
      </c>
      <c r="F70" t="s">
        <v>119</v>
      </c>
      <c r="J70" t="s">
        <v>115</v>
      </c>
      <c r="K70" s="324">
        <f>IF(VDCC!E69&gt;0,VDCC!A69,0)</f>
        <v>0</v>
      </c>
      <c r="L70" s="298" t="s">
        <v>117</v>
      </c>
      <c r="M70" s="327" t="str">
        <f>IF(K70=0,"",VLOOKUP(K70,VDCC!A:E,5,FALSE))</f>
        <v/>
      </c>
      <c r="N70" t="s">
        <v>119</v>
      </c>
      <c r="P70" t="s">
        <v>115</v>
      </c>
      <c r="Q70" s="324">
        <f>IF(EDCC!E69&gt;0,EDCC!A69,0)</f>
        <v>0</v>
      </c>
      <c r="R70" s="298" t="s">
        <v>117</v>
      </c>
      <c r="S70" s="327" t="str">
        <f>IF(Q70=0,"",VLOOKUP(Q70,EDCC!A:E,5,FALSE))</f>
        <v/>
      </c>
      <c r="T70" t="s">
        <v>119</v>
      </c>
      <c r="V70" t="s">
        <v>115</v>
      </c>
      <c r="W70" s="324">
        <f>IF(TDCC!E69&gt;0,TDCC!A69,0)</f>
        <v>0</v>
      </c>
      <c r="X70" s="298" t="s">
        <v>117</v>
      </c>
      <c r="Y70" s="327" t="str">
        <f>IF(W70=0,"",VLOOKUP(W70,TDCC!A:E,5,FALSE))</f>
        <v/>
      </c>
      <c r="Z70" t="s">
        <v>119</v>
      </c>
    </row>
    <row r="71" spans="2:26">
      <c r="B71" t="s">
        <v>115</v>
      </c>
      <c r="C71" s="324" t="str">
        <f>IF(VDCC!B70&lt;4,VDCC!A70,0)</f>
        <v>Xytree</v>
      </c>
      <c r="D71" s="298" t="s">
        <v>117</v>
      </c>
      <c r="E71" s="327">
        <f>IF(C71=0,"",VLOOKUP(C71,VDCC!A:B,2,FALSE))</f>
        <v>2</v>
      </c>
      <c r="F71" t="s">
        <v>119</v>
      </c>
      <c r="J71" t="s">
        <v>115</v>
      </c>
      <c r="K71" s="324">
        <f>IF(VDCC!E70&gt;0,VDCC!A70,0)</f>
        <v>0</v>
      </c>
      <c r="L71" s="298" t="s">
        <v>117</v>
      </c>
      <c r="M71" s="327" t="str">
        <f>IF(K71=0,"",VLOOKUP(K71,VDCC!A:E,5,FALSE))</f>
        <v/>
      </c>
      <c r="N71" t="s">
        <v>119</v>
      </c>
      <c r="P71" t="s">
        <v>115</v>
      </c>
      <c r="Q71" s="324">
        <f>IF(EDCC!E70&gt;0,EDCC!A70,0)</f>
        <v>0</v>
      </c>
      <c r="R71" s="298" t="s">
        <v>117</v>
      </c>
      <c r="S71" s="327" t="str">
        <f>IF(Q71=0,"",VLOOKUP(Q71,EDCC!A:E,5,FALSE))</f>
        <v/>
      </c>
      <c r="T71" t="s">
        <v>119</v>
      </c>
      <c r="V71" t="s">
        <v>115</v>
      </c>
      <c r="W71" s="324">
        <f>IF(TDCC!E70&gt;0,TDCC!A70,0)</f>
        <v>0</v>
      </c>
      <c r="X71" s="298" t="s">
        <v>117</v>
      </c>
      <c r="Y71" s="327" t="str">
        <f>IF(W71=0,"",VLOOKUP(W71,TDCC!A:E,5,FALSE))</f>
        <v/>
      </c>
      <c r="Z71" t="s">
        <v>119</v>
      </c>
    </row>
    <row r="72" spans="2:26">
      <c r="B72" t="s">
        <v>115</v>
      </c>
      <c r="C72" s="324">
        <f>IF(VDCC!B71&lt;4,VDCC!A71,0)</f>
        <v>0</v>
      </c>
      <c r="D72" s="298" t="s">
        <v>117</v>
      </c>
      <c r="E72" s="327" t="str">
        <f>IF(C72=0,"",VLOOKUP(C72,VDCC!A:B,2,FALSE))</f>
        <v/>
      </c>
      <c r="F72" t="s">
        <v>119</v>
      </c>
      <c r="J72" t="s">
        <v>115</v>
      </c>
      <c r="K72" s="324">
        <f>IF(VDCC!E71&gt;0,VDCC!A71,0)</f>
        <v>0</v>
      </c>
      <c r="L72" s="298" t="s">
        <v>117</v>
      </c>
      <c r="M72" s="327" t="str">
        <f>IF(K72=0,"",VLOOKUP(K72,VDCC!A:E,5,FALSE))</f>
        <v/>
      </c>
      <c r="N72" t="s">
        <v>119</v>
      </c>
      <c r="P72" t="s">
        <v>115</v>
      </c>
      <c r="Q72" s="324">
        <f>IF(EDCC!E71&gt;0,EDCC!A71,0)</f>
        <v>0</v>
      </c>
      <c r="R72" s="298" t="s">
        <v>117</v>
      </c>
      <c r="S72" s="327" t="str">
        <f>IF(Q72=0,"",VLOOKUP(Q72,EDCC!A:E,5,FALSE))</f>
        <v/>
      </c>
      <c r="T72" t="s">
        <v>119</v>
      </c>
      <c r="V72" t="s">
        <v>115</v>
      </c>
      <c r="W72" s="324">
        <f>IF(TDCC!E71&gt;0,TDCC!A71,0)</f>
        <v>0</v>
      </c>
      <c r="X72" s="298" t="s">
        <v>117</v>
      </c>
      <c r="Y72" s="327" t="str">
        <f>IF(W72=0,"",VLOOKUP(W72,TDCC!A:E,5,FALSE))</f>
        <v/>
      </c>
      <c r="Z72" t="s">
        <v>119</v>
      </c>
    </row>
    <row r="73" spans="2:26">
      <c r="B73" t="s">
        <v>115</v>
      </c>
      <c r="C73" s="324">
        <f>IF(VDCC!B72&lt;4,VDCC!A72,0)</f>
        <v>0</v>
      </c>
      <c r="D73" s="298" t="s">
        <v>117</v>
      </c>
      <c r="E73" s="327" t="str">
        <f>IF(C73=0,"",VLOOKUP(C73,VDCC!A:B,2,FALSE))</f>
        <v/>
      </c>
      <c r="F73" t="s">
        <v>119</v>
      </c>
      <c r="J73" t="s">
        <v>115</v>
      </c>
      <c r="K73" s="324">
        <f>IF(VDCC!E72&gt;0,VDCC!A72,0)</f>
        <v>0</v>
      </c>
      <c r="L73" s="298" t="s">
        <v>117</v>
      </c>
      <c r="M73" s="327" t="str">
        <f>IF(K73=0,"",VLOOKUP(K73,VDCC!A:E,5,FALSE))</f>
        <v/>
      </c>
      <c r="N73" t="s">
        <v>119</v>
      </c>
      <c r="P73" t="s">
        <v>115</v>
      </c>
      <c r="Q73" s="324">
        <f>IF(EDCC!E72&gt;0,EDCC!A72,0)</f>
        <v>0</v>
      </c>
      <c r="R73" s="298" t="s">
        <v>117</v>
      </c>
      <c r="S73" s="327" t="str">
        <f>IF(Q73=0,"",VLOOKUP(Q73,EDCC!A:E,5,FALSE))</f>
        <v/>
      </c>
      <c r="T73" t="s">
        <v>119</v>
      </c>
      <c r="V73" t="s">
        <v>115</v>
      </c>
      <c r="W73" s="324">
        <f>IF(TDCC!E72&gt;0,TDCC!A72,0)</f>
        <v>0</v>
      </c>
      <c r="X73" s="298" t="s">
        <v>117</v>
      </c>
      <c r="Y73" s="327" t="str">
        <f>IF(W73=0,"",VLOOKUP(W73,TDCC!A:E,5,FALSE))</f>
        <v/>
      </c>
      <c r="Z73" t="s">
        <v>119</v>
      </c>
    </row>
    <row r="74" spans="2:26">
      <c r="B74" t="s">
        <v>115</v>
      </c>
      <c r="C74" s="324" t="str">
        <f>IF(VDCC!B73&lt;4,VDCC!A73,0)</f>
        <v>Zantias</v>
      </c>
      <c r="D74" s="298" t="s">
        <v>117</v>
      </c>
      <c r="E74" s="327">
        <f>IF(C74=0,"",VLOOKUP(C74,VDCC!A:B,2,FALSE))</f>
        <v>0</v>
      </c>
      <c r="F74" t="s">
        <v>119</v>
      </c>
      <c r="J74" t="s">
        <v>115</v>
      </c>
      <c r="K74" s="324">
        <f>IF(VDCC!E73&gt;0,VDCC!A73,0)</f>
        <v>0</v>
      </c>
      <c r="L74" s="298" t="s">
        <v>117</v>
      </c>
      <c r="M74" s="327" t="str">
        <f>IF(K74=0,"",VLOOKUP(K74,VDCC!A:E,5,FALSE))</f>
        <v/>
      </c>
      <c r="N74" t="s">
        <v>119</v>
      </c>
      <c r="P74" t="s">
        <v>115</v>
      </c>
      <c r="Q74" s="324">
        <f>IF(EDCC!E73&gt;0,EDCC!A73,0)</f>
        <v>0</v>
      </c>
      <c r="R74" s="298" t="s">
        <v>117</v>
      </c>
      <c r="S74" s="327" t="str">
        <f>IF(Q74=0,"",VLOOKUP(Q74,EDCC!A:E,5,FALSE))</f>
        <v/>
      </c>
      <c r="T74" t="s">
        <v>119</v>
      </c>
      <c r="V74" t="s">
        <v>115</v>
      </c>
      <c r="W74" s="324">
        <f>IF(TDCC!E73&gt;0,TDCC!A73,0)</f>
        <v>0</v>
      </c>
      <c r="X74" s="298" t="s">
        <v>117</v>
      </c>
      <c r="Y74" s="327" t="str">
        <f>IF(W74=0,"",VLOOKUP(W74,TDCC!A:E,5,FALSE))</f>
        <v/>
      </c>
      <c r="Z74" t="s">
        <v>119</v>
      </c>
    </row>
    <row r="75" spans="2:26">
      <c r="B75" t="s">
        <v>115</v>
      </c>
      <c r="C75" s="324">
        <f>IF(VDCC!B74&lt;4,VDCC!A74,0)</f>
        <v>0</v>
      </c>
      <c r="D75" s="298" t="s">
        <v>117</v>
      </c>
      <c r="E75" s="327" t="str">
        <f>IF(C75=0,"",VLOOKUP(C75,VDCC!A:B,2,FALSE))</f>
        <v/>
      </c>
      <c r="F75" t="s">
        <v>119</v>
      </c>
      <c r="J75" t="s">
        <v>115</v>
      </c>
      <c r="K75" s="324">
        <f>IF(VDCC!E74&gt;0,VDCC!A74,0)</f>
        <v>0</v>
      </c>
      <c r="L75" s="298" t="s">
        <v>117</v>
      </c>
      <c r="M75" s="327" t="str">
        <f>IF(K75=0,"",VLOOKUP(K75,VDCC!A:E,5,FALSE))</f>
        <v/>
      </c>
      <c r="N75" t="s">
        <v>119</v>
      </c>
      <c r="P75" t="s">
        <v>115</v>
      </c>
      <c r="Q75" s="324">
        <f>IF(EDCC!E74&gt;0,EDCC!A74,0)</f>
        <v>0</v>
      </c>
      <c r="R75" s="298" t="s">
        <v>117</v>
      </c>
      <c r="S75" s="327" t="str">
        <f>IF(Q75=0,"",VLOOKUP(Q75,EDCC!A:E,5,FALSE))</f>
        <v/>
      </c>
      <c r="T75" t="s">
        <v>119</v>
      </c>
      <c r="V75" t="s">
        <v>115</v>
      </c>
      <c r="W75" s="324">
        <f>IF(TDCC!E74&gt;0,TDCC!A74,0)</f>
        <v>0</v>
      </c>
      <c r="X75" s="298" t="s">
        <v>117</v>
      </c>
      <c r="Y75" s="327" t="str">
        <f>IF(W75=0,"",VLOOKUP(W75,TDCC!A:E,5,FALSE))</f>
        <v/>
      </c>
      <c r="Z75" t="s">
        <v>119</v>
      </c>
    </row>
    <row r="76" spans="2:26">
      <c r="B76" t="s">
        <v>115</v>
      </c>
      <c r="C76" s="324">
        <f>IF(VDCC!B75&lt;4,VDCC!A75,0)</f>
        <v>0</v>
      </c>
      <c r="D76" s="298" t="s">
        <v>117</v>
      </c>
      <c r="E76" s="327" t="str">
        <f>IF(C76=0,"",VLOOKUP(C76,VDCC!A:B,2,FALSE))</f>
        <v/>
      </c>
      <c r="F76" t="s">
        <v>119</v>
      </c>
      <c r="J76" t="s">
        <v>115</v>
      </c>
      <c r="K76" s="324">
        <f>IF(VDCC!E75&gt;0,VDCC!A75,0)</f>
        <v>0</v>
      </c>
      <c r="L76" s="298" t="s">
        <v>117</v>
      </c>
      <c r="M76" s="327" t="str">
        <f>IF(K76=0,"",VLOOKUP(K76,VDCC!A:E,5,FALSE))</f>
        <v/>
      </c>
      <c r="N76" t="s">
        <v>119</v>
      </c>
      <c r="P76" t="s">
        <v>115</v>
      </c>
      <c r="Q76" s="324">
        <f>IF(EDCC!E75&gt;0,EDCC!A75,0)</f>
        <v>0</v>
      </c>
      <c r="R76" s="298" t="s">
        <v>117</v>
      </c>
      <c r="S76" s="327" t="str">
        <f>IF(Q76=0,"",VLOOKUP(Q76,EDCC!A:E,5,FALSE))</f>
        <v/>
      </c>
      <c r="T76" t="s">
        <v>119</v>
      </c>
      <c r="V76" t="s">
        <v>115</v>
      </c>
      <c r="W76" s="324">
        <f>IF(TDCC!E75&gt;0,TDCC!A75,0)</f>
        <v>0</v>
      </c>
      <c r="X76" s="298" t="s">
        <v>117</v>
      </c>
      <c r="Y76" s="327" t="str">
        <f>IF(W76=0,"",VLOOKUP(W76,TDCC!A:E,5,FALSE))</f>
        <v/>
      </c>
      <c r="Z76" t="s">
        <v>119</v>
      </c>
    </row>
    <row r="77" spans="2:26">
      <c r="B77" t="s">
        <v>115</v>
      </c>
      <c r="C77" s="324">
        <f>IF(VDCC!B76&lt;4,VDCC!A76,0)</f>
        <v>0</v>
      </c>
      <c r="D77" s="298" t="s">
        <v>117</v>
      </c>
      <c r="E77" s="327" t="str">
        <f>IF(C77=0,"",VLOOKUP(C77,VDCC!A:B,2,FALSE))</f>
        <v/>
      </c>
      <c r="F77" t="s">
        <v>119</v>
      </c>
      <c r="J77" t="s">
        <v>115</v>
      </c>
      <c r="K77" s="324">
        <f>IF(VDCC!E76&gt;0,VDCC!A76,0)</f>
        <v>0</v>
      </c>
      <c r="L77" s="298" t="s">
        <v>117</v>
      </c>
      <c r="M77" s="327" t="str">
        <f>IF(K77=0,"",VLOOKUP(K77,VDCC!A:E,5,FALSE))</f>
        <v/>
      </c>
      <c r="N77" t="s">
        <v>119</v>
      </c>
      <c r="P77" t="s">
        <v>115</v>
      </c>
      <c r="Q77" s="324">
        <f>IF(EDCC!E76&gt;0,EDCC!A76,0)</f>
        <v>0</v>
      </c>
      <c r="R77" s="298" t="s">
        <v>117</v>
      </c>
      <c r="S77" s="327" t="str">
        <f>IF(Q77=0,"",VLOOKUP(Q77,EDCC!A:E,5,FALSE))</f>
        <v/>
      </c>
      <c r="T77" t="s">
        <v>119</v>
      </c>
      <c r="V77" t="s">
        <v>115</v>
      </c>
      <c r="W77" s="324">
        <f>IF(TDCC!E76&gt;0,TDCC!A76,0)</f>
        <v>0</v>
      </c>
      <c r="X77" s="298" t="s">
        <v>117</v>
      </c>
      <c r="Y77" s="327" t="str">
        <f>IF(W77=0,"",VLOOKUP(W77,TDCC!A:E,5,FALSE))</f>
        <v/>
      </c>
      <c r="Z77" t="s">
        <v>119</v>
      </c>
    </row>
    <row r="78" spans="2:26">
      <c r="B78" t="s">
        <v>115</v>
      </c>
      <c r="C78" s="324">
        <f>IF(VDCC!B77&lt;4,VDCC!A77,0)</f>
        <v>0</v>
      </c>
      <c r="D78" s="298" t="s">
        <v>117</v>
      </c>
      <c r="E78" s="327" t="str">
        <f>IF(C78=0,"",VLOOKUP(C78,VDCC!A:B,2,FALSE))</f>
        <v/>
      </c>
      <c r="F78" t="s">
        <v>119</v>
      </c>
      <c r="J78" t="s">
        <v>115</v>
      </c>
      <c r="K78" s="324">
        <f>IF(VDCC!E77&gt;0,VDCC!A77,0)</f>
        <v>0</v>
      </c>
      <c r="L78" s="298" t="s">
        <v>117</v>
      </c>
      <c r="M78" s="327" t="str">
        <f>IF(K78=0,"",VLOOKUP(K78,VDCC!A:E,5,FALSE))</f>
        <v/>
      </c>
      <c r="N78" t="s">
        <v>119</v>
      </c>
      <c r="P78" t="s">
        <v>115</v>
      </c>
      <c r="Q78" s="324">
        <f>IF(EDCC!E77&gt;0,EDCC!A77,0)</f>
        <v>0</v>
      </c>
      <c r="R78" s="298" t="s">
        <v>117</v>
      </c>
      <c r="S78" s="327" t="str">
        <f>IF(Q78=0,"",VLOOKUP(Q78,EDCC!A:E,5,FALSE))</f>
        <v/>
      </c>
      <c r="T78" t="s">
        <v>119</v>
      </c>
      <c r="V78" t="s">
        <v>115</v>
      </c>
      <c r="W78" s="324">
        <f>IF(TDCC!E77&gt;0,TDCC!A77,0)</f>
        <v>0</v>
      </c>
      <c r="X78" s="298" t="s">
        <v>117</v>
      </c>
      <c r="Y78" s="327" t="str">
        <f>IF(W78=0,"",VLOOKUP(W78,TDCC!A:E,5,FALSE))</f>
        <v/>
      </c>
      <c r="Z78" t="s">
        <v>119</v>
      </c>
    </row>
    <row r="79" spans="2:26">
      <c r="B79" t="s">
        <v>115</v>
      </c>
      <c r="C79" s="324">
        <f>IF(VDCC!B78&lt;4,VDCC!A78,0)</f>
        <v>0</v>
      </c>
      <c r="D79" s="298" t="s">
        <v>117</v>
      </c>
      <c r="E79" s="327" t="str">
        <f>IF(C79=0,"",VLOOKUP(C79,VDCC!A:B,2,FALSE))</f>
        <v/>
      </c>
      <c r="F79" t="s">
        <v>119</v>
      </c>
      <c r="J79" t="s">
        <v>115</v>
      </c>
      <c r="K79" s="324">
        <f>IF(VDCC!E78&gt;0,VDCC!A78,0)</f>
        <v>0</v>
      </c>
      <c r="L79" s="298" t="s">
        <v>117</v>
      </c>
      <c r="M79" s="327" t="str">
        <f>IF(K79=0,"",VLOOKUP(K79,VDCC!A:E,5,FALSE))</f>
        <v/>
      </c>
      <c r="N79" t="s">
        <v>119</v>
      </c>
      <c r="P79" t="s">
        <v>115</v>
      </c>
      <c r="Q79" s="324">
        <f>IF(EDCC!E78&gt;0,EDCC!A78,0)</f>
        <v>0</v>
      </c>
      <c r="R79" s="298" t="s">
        <v>117</v>
      </c>
      <c r="S79" s="327" t="str">
        <f>IF(Q79=0,"",VLOOKUP(Q79,EDCC!A:E,5,FALSE))</f>
        <v/>
      </c>
      <c r="T79" t="s">
        <v>119</v>
      </c>
      <c r="V79" t="s">
        <v>115</v>
      </c>
      <c r="W79" s="324">
        <f>IF(TDCC!E78&gt;0,TDCC!A78,0)</f>
        <v>0</v>
      </c>
      <c r="X79" s="298" t="s">
        <v>117</v>
      </c>
      <c r="Y79" s="327" t="str">
        <f>IF(W79=0,"",VLOOKUP(W79,TDCC!A:E,5,FALSE))</f>
        <v/>
      </c>
      <c r="Z79" t="s">
        <v>119</v>
      </c>
    </row>
    <row r="80" spans="2:26">
      <c r="B80" t="s">
        <v>115</v>
      </c>
      <c r="C80" s="324">
        <f>IF(VDCC!B79&lt;4,VDCC!A79,0)</f>
        <v>0</v>
      </c>
      <c r="D80" s="298" t="s">
        <v>117</v>
      </c>
      <c r="E80" s="327" t="str">
        <f>IF(C80=0,"",VLOOKUP(C80,VDCC!A:B,2,FALSE))</f>
        <v/>
      </c>
      <c r="F80" t="s">
        <v>119</v>
      </c>
      <c r="J80" t="s">
        <v>115</v>
      </c>
      <c r="K80" s="324">
        <f>IF(VDCC!E79&gt;0,VDCC!A79,0)</f>
        <v>0</v>
      </c>
      <c r="L80" s="298" t="s">
        <v>117</v>
      </c>
      <c r="M80" s="327" t="str">
        <f>IF(K80=0,"",VLOOKUP(K80,VDCC!A:E,5,FALSE))</f>
        <v/>
      </c>
      <c r="N80" t="s">
        <v>119</v>
      </c>
      <c r="P80" t="s">
        <v>115</v>
      </c>
      <c r="Q80" s="324">
        <f>IF(EDCC!E79&gt;0,EDCC!A79,0)</f>
        <v>0</v>
      </c>
      <c r="R80" s="298" t="s">
        <v>117</v>
      </c>
      <c r="S80" s="327" t="str">
        <f>IF(Q80=0,"",VLOOKUP(Q80,EDCC!A:E,5,FALSE))</f>
        <v/>
      </c>
      <c r="T80" t="s">
        <v>119</v>
      </c>
      <c r="V80" t="s">
        <v>115</v>
      </c>
      <c r="W80" s="324">
        <f>IF(TDCC!E79&gt;0,TDCC!A79,0)</f>
        <v>0</v>
      </c>
      <c r="X80" s="298" t="s">
        <v>117</v>
      </c>
      <c r="Y80" s="327" t="str">
        <f>IF(W80=0,"",VLOOKUP(W80,TDCC!A:E,5,FALSE))</f>
        <v/>
      </c>
      <c r="Z80" t="s">
        <v>119</v>
      </c>
    </row>
    <row r="81" spans="2:26">
      <c r="B81" t="s">
        <v>115</v>
      </c>
      <c r="C81" s="324">
        <f>IF(VDCC!B80&lt;4,VDCC!A80,0)</f>
        <v>0</v>
      </c>
      <c r="D81" s="298" t="s">
        <v>117</v>
      </c>
      <c r="E81" s="327" t="str">
        <f>IF(C81=0,"",VLOOKUP(C81,VDCC!A:B,2,FALSE))</f>
        <v/>
      </c>
      <c r="F81" t="s">
        <v>119</v>
      </c>
      <c r="J81" t="s">
        <v>115</v>
      </c>
      <c r="K81" s="324">
        <f>IF(VDCC!E80&gt;0,VDCC!A80,0)</f>
        <v>0</v>
      </c>
      <c r="L81" s="298" t="s">
        <v>117</v>
      </c>
      <c r="M81" s="327" t="str">
        <f>IF(K81=0,"",VLOOKUP(K81,VDCC!A:E,5,FALSE))</f>
        <v/>
      </c>
      <c r="N81" t="s">
        <v>119</v>
      </c>
      <c r="P81" t="s">
        <v>115</v>
      </c>
      <c r="Q81" s="324">
        <f>IF(EDCC!E80&gt;0,EDCC!A80,0)</f>
        <v>0</v>
      </c>
      <c r="R81" s="298" t="s">
        <v>117</v>
      </c>
      <c r="S81" s="327" t="str">
        <f>IF(Q81=0,"",VLOOKUP(Q81,EDCC!A:E,5,FALSE))</f>
        <v/>
      </c>
      <c r="T81" t="s">
        <v>119</v>
      </c>
      <c r="V81" t="s">
        <v>115</v>
      </c>
      <c r="W81" s="324">
        <f>IF(TDCC!E80&gt;0,TDCC!A80,0)</f>
        <v>0</v>
      </c>
      <c r="X81" s="298" t="s">
        <v>117</v>
      </c>
      <c r="Y81" s="327" t="str">
        <f>IF(W81=0,"",VLOOKUP(W81,TDCC!A:E,5,FALSE))</f>
        <v/>
      </c>
      <c r="Z81" t="s">
        <v>119</v>
      </c>
    </row>
    <row r="82" spans="2:26">
      <c r="B82" t="s">
        <v>115</v>
      </c>
      <c r="C82" s="324">
        <f>IF(VDCC!B81&lt;4,VDCC!A81,0)</f>
        <v>0</v>
      </c>
      <c r="D82" s="298" t="s">
        <v>117</v>
      </c>
      <c r="E82" s="327" t="str">
        <f>IF(C82=0,"",VLOOKUP(C82,VDCC!A:B,2,FALSE))</f>
        <v/>
      </c>
      <c r="F82" t="s">
        <v>119</v>
      </c>
      <c r="J82" t="s">
        <v>115</v>
      </c>
      <c r="K82" s="324">
        <f>IF(VDCC!E81&gt;0,VDCC!A81,0)</f>
        <v>0</v>
      </c>
      <c r="L82" s="298" t="s">
        <v>117</v>
      </c>
      <c r="M82" s="327" t="str">
        <f>IF(K82=0,"",VLOOKUP(K82,VDCC!A:E,5,FALSE))</f>
        <v/>
      </c>
      <c r="N82" t="s">
        <v>119</v>
      </c>
      <c r="P82" t="s">
        <v>115</v>
      </c>
      <c r="Q82" s="324">
        <f>IF(EDCC!E81&gt;0,EDCC!A81,0)</f>
        <v>0</v>
      </c>
      <c r="R82" s="298" t="s">
        <v>117</v>
      </c>
      <c r="S82" s="327" t="str">
        <f>IF(Q82=0,"",VLOOKUP(Q82,EDCC!A:E,5,FALSE))</f>
        <v/>
      </c>
      <c r="T82" t="s">
        <v>119</v>
      </c>
      <c r="V82" t="s">
        <v>115</v>
      </c>
      <c r="W82" s="324">
        <f>IF(TDCC!E81&gt;0,TDCC!A81,0)</f>
        <v>0</v>
      </c>
      <c r="X82" s="298" t="s">
        <v>117</v>
      </c>
      <c r="Y82" s="327" t="str">
        <f>IF(W82=0,"",VLOOKUP(W82,TDCC!A:E,5,FALSE))</f>
        <v/>
      </c>
      <c r="Z82" t="s">
        <v>119</v>
      </c>
    </row>
    <row r="83" spans="2:26">
      <c r="B83" t="s">
        <v>115</v>
      </c>
      <c r="C83" s="324">
        <f>IF(VDCC!B82&lt;4,VDCC!A82,0)</f>
        <v>0</v>
      </c>
      <c r="D83" s="298" t="s">
        <v>117</v>
      </c>
      <c r="E83" s="327" t="str">
        <f>IF(C83=0,"",VLOOKUP(C83,VDCC!A:B,2,FALSE))</f>
        <v/>
      </c>
      <c r="F83" t="s">
        <v>119</v>
      </c>
      <c r="J83" t="s">
        <v>115</v>
      </c>
      <c r="K83" s="324">
        <f>IF(VDCC!E82&gt;0,VDCC!A82,0)</f>
        <v>0</v>
      </c>
      <c r="L83" s="298" t="s">
        <v>117</v>
      </c>
      <c r="M83" s="327" t="str">
        <f>IF(K83=0,"",VLOOKUP(K83,VDCC!A:E,5,FALSE))</f>
        <v/>
      </c>
      <c r="N83" t="s">
        <v>119</v>
      </c>
      <c r="P83" t="s">
        <v>115</v>
      </c>
      <c r="Q83" s="324">
        <f>IF(EDCC!E82&gt;0,EDCC!A82,0)</f>
        <v>0</v>
      </c>
      <c r="R83" s="298" t="s">
        <v>117</v>
      </c>
      <c r="S83" s="327" t="str">
        <f>IF(Q83=0,"",VLOOKUP(Q83,EDCC!A:E,5,FALSE))</f>
        <v/>
      </c>
      <c r="T83" t="s">
        <v>119</v>
      </c>
      <c r="V83" t="s">
        <v>115</v>
      </c>
      <c r="W83" s="324">
        <f>IF(TDCC!E82&gt;0,TDCC!A82,0)</f>
        <v>0</v>
      </c>
      <c r="X83" s="298" t="s">
        <v>117</v>
      </c>
      <c r="Y83" s="327" t="str">
        <f>IF(W83=0,"",VLOOKUP(W83,TDCC!A:E,5,FALSE))</f>
        <v/>
      </c>
      <c r="Z83" t="s">
        <v>119</v>
      </c>
    </row>
    <row r="84" spans="2:26">
      <c r="B84" t="s">
        <v>115</v>
      </c>
      <c r="C84" s="324">
        <f>IF(VDCC!B83&lt;4,VDCC!A83,0)</f>
        <v>0</v>
      </c>
      <c r="D84" s="298" t="s">
        <v>117</v>
      </c>
      <c r="E84" s="327" t="str">
        <f>IF(C84=0,"",VLOOKUP(C84,VDCC!A:B,2,FALSE))</f>
        <v/>
      </c>
      <c r="F84" t="s">
        <v>119</v>
      </c>
      <c r="J84" t="s">
        <v>115</v>
      </c>
      <c r="K84" s="324">
        <f>IF(VDCC!E83&gt;0,VDCC!A83,0)</f>
        <v>0</v>
      </c>
      <c r="L84" s="298" t="s">
        <v>117</v>
      </c>
      <c r="M84" s="327" t="str">
        <f>IF(K84=0,"",VLOOKUP(K84,VDCC!A:E,5,FALSE))</f>
        <v/>
      </c>
      <c r="N84" t="s">
        <v>119</v>
      </c>
      <c r="P84" t="s">
        <v>115</v>
      </c>
      <c r="Q84" s="324">
        <f>IF(EDCC!E83&gt;0,EDCC!A83,0)</f>
        <v>0</v>
      </c>
      <c r="R84" s="298" t="s">
        <v>117</v>
      </c>
      <c r="S84" s="327" t="str">
        <f>IF(Q84=0,"",VLOOKUP(Q84,EDCC!A:E,5,FALSE))</f>
        <v/>
      </c>
      <c r="T84" t="s">
        <v>119</v>
      </c>
      <c r="V84" t="s">
        <v>115</v>
      </c>
      <c r="W84" s="324">
        <f>IF(TDCC!E83&gt;0,TDCC!A83,0)</f>
        <v>0</v>
      </c>
      <c r="X84" s="298" t="s">
        <v>117</v>
      </c>
      <c r="Y84" s="327" t="str">
        <f>IF(W84=0,"",VLOOKUP(W84,TDCC!A:E,5,FALSE))</f>
        <v/>
      </c>
      <c r="Z84" t="s">
        <v>119</v>
      </c>
    </row>
    <row r="85" spans="2:26">
      <c r="B85" t="s">
        <v>115</v>
      </c>
      <c r="C85" s="324">
        <f>IF(VDCC!B84&lt;4,VDCC!A84,0)</f>
        <v>0</v>
      </c>
      <c r="D85" s="298" t="s">
        <v>117</v>
      </c>
      <c r="E85" s="327" t="str">
        <f>IF(C85=0,"",VLOOKUP(C85,VDCC!A:B,2,FALSE))</f>
        <v/>
      </c>
      <c r="F85" t="s">
        <v>119</v>
      </c>
      <c r="J85" t="s">
        <v>115</v>
      </c>
      <c r="K85" s="324">
        <f>IF(VDCC!E84&gt;0,VDCC!A84,0)</f>
        <v>0</v>
      </c>
      <c r="L85" s="298" t="s">
        <v>117</v>
      </c>
      <c r="M85" s="327" t="str">
        <f>IF(K85=0,"",VLOOKUP(K85,VDCC!A:E,5,FALSE))</f>
        <v/>
      </c>
      <c r="N85" t="s">
        <v>119</v>
      </c>
      <c r="P85" t="s">
        <v>115</v>
      </c>
      <c r="Q85" s="324">
        <f>IF(EDCC!E84&gt;0,EDCC!A84,0)</f>
        <v>0</v>
      </c>
      <c r="R85" s="298" t="s">
        <v>117</v>
      </c>
      <c r="S85" s="327" t="str">
        <f>IF(Q85=0,"",VLOOKUP(Q85,EDCC!A:E,5,FALSE))</f>
        <v/>
      </c>
      <c r="T85" t="s">
        <v>119</v>
      </c>
      <c r="V85" t="s">
        <v>115</v>
      </c>
      <c r="W85" s="324">
        <f>IF(TDCC!E84&gt;0,TDCC!A84,0)</f>
        <v>0</v>
      </c>
      <c r="X85" s="298" t="s">
        <v>117</v>
      </c>
      <c r="Y85" s="327" t="str">
        <f>IF(W85=0,"",VLOOKUP(W85,TDCC!A:E,5,FALSE))</f>
        <v/>
      </c>
      <c r="Z85" t="s">
        <v>119</v>
      </c>
    </row>
    <row r="86" spans="2:26">
      <c r="B86" t="s">
        <v>115</v>
      </c>
      <c r="C86" s="324">
        <f>IF(VDCC!B85&lt;4,VDCC!A85,0)</f>
        <v>0</v>
      </c>
      <c r="D86" s="298" t="s">
        <v>117</v>
      </c>
      <c r="E86" s="327" t="str">
        <f>IF(C86=0,"",VLOOKUP(C86,VDCC!A:B,2,FALSE))</f>
        <v/>
      </c>
      <c r="F86" t="s">
        <v>119</v>
      </c>
      <c r="J86" t="s">
        <v>115</v>
      </c>
      <c r="K86" s="324">
        <f>IF(VDCC!E85&gt;0,VDCC!A85,0)</f>
        <v>0</v>
      </c>
      <c r="L86" s="298" t="s">
        <v>117</v>
      </c>
      <c r="M86" s="327" t="str">
        <f>IF(K86=0,"",VLOOKUP(K86,VDCC!A:E,5,FALSE))</f>
        <v/>
      </c>
      <c r="N86" t="s">
        <v>119</v>
      </c>
      <c r="P86" t="s">
        <v>115</v>
      </c>
      <c r="Q86" s="324">
        <f>IF(EDCC!E85&gt;0,EDCC!A85,0)</f>
        <v>0</v>
      </c>
      <c r="R86" s="298" t="s">
        <v>117</v>
      </c>
      <c r="S86" s="327" t="str">
        <f>IF(Q86=0,"",VLOOKUP(Q86,EDCC!A:E,5,FALSE))</f>
        <v/>
      </c>
      <c r="T86" t="s">
        <v>119</v>
      </c>
      <c r="V86" t="s">
        <v>115</v>
      </c>
      <c r="W86" s="324">
        <f>IF(TDCC!E85&gt;0,TDCC!A85,0)</f>
        <v>0</v>
      </c>
      <c r="X86" s="298" t="s">
        <v>117</v>
      </c>
      <c r="Y86" s="327" t="str">
        <f>IF(W86=0,"",VLOOKUP(W86,TDCC!A:E,5,FALSE))</f>
        <v/>
      </c>
      <c r="Z86" t="s">
        <v>119</v>
      </c>
    </row>
    <row r="87" spans="2:26">
      <c r="B87" t="s">
        <v>115</v>
      </c>
      <c r="C87" s="324">
        <f>IF(VDCC!B86&lt;4,VDCC!A86,0)</f>
        <v>0</v>
      </c>
      <c r="D87" s="298" t="s">
        <v>117</v>
      </c>
      <c r="E87" s="327" t="str">
        <f>IF(C87=0,"",VLOOKUP(C87,VDCC!A:B,2,FALSE))</f>
        <v/>
      </c>
      <c r="F87" t="s">
        <v>119</v>
      </c>
      <c r="J87" t="s">
        <v>115</v>
      </c>
      <c r="K87" s="324">
        <f>IF(VDCC!E86&gt;0,VDCC!A86,0)</f>
        <v>0</v>
      </c>
      <c r="L87" s="298" t="s">
        <v>117</v>
      </c>
      <c r="M87" s="327" t="str">
        <f>IF(K87=0,"",VLOOKUP(K87,VDCC!A:E,5,FALSE))</f>
        <v/>
      </c>
      <c r="N87" t="s">
        <v>119</v>
      </c>
      <c r="P87" t="s">
        <v>115</v>
      </c>
      <c r="Q87" s="324">
        <f>IF(EDCC!E86&gt;0,EDCC!A86,0)</f>
        <v>0</v>
      </c>
      <c r="R87" s="298" t="s">
        <v>117</v>
      </c>
      <c r="S87" s="327" t="str">
        <f>IF(Q87=0,"",VLOOKUP(Q87,EDCC!A:E,5,FALSE))</f>
        <v/>
      </c>
      <c r="T87" t="s">
        <v>119</v>
      </c>
      <c r="V87" t="s">
        <v>115</v>
      </c>
      <c r="W87" s="324">
        <f>IF(TDCC!E86&gt;0,TDCC!A86,0)</f>
        <v>0</v>
      </c>
      <c r="X87" s="298" t="s">
        <v>117</v>
      </c>
      <c r="Y87" s="327" t="str">
        <f>IF(W87=0,"",VLOOKUP(W87,TDCC!A:E,5,FALSE))</f>
        <v/>
      </c>
      <c r="Z87" t="s">
        <v>119</v>
      </c>
    </row>
    <row r="88" spans="2:26">
      <c r="B88" t="s">
        <v>115</v>
      </c>
      <c r="C88" s="324">
        <f>IF(VDCC!B87&lt;4,VDCC!A87,0)</f>
        <v>0</v>
      </c>
      <c r="D88" s="298" t="s">
        <v>117</v>
      </c>
      <c r="E88" s="327" t="str">
        <f>IF(C88=0,"",VLOOKUP(C88,VDCC!A:B,2,FALSE))</f>
        <v/>
      </c>
      <c r="F88" t="s">
        <v>119</v>
      </c>
      <c r="J88" t="s">
        <v>115</v>
      </c>
      <c r="K88" s="324">
        <f>IF(VDCC!E87&gt;0,VDCC!A87,0)</f>
        <v>0</v>
      </c>
      <c r="L88" s="298" t="s">
        <v>117</v>
      </c>
      <c r="M88" s="327" t="str">
        <f>IF(K88=0,"",VLOOKUP(K88,VDCC!A:E,5,FALSE))</f>
        <v/>
      </c>
      <c r="N88" t="s">
        <v>119</v>
      </c>
      <c r="P88" t="s">
        <v>115</v>
      </c>
      <c r="Q88" s="324">
        <f>IF(EDCC!E87&gt;0,EDCC!A87,0)</f>
        <v>0</v>
      </c>
      <c r="R88" s="298" t="s">
        <v>117</v>
      </c>
      <c r="S88" s="327" t="str">
        <f>IF(Q88=0,"",VLOOKUP(Q88,EDCC!A:E,5,FALSE))</f>
        <v/>
      </c>
      <c r="T88" t="s">
        <v>119</v>
      </c>
      <c r="V88" t="s">
        <v>115</v>
      </c>
      <c r="W88" s="324">
        <f>IF(TDCC!E87&gt;0,TDCC!A87,0)</f>
        <v>0</v>
      </c>
      <c r="X88" s="298" t="s">
        <v>117</v>
      </c>
      <c r="Y88" s="327" t="str">
        <f>IF(W88=0,"",VLOOKUP(W88,TDCC!A:E,5,FALSE))</f>
        <v/>
      </c>
      <c r="Z88" t="s">
        <v>119</v>
      </c>
    </row>
    <row r="89" spans="2:26">
      <c r="B89" t="s">
        <v>115</v>
      </c>
      <c r="C89" s="324">
        <f>IF(VDCC!B88&lt;4,VDCC!A88,0)</f>
        <v>0</v>
      </c>
      <c r="D89" s="298" t="s">
        <v>117</v>
      </c>
      <c r="E89" s="327" t="str">
        <f>IF(C89=0,"",VLOOKUP(C89,VDCC!A:B,2,FALSE))</f>
        <v/>
      </c>
      <c r="F89" t="s">
        <v>119</v>
      </c>
      <c r="J89" t="s">
        <v>115</v>
      </c>
      <c r="K89" s="324">
        <f>IF(VDCC!E88&gt;0,VDCC!A88,0)</f>
        <v>0</v>
      </c>
      <c r="L89" s="298" t="s">
        <v>117</v>
      </c>
      <c r="M89" s="327" t="str">
        <f>IF(K89=0,"",VLOOKUP(K89,VDCC!A:E,5,FALSE))</f>
        <v/>
      </c>
      <c r="N89" t="s">
        <v>119</v>
      </c>
      <c r="P89" t="s">
        <v>115</v>
      </c>
      <c r="Q89" s="324">
        <f>IF(EDCC!E88&gt;0,EDCC!A88,0)</f>
        <v>0</v>
      </c>
      <c r="R89" s="298" t="s">
        <v>117</v>
      </c>
      <c r="S89" s="327" t="str">
        <f>IF(Q89=0,"",VLOOKUP(Q89,EDCC!A:E,5,FALSE))</f>
        <v/>
      </c>
      <c r="T89" t="s">
        <v>119</v>
      </c>
      <c r="V89" t="s">
        <v>115</v>
      </c>
      <c r="W89" s="324">
        <f>IF(TDCC!E88&gt;0,TDCC!A88,0)</f>
        <v>0</v>
      </c>
      <c r="X89" s="298" t="s">
        <v>117</v>
      </c>
      <c r="Y89" s="327" t="str">
        <f>IF(W89=0,"",VLOOKUP(W89,TDCC!A:E,5,FALSE))</f>
        <v/>
      </c>
      <c r="Z89" t="s">
        <v>119</v>
      </c>
    </row>
    <row r="90" spans="2:26">
      <c r="B90" t="s">
        <v>115</v>
      </c>
      <c r="C90" s="324">
        <f>IF(VDCC!B89&lt;4,VDCC!A89,0)</f>
        <v>0</v>
      </c>
      <c r="D90" s="298" t="s">
        <v>117</v>
      </c>
      <c r="E90" s="327" t="str">
        <f>IF(C90=0,"",VLOOKUP(C90,VDCC!A:B,2,FALSE))</f>
        <v/>
      </c>
      <c r="F90" t="s">
        <v>119</v>
      </c>
      <c r="J90" t="s">
        <v>115</v>
      </c>
      <c r="K90" s="324">
        <f>IF(VDCC!E89&gt;0,VDCC!A89,0)</f>
        <v>0</v>
      </c>
      <c r="L90" s="298" t="s">
        <v>117</v>
      </c>
      <c r="M90" s="327" t="str">
        <f>IF(K90=0,"",VLOOKUP(K90,VDCC!A:E,5,FALSE))</f>
        <v/>
      </c>
      <c r="N90" t="s">
        <v>119</v>
      </c>
      <c r="P90" t="s">
        <v>115</v>
      </c>
      <c r="Q90" s="324">
        <f>IF(EDCC!E89&gt;0,EDCC!A89,0)</f>
        <v>0</v>
      </c>
      <c r="R90" s="298" t="s">
        <v>117</v>
      </c>
      <c r="S90" s="327" t="str">
        <f>IF(Q90=0,"",VLOOKUP(Q90,EDCC!A:E,5,FALSE))</f>
        <v/>
      </c>
      <c r="T90" t="s">
        <v>119</v>
      </c>
      <c r="V90" t="s">
        <v>115</v>
      </c>
      <c r="W90" s="324">
        <f>IF(TDCC!E89&gt;0,TDCC!A89,0)</f>
        <v>0</v>
      </c>
      <c r="X90" s="298" t="s">
        <v>117</v>
      </c>
      <c r="Y90" s="327" t="str">
        <f>IF(W90=0,"",VLOOKUP(W90,TDCC!A:E,5,FALSE))</f>
        <v/>
      </c>
      <c r="Z90" t="s">
        <v>119</v>
      </c>
    </row>
    <row r="91" spans="2:26">
      <c r="B91" t="s">
        <v>115</v>
      </c>
      <c r="C91" s="324">
        <f>IF(VDCC!B90&lt;4,VDCC!A90,0)</f>
        <v>0</v>
      </c>
      <c r="D91" s="298" t="s">
        <v>117</v>
      </c>
      <c r="E91" s="327" t="str">
        <f>IF(C91=0,"",VLOOKUP(C91,VDCC!A:B,2,FALSE))</f>
        <v/>
      </c>
      <c r="F91" t="s">
        <v>119</v>
      </c>
      <c r="J91" t="s">
        <v>115</v>
      </c>
      <c r="K91" s="324">
        <f>IF(VDCC!E90&gt;0,VDCC!A90,0)</f>
        <v>0</v>
      </c>
      <c r="L91" s="298" t="s">
        <v>117</v>
      </c>
      <c r="M91" s="327" t="str">
        <f>IF(K91=0,"",VLOOKUP(K91,VDCC!A:E,5,FALSE))</f>
        <v/>
      </c>
      <c r="N91" t="s">
        <v>119</v>
      </c>
      <c r="P91" t="s">
        <v>115</v>
      </c>
      <c r="Q91" s="324">
        <f>IF(EDCC!E90&gt;0,EDCC!A90,0)</f>
        <v>0</v>
      </c>
      <c r="R91" s="298" t="s">
        <v>117</v>
      </c>
      <c r="S91" s="327" t="str">
        <f>IF(Q91=0,"",VLOOKUP(Q91,EDCC!A:E,5,FALSE))</f>
        <v/>
      </c>
      <c r="T91" t="s">
        <v>119</v>
      </c>
      <c r="V91" t="s">
        <v>115</v>
      </c>
      <c r="W91" s="324">
        <f>IF(TDCC!E90&gt;0,TDCC!A90,0)</f>
        <v>0</v>
      </c>
      <c r="X91" s="298" t="s">
        <v>117</v>
      </c>
      <c r="Y91" s="327" t="str">
        <f>IF(W91=0,"",VLOOKUP(W91,TDCC!A:E,5,FALSE))</f>
        <v/>
      </c>
      <c r="Z91" t="s">
        <v>119</v>
      </c>
    </row>
    <row r="92" spans="2:26">
      <c r="B92" t="s">
        <v>115</v>
      </c>
      <c r="C92" s="324">
        <f>IF(VDCC!B91&lt;4,VDCC!A91,0)</f>
        <v>0</v>
      </c>
      <c r="D92" s="298" t="s">
        <v>117</v>
      </c>
      <c r="E92" s="327" t="str">
        <f>IF(C92=0,"",VLOOKUP(C92,VDCC!A:B,2,FALSE))</f>
        <v/>
      </c>
      <c r="F92" t="s">
        <v>119</v>
      </c>
      <c r="J92" t="s">
        <v>115</v>
      </c>
      <c r="K92" s="324">
        <f>IF(VDCC!E91&gt;0,VDCC!A91,0)</f>
        <v>0</v>
      </c>
      <c r="L92" s="298" t="s">
        <v>117</v>
      </c>
      <c r="M92" s="327" t="str">
        <f>IF(K92=0,"",VLOOKUP(K92,VDCC!A:E,5,FALSE))</f>
        <v/>
      </c>
      <c r="N92" t="s">
        <v>119</v>
      </c>
      <c r="P92" t="s">
        <v>115</v>
      </c>
      <c r="Q92" s="324">
        <f>IF(EDCC!E91&gt;0,EDCC!A91,0)</f>
        <v>0</v>
      </c>
      <c r="R92" s="298" t="s">
        <v>117</v>
      </c>
      <c r="S92" s="327" t="str">
        <f>IF(Q92=0,"",VLOOKUP(Q92,EDCC!A:E,5,FALSE))</f>
        <v/>
      </c>
      <c r="T92" t="s">
        <v>119</v>
      </c>
      <c r="V92" t="s">
        <v>115</v>
      </c>
      <c r="W92" s="324">
        <f>IF(TDCC!E91&gt;0,TDCC!A91,0)</f>
        <v>0</v>
      </c>
      <c r="X92" s="298" t="s">
        <v>117</v>
      </c>
      <c r="Y92" s="327" t="str">
        <f>IF(W92=0,"",VLOOKUP(W92,TDCC!A:E,5,FALSE))</f>
        <v/>
      </c>
      <c r="Z92" t="s">
        <v>119</v>
      </c>
    </row>
    <row r="93" spans="2:26">
      <c r="B93" t="s">
        <v>115</v>
      </c>
      <c r="C93" s="324">
        <f>IF(VDCC!B92&lt;4,VDCC!A92,0)</f>
        <v>0</v>
      </c>
      <c r="D93" s="298" t="s">
        <v>117</v>
      </c>
      <c r="E93" s="327" t="str">
        <f>IF(C93=0,"",VLOOKUP(C93,VDCC!A:B,2,FALSE))</f>
        <v/>
      </c>
      <c r="F93" t="s">
        <v>119</v>
      </c>
      <c r="J93" t="s">
        <v>115</v>
      </c>
      <c r="K93" s="324">
        <f>IF(VDCC!E92&gt;0,VDCC!A92,0)</f>
        <v>0</v>
      </c>
      <c r="L93" s="298" t="s">
        <v>117</v>
      </c>
      <c r="M93" s="327" t="str">
        <f>IF(K93=0,"",VLOOKUP(K93,VDCC!A:E,5,FALSE))</f>
        <v/>
      </c>
      <c r="N93" t="s">
        <v>119</v>
      </c>
      <c r="P93" t="s">
        <v>115</v>
      </c>
      <c r="Q93" s="324">
        <f>IF(EDCC!E92&gt;0,EDCC!A92,0)</f>
        <v>0</v>
      </c>
      <c r="R93" s="298" t="s">
        <v>117</v>
      </c>
      <c r="S93" s="327" t="str">
        <f>IF(Q93=0,"",VLOOKUP(Q93,EDCC!A:E,5,FALSE))</f>
        <v/>
      </c>
      <c r="T93" t="s">
        <v>119</v>
      </c>
      <c r="V93" t="s">
        <v>115</v>
      </c>
      <c r="W93" s="324">
        <f>IF(TDCC!E92&gt;0,TDCC!A92,0)</f>
        <v>0</v>
      </c>
      <c r="X93" s="298" t="s">
        <v>117</v>
      </c>
      <c r="Y93" s="327" t="str">
        <f>IF(W93=0,"",VLOOKUP(W93,TDCC!A:E,5,FALSE))</f>
        <v/>
      </c>
      <c r="Z93" t="s">
        <v>119</v>
      </c>
    </row>
    <row r="94" spans="2:26">
      <c r="B94" t="s">
        <v>115</v>
      </c>
      <c r="C94" s="324">
        <f>IF(VDCC!B93&lt;4,VDCC!A93,0)</f>
        <v>0</v>
      </c>
      <c r="D94" s="298" t="s">
        <v>117</v>
      </c>
      <c r="E94" s="327" t="str">
        <f>IF(C94=0,"",VLOOKUP(C94,VDCC!A:B,2,FALSE))</f>
        <v/>
      </c>
      <c r="F94" t="s">
        <v>119</v>
      </c>
      <c r="J94" t="s">
        <v>115</v>
      </c>
      <c r="K94" s="324">
        <f>IF(VDCC!E93&gt;0,VDCC!A93,0)</f>
        <v>0</v>
      </c>
      <c r="L94" s="298" t="s">
        <v>117</v>
      </c>
      <c r="M94" s="327" t="str">
        <f>IF(K94=0,"",VLOOKUP(K94,VDCC!A:E,5,FALSE))</f>
        <v/>
      </c>
      <c r="N94" t="s">
        <v>119</v>
      </c>
      <c r="P94" t="s">
        <v>115</v>
      </c>
      <c r="Q94" s="324">
        <f>IF(EDCC!E93&gt;0,EDCC!A93,0)</f>
        <v>0</v>
      </c>
      <c r="R94" s="298" t="s">
        <v>117</v>
      </c>
      <c r="S94" s="327" t="str">
        <f>IF(Q94=0,"",VLOOKUP(Q94,EDCC!A:E,5,FALSE))</f>
        <v/>
      </c>
      <c r="T94" t="s">
        <v>119</v>
      </c>
      <c r="V94" t="s">
        <v>115</v>
      </c>
      <c r="W94" s="324">
        <f>IF(TDCC!E93&gt;0,TDCC!A93,0)</f>
        <v>0</v>
      </c>
      <c r="X94" s="298" t="s">
        <v>117</v>
      </c>
      <c r="Y94" s="327" t="str">
        <f>IF(W94=0,"",VLOOKUP(W94,TDCC!A:E,5,FALSE))</f>
        <v/>
      </c>
      <c r="Z94" t="s">
        <v>119</v>
      </c>
    </row>
    <row r="95" spans="2:26">
      <c r="B95" t="s">
        <v>115</v>
      </c>
      <c r="C95" s="324">
        <f>IF(VDCC!B94&lt;4,VDCC!A94,0)</f>
        <v>0</v>
      </c>
      <c r="D95" s="298" t="s">
        <v>117</v>
      </c>
      <c r="E95" s="327" t="str">
        <f>IF(C95=0,"",VLOOKUP(C95,VDCC!A:B,2,FALSE))</f>
        <v/>
      </c>
      <c r="F95" t="s">
        <v>119</v>
      </c>
      <c r="J95" t="s">
        <v>115</v>
      </c>
      <c r="K95" s="324">
        <f>IF(VDCC!E94&gt;0,VDCC!A94,0)</f>
        <v>0</v>
      </c>
      <c r="L95" s="298" t="s">
        <v>117</v>
      </c>
      <c r="M95" s="327" t="str">
        <f>IF(K95=0,"",VLOOKUP(K95,VDCC!A:E,5,FALSE))</f>
        <v/>
      </c>
      <c r="N95" t="s">
        <v>119</v>
      </c>
      <c r="P95" t="s">
        <v>115</v>
      </c>
      <c r="Q95" s="324">
        <f>IF(EDCC!E94&gt;0,EDCC!A94,0)</f>
        <v>0</v>
      </c>
      <c r="R95" s="298" t="s">
        <v>117</v>
      </c>
      <c r="S95" s="327" t="str">
        <f>IF(Q95=0,"",VLOOKUP(Q95,EDCC!A:E,5,FALSE))</f>
        <v/>
      </c>
      <c r="T95" t="s">
        <v>119</v>
      </c>
      <c r="V95" t="s">
        <v>115</v>
      </c>
      <c r="W95" s="324">
        <f>IF(TDCC!E94&gt;0,TDCC!A94,0)</f>
        <v>0</v>
      </c>
      <c r="X95" s="298" t="s">
        <v>117</v>
      </c>
      <c r="Y95" s="327" t="str">
        <f>IF(W95=0,"",VLOOKUP(W95,TDCC!A:E,5,FALSE))</f>
        <v/>
      </c>
      <c r="Z95" t="s">
        <v>119</v>
      </c>
    </row>
    <row r="96" spans="2:26">
      <c r="B96" t="s">
        <v>115</v>
      </c>
      <c r="C96" s="324">
        <f>IF(VDCC!B95&lt;4,VDCC!A95,0)</f>
        <v>0</v>
      </c>
      <c r="D96" s="298" t="s">
        <v>117</v>
      </c>
      <c r="E96" s="327" t="str">
        <f>IF(C96=0,"",VLOOKUP(C96,VDCC!A:B,2,FALSE))</f>
        <v/>
      </c>
      <c r="F96" t="s">
        <v>119</v>
      </c>
      <c r="J96" t="s">
        <v>115</v>
      </c>
      <c r="K96" s="324">
        <f>IF(VDCC!E95&gt;0,VDCC!A95,0)</f>
        <v>0</v>
      </c>
      <c r="L96" s="298" t="s">
        <v>117</v>
      </c>
      <c r="M96" s="327" t="str">
        <f>IF(K96=0,"",VLOOKUP(K96,VDCC!A:E,5,FALSE))</f>
        <v/>
      </c>
      <c r="N96" t="s">
        <v>119</v>
      </c>
      <c r="P96" t="s">
        <v>115</v>
      </c>
      <c r="Q96" s="324">
        <f>IF(EDCC!E95&gt;0,EDCC!A95,0)</f>
        <v>0</v>
      </c>
      <c r="R96" s="298" t="s">
        <v>117</v>
      </c>
      <c r="S96" s="327" t="str">
        <f>IF(Q96=0,"",VLOOKUP(Q96,EDCC!A:E,5,FALSE))</f>
        <v/>
      </c>
      <c r="T96" t="s">
        <v>119</v>
      </c>
      <c r="V96" t="s">
        <v>115</v>
      </c>
      <c r="W96" s="324">
        <f>IF(TDCC!E95&gt;0,TDCC!A95,0)</f>
        <v>0</v>
      </c>
      <c r="X96" s="298" t="s">
        <v>117</v>
      </c>
      <c r="Y96" s="327" t="str">
        <f>IF(W96=0,"",VLOOKUP(W96,TDCC!A:E,5,FALSE))</f>
        <v/>
      </c>
      <c r="Z96" t="s">
        <v>119</v>
      </c>
    </row>
    <row r="97" spans="2:26">
      <c r="B97" t="s">
        <v>115</v>
      </c>
      <c r="C97" s="324">
        <f>IF(VDCC!B96&lt;4,VDCC!A96,0)</f>
        <v>0</v>
      </c>
      <c r="D97" s="298" t="s">
        <v>117</v>
      </c>
      <c r="E97" s="327" t="str">
        <f>IF(C97=0,"",VLOOKUP(C97,VDCC!A:B,2,FALSE))</f>
        <v/>
      </c>
      <c r="F97" t="s">
        <v>119</v>
      </c>
      <c r="J97" t="s">
        <v>115</v>
      </c>
      <c r="K97" s="324">
        <f>IF(VDCC!E96&gt;0,VDCC!A96,0)</f>
        <v>0</v>
      </c>
      <c r="L97" s="298" t="s">
        <v>117</v>
      </c>
      <c r="M97" s="327" t="str">
        <f>IF(K97=0,"",VLOOKUP(K97,VDCC!A:E,5,FALSE))</f>
        <v/>
      </c>
      <c r="N97" t="s">
        <v>119</v>
      </c>
      <c r="P97" t="s">
        <v>115</v>
      </c>
      <c r="Q97" s="324">
        <f>IF(EDCC!E96&gt;0,EDCC!A96,0)</f>
        <v>0</v>
      </c>
      <c r="R97" s="298" t="s">
        <v>117</v>
      </c>
      <c r="S97" s="327" t="str">
        <f>IF(Q97=0,"",VLOOKUP(Q97,EDCC!A:E,5,FALSE))</f>
        <v/>
      </c>
      <c r="T97" t="s">
        <v>119</v>
      </c>
      <c r="V97" t="s">
        <v>115</v>
      </c>
      <c r="W97" s="324">
        <f>IF(TDCC!E96&gt;0,TDCC!A96,0)</f>
        <v>0</v>
      </c>
      <c r="X97" s="298" t="s">
        <v>117</v>
      </c>
      <c r="Y97" s="327" t="str">
        <f>IF(W97=0,"",VLOOKUP(W97,TDCC!A:E,5,FALSE))</f>
        <v/>
      </c>
      <c r="Z97" t="s">
        <v>119</v>
      </c>
    </row>
    <row r="98" spans="2:26">
      <c r="B98" t="s">
        <v>115</v>
      </c>
      <c r="C98" s="324">
        <f>IF(VDCC!B97&lt;4,VDCC!A97,0)</f>
        <v>0</v>
      </c>
      <c r="D98" s="298" t="s">
        <v>117</v>
      </c>
      <c r="E98" s="327" t="str">
        <f>IF(C98=0,"",VLOOKUP(C98,VDCC!A:B,2,FALSE))</f>
        <v/>
      </c>
      <c r="F98" t="s">
        <v>119</v>
      </c>
      <c r="J98" t="s">
        <v>115</v>
      </c>
      <c r="K98" s="324">
        <f>IF(VDCC!E97&gt;0,VDCC!A97,0)</f>
        <v>0</v>
      </c>
      <c r="L98" s="428" t="s">
        <v>117</v>
      </c>
      <c r="M98" s="327" t="str">
        <f>IF(K98=0,"",VLOOKUP(K98,VDCC!A:E,5,FALSE))</f>
        <v/>
      </c>
      <c r="N98" t="s">
        <v>119</v>
      </c>
      <c r="P98" t="s">
        <v>115</v>
      </c>
      <c r="Q98" s="324">
        <f>IF(EDCC!E97&gt;0,EDCC!A97,0)</f>
        <v>0</v>
      </c>
      <c r="R98" s="298" t="s">
        <v>117</v>
      </c>
      <c r="S98" s="327" t="str">
        <f>IF(Q98=0,"",VLOOKUP(Q98,EDCC!A:E,5,FALSE))</f>
        <v/>
      </c>
      <c r="T98" t="s">
        <v>119</v>
      </c>
      <c r="V98" t="s">
        <v>115</v>
      </c>
      <c r="W98" s="324">
        <f>IF(TDCC!E97&gt;0,TDCC!A97,0)</f>
        <v>0</v>
      </c>
      <c r="X98" s="298" t="s">
        <v>117</v>
      </c>
      <c r="Y98" s="327" t="str">
        <f>IF(W98=0,"",VLOOKUP(W98,TDCC!A:E,5,FALSE))</f>
        <v/>
      </c>
      <c r="Z98" t="s">
        <v>119</v>
      </c>
    </row>
    <row r="99" spans="2:26">
      <c r="B99" t="s">
        <v>115</v>
      </c>
      <c r="C99" s="324">
        <f>IF(VDCC!B98&lt;4,VDCC!A98,0)</f>
        <v>0</v>
      </c>
      <c r="D99" s="428" t="s">
        <v>117</v>
      </c>
      <c r="E99" s="327" t="str">
        <f>IF(C99=0,"",VLOOKUP(C99,VDCC!A:B,2,FALSE))</f>
        <v/>
      </c>
      <c r="F99" t="s">
        <v>119</v>
      </c>
      <c r="J99" t="s">
        <v>115</v>
      </c>
      <c r="K99" s="324">
        <f>IF(VDCC!E98&gt;0,VDCC!A98,0)</f>
        <v>0</v>
      </c>
      <c r="L99" s="298" t="s">
        <v>117</v>
      </c>
      <c r="M99" s="327" t="str">
        <f>IF(K99=0,"",VLOOKUP(K99,VDCC!A:E,5,FALSE))</f>
        <v/>
      </c>
      <c r="N99" t="s">
        <v>119</v>
      </c>
      <c r="P99" t="s">
        <v>115</v>
      </c>
      <c r="Q99" s="324">
        <f>IF(EDCC!E98&gt;0,EDCC!A98,0)</f>
        <v>0</v>
      </c>
      <c r="R99" s="298" t="s">
        <v>117</v>
      </c>
      <c r="S99" s="327" t="str">
        <f>IF(Q99=0,"",VLOOKUP(Q99,EDCC!A:E,5,FALSE))</f>
        <v/>
      </c>
      <c r="T99" t="s">
        <v>119</v>
      </c>
      <c r="V99" t="s">
        <v>115</v>
      </c>
      <c r="W99" s="324">
        <f>IF(TDCC!E98&gt;0,TDCC!A98,0)</f>
        <v>0</v>
      </c>
      <c r="X99" s="298" t="s">
        <v>117</v>
      </c>
      <c r="Y99" s="327" t="str">
        <f>IF(W99=0,"",VLOOKUP(W99,TDCC!A:E,5,FALSE))</f>
        <v/>
      </c>
      <c r="Z99" t="s">
        <v>119</v>
      </c>
    </row>
    <row r="100" spans="2:26">
      <c r="B100" t="s">
        <v>115</v>
      </c>
      <c r="C100" s="324">
        <f>IF(VDCC!B99&lt;4,VDCC!A99,0)</f>
        <v>0</v>
      </c>
      <c r="D100" s="428" t="s">
        <v>117</v>
      </c>
      <c r="E100" s="327" t="str">
        <f>IF(C100=0,"",VLOOKUP(C100,VDCC!A:B,2,FALSE))</f>
        <v/>
      </c>
      <c r="F100" t="s">
        <v>119</v>
      </c>
      <c r="J100" t="s">
        <v>115</v>
      </c>
      <c r="K100" s="324">
        <f>IF(VDCC!E99&gt;0,VDCC!A99,0)</f>
        <v>0</v>
      </c>
      <c r="L100" s="298" t="s">
        <v>117</v>
      </c>
      <c r="M100" s="327" t="str">
        <f>IF(K100=0,"",VLOOKUP(K100,VDCC!A:E,5,FALSE))</f>
        <v/>
      </c>
      <c r="N100" t="s">
        <v>119</v>
      </c>
      <c r="P100" t="s">
        <v>115</v>
      </c>
      <c r="Q100" s="324">
        <f>IF(EDCC!E99&gt;0,EDCC!A99,0)</f>
        <v>0</v>
      </c>
      <c r="R100" s="298" t="s">
        <v>117</v>
      </c>
      <c r="S100" s="327" t="str">
        <f>IF(Q100=0,"",VLOOKUP(Q100,EDCC!A:E,5,FALSE))</f>
        <v/>
      </c>
      <c r="T100" t="s">
        <v>119</v>
      </c>
      <c r="V100" t="s">
        <v>115</v>
      </c>
      <c r="W100" s="324">
        <f>IF(TDCC!E99&gt;0,TDCC!A99,0)</f>
        <v>0</v>
      </c>
      <c r="X100" s="298" t="s">
        <v>117</v>
      </c>
      <c r="Y100" s="327" t="str">
        <f>IF(W100=0,"",VLOOKUP(W100,TDCC!A:E,5,FALSE))</f>
        <v/>
      </c>
      <c r="Z100" t="s">
        <v>119</v>
      </c>
    </row>
    <row r="101" spans="2:26" ht="13.5" thickBot="1">
      <c r="B101" t="s">
        <v>115</v>
      </c>
      <c r="C101" s="325">
        <f>IF(VDCC!B100&lt;4,VDCC!A100,0)</f>
        <v>0</v>
      </c>
      <c r="D101" s="329" t="s">
        <v>117</v>
      </c>
      <c r="E101" s="328" t="str">
        <f>IF(C101=0,"",VLOOKUP(C101,VDCC!A:B,2,FALSE))</f>
        <v/>
      </c>
      <c r="F101" t="s">
        <v>119</v>
      </c>
      <c r="J101" t="s">
        <v>115</v>
      </c>
      <c r="K101" s="325">
        <f>IF(VDCC!E100&gt;0,VDCC!A100,0)</f>
        <v>0</v>
      </c>
      <c r="L101" s="329" t="s">
        <v>117</v>
      </c>
      <c r="M101" s="328" t="str">
        <f>IF(K101=0,"",VLOOKUP(K101,VDCC!A:E,5,FALSE))</f>
        <v/>
      </c>
      <c r="N101" t="s">
        <v>119</v>
      </c>
      <c r="P101" t="s">
        <v>115</v>
      </c>
      <c r="Q101" s="325">
        <f>IF(EDCC!E100&gt;0,EDCC!A100,0)</f>
        <v>0</v>
      </c>
      <c r="R101" s="329" t="s">
        <v>117</v>
      </c>
      <c r="S101" s="328" t="str">
        <f>IF(Q101=0,"",VLOOKUP(Q101,EDCC!A:E,5,FALSE))</f>
        <v/>
      </c>
      <c r="T101" t="s">
        <v>119</v>
      </c>
      <c r="V101" t="s">
        <v>115</v>
      </c>
      <c r="W101" s="325">
        <f>IF(TDCC!E100&gt;0,TDCC!A100,0)</f>
        <v>0</v>
      </c>
      <c r="X101" s="329" t="s">
        <v>117</v>
      </c>
      <c r="Y101" s="328" t="str">
        <f>IF(W101=0,"",VLOOKUP(W101,TDCC!A:E,5,FALSE))</f>
        <v/>
      </c>
      <c r="Z101" t="s">
        <v>119</v>
      </c>
    </row>
    <row r="102" spans="2:26" ht="15">
      <c r="B102" s="241" t="s">
        <v>121</v>
      </c>
      <c r="J102" s="241" t="s">
        <v>121</v>
      </c>
      <c r="K102" s="330"/>
      <c r="M102" s="331"/>
      <c r="P102" s="241" t="s">
        <v>121</v>
      </c>
      <c r="Q102" s="429"/>
      <c r="R102" s="429"/>
      <c r="S102" s="430"/>
      <c r="V102" s="241" t="s">
        <v>121</v>
      </c>
      <c r="W102" s="429"/>
      <c r="X102" s="429"/>
      <c r="Y102" s="430"/>
    </row>
    <row r="1048574" spans="5:5">
      <c r="E1048574" s="213" t="str">
        <f>IF(C1048574="","",VLOOKUP(C1048574,VDCC!A:B,2,FALSE))</f>
        <v/>
      </c>
    </row>
  </sheetData>
  <autoFilter ref="C2:Y2"/>
  <mergeCells count="4">
    <mergeCell ref="C1:E1"/>
    <mergeCell ref="K1:M1"/>
    <mergeCell ref="Q1:S1"/>
    <mergeCell ref="W1:Y1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B1:J34"/>
  <sheetViews>
    <sheetView workbookViewId="0">
      <selection activeCell="I3" sqref="I3"/>
    </sheetView>
  </sheetViews>
  <sheetFormatPr defaultRowHeight="12.75"/>
  <cols>
    <col min="1" max="1" width="3.85546875" customWidth="1"/>
    <col min="2" max="2" width="0" hidden="1" customWidth="1"/>
    <col min="3" max="3" width="20.140625" style="213" bestFit="1" customWidth="1"/>
    <col min="4" max="4" width="11" hidden="1" customWidth="1"/>
    <col min="5" max="5" width="9.140625" style="213"/>
    <col min="6" max="6" width="0" hidden="1" customWidth="1"/>
    <col min="7" max="7" width="18" style="213" bestFit="1" customWidth="1"/>
    <col min="8" max="8" width="0" hidden="1" customWidth="1"/>
  </cols>
  <sheetData>
    <row r="1" spans="2:10" ht="13.5" thickBot="1"/>
    <row r="2" spans="2:10">
      <c r="B2" t="s">
        <v>114</v>
      </c>
      <c r="C2" s="347" t="str">
        <f>RA!$AB$42</f>
        <v>------------</v>
      </c>
      <c r="D2" s="348" t="s">
        <v>116</v>
      </c>
      <c r="E2" s="349" t="s">
        <v>124</v>
      </c>
      <c r="F2" s="348" t="s">
        <v>116</v>
      </c>
      <c r="G2" s="349" t="s">
        <v>141</v>
      </c>
      <c r="H2" t="s">
        <v>118</v>
      </c>
      <c r="I2" s="333" t="s">
        <v>137</v>
      </c>
      <c r="J2" s="334" t="s">
        <v>140</v>
      </c>
    </row>
    <row r="3" spans="2:10">
      <c r="B3" t="s">
        <v>142</v>
      </c>
      <c r="C3" s="342" t="s">
        <v>2</v>
      </c>
      <c r="D3" s="344" t="s">
        <v>116</v>
      </c>
      <c r="E3" s="339">
        <f>I3</f>
        <v>35</v>
      </c>
      <c r="F3" s="344" t="s">
        <v>116</v>
      </c>
      <c r="G3" s="339" t="str">
        <f>RA!$AB$42</f>
        <v>------------</v>
      </c>
      <c r="H3" t="s">
        <v>118</v>
      </c>
      <c r="I3" s="335">
        <f>SUM(I4:I16)</f>
        <v>35</v>
      </c>
      <c r="J3" s="336">
        <f>SUM(J4:J16)</f>
        <v>33</v>
      </c>
    </row>
    <row r="4" spans="2:10">
      <c r="B4" t="s">
        <v>115</v>
      </c>
      <c r="C4" s="339" t="s">
        <v>9</v>
      </c>
      <c r="D4" s="345" t="s">
        <v>117</v>
      </c>
      <c r="E4" s="268" t="s">
        <v>52</v>
      </c>
      <c r="F4" s="345" t="s">
        <v>117</v>
      </c>
      <c r="G4" s="268">
        <f>(IF(J4&lt;16,1,0)*IF(I4&gt;2,0,1))+(IF(I4&lt;2,1,0)*IF(J4&lt;8,1,0))</f>
        <v>2</v>
      </c>
      <c r="H4" t="s">
        <v>119</v>
      </c>
      <c r="I4" s="335">
        <f>COUNTIFS('Members Data'!$C$2:$C$61,Rec!C4,'Members Data'!$D$2:$D$61,Rec!E4)</f>
        <v>1</v>
      </c>
      <c r="J4" s="336">
        <f>Sign!B10</f>
        <v>1</v>
      </c>
    </row>
    <row r="5" spans="2:10">
      <c r="B5" t="s">
        <v>115</v>
      </c>
      <c r="C5" s="339" t="s">
        <v>10</v>
      </c>
      <c r="D5" s="346" t="s">
        <v>117</v>
      </c>
      <c r="E5" s="268" t="s">
        <v>51</v>
      </c>
      <c r="F5" s="346" t="s">
        <v>117</v>
      </c>
      <c r="G5" s="268">
        <f t="shared" ref="G5:G16" si="0">(IF(J5&lt;16,1,0)*IF(I5&gt;2,0,1))+(IF(I5&lt;2,1,0)*IF(J5&lt;8,1,0))</f>
        <v>2</v>
      </c>
      <c r="H5" t="s">
        <v>119</v>
      </c>
      <c r="I5" s="335">
        <f>COUNTIFS('Members Data'!$C$2:$C$61,Rec!C5,'Members Data'!$D$2:$D$61,Rec!E5)</f>
        <v>0</v>
      </c>
      <c r="J5" s="336">
        <f>Sign!B14</f>
        <v>2</v>
      </c>
    </row>
    <row r="6" spans="2:10">
      <c r="B6" t="s">
        <v>115</v>
      </c>
      <c r="C6" s="339" t="s">
        <v>10</v>
      </c>
      <c r="D6" s="346" t="s">
        <v>117</v>
      </c>
      <c r="E6" s="268" t="s">
        <v>52</v>
      </c>
      <c r="F6" s="346" t="s">
        <v>117</v>
      </c>
      <c r="G6" s="268">
        <f t="shared" si="0"/>
        <v>2</v>
      </c>
      <c r="H6" t="s">
        <v>119</v>
      </c>
      <c r="I6" s="335">
        <f>COUNTIFS('Members Data'!$C$2:$C$61,Rec!C6,'Members Data'!$D$2:$D$61,Rec!E6)</f>
        <v>1</v>
      </c>
      <c r="J6" s="336">
        <f>Sign!B15</f>
        <v>0</v>
      </c>
    </row>
    <row r="7" spans="2:10">
      <c r="B7" t="s">
        <v>115</v>
      </c>
      <c r="C7" s="339" t="s">
        <v>11</v>
      </c>
      <c r="D7" s="346" t="s">
        <v>117</v>
      </c>
      <c r="E7" s="268" t="s">
        <v>51</v>
      </c>
      <c r="F7" s="346" t="s">
        <v>117</v>
      </c>
      <c r="G7" s="268">
        <f t="shared" si="0"/>
        <v>0</v>
      </c>
      <c r="H7" t="s">
        <v>119</v>
      </c>
      <c r="I7" s="335">
        <f>COUNTIFS('Members Data'!$C$2:$C$61,Rec!C7,'Members Data'!$D$2:$D$61,Rec!E7)</f>
        <v>4</v>
      </c>
      <c r="J7" s="336">
        <f>Sign!B19</f>
        <v>6</v>
      </c>
    </row>
    <row r="8" spans="2:10">
      <c r="B8" t="s">
        <v>115</v>
      </c>
      <c r="C8" s="339" t="s">
        <v>12</v>
      </c>
      <c r="D8" s="346" t="s">
        <v>117</v>
      </c>
      <c r="E8" s="268" t="s">
        <v>51</v>
      </c>
      <c r="F8" s="346" t="s">
        <v>117</v>
      </c>
      <c r="G8" s="268">
        <f t="shared" si="0"/>
        <v>0</v>
      </c>
      <c r="H8" t="s">
        <v>119</v>
      </c>
      <c r="I8" s="335">
        <f>COUNTIFS('Members Data'!$C$2:$C$61,Rec!C8,'Members Data'!$D$2:$D$61,Rec!E8)</f>
        <v>7</v>
      </c>
      <c r="J8" s="336">
        <f>Sign!B22</f>
        <v>8</v>
      </c>
    </row>
    <row r="9" spans="2:10">
      <c r="B9" t="s">
        <v>115</v>
      </c>
      <c r="C9" s="339" t="s">
        <v>136</v>
      </c>
      <c r="D9" s="346" t="s">
        <v>117</v>
      </c>
      <c r="E9" s="268" t="s">
        <v>52</v>
      </c>
      <c r="F9" s="346" t="s">
        <v>117</v>
      </c>
      <c r="G9" s="268">
        <f t="shared" si="0"/>
        <v>1</v>
      </c>
      <c r="H9" t="s">
        <v>119</v>
      </c>
      <c r="I9" s="335">
        <f>COUNTIFS('Members Data'!$C$2:$C$61,Rec!C9,'Members Data'!$D$2:$D$61,Rec!E9)</f>
        <v>2</v>
      </c>
      <c r="J9" s="336">
        <f>Sign!B26</f>
        <v>0</v>
      </c>
    </row>
    <row r="10" spans="2:10">
      <c r="B10" t="s">
        <v>115</v>
      </c>
      <c r="C10" s="339" t="s">
        <v>13</v>
      </c>
      <c r="D10" s="346" t="s">
        <v>117</v>
      </c>
      <c r="E10" s="268" t="s">
        <v>52</v>
      </c>
      <c r="F10" s="346" t="s">
        <v>117</v>
      </c>
      <c r="G10" s="268">
        <f t="shared" si="0"/>
        <v>0</v>
      </c>
      <c r="H10" t="s">
        <v>119</v>
      </c>
      <c r="I10" s="335">
        <f>COUNTIFS('Members Data'!$C$2:$C$61,Rec!C10,'Members Data'!$D$2:$D$61,Rec!E10)</f>
        <v>3</v>
      </c>
      <c r="J10" s="336">
        <f>Sign!B31</f>
        <v>2</v>
      </c>
    </row>
    <row r="11" spans="2:10">
      <c r="B11" t="s">
        <v>115</v>
      </c>
      <c r="C11" s="339" t="s">
        <v>14</v>
      </c>
      <c r="D11" s="346" t="s">
        <v>117</v>
      </c>
      <c r="E11" s="268" t="s">
        <v>51</v>
      </c>
      <c r="F11" s="346" t="s">
        <v>117</v>
      </c>
      <c r="G11" s="268">
        <f t="shared" si="0"/>
        <v>2</v>
      </c>
      <c r="H11" t="s">
        <v>119</v>
      </c>
      <c r="I11" s="335">
        <f>COUNTIFS('Members Data'!$C$2:$C$61,Rec!C11,'Members Data'!$D$2:$D$61,Rec!E11)</f>
        <v>1</v>
      </c>
      <c r="J11" s="336">
        <f>Sign!B35</f>
        <v>0</v>
      </c>
    </row>
    <row r="12" spans="2:10">
      <c r="B12" t="s">
        <v>115</v>
      </c>
      <c r="C12" s="339" t="s">
        <v>15</v>
      </c>
      <c r="D12" s="346" t="s">
        <v>117</v>
      </c>
      <c r="E12" s="268" t="s">
        <v>52</v>
      </c>
      <c r="F12" s="346" t="s">
        <v>117</v>
      </c>
      <c r="G12" s="268">
        <f t="shared" si="0"/>
        <v>1</v>
      </c>
      <c r="H12" t="s">
        <v>119</v>
      </c>
      <c r="I12" s="335">
        <f>COUNTIFS('Members Data'!$C$2:$C$61,Rec!C12,'Members Data'!$D$2:$D$61,Rec!E12)</f>
        <v>2</v>
      </c>
      <c r="J12" s="336">
        <f>Sign!B39</f>
        <v>4</v>
      </c>
    </row>
    <row r="13" spans="2:10">
      <c r="B13" t="s">
        <v>115</v>
      </c>
      <c r="C13" s="339" t="s">
        <v>16</v>
      </c>
      <c r="D13" s="346" t="s">
        <v>117</v>
      </c>
      <c r="E13" s="268" t="s">
        <v>51</v>
      </c>
      <c r="F13" s="346" t="s">
        <v>117</v>
      </c>
      <c r="G13" s="268">
        <f t="shared" si="0"/>
        <v>1</v>
      </c>
      <c r="H13" t="s">
        <v>119</v>
      </c>
      <c r="I13" s="335">
        <f>COUNTIFS('Members Data'!$C$2:$C$61,Rec!C13,'Members Data'!$D$2:$D$61,Rec!E13)</f>
        <v>2</v>
      </c>
      <c r="J13" s="336">
        <f>Sign!B42</f>
        <v>1</v>
      </c>
    </row>
    <row r="14" spans="2:10">
      <c r="B14" t="s">
        <v>115</v>
      </c>
      <c r="C14" s="339" t="s">
        <v>16</v>
      </c>
      <c r="D14" s="346" t="s">
        <v>117</v>
      </c>
      <c r="E14" s="268" t="s">
        <v>52</v>
      </c>
      <c r="F14" s="346" t="s">
        <v>117</v>
      </c>
      <c r="G14" s="268">
        <f t="shared" si="0"/>
        <v>2</v>
      </c>
      <c r="H14" t="s">
        <v>119</v>
      </c>
      <c r="I14" s="335">
        <f>COUNTIFS('Members Data'!$C$2:$C$61,Rec!C14,'Members Data'!$D$2:$D$61,Rec!E14)</f>
        <v>0</v>
      </c>
      <c r="J14" s="336">
        <f>Sign!B43</f>
        <v>2</v>
      </c>
    </row>
    <row r="15" spans="2:10">
      <c r="B15" t="s">
        <v>115</v>
      </c>
      <c r="C15" s="339" t="s">
        <v>22</v>
      </c>
      <c r="D15" s="346" t="s">
        <v>117</v>
      </c>
      <c r="E15" s="268" t="s">
        <v>51</v>
      </c>
      <c r="F15" s="346" t="s">
        <v>117</v>
      </c>
      <c r="G15" s="268">
        <f t="shared" si="0"/>
        <v>0</v>
      </c>
      <c r="H15" t="s">
        <v>119</v>
      </c>
      <c r="I15" s="335">
        <f>COUNTIFS('Members Data'!$C$2:$C$61,Rec!C15,'Members Data'!$D$2:$D$61,Rec!E15)</f>
        <v>5</v>
      </c>
      <c r="J15" s="336">
        <f>Sign!B47</f>
        <v>3</v>
      </c>
    </row>
    <row r="16" spans="2:10">
      <c r="B16" t="s">
        <v>115</v>
      </c>
      <c r="C16" s="339" t="s">
        <v>17</v>
      </c>
      <c r="D16" s="346" t="s">
        <v>117</v>
      </c>
      <c r="E16" s="268" t="s">
        <v>52</v>
      </c>
      <c r="F16" s="346" t="s">
        <v>117</v>
      </c>
      <c r="G16" s="268">
        <f t="shared" si="0"/>
        <v>0</v>
      </c>
      <c r="H16" t="s">
        <v>119</v>
      </c>
      <c r="I16" s="335">
        <f>COUNTIFS('Members Data'!$C$2:$C$61,Rec!C16,'Members Data'!$D$2:$D$61,Rec!E16)</f>
        <v>7</v>
      </c>
      <c r="J16" s="336">
        <f>Sign!B51</f>
        <v>4</v>
      </c>
    </row>
    <row r="17" spans="2:10">
      <c r="B17" t="s">
        <v>115</v>
      </c>
      <c r="C17" s="339" t="str">
        <f>RA!$AB$42</f>
        <v>------------</v>
      </c>
      <c r="D17" s="346" t="s">
        <v>117</v>
      </c>
      <c r="E17" s="339" t="str">
        <f>RA!$AB$42</f>
        <v>------------</v>
      </c>
      <c r="F17" s="346" t="s">
        <v>117</v>
      </c>
      <c r="G17" s="339" t="str">
        <f>RA!$AB$42</f>
        <v>------------</v>
      </c>
      <c r="H17" t="s">
        <v>119</v>
      </c>
      <c r="I17" s="335"/>
      <c r="J17" s="336"/>
    </row>
    <row r="18" spans="2:10">
      <c r="B18" t="s">
        <v>142</v>
      </c>
      <c r="C18" s="342" t="s">
        <v>138</v>
      </c>
      <c r="D18" s="344" t="s">
        <v>116</v>
      </c>
      <c r="E18" s="339">
        <f>I18</f>
        <v>8</v>
      </c>
      <c r="F18" s="344" t="s">
        <v>116</v>
      </c>
      <c r="G18" s="339" t="str">
        <f>RA!$AB$42</f>
        <v>------------</v>
      </c>
      <c r="H18" t="s">
        <v>118</v>
      </c>
      <c r="I18" s="335">
        <f>SUM(I19:I23)</f>
        <v>8</v>
      </c>
      <c r="J18" s="336">
        <f>SUM(J19:J23)</f>
        <v>14</v>
      </c>
    </row>
    <row r="19" spans="2:10">
      <c r="B19" t="s">
        <v>115</v>
      </c>
      <c r="C19" s="339" t="s">
        <v>10</v>
      </c>
      <c r="D19" s="346" t="s">
        <v>117</v>
      </c>
      <c r="E19" s="268" t="str">
        <f>$C$18</f>
        <v>HEALER</v>
      </c>
      <c r="F19" s="346" t="s">
        <v>117</v>
      </c>
      <c r="G19" s="268">
        <f t="shared" ref="G19:G23" si="1">(IF(J19&lt;16,1,0)*IF(I19&gt;2,0,1))+(IF(I19&lt;2,1,0)*IF(J19&lt;8,1,0))</f>
        <v>2</v>
      </c>
      <c r="H19" t="s">
        <v>119</v>
      </c>
      <c r="I19" s="335">
        <f>COUNTIFS('Members Data'!$C$2:$C$61,Rec!C19,'Members Data'!$D$2:$D$61,Rec!E19)</f>
        <v>1</v>
      </c>
      <c r="J19" s="336">
        <f>Sign!B16</f>
        <v>2</v>
      </c>
    </row>
    <row r="20" spans="2:10">
      <c r="B20" t="s">
        <v>115</v>
      </c>
      <c r="C20" s="339" t="s">
        <v>136</v>
      </c>
      <c r="D20" s="346" t="s">
        <v>117</v>
      </c>
      <c r="E20" s="268" t="str">
        <f t="shared" ref="E20:E23" si="2">$C$18</f>
        <v>HEALER</v>
      </c>
      <c r="F20" s="346" t="s">
        <v>117</v>
      </c>
      <c r="G20" s="268">
        <f t="shared" si="1"/>
        <v>2</v>
      </c>
      <c r="H20" t="s">
        <v>119</v>
      </c>
      <c r="I20" s="335">
        <f>COUNTIFS('Members Data'!$C$2:$C$61,Rec!C20,'Members Data'!$D$2:$D$61,Rec!E20)</f>
        <v>0</v>
      </c>
      <c r="J20" s="336">
        <f>Sign!B27</f>
        <v>2</v>
      </c>
    </row>
    <row r="21" spans="2:10">
      <c r="B21" t="s">
        <v>115</v>
      </c>
      <c r="C21" s="339" t="s">
        <v>13</v>
      </c>
      <c r="D21" s="346" t="s">
        <v>117</v>
      </c>
      <c r="E21" s="268" t="str">
        <f t="shared" si="2"/>
        <v>HEALER</v>
      </c>
      <c r="F21" s="346" t="s">
        <v>117</v>
      </c>
      <c r="G21" s="268">
        <f t="shared" si="1"/>
        <v>1</v>
      </c>
      <c r="H21" t="s">
        <v>119</v>
      </c>
      <c r="I21" s="335">
        <f>COUNTIFS('Members Data'!$C$2:$C$61,Rec!C21,'Members Data'!$D$2:$D$61,Rec!E21)</f>
        <v>2</v>
      </c>
      <c r="J21" s="336">
        <f>Sign!B32</f>
        <v>4</v>
      </c>
    </row>
    <row r="22" spans="2:10">
      <c r="B22" t="s">
        <v>115</v>
      </c>
      <c r="C22" s="339" t="s">
        <v>14</v>
      </c>
      <c r="D22" s="346" t="s">
        <v>117</v>
      </c>
      <c r="E22" s="268" t="str">
        <f t="shared" si="2"/>
        <v>HEALER</v>
      </c>
      <c r="F22" s="346" t="s">
        <v>117</v>
      </c>
      <c r="G22" s="268">
        <f t="shared" si="1"/>
        <v>0</v>
      </c>
      <c r="H22" t="s">
        <v>119</v>
      </c>
      <c r="I22" s="335">
        <f>COUNTIFS('Members Data'!$C$2:$C$61,Rec!C22,'Members Data'!$D$2:$D$61,Rec!E22)</f>
        <v>4</v>
      </c>
      <c r="J22" s="336">
        <f>Sign!B36</f>
        <v>4</v>
      </c>
    </row>
    <row r="23" spans="2:10">
      <c r="B23" t="s">
        <v>115</v>
      </c>
      <c r="C23" s="339" t="s">
        <v>16</v>
      </c>
      <c r="D23" s="346" t="s">
        <v>117</v>
      </c>
      <c r="E23" s="268" t="str">
        <f t="shared" si="2"/>
        <v>HEALER</v>
      </c>
      <c r="F23" s="346" t="s">
        <v>117</v>
      </c>
      <c r="G23" s="268">
        <f t="shared" si="1"/>
        <v>2</v>
      </c>
      <c r="H23" t="s">
        <v>119</v>
      </c>
      <c r="I23" s="335">
        <f>COUNTIFS('Members Data'!$C$2:$C$61,Rec!C23,'Members Data'!$D$2:$D$61,Rec!E23)</f>
        <v>1</v>
      </c>
      <c r="J23" s="336">
        <f>Sign!B44</f>
        <v>2</v>
      </c>
    </row>
    <row r="24" spans="2:10">
      <c r="B24" t="s">
        <v>115</v>
      </c>
      <c r="C24" s="339" t="str">
        <f>RA!$AB$42</f>
        <v>------------</v>
      </c>
      <c r="D24" s="346" t="s">
        <v>117</v>
      </c>
      <c r="E24" s="339" t="str">
        <f>RA!$AB$42</f>
        <v>------------</v>
      </c>
      <c r="F24" s="346" t="s">
        <v>117</v>
      </c>
      <c r="G24" s="339" t="str">
        <f>RA!$AB$42</f>
        <v>------------</v>
      </c>
      <c r="H24" t="s">
        <v>119</v>
      </c>
      <c r="I24" s="335"/>
      <c r="J24" s="336"/>
    </row>
    <row r="25" spans="2:10">
      <c r="B25" t="s">
        <v>142</v>
      </c>
      <c r="C25" s="342" t="s">
        <v>139</v>
      </c>
      <c r="D25" s="344" t="s">
        <v>116</v>
      </c>
      <c r="E25" s="339">
        <f>I25</f>
        <v>4</v>
      </c>
      <c r="F25" s="344" t="s">
        <v>116</v>
      </c>
      <c r="G25" s="339" t="str">
        <f>RA!$AB$42</f>
        <v>------------</v>
      </c>
      <c r="H25" t="s">
        <v>118</v>
      </c>
      <c r="I25" s="335">
        <f>SUM(I26:I30)</f>
        <v>4</v>
      </c>
      <c r="J25" s="336">
        <f>SUM(J26:J30)</f>
        <v>6</v>
      </c>
    </row>
    <row r="26" spans="2:10">
      <c r="B26" t="s">
        <v>115</v>
      </c>
      <c r="C26" s="339" t="s">
        <v>9</v>
      </c>
      <c r="D26" s="346" t="s">
        <v>117</v>
      </c>
      <c r="E26" s="268" t="str">
        <f>$C$25</f>
        <v>TANK</v>
      </c>
      <c r="F26" s="346" t="s">
        <v>117</v>
      </c>
      <c r="G26" s="268">
        <f>((IF(J26&lt;16,1,0)*IF(I26&gt;2,0,1)))*IF($I$25&lt;6,1,0)</f>
        <v>1</v>
      </c>
      <c r="H26" t="s">
        <v>119</v>
      </c>
      <c r="I26" s="335">
        <f>COUNTIFS('Members Data'!$C$2:$C$61,Rec!C26,'Members Data'!$D$2:$D$61,Rec!E26)</f>
        <v>1</v>
      </c>
      <c r="J26" s="336">
        <f>Sign!B9</f>
        <v>0</v>
      </c>
    </row>
    <row r="27" spans="2:10">
      <c r="B27" t="s">
        <v>115</v>
      </c>
      <c r="C27" s="339" t="s">
        <v>10</v>
      </c>
      <c r="D27" s="298" t="s">
        <v>117</v>
      </c>
      <c r="E27" s="268" t="str">
        <f>$C$25</f>
        <v>TANK</v>
      </c>
      <c r="F27" s="298" t="s">
        <v>117</v>
      </c>
      <c r="G27" s="268">
        <f>((IF(J27&lt;16,1,0)*IF(I27&gt;2,0,1)))*IF($I$25&lt;6,1,0)</f>
        <v>1</v>
      </c>
      <c r="H27" t="s">
        <v>119</v>
      </c>
      <c r="I27" s="335">
        <f>COUNTIFS('Members Data'!$C$2:$C$61,Rec!C27,'Members Data'!$D$2:$D$61,Rec!E27)</f>
        <v>1</v>
      </c>
      <c r="J27" s="336">
        <f>Sign!B13</f>
        <v>2</v>
      </c>
    </row>
    <row r="28" spans="2:10">
      <c r="B28" t="s">
        <v>115</v>
      </c>
      <c r="C28" s="339" t="s">
        <v>136</v>
      </c>
      <c r="D28" s="298" t="s">
        <v>117</v>
      </c>
      <c r="E28" s="268" t="str">
        <f>$C$25</f>
        <v>TANK</v>
      </c>
      <c r="F28" s="298" t="s">
        <v>117</v>
      </c>
      <c r="G28" s="268">
        <f>((IF(J28&lt;16,1,0)*IF(I28&gt;2,0,1)))*IF($I$25&lt;6,1,0)</f>
        <v>1</v>
      </c>
      <c r="H28" t="s">
        <v>119</v>
      </c>
      <c r="I28" s="335">
        <f>COUNTIFS('Members Data'!$C$2:$C$61,Rec!C28,'Members Data'!$D$2:$D$61,Rec!E28)</f>
        <v>0</v>
      </c>
      <c r="J28" s="336">
        <f>Sign!B25</f>
        <v>0</v>
      </c>
    </row>
    <row r="29" spans="2:10">
      <c r="B29" t="s">
        <v>115</v>
      </c>
      <c r="C29" s="339" t="s">
        <v>13</v>
      </c>
      <c r="D29" s="298" t="s">
        <v>117</v>
      </c>
      <c r="E29" s="268" t="str">
        <f>$C$25</f>
        <v>TANK</v>
      </c>
      <c r="F29" s="298" t="s">
        <v>117</v>
      </c>
      <c r="G29" s="268">
        <f>((IF(J29&lt;16,1,0)*IF(I29&gt;2,0,1)))*IF($I$25&lt;6,1,0)</f>
        <v>1</v>
      </c>
      <c r="H29" t="s">
        <v>119</v>
      </c>
      <c r="I29" s="335">
        <f>COUNTIFS('Members Data'!$C$2:$C$61,Rec!C29,'Members Data'!$D$2:$D$61,Rec!E29)</f>
        <v>2</v>
      </c>
      <c r="J29" s="336">
        <f>Sign!B30</f>
        <v>2</v>
      </c>
    </row>
    <row r="30" spans="2:10" ht="13.5" thickBot="1">
      <c r="B30" t="s">
        <v>115</v>
      </c>
      <c r="C30" s="340" t="s">
        <v>17</v>
      </c>
      <c r="D30" s="298" t="s">
        <v>117</v>
      </c>
      <c r="E30" s="341" t="str">
        <f>$C$25</f>
        <v>TANK</v>
      </c>
      <c r="F30" s="298" t="s">
        <v>117</v>
      </c>
      <c r="G30" s="341">
        <f>((IF(J30&lt;16,1,0)*IF(I30&gt;2,0,1)))*IF($I$25&lt;6,1,0)</f>
        <v>1</v>
      </c>
      <c r="H30" t="s">
        <v>119</v>
      </c>
      <c r="I30" s="337">
        <f>COUNTIFS('Members Data'!$C$2:$C$61,Rec!C30,'Members Data'!$D$2:$D$61,Rec!E30)</f>
        <v>0</v>
      </c>
      <c r="J30" s="338">
        <f>Sign!B50</f>
        <v>2</v>
      </c>
    </row>
    <row r="31" spans="2:10" ht="15">
      <c r="B31" s="241" t="s">
        <v>121</v>
      </c>
    </row>
    <row r="33" spans="5:7">
      <c r="E33" s="213" t="s">
        <v>4</v>
      </c>
      <c r="F33" s="343"/>
      <c r="G33" s="213">
        <f>SUM(G4:G30)</f>
        <v>25</v>
      </c>
    </row>
    <row r="34" spans="5:7">
      <c r="E34" s="213" t="s">
        <v>143</v>
      </c>
      <c r="G34" s="213">
        <f>G33+E25+E18+E3</f>
        <v>72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21</vt:i4>
      </vt:variant>
    </vt:vector>
  </HeadingPairs>
  <TitlesOfParts>
    <vt:vector size="21" baseType="lpstr">
      <vt:lpstr>Short &amp; Simple</vt:lpstr>
      <vt:lpstr>Members Data</vt:lpstr>
      <vt:lpstr>TDCC</vt:lpstr>
      <vt:lpstr>EDCC</vt:lpstr>
      <vt:lpstr>VDCC</vt:lpstr>
      <vt:lpstr>RL</vt:lpstr>
      <vt:lpstr>RA</vt:lpstr>
      <vt:lpstr>RR</vt:lpstr>
      <vt:lpstr>Rec</vt:lpstr>
      <vt:lpstr>Output</vt:lpstr>
      <vt:lpstr>wk1</vt:lpstr>
      <vt:lpstr>wk2</vt:lpstr>
      <vt:lpstr>wk3</vt:lpstr>
      <vt:lpstr>wk4</vt:lpstr>
      <vt:lpstr>wk5</vt:lpstr>
      <vt:lpstr>Pat</vt:lpstr>
      <vt:lpstr>Sign</vt:lpstr>
      <vt:lpstr>Look-up</vt:lpstr>
      <vt:lpstr>Addon</vt:lpstr>
      <vt:lpstr>Temp</vt:lpstr>
      <vt:lpstr>Notepad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Lanfear</dc:creator>
  <cp:lastModifiedBy>Shin</cp:lastModifiedBy>
  <dcterms:created xsi:type="dcterms:W3CDTF">2011-08-02T12:31:25Z</dcterms:created>
  <dcterms:modified xsi:type="dcterms:W3CDTF">2014-12-07T23:13:39Z</dcterms:modified>
</cp:coreProperties>
</file>