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charts/chart2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/>
  <bookViews>
    <workbookView xWindow="1845" yWindow="1785" windowWidth="13545" windowHeight="6885" tabRatio="885"/>
  </bookViews>
  <sheets>
    <sheet name="Short &amp; Simple" sheetId="1" r:id="rId1"/>
    <sheet name="Members Data" sheetId="2" r:id="rId2"/>
    <sheet name="DCC" sheetId="3" r:id="rId3"/>
    <sheet name="RL" sheetId="21" r:id="rId4"/>
    <sheet name="RA" sheetId="20" r:id="rId5"/>
    <sheet name="RR" sheetId="25" r:id="rId6"/>
    <sheet name="Rec" sheetId="26" r:id="rId7"/>
    <sheet name="Gear" sheetId="9" r:id="rId8"/>
    <sheet name="wk1" sheetId="4" r:id="rId9"/>
    <sheet name="wk2" sheetId="5" r:id="rId10"/>
    <sheet name="wk3" sheetId="6" r:id="rId11"/>
    <sheet name="wk4" sheetId="7" r:id="rId12"/>
    <sheet name="wk5" sheetId="8" r:id="rId13"/>
    <sheet name="Pat" sheetId="10" state="hidden" r:id="rId14"/>
    <sheet name="Sign" sheetId="11" r:id="rId15"/>
    <sheet name="Look-up" sheetId="16" r:id="rId16"/>
    <sheet name="Addon" sheetId="19" state="hidden" r:id="rId17"/>
    <sheet name="Temp" sheetId="24" state="hidden" r:id="rId18"/>
    <sheet name="Notepad" sheetId="28" r:id="rId19"/>
  </sheets>
  <definedNames>
    <definedName name="_xlnm._FilterDatabase" localSheetId="7" hidden="1">Gear!$A$103:$C$163</definedName>
    <definedName name="_xlnm._FilterDatabase" localSheetId="3" hidden="1">RL!$C$3:$R$104</definedName>
    <definedName name="_xlnm._FilterDatabase" localSheetId="5" hidden="1">RR!$C$2:$U$63</definedName>
    <definedName name="gearscore">#REF!</definedName>
  </definedNames>
  <calcPr calcId="124519"/>
</workbook>
</file>

<file path=xl/calcChain.xml><?xml version="1.0" encoding="utf-8"?>
<calcChain xmlns="http://schemas.openxmlformats.org/spreadsheetml/2006/main">
  <c r="J35" i="9"/>
  <c r="J69"/>
  <c r="E33" i="1"/>
  <c r="E32"/>
  <c r="A26" i="9" l="1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6"/>
  <c r="J37"/>
  <c r="J38"/>
  <c r="J39"/>
  <c r="J40"/>
  <c r="J41"/>
  <c r="J42"/>
  <c r="J43"/>
  <c r="J44"/>
  <c r="J45"/>
  <c r="J46"/>
  <c r="J47"/>
  <c r="J48"/>
  <c r="J49"/>
  <c r="J50"/>
  <c r="J51"/>
  <c r="J52"/>
  <c r="A5"/>
  <c r="A9"/>
  <c r="A7"/>
  <c r="A8"/>
  <c r="A3"/>
  <c r="A4"/>
  <c r="A6"/>
  <c r="A10"/>
  <c r="A11"/>
  <c r="A12"/>
  <c r="A13"/>
  <c r="A14"/>
  <c r="A15"/>
  <c r="A16"/>
  <c r="A17"/>
  <c r="A18"/>
  <c r="A19"/>
  <c r="A20"/>
  <c r="A21"/>
  <c r="A22"/>
  <c r="A23"/>
  <c r="A24"/>
  <c r="A25"/>
  <c r="A27"/>
  <c r="A28"/>
  <c r="A29"/>
  <c r="A30"/>
  <c r="A31"/>
  <c r="A32"/>
  <c r="A33"/>
  <c r="A34"/>
  <c r="J6"/>
  <c r="AB2" i="20" l="1"/>
  <c r="N57" i="1"/>
  <c r="N58"/>
  <c r="N59"/>
  <c r="N60"/>
  <c r="N61"/>
  <c r="N64"/>
  <c r="N65"/>
  <c r="N66"/>
  <c r="N67"/>
  <c r="N63"/>
  <c r="N56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N32"/>
  <c r="K32"/>
  <c r="J34"/>
  <c r="J36"/>
  <c r="J38"/>
  <c r="J40"/>
  <c r="J42"/>
  <c r="J44"/>
  <c r="J46"/>
  <c r="J48"/>
  <c r="J50"/>
  <c r="J52"/>
  <c r="J54"/>
  <c r="K65"/>
  <c r="K67"/>
  <c r="K64"/>
  <c r="K66"/>
  <c r="K57"/>
  <c r="K58"/>
  <c r="K59"/>
  <c r="K60"/>
  <c r="K61"/>
  <c r="K63"/>
  <c r="K56"/>
  <c r="K33"/>
  <c r="K34"/>
  <c r="K35"/>
  <c r="K36"/>
  <c r="K37"/>
  <c r="K38"/>
  <c r="K39"/>
  <c r="K40"/>
  <c r="K41"/>
  <c r="K42"/>
  <c r="K43"/>
  <c r="K44"/>
  <c r="K45"/>
  <c r="K46"/>
  <c r="K47"/>
  <c r="K48"/>
  <c r="K49"/>
  <c r="K50"/>
  <c r="K51"/>
  <c r="K52"/>
  <c r="K53"/>
  <c r="K54"/>
  <c r="J64"/>
  <c r="J65"/>
  <c r="J66"/>
  <c r="J67"/>
  <c r="J63"/>
  <c r="J57"/>
  <c r="J58"/>
  <c r="J59"/>
  <c r="J60"/>
  <c r="J61"/>
  <c r="J56"/>
  <c r="J35"/>
  <c r="J37"/>
  <c r="J39"/>
  <c r="J41"/>
  <c r="J43"/>
  <c r="J45"/>
  <c r="J47"/>
  <c r="J49"/>
  <c r="J51"/>
  <c r="J53"/>
  <c r="J33"/>
  <c r="E40" a="1"/>
  <c r="E40" s="1"/>
  <c r="D40" a="1"/>
  <c r="D40" s="1"/>
  <c r="J32" l="1"/>
  <c r="Y64" i="20" l="1"/>
  <c r="W64"/>
  <c r="U64"/>
  <c r="S64"/>
  <c r="Q64"/>
  <c r="O64"/>
  <c r="M64"/>
  <c r="K64"/>
  <c r="Y63"/>
  <c r="W63"/>
  <c r="U63"/>
  <c r="S63"/>
  <c r="Q63"/>
  <c r="O63"/>
  <c r="M63"/>
  <c r="K63"/>
  <c r="Y62"/>
  <c r="W62"/>
  <c r="U62"/>
  <c r="S62"/>
  <c r="Q62"/>
  <c r="O62"/>
  <c r="M62"/>
  <c r="K62"/>
  <c r="Y61"/>
  <c r="W61"/>
  <c r="U61"/>
  <c r="S61"/>
  <c r="Q61"/>
  <c r="O61"/>
  <c r="M61"/>
  <c r="K61"/>
  <c r="Y60"/>
  <c r="W60"/>
  <c r="U60"/>
  <c r="S60"/>
  <c r="Q60"/>
  <c r="O60"/>
  <c r="M60"/>
  <c r="K60"/>
  <c r="Y59"/>
  <c r="W59"/>
  <c r="U59"/>
  <c r="S59"/>
  <c r="Q59"/>
  <c r="O59"/>
  <c r="M59"/>
  <c r="K59"/>
  <c r="Y58"/>
  <c r="W58"/>
  <c r="U58"/>
  <c r="S58"/>
  <c r="Q58"/>
  <c r="O58"/>
  <c r="M58"/>
  <c r="K58"/>
  <c r="Y57"/>
  <c r="W57"/>
  <c r="U57"/>
  <c r="S57"/>
  <c r="Q57"/>
  <c r="O57"/>
  <c r="M57"/>
  <c r="K57"/>
  <c r="Y56"/>
  <c r="W56"/>
  <c r="U56"/>
  <c r="S56"/>
  <c r="Q56"/>
  <c r="O56"/>
  <c r="M56"/>
  <c r="K56"/>
  <c r="AG6"/>
  <c r="J5" i="9"/>
  <c r="P33"/>
  <c r="P34"/>
  <c r="P35"/>
  <c r="P36"/>
  <c r="Q33" l="1"/>
  <c r="Q34"/>
  <c r="Q36"/>
  <c r="Q35"/>
  <c r="C87" i="10"/>
  <c r="B87"/>
  <c r="C86"/>
  <c r="B86"/>
  <c r="C85"/>
  <c r="B85"/>
  <c r="C84"/>
  <c r="B84"/>
  <c r="C83"/>
  <c r="B83"/>
  <c r="C82"/>
  <c r="B82"/>
  <c r="C81"/>
  <c r="B81"/>
  <c r="C80"/>
  <c r="B80"/>
  <c r="C79"/>
  <c r="B79"/>
  <c r="C78"/>
  <c r="B78"/>
  <c r="C77"/>
  <c r="B77"/>
  <c r="C76"/>
  <c r="B76"/>
  <c r="C75"/>
  <c r="B75"/>
  <c r="C74"/>
  <c r="B74"/>
  <c r="C73"/>
  <c r="B73"/>
  <c r="C72"/>
  <c r="B72"/>
  <c r="C71"/>
  <c r="B71"/>
  <c r="C70"/>
  <c r="B70"/>
  <c r="C69"/>
  <c r="B69"/>
  <c r="C68"/>
  <c r="B68"/>
  <c r="C67"/>
  <c r="B67"/>
  <c r="C66"/>
  <c r="B66"/>
  <c r="C65"/>
  <c r="B65"/>
  <c r="C64"/>
  <c r="B64"/>
  <c r="C63"/>
  <c r="B63"/>
  <c r="C62"/>
  <c r="B62"/>
  <c r="C61"/>
  <c r="B61"/>
  <c r="C60"/>
  <c r="B60"/>
  <c r="C59"/>
  <c r="B59"/>
  <c r="C58"/>
  <c r="B58"/>
  <c r="C57"/>
  <c r="B57"/>
  <c r="C56"/>
  <c r="B56"/>
  <c r="C55"/>
  <c r="B55"/>
  <c r="C54"/>
  <c r="B54"/>
  <c r="C53"/>
  <c r="B53"/>
  <c r="C52"/>
  <c r="B52"/>
  <c r="C51"/>
  <c r="B51"/>
  <c r="C50"/>
  <c r="B50"/>
  <c r="C49"/>
  <c r="B49"/>
  <c r="C48"/>
  <c r="B48"/>
  <c r="C47"/>
  <c r="B47"/>
  <c r="C46"/>
  <c r="B46"/>
  <c r="C45"/>
  <c r="B45"/>
  <c r="C44"/>
  <c r="B44"/>
  <c r="C43"/>
  <c r="B43"/>
  <c r="C42"/>
  <c r="B42"/>
  <c r="C41"/>
  <c r="B41"/>
  <c r="C40"/>
  <c r="B40"/>
  <c r="C39"/>
  <c r="B39"/>
  <c r="C38"/>
  <c r="B38"/>
  <c r="C37"/>
  <c r="B37"/>
  <c r="C36"/>
  <c r="B36"/>
  <c r="C35"/>
  <c r="B35"/>
  <c r="C34"/>
  <c r="B34"/>
  <c r="C33"/>
  <c r="B33"/>
  <c r="C32"/>
  <c r="B32"/>
  <c r="C31"/>
  <c r="B31"/>
  <c r="C30"/>
  <c r="B30"/>
  <c r="C29"/>
  <c r="B29"/>
  <c r="C28"/>
  <c r="B28"/>
  <c r="H9" i="8"/>
  <c r="G9"/>
  <c r="F9"/>
  <c r="E9"/>
  <c r="D9"/>
  <c r="C9"/>
  <c r="B9"/>
  <c r="H8"/>
  <c r="G8"/>
  <c r="F8"/>
  <c r="E8"/>
  <c r="D8"/>
  <c r="C8"/>
  <c r="B8"/>
  <c r="H7"/>
  <c r="G7"/>
  <c r="F7"/>
  <c r="E7"/>
  <c r="D7"/>
  <c r="C7"/>
  <c r="B7"/>
  <c r="H9" i="7"/>
  <c r="G9"/>
  <c r="F9"/>
  <c r="E9"/>
  <c r="D9"/>
  <c r="C9"/>
  <c r="B9"/>
  <c r="H8"/>
  <c r="G8"/>
  <c r="F8"/>
  <c r="E8"/>
  <c r="D8"/>
  <c r="C8"/>
  <c r="B8"/>
  <c r="H7"/>
  <c r="G7"/>
  <c r="F7"/>
  <c r="E7"/>
  <c r="D7"/>
  <c r="C7"/>
  <c r="B7"/>
  <c r="H9" i="6"/>
  <c r="G9"/>
  <c r="F9"/>
  <c r="E9"/>
  <c r="D9"/>
  <c r="C9"/>
  <c r="B9"/>
  <c r="H8"/>
  <c r="G8"/>
  <c r="F8"/>
  <c r="E8"/>
  <c r="D8"/>
  <c r="C8"/>
  <c r="B8"/>
  <c r="H7"/>
  <c r="G7"/>
  <c r="F7"/>
  <c r="E7"/>
  <c r="D7"/>
  <c r="C7"/>
  <c r="B7"/>
  <c r="H9" i="5"/>
  <c r="G9"/>
  <c r="F9"/>
  <c r="E9"/>
  <c r="D9"/>
  <c r="C9"/>
  <c r="B9"/>
  <c r="H8"/>
  <c r="G8"/>
  <c r="F8"/>
  <c r="E8"/>
  <c r="D8"/>
  <c r="C8"/>
  <c r="B8"/>
  <c r="H7"/>
  <c r="G7"/>
  <c r="F7"/>
  <c r="E7"/>
  <c r="D7"/>
  <c r="C7"/>
  <c r="B7"/>
  <c r="F51" i="11"/>
  <c r="F50"/>
  <c r="F47"/>
  <c r="F44"/>
  <c r="F43"/>
  <c r="F42"/>
  <c r="F39"/>
  <c r="F36"/>
  <c r="F35"/>
  <c r="F32"/>
  <c r="F31"/>
  <c r="F30"/>
  <c r="F27"/>
  <c r="F26"/>
  <c r="F25"/>
  <c r="F22"/>
  <c r="F19"/>
  <c r="F16"/>
  <c r="F15"/>
  <c r="F14"/>
  <c r="F13"/>
  <c r="F10"/>
  <c r="F9"/>
  <c r="D7" i="4"/>
  <c r="H9"/>
  <c r="G9"/>
  <c r="F9"/>
  <c r="E9"/>
  <c r="D9"/>
  <c r="H8"/>
  <c r="G8"/>
  <c r="F8"/>
  <c r="E8"/>
  <c r="D8"/>
  <c r="H7"/>
  <c r="G7"/>
  <c r="F7"/>
  <c r="E7"/>
  <c r="C9"/>
  <c r="C8"/>
  <c r="C7"/>
  <c r="B9"/>
  <c r="B8"/>
  <c r="B7"/>
  <c r="J94" i="2" l="1"/>
  <c r="K94"/>
  <c r="L94"/>
  <c r="J93"/>
  <c r="K93"/>
  <c r="L93"/>
  <c r="C2" i="4"/>
  <c r="G3" i="26"/>
  <c r="C2"/>
  <c r="G25"/>
  <c r="C24"/>
  <c r="E24"/>
  <c r="G24"/>
  <c r="G18"/>
  <c r="G17"/>
  <c r="E17"/>
  <c r="C17"/>
  <c r="I16"/>
  <c r="I15"/>
  <c r="I14"/>
  <c r="I13"/>
  <c r="I12"/>
  <c r="I11"/>
  <c r="I10"/>
  <c r="I9"/>
  <c r="I8"/>
  <c r="I7"/>
  <c r="I6"/>
  <c r="I5"/>
  <c r="I4"/>
  <c r="E30"/>
  <c r="I30" s="1"/>
  <c r="E29"/>
  <c r="I29" s="1"/>
  <c r="E28"/>
  <c r="I28" s="1"/>
  <c r="E27"/>
  <c r="I27" s="1"/>
  <c r="E26"/>
  <c r="I26" s="1"/>
  <c r="E23"/>
  <c r="I23" s="1"/>
  <c r="E22"/>
  <c r="I22" s="1"/>
  <c r="E21"/>
  <c r="I21" s="1"/>
  <c r="E20"/>
  <c r="I20" s="1"/>
  <c r="E19"/>
  <c r="I19" s="1"/>
  <c r="C40" i="1"/>
  <c r="AO27" i="11"/>
  <c r="AN27"/>
  <c r="AM27"/>
  <c r="AL27"/>
  <c r="AK27"/>
  <c r="AJ27"/>
  <c r="AH27"/>
  <c r="AG27"/>
  <c r="AF27"/>
  <c r="AE27"/>
  <c r="AD27"/>
  <c r="AC27"/>
  <c r="AB27"/>
  <c r="Z27"/>
  <c r="Y27"/>
  <c r="X27"/>
  <c r="W27"/>
  <c r="V27"/>
  <c r="U27"/>
  <c r="T27"/>
  <c r="R27"/>
  <c r="Q27"/>
  <c r="P27"/>
  <c r="O27"/>
  <c r="N27"/>
  <c r="M27"/>
  <c r="L27"/>
  <c r="J27"/>
  <c r="I27"/>
  <c r="H27"/>
  <c r="G27"/>
  <c r="E27"/>
  <c r="D27"/>
  <c r="AP26"/>
  <c r="AO26"/>
  <c r="AN26"/>
  <c r="AM26"/>
  <c r="AL26"/>
  <c r="AK26"/>
  <c r="AJ26"/>
  <c r="AH26"/>
  <c r="AG26"/>
  <c r="AF26"/>
  <c r="AE26"/>
  <c r="AD26"/>
  <c r="AC26"/>
  <c r="AB26"/>
  <c r="Z26"/>
  <c r="Y26"/>
  <c r="X26"/>
  <c r="W26"/>
  <c r="V26"/>
  <c r="U26"/>
  <c r="T26"/>
  <c r="R26"/>
  <c r="Q26"/>
  <c r="P26"/>
  <c r="O26"/>
  <c r="N26"/>
  <c r="M26"/>
  <c r="L26"/>
  <c r="J26"/>
  <c r="I26"/>
  <c r="H26"/>
  <c r="G26"/>
  <c r="E26"/>
  <c r="D26"/>
  <c r="AP25"/>
  <c r="AO25"/>
  <c r="AN25"/>
  <c r="AM25"/>
  <c r="AL25"/>
  <c r="AK25"/>
  <c r="AJ25"/>
  <c r="AH25"/>
  <c r="AG25"/>
  <c r="AF25"/>
  <c r="AE25"/>
  <c r="AD25"/>
  <c r="AC25"/>
  <c r="AB25"/>
  <c r="Z25"/>
  <c r="Y25"/>
  <c r="X25"/>
  <c r="W25"/>
  <c r="V25"/>
  <c r="U25"/>
  <c r="T25"/>
  <c r="R25"/>
  <c r="Q25"/>
  <c r="P25"/>
  <c r="O25"/>
  <c r="N25"/>
  <c r="M25"/>
  <c r="L25"/>
  <c r="J25"/>
  <c r="I25"/>
  <c r="H25"/>
  <c r="G25"/>
  <c r="E25"/>
  <c r="D25"/>
  <c r="AP27"/>
  <c r="E1048574" i="25"/>
  <c r="K4" i="20"/>
  <c r="M4"/>
  <c r="O4"/>
  <c r="Q4"/>
  <c r="S4"/>
  <c r="AB38"/>
  <c r="AB37"/>
  <c r="AB36"/>
  <c r="AB35"/>
  <c r="AB34"/>
  <c r="AB33"/>
  <c r="AB32"/>
  <c r="AB31"/>
  <c r="AB30"/>
  <c r="AB29"/>
  <c r="AB28"/>
  <c r="AB27"/>
  <c r="AB26"/>
  <c r="AB25"/>
  <c r="J92" i="2"/>
  <c r="K92"/>
  <c r="L92"/>
  <c r="J91"/>
  <c r="K91"/>
  <c r="L91"/>
  <c r="AF6" i="20"/>
  <c r="AF7"/>
  <c r="P21" i="9"/>
  <c r="J90" i="2"/>
  <c r="K90"/>
  <c r="L90"/>
  <c r="J89"/>
  <c r="K89"/>
  <c r="L89"/>
  <c r="J88"/>
  <c r="K88"/>
  <c r="L88"/>
  <c r="J87"/>
  <c r="K87"/>
  <c r="L87"/>
  <c r="J86"/>
  <c r="K86"/>
  <c r="L86"/>
  <c r="J85"/>
  <c r="K85"/>
  <c r="L85"/>
  <c r="J84"/>
  <c r="K84"/>
  <c r="L84"/>
  <c r="Q21" i="9" l="1"/>
  <c r="AA26" i="11"/>
  <c r="AA27"/>
  <c r="K27"/>
  <c r="K26"/>
  <c r="AQ26"/>
  <c r="S27"/>
  <c r="I18" i="26"/>
  <c r="E18" s="1"/>
  <c r="S25" i="11"/>
  <c r="AI27"/>
  <c r="F40" i="1"/>
  <c r="I25" i="26"/>
  <c r="E25" s="1"/>
  <c r="AQ27" i="11"/>
  <c r="AI25"/>
  <c r="K25"/>
  <c r="AA25"/>
  <c r="AQ25"/>
  <c r="S26"/>
  <c r="AI26"/>
  <c r="I3" i="26"/>
  <c r="E3" s="1"/>
  <c r="S27" i="25"/>
  <c r="P12" i="9"/>
  <c r="P6"/>
  <c r="P26"/>
  <c r="P23"/>
  <c r="P100"/>
  <c r="Q100" s="1"/>
  <c r="P99"/>
  <c r="Q99" s="1"/>
  <c r="P98"/>
  <c r="Q98" s="1"/>
  <c r="P97"/>
  <c r="Q97" s="1"/>
  <c r="P96"/>
  <c r="Q96" s="1"/>
  <c r="P95"/>
  <c r="Q95" s="1"/>
  <c r="P94"/>
  <c r="Q94" s="1"/>
  <c r="P93"/>
  <c r="Q93" s="1"/>
  <c r="P92"/>
  <c r="Q92" s="1"/>
  <c r="P91"/>
  <c r="Q91" s="1"/>
  <c r="P90"/>
  <c r="Q90" s="1"/>
  <c r="P89"/>
  <c r="Q89" s="1"/>
  <c r="P88"/>
  <c r="Q88" s="1"/>
  <c r="P87"/>
  <c r="Q87" s="1"/>
  <c r="P86"/>
  <c r="Q86" s="1"/>
  <c r="P85"/>
  <c r="Q85" s="1"/>
  <c r="P84"/>
  <c r="Q84" s="1"/>
  <c r="P83"/>
  <c r="Q83" s="1"/>
  <c r="P82"/>
  <c r="Q82" s="1"/>
  <c r="P81"/>
  <c r="Q81" s="1"/>
  <c r="P80"/>
  <c r="Q80" s="1"/>
  <c r="P79"/>
  <c r="Q79" s="1"/>
  <c r="P78"/>
  <c r="Q78" s="1"/>
  <c r="P77"/>
  <c r="Q77" s="1"/>
  <c r="P76"/>
  <c r="Q76" s="1"/>
  <c r="P75"/>
  <c r="Q75" s="1"/>
  <c r="P74"/>
  <c r="Q74" s="1"/>
  <c r="P73"/>
  <c r="Q73" s="1"/>
  <c r="P72"/>
  <c r="Q72" s="1"/>
  <c r="P71"/>
  <c r="Q71" s="1"/>
  <c r="P70"/>
  <c r="Q70" s="1"/>
  <c r="P69"/>
  <c r="Q69" s="1"/>
  <c r="P68"/>
  <c r="Q68" s="1"/>
  <c r="P67"/>
  <c r="Q67" s="1"/>
  <c r="P66"/>
  <c r="Q66" s="1"/>
  <c r="P65"/>
  <c r="Q65" s="1"/>
  <c r="P64"/>
  <c r="Q64" s="1"/>
  <c r="P63"/>
  <c r="Q63" s="1"/>
  <c r="P62"/>
  <c r="Q62" s="1"/>
  <c r="P61"/>
  <c r="Q61" s="1"/>
  <c r="P60"/>
  <c r="Q60" s="1"/>
  <c r="P59"/>
  <c r="Q59" s="1"/>
  <c r="P58"/>
  <c r="Q58" s="1"/>
  <c r="P57"/>
  <c r="Q57" s="1"/>
  <c r="P56"/>
  <c r="Q56" s="1"/>
  <c r="P55"/>
  <c r="Q55" s="1"/>
  <c r="P54"/>
  <c r="Q54" s="1"/>
  <c r="P53"/>
  <c r="Q53" s="1"/>
  <c r="P52"/>
  <c r="P51"/>
  <c r="P50"/>
  <c r="P49"/>
  <c r="P48"/>
  <c r="P47"/>
  <c r="P46"/>
  <c r="P45"/>
  <c r="P44"/>
  <c r="P43"/>
  <c r="P42"/>
  <c r="P41"/>
  <c r="P40"/>
  <c r="P39"/>
  <c r="P38"/>
  <c r="P37"/>
  <c r="P32"/>
  <c r="P31"/>
  <c r="P30"/>
  <c r="P29"/>
  <c r="P28"/>
  <c r="P27"/>
  <c r="P25"/>
  <c r="P24"/>
  <c r="P22"/>
  <c r="P20"/>
  <c r="P19"/>
  <c r="P18"/>
  <c r="P17"/>
  <c r="P16"/>
  <c r="P15"/>
  <c r="P14"/>
  <c r="P13"/>
  <c r="P11"/>
  <c r="P10"/>
  <c r="P9"/>
  <c r="P8"/>
  <c r="P7"/>
  <c r="P5"/>
  <c r="P4"/>
  <c r="P3"/>
  <c r="K56" i="21"/>
  <c r="I56"/>
  <c r="G56"/>
  <c r="E56"/>
  <c r="C56"/>
  <c r="G55"/>
  <c r="E55"/>
  <c r="G54"/>
  <c r="E54"/>
  <c r="C54"/>
  <c r="G4"/>
  <c r="E4"/>
  <c r="C4"/>
  <c r="G53"/>
  <c r="E53"/>
  <c r="C53"/>
  <c r="G52"/>
  <c r="E52"/>
  <c r="C52"/>
  <c r="G51"/>
  <c r="E51"/>
  <c r="C51"/>
  <c r="G50"/>
  <c r="E50"/>
  <c r="C50"/>
  <c r="G49"/>
  <c r="E49"/>
  <c r="C49"/>
  <c r="G48"/>
  <c r="E48"/>
  <c r="C48"/>
  <c r="G47"/>
  <c r="E47"/>
  <c r="C47"/>
  <c r="G46"/>
  <c r="E46"/>
  <c r="C46"/>
  <c r="G45"/>
  <c r="E45"/>
  <c r="C45"/>
  <c r="G44"/>
  <c r="E44"/>
  <c r="C44"/>
  <c r="G43"/>
  <c r="E43"/>
  <c r="C43"/>
  <c r="G42"/>
  <c r="E42"/>
  <c r="C42"/>
  <c r="G41"/>
  <c r="E41"/>
  <c r="C41"/>
  <c r="G40"/>
  <c r="E40"/>
  <c r="C40"/>
  <c r="G39"/>
  <c r="E39"/>
  <c r="C39"/>
  <c r="G38"/>
  <c r="E38"/>
  <c r="C38"/>
  <c r="G37"/>
  <c r="E37"/>
  <c r="C37"/>
  <c r="G5"/>
  <c r="E5"/>
  <c r="C5"/>
  <c r="G36"/>
  <c r="E36"/>
  <c r="C36"/>
  <c r="G35"/>
  <c r="E35"/>
  <c r="C35"/>
  <c r="G34"/>
  <c r="E34"/>
  <c r="C34"/>
  <c r="G78"/>
  <c r="E78"/>
  <c r="C78"/>
  <c r="G32"/>
  <c r="E32"/>
  <c r="C32"/>
  <c r="G29"/>
  <c r="E29"/>
  <c r="C29"/>
  <c r="G28"/>
  <c r="E28"/>
  <c r="C28"/>
  <c r="G6"/>
  <c r="E6"/>
  <c r="C6"/>
  <c r="G66"/>
  <c r="E66"/>
  <c r="C66"/>
  <c r="G27"/>
  <c r="E27"/>
  <c r="C27"/>
  <c r="G26"/>
  <c r="E26"/>
  <c r="C26"/>
  <c r="G25"/>
  <c r="E25"/>
  <c r="C25"/>
  <c r="G62"/>
  <c r="E62"/>
  <c r="C62"/>
  <c r="G61"/>
  <c r="E61"/>
  <c r="C61"/>
  <c r="G60"/>
  <c r="E60"/>
  <c r="C60"/>
  <c r="G58"/>
  <c r="E58"/>
  <c r="C58"/>
  <c r="G33"/>
  <c r="E33"/>
  <c r="C33"/>
  <c r="G31"/>
  <c r="E31"/>
  <c r="C31"/>
  <c r="G18"/>
  <c r="E18"/>
  <c r="C18"/>
  <c r="G17"/>
  <c r="E17"/>
  <c r="C17"/>
  <c r="G16"/>
  <c r="E16"/>
  <c r="C16"/>
  <c r="G15"/>
  <c r="E15"/>
  <c r="C15"/>
  <c r="G14"/>
  <c r="E14"/>
  <c r="C14"/>
  <c r="G13"/>
  <c r="E13"/>
  <c r="C13"/>
  <c r="G12"/>
  <c r="E12"/>
  <c r="C12"/>
  <c r="G11"/>
  <c r="E11"/>
  <c r="C11"/>
  <c r="G10"/>
  <c r="E10"/>
  <c r="C10"/>
  <c r="G9"/>
  <c r="E9"/>
  <c r="C9"/>
  <c r="G8"/>
  <c r="E8"/>
  <c r="C8"/>
  <c r="G69"/>
  <c r="E69"/>
  <c r="C69"/>
  <c r="G90"/>
  <c r="E90"/>
  <c r="C90"/>
  <c r="G83"/>
  <c r="E83"/>
  <c r="C83"/>
  <c r="G57"/>
  <c r="E57"/>
  <c r="C57"/>
  <c r="G59"/>
  <c r="E59"/>
  <c r="C59"/>
  <c r="G68"/>
  <c r="E68"/>
  <c r="C68"/>
  <c r="G72"/>
  <c r="E72"/>
  <c r="C72"/>
  <c r="G85"/>
  <c r="E85"/>
  <c r="C85"/>
  <c r="G98"/>
  <c r="E98"/>
  <c r="C98"/>
  <c r="G84"/>
  <c r="E84"/>
  <c r="C84"/>
  <c r="G30"/>
  <c r="E30"/>
  <c r="C30"/>
  <c r="G7"/>
  <c r="E7"/>
  <c r="C7"/>
  <c r="G19"/>
  <c r="E19"/>
  <c r="C19"/>
  <c r="G20"/>
  <c r="E20"/>
  <c r="C20"/>
  <c r="G22"/>
  <c r="E22"/>
  <c r="C22"/>
  <c r="G21"/>
  <c r="E21"/>
  <c r="C21"/>
  <c r="G23"/>
  <c r="E23"/>
  <c r="C23"/>
  <c r="G70"/>
  <c r="E70"/>
  <c r="C70"/>
  <c r="G82"/>
  <c r="E82"/>
  <c r="C82"/>
  <c r="G101"/>
  <c r="E101"/>
  <c r="C101"/>
  <c r="G73"/>
  <c r="E73"/>
  <c r="C73"/>
  <c r="G89"/>
  <c r="E89"/>
  <c r="C89"/>
  <c r="G76"/>
  <c r="E76"/>
  <c r="C76"/>
  <c r="G87"/>
  <c r="E87"/>
  <c r="C87"/>
  <c r="G24"/>
  <c r="E24"/>
  <c r="C24"/>
  <c r="G81"/>
  <c r="E81"/>
  <c r="C81"/>
  <c r="G67"/>
  <c r="E67"/>
  <c r="C67"/>
  <c r="G99"/>
  <c r="E99"/>
  <c r="C99"/>
  <c r="G63"/>
  <c r="E63"/>
  <c r="C63"/>
  <c r="G71"/>
  <c r="E71"/>
  <c r="C71"/>
  <c r="G97"/>
  <c r="E97"/>
  <c r="C97"/>
  <c r="G80"/>
  <c r="E80"/>
  <c r="C80"/>
  <c r="G65"/>
  <c r="E65"/>
  <c r="C65"/>
  <c r="G91"/>
  <c r="E91"/>
  <c r="C91"/>
  <c r="G94"/>
  <c r="E94"/>
  <c r="C94"/>
  <c r="G64"/>
  <c r="E64"/>
  <c r="C64"/>
  <c r="G74"/>
  <c r="E74"/>
  <c r="C74"/>
  <c r="G102"/>
  <c r="E102"/>
  <c r="C102"/>
  <c r="G86"/>
  <c r="E86"/>
  <c r="C86"/>
  <c r="G93"/>
  <c r="E93"/>
  <c r="C93"/>
  <c r="G95"/>
  <c r="E95"/>
  <c r="C95"/>
  <c r="G100"/>
  <c r="E100"/>
  <c r="C100"/>
  <c r="G79"/>
  <c r="E79"/>
  <c r="C79"/>
  <c r="G75"/>
  <c r="E75"/>
  <c r="C75"/>
  <c r="G77"/>
  <c r="E77"/>
  <c r="C77"/>
  <c r="G96"/>
  <c r="E96"/>
  <c r="C96"/>
  <c r="G103"/>
  <c r="E103"/>
  <c r="C103"/>
  <c r="G88"/>
  <c r="E88"/>
  <c r="C88"/>
  <c r="G92"/>
  <c r="E92"/>
  <c r="AH99" i="2"/>
  <c r="I99" s="1"/>
  <c r="AH98"/>
  <c r="I98" s="1"/>
  <c r="AH97"/>
  <c r="I97" s="1"/>
  <c r="AH96"/>
  <c r="I96" s="1"/>
  <c r="AH95"/>
  <c r="I95" s="1"/>
  <c r="AH94"/>
  <c r="I94" s="1"/>
  <c r="AH93"/>
  <c r="I93" s="1"/>
  <c r="AH92"/>
  <c r="I92" s="1"/>
  <c r="AH91"/>
  <c r="I91" s="1"/>
  <c r="AH90"/>
  <c r="I90" s="1"/>
  <c r="AH89"/>
  <c r="I89" s="1"/>
  <c r="AH88"/>
  <c r="I88" s="1"/>
  <c r="AH87"/>
  <c r="I87" s="1"/>
  <c r="AH86"/>
  <c r="I86" s="1"/>
  <c r="AH85"/>
  <c r="I85" s="1"/>
  <c r="AH84"/>
  <c r="I84" s="1"/>
  <c r="AH83"/>
  <c r="I83" s="1"/>
  <c r="AH82"/>
  <c r="I82" s="1"/>
  <c r="AH81"/>
  <c r="I81" s="1"/>
  <c r="AH80"/>
  <c r="I80" s="1"/>
  <c r="AH79"/>
  <c r="I79" s="1"/>
  <c r="AH78"/>
  <c r="I78" s="1"/>
  <c r="AH77"/>
  <c r="I77" s="1"/>
  <c r="AH76"/>
  <c r="I76" s="1"/>
  <c r="AH75"/>
  <c r="I75" s="1"/>
  <c r="AH74"/>
  <c r="I74" s="1"/>
  <c r="AH73"/>
  <c r="I73" s="1"/>
  <c r="AH72"/>
  <c r="I72" s="1"/>
  <c r="AH71"/>
  <c r="I71" s="1"/>
  <c r="AH70"/>
  <c r="I70" s="1"/>
  <c r="AH69"/>
  <c r="I69" s="1"/>
  <c r="AH68"/>
  <c r="I68" s="1"/>
  <c r="AH67"/>
  <c r="I67" s="1"/>
  <c r="AH66"/>
  <c r="I66" s="1"/>
  <c r="AH65"/>
  <c r="I65" s="1"/>
  <c r="AH64"/>
  <c r="I64" s="1"/>
  <c r="AH63"/>
  <c r="I63" s="1"/>
  <c r="AH62"/>
  <c r="I62" s="1"/>
  <c r="AH61"/>
  <c r="I61" s="1"/>
  <c r="AH60"/>
  <c r="I60" s="1"/>
  <c r="AH59"/>
  <c r="I59" s="1"/>
  <c r="AH58"/>
  <c r="I58" s="1"/>
  <c r="AH57"/>
  <c r="I57" s="1"/>
  <c r="AH56"/>
  <c r="I56" s="1"/>
  <c r="AH55"/>
  <c r="I55" s="1"/>
  <c r="AH54"/>
  <c r="I54" s="1"/>
  <c r="AH53"/>
  <c r="I53" s="1"/>
  <c r="AH52"/>
  <c r="I52" s="1"/>
  <c r="AH51"/>
  <c r="I51" s="1"/>
  <c r="AH50"/>
  <c r="I50" s="1"/>
  <c r="AH49"/>
  <c r="I49" s="1"/>
  <c r="AH48"/>
  <c r="I48" s="1"/>
  <c r="AH47"/>
  <c r="I47" s="1"/>
  <c r="AH46"/>
  <c r="I46" s="1"/>
  <c r="AH45"/>
  <c r="I45" s="1"/>
  <c r="AH44"/>
  <c r="I44" s="1"/>
  <c r="AH43"/>
  <c r="I43" s="1"/>
  <c r="AH42"/>
  <c r="I42" s="1"/>
  <c r="AH41"/>
  <c r="I41" s="1"/>
  <c r="AH40"/>
  <c r="I40" s="1"/>
  <c r="AH39"/>
  <c r="I39" s="1"/>
  <c r="AH38"/>
  <c r="I38" s="1"/>
  <c r="AH37"/>
  <c r="I37" s="1"/>
  <c r="AH36"/>
  <c r="I36" s="1"/>
  <c r="AH35"/>
  <c r="I35" s="1"/>
  <c r="AH34"/>
  <c r="I34" s="1"/>
  <c r="AH33"/>
  <c r="I33" s="1"/>
  <c r="AH32"/>
  <c r="I32" s="1"/>
  <c r="AH31"/>
  <c r="I31" s="1"/>
  <c r="AH30"/>
  <c r="I30" s="1"/>
  <c r="AH29"/>
  <c r="I29" s="1"/>
  <c r="AH28"/>
  <c r="I28" s="1"/>
  <c r="AH27"/>
  <c r="I27" s="1"/>
  <c r="AH26"/>
  <c r="I26" s="1"/>
  <c r="AH25"/>
  <c r="I25" s="1"/>
  <c r="AH24"/>
  <c r="I24" s="1"/>
  <c r="AH23"/>
  <c r="I23" s="1"/>
  <c r="AH22"/>
  <c r="I22" s="1"/>
  <c r="AH21"/>
  <c r="I21" s="1"/>
  <c r="AH20"/>
  <c r="I20" s="1"/>
  <c r="AH19"/>
  <c r="I19" s="1"/>
  <c r="AH18"/>
  <c r="I18" s="1"/>
  <c r="AH17"/>
  <c r="I17" s="1"/>
  <c r="AH16"/>
  <c r="I16" s="1"/>
  <c r="AH15"/>
  <c r="I15" s="1"/>
  <c r="AH14"/>
  <c r="I14" s="1"/>
  <c r="AH13"/>
  <c r="I13" s="1"/>
  <c r="AH12"/>
  <c r="I12" s="1"/>
  <c r="AH11"/>
  <c r="I11" s="1"/>
  <c r="AH10"/>
  <c r="I10" s="1"/>
  <c r="AH9"/>
  <c r="I9" s="1"/>
  <c r="AH8"/>
  <c r="I8" s="1"/>
  <c r="AH7"/>
  <c r="I7" s="1"/>
  <c r="AH6"/>
  <c r="I6" s="1"/>
  <c r="AH5"/>
  <c r="I5" s="1"/>
  <c r="AH4"/>
  <c r="I4" s="1"/>
  <c r="AH3"/>
  <c r="I3" s="1"/>
  <c r="AH2"/>
  <c r="I2" s="1"/>
  <c r="Q38" i="9" l="1"/>
  <c r="Q22"/>
  <c r="Q18"/>
  <c r="Q19"/>
  <c r="Q15"/>
  <c r="Q9"/>
  <c r="Q8"/>
  <c r="Q6"/>
  <c r="Q3"/>
  <c r="Q5"/>
  <c r="Q13"/>
  <c r="Q28"/>
  <c r="Q32"/>
  <c r="Q14"/>
  <c r="Q17"/>
  <c r="Q16"/>
  <c r="Q25"/>
  <c r="Q37"/>
  <c r="Q39"/>
  <c r="Q31"/>
  <c r="Q30"/>
  <c r="Q29"/>
  <c r="Q27"/>
  <c r="Q26"/>
  <c r="Q24"/>
  <c r="Q23"/>
  <c r="Q20"/>
  <c r="Q12"/>
  <c r="Q10"/>
  <c r="Q7"/>
  <c r="Q4"/>
  <c r="Q51"/>
  <c r="Y54" i="20"/>
  <c r="U54"/>
  <c r="Q54"/>
  <c r="W54"/>
  <c r="S54"/>
  <c r="O54"/>
  <c r="K54"/>
  <c r="M54"/>
  <c r="Q52" i="9"/>
  <c r="K55" i="20" s="1"/>
  <c r="Y55"/>
  <c r="U55"/>
  <c r="Q55"/>
  <c r="M55"/>
  <c r="S55"/>
  <c r="O55"/>
  <c r="W55"/>
  <c r="Q50" i="9"/>
  <c r="Y53" i="20"/>
  <c r="U53"/>
  <c r="Q53"/>
  <c r="M53"/>
  <c r="W53"/>
  <c r="S53"/>
  <c r="O53"/>
  <c r="K53"/>
  <c r="Q41" i="9"/>
  <c r="Q43"/>
  <c r="Q47"/>
  <c r="Q50" i="20" s="1"/>
  <c r="W50"/>
  <c r="S50"/>
  <c r="O50"/>
  <c r="K50"/>
  <c r="Y50"/>
  <c r="U50"/>
  <c r="M50"/>
  <c r="Q49" i="9"/>
  <c r="Q40"/>
  <c r="Q42"/>
  <c r="Q44"/>
  <c r="Q46"/>
  <c r="W49" i="20"/>
  <c r="S49"/>
  <c r="O49"/>
  <c r="K49"/>
  <c r="Y49"/>
  <c r="U49"/>
  <c r="Q49"/>
  <c r="M49"/>
  <c r="Q48" i="9"/>
  <c r="Q45"/>
  <c r="Q11"/>
  <c r="B26" i="11"/>
  <c r="J9" i="26" s="1"/>
  <c r="G9" s="1"/>
  <c r="B27" i="11"/>
  <c r="J20" i="26" s="1"/>
  <c r="G20" s="1"/>
  <c r="B25" i="11"/>
  <c r="J28" i="26" s="1"/>
  <c r="G28" s="1"/>
  <c r="A107" i="8"/>
  <c r="A106"/>
  <c r="A105"/>
  <c r="A104"/>
  <c r="A103"/>
  <c r="A102"/>
  <c r="A101"/>
  <c r="A100"/>
  <c r="A99"/>
  <c r="A98"/>
  <c r="A97"/>
  <c r="A107" i="7"/>
  <c r="A106"/>
  <c r="A105"/>
  <c r="A104"/>
  <c r="A103"/>
  <c r="A102"/>
  <c r="A101"/>
  <c r="A100"/>
  <c r="A99"/>
  <c r="A98"/>
  <c r="A97"/>
  <c r="A107" i="6"/>
  <c r="A106"/>
  <c r="A105"/>
  <c r="A104"/>
  <c r="A103"/>
  <c r="A102"/>
  <c r="A101"/>
  <c r="A100"/>
  <c r="A99"/>
  <c r="A98"/>
  <c r="A97"/>
  <c r="A107" i="5"/>
  <c r="A106"/>
  <c r="A105"/>
  <c r="A104"/>
  <c r="A103"/>
  <c r="A102"/>
  <c r="A101"/>
  <c r="A100"/>
  <c r="A99"/>
  <c r="A98"/>
  <c r="A97"/>
  <c r="A107" i="4"/>
  <c r="A106"/>
  <c r="A105"/>
  <c r="A104"/>
  <c r="A103"/>
  <c r="A102"/>
  <c r="A101"/>
  <c r="A100"/>
  <c r="A99"/>
  <c r="A98"/>
  <c r="A97"/>
  <c r="A99" i="3"/>
  <c r="A98"/>
  <c r="A97"/>
  <c r="A96"/>
  <c r="A95"/>
  <c r="A94"/>
  <c r="A93"/>
  <c r="A92"/>
  <c r="A91"/>
  <c r="A90"/>
  <c r="A89"/>
  <c r="C92" i="21"/>
  <c r="V4" l="1"/>
  <c r="U4"/>
  <c r="V5"/>
  <c r="U5"/>
  <c r="V6"/>
  <c r="U6"/>
  <c r="V7"/>
  <c r="U7"/>
  <c r="V8"/>
  <c r="U8"/>
  <c r="V9"/>
  <c r="U9"/>
  <c r="V10"/>
  <c r="U10"/>
  <c r="V11"/>
  <c r="U11"/>
  <c r="V12"/>
  <c r="U12"/>
  <c r="V13"/>
  <c r="U13"/>
  <c r="V14"/>
  <c r="U14"/>
  <c r="V15"/>
  <c r="U15"/>
  <c r="V16"/>
  <c r="U16"/>
  <c r="V17"/>
  <c r="U17"/>
  <c r="V18"/>
  <c r="U18"/>
  <c r="V19"/>
  <c r="U19"/>
  <c r="V20"/>
  <c r="U20"/>
  <c r="V21"/>
  <c r="U21"/>
  <c r="V22"/>
  <c r="U22"/>
  <c r="V23"/>
  <c r="U23"/>
  <c r="V24"/>
  <c r="U24"/>
  <c r="V25"/>
  <c r="U25"/>
  <c r="V26"/>
  <c r="U26"/>
  <c r="V27"/>
  <c r="U27"/>
  <c r="V28"/>
  <c r="U28"/>
  <c r="V29"/>
  <c r="U29"/>
  <c r="V30"/>
  <c r="U30"/>
  <c r="V31"/>
  <c r="U31"/>
  <c r="V32"/>
  <c r="U32"/>
  <c r="V33"/>
  <c r="U33"/>
  <c r="V34"/>
  <c r="U34"/>
  <c r="V35"/>
  <c r="U35"/>
  <c r="V36"/>
  <c r="U36"/>
  <c r="V37"/>
  <c r="U37"/>
  <c r="V38"/>
  <c r="U38"/>
  <c r="V39"/>
  <c r="U39"/>
  <c r="V40"/>
  <c r="U40"/>
  <c r="V41"/>
  <c r="U41"/>
  <c r="V42"/>
  <c r="U42"/>
  <c r="V43"/>
  <c r="U43"/>
  <c r="V44"/>
  <c r="U44"/>
  <c r="V45"/>
  <c r="U45"/>
  <c r="V46"/>
  <c r="U46"/>
  <c r="V47"/>
  <c r="U47"/>
  <c r="V48"/>
  <c r="U48"/>
  <c r="V49"/>
  <c r="U49"/>
  <c r="V50"/>
  <c r="U50"/>
  <c r="V51"/>
  <c r="U51"/>
  <c r="V52"/>
  <c r="U52"/>
  <c r="V53"/>
  <c r="U53"/>
  <c r="V54"/>
  <c r="U54"/>
  <c r="V56"/>
  <c r="U56"/>
  <c r="V57"/>
  <c r="U57"/>
  <c r="V58"/>
  <c r="U58"/>
  <c r="V59"/>
  <c r="U59"/>
  <c r="V60"/>
  <c r="U60"/>
  <c r="V61"/>
  <c r="U61"/>
  <c r="V62"/>
  <c r="U62"/>
  <c r="V63"/>
  <c r="U63"/>
  <c r="V64"/>
  <c r="U64"/>
  <c r="V65"/>
  <c r="U65"/>
  <c r="V66"/>
  <c r="U66"/>
  <c r="V67"/>
  <c r="U67"/>
  <c r="V68"/>
  <c r="U68"/>
  <c r="V69"/>
  <c r="U69"/>
  <c r="V70"/>
  <c r="U70"/>
  <c r="V71"/>
  <c r="U71"/>
  <c r="V72"/>
  <c r="U72"/>
  <c r="V73"/>
  <c r="U73"/>
  <c r="V74"/>
  <c r="U74"/>
  <c r="V75"/>
  <c r="U75"/>
  <c r="V76"/>
  <c r="U76"/>
  <c r="V77"/>
  <c r="U77"/>
  <c r="V78"/>
  <c r="U78"/>
  <c r="V79"/>
  <c r="U79"/>
  <c r="V80"/>
  <c r="U80"/>
  <c r="V81"/>
  <c r="U81"/>
  <c r="V82"/>
  <c r="O5" s="1"/>
  <c r="U82"/>
  <c r="M5" s="1"/>
  <c r="V83"/>
  <c r="U83"/>
  <c r="V84"/>
  <c r="U84"/>
  <c r="V85"/>
  <c r="U85"/>
  <c r="V86"/>
  <c r="U86"/>
  <c r="V87"/>
  <c r="U87"/>
  <c r="V88"/>
  <c r="U88"/>
  <c r="V89"/>
  <c r="U89"/>
  <c r="V90"/>
  <c r="U90"/>
  <c r="V91"/>
  <c r="U91"/>
  <c r="V92"/>
  <c r="U92"/>
  <c r="V93"/>
  <c r="U93"/>
  <c r="V94"/>
  <c r="U94"/>
  <c r="V95"/>
  <c r="U95"/>
  <c r="V96"/>
  <c r="U96"/>
  <c r="V97"/>
  <c r="U97"/>
  <c r="V98"/>
  <c r="U98"/>
  <c r="V99"/>
  <c r="U99"/>
  <c r="V100"/>
  <c r="O4" s="1"/>
  <c r="U100"/>
  <c r="M4" s="1"/>
  <c r="V101"/>
  <c r="O54" s="1"/>
  <c r="U101"/>
  <c r="M54" s="1"/>
  <c r="V103"/>
  <c r="O56" s="1"/>
  <c r="U103"/>
  <c r="M56" s="1"/>
  <c r="O83" l="1"/>
  <c r="O72"/>
  <c r="O85"/>
  <c r="O84"/>
  <c r="O30"/>
  <c r="O7"/>
  <c r="O19"/>
  <c r="O20"/>
  <c r="O22"/>
  <c r="O21"/>
  <c r="O23"/>
  <c r="O70"/>
  <c r="M83"/>
  <c r="M72"/>
  <c r="M85"/>
  <c r="M84"/>
  <c r="M30"/>
  <c r="M7"/>
  <c r="M19"/>
  <c r="M20"/>
  <c r="M22"/>
  <c r="M21"/>
  <c r="M23"/>
  <c r="M70"/>
  <c r="O53"/>
  <c r="O52"/>
  <c r="O51"/>
  <c r="O50"/>
  <c r="O49"/>
  <c r="O48"/>
  <c r="O47"/>
  <c r="O46"/>
  <c r="O45"/>
  <c r="O44"/>
  <c r="O43"/>
  <c r="O42"/>
  <c r="O41"/>
  <c r="O40"/>
  <c r="O39"/>
  <c r="O38"/>
  <c r="O37"/>
  <c r="O36"/>
  <c r="O35"/>
  <c r="O34"/>
  <c r="O78"/>
  <c r="O32"/>
  <c r="O29"/>
  <c r="O28"/>
  <c r="O6"/>
  <c r="O66"/>
  <c r="O27"/>
  <c r="O26"/>
  <c r="O25"/>
  <c r="O62"/>
  <c r="O61"/>
  <c r="O60"/>
  <c r="O58"/>
  <c r="O33"/>
  <c r="O31"/>
  <c r="O18"/>
  <c r="O17"/>
  <c r="O16"/>
  <c r="O15"/>
  <c r="O14"/>
  <c r="O13"/>
  <c r="O12"/>
  <c r="O11"/>
  <c r="O10"/>
  <c r="O9"/>
  <c r="O8"/>
  <c r="O69"/>
  <c r="O90"/>
  <c r="M53"/>
  <c r="M52"/>
  <c r="M51"/>
  <c r="M50"/>
  <c r="M49"/>
  <c r="M48"/>
  <c r="M47"/>
  <c r="M46"/>
  <c r="M45"/>
  <c r="M44"/>
  <c r="M43"/>
  <c r="M42"/>
  <c r="M41"/>
  <c r="M40"/>
  <c r="M39"/>
  <c r="M38"/>
  <c r="M37"/>
  <c r="M36"/>
  <c r="M35"/>
  <c r="M34"/>
  <c r="M78"/>
  <c r="M32"/>
  <c r="M29"/>
  <c r="M28"/>
  <c r="M6"/>
  <c r="M66"/>
  <c r="M27"/>
  <c r="M26"/>
  <c r="M25"/>
  <c r="M62"/>
  <c r="M61"/>
  <c r="M60"/>
  <c r="M58"/>
  <c r="M33"/>
  <c r="M31"/>
  <c r="M18"/>
  <c r="M17"/>
  <c r="M16"/>
  <c r="M15"/>
  <c r="M14"/>
  <c r="M13"/>
  <c r="M12"/>
  <c r="M11"/>
  <c r="M10"/>
  <c r="M9"/>
  <c r="M8"/>
  <c r="M69"/>
  <c r="M90"/>
  <c r="M101"/>
  <c r="O101"/>
  <c r="O97"/>
  <c r="M97"/>
  <c r="R56"/>
  <c r="O24"/>
  <c r="O81"/>
  <c r="M24"/>
  <c r="M81"/>
  <c r="M99"/>
  <c r="O99"/>
  <c r="M80"/>
  <c r="O80"/>
  <c r="M64"/>
  <c r="O64"/>
  <c r="M91"/>
  <c r="O91"/>
  <c r="M67"/>
  <c r="O67"/>
  <c r="M71"/>
  <c r="O71"/>
  <c r="M94"/>
  <c r="O94"/>
  <c r="M74"/>
  <c r="O74"/>
  <c r="M93"/>
  <c r="O93"/>
  <c r="M100"/>
  <c r="O100"/>
  <c r="M79"/>
  <c r="O79"/>
  <c r="M77"/>
  <c r="O77"/>
  <c r="M88"/>
  <c r="O88"/>
  <c r="M92"/>
  <c r="O92"/>
  <c r="AA56" l="1"/>
  <c r="B56"/>
  <c r="AF5" i="20"/>
  <c r="AF4"/>
  <c r="I3"/>
  <c r="G3"/>
  <c r="E3"/>
  <c r="C3"/>
  <c r="Y3"/>
  <c r="AF10" s="1"/>
  <c r="W3"/>
  <c r="AF9" s="1"/>
  <c r="U3"/>
  <c r="AF8" s="1"/>
  <c r="AB24"/>
  <c r="AB23"/>
  <c r="AB22"/>
  <c r="AB21"/>
  <c r="AB20"/>
  <c r="AB19"/>
  <c r="AB18"/>
  <c r="AB17"/>
  <c r="AB16"/>
  <c r="AB15"/>
  <c r="AB14"/>
  <c r="AB13"/>
  <c r="AB12"/>
  <c r="AB11"/>
  <c r="AB10"/>
  <c r="AB9"/>
  <c r="AB8"/>
  <c r="AB7"/>
  <c r="AB6"/>
  <c r="AB5"/>
  <c r="AB4"/>
  <c r="AB3"/>
  <c r="Y4"/>
  <c r="W4"/>
  <c r="U4"/>
  <c r="A99" i="9"/>
  <c r="A98"/>
  <c r="B98" i="19" s="1"/>
  <c r="A97" i="9"/>
  <c r="B97" i="19" s="1"/>
  <c r="A96" i="9"/>
  <c r="B96" i="19" s="1"/>
  <c r="A95" i="9"/>
  <c r="B95" i="19" s="1"/>
  <c r="A94" i="9"/>
  <c r="B94" i="19" s="1"/>
  <c r="A93" i="9"/>
  <c r="B93" i="19" s="1"/>
  <c r="A92" i="9"/>
  <c r="B92" i="19" s="1"/>
  <c r="A91" i="9"/>
  <c r="B91" i="19" s="1"/>
  <c r="A90" i="9"/>
  <c r="B90" i="19" s="1"/>
  <c r="A89" i="9"/>
  <c r="B89" i="19" s="1"/>
  <c r="D100"/>
  <c r="E100" s="1"/>
  <c r="D99"/>
  <c r="E99" s="1"/>
  <c r="D98"/>
  <c r="D97"/>
  <c r="E97" s="1"/>
  <c r="D96"/>
  <c r="E96" s="1"/>
  <c r="D95"/>
  <c r="E95" s="1"/>
  <c r="D94"/>
  <c r="D93"/>
  <c r="E93" s="1"/>
  <c r="D92"/>
  <c r="E92" s="1"/>
  <c r="D91"/>
  <c r="E91" s="1"/>
  <c r="D90"/>
  <c r="D89"/>
  <c r="E89" s="1"/>
  <c r="D88"/>
  <c r="E88" s="1"/>
  <c r="D87"/>
  <c r="E87" s="1"/>
  <c r="D86"/>
  <c r="D85"/>
  <c r="E85" s="1"/>
  <c r="D84"/>
  <c r="E84" s="1"/>
  <c r="D83"/>
  <c r="E83" s="1"/>
  <c r="D82"/>
  <c r="E82" s="1"/>
  <c r="D81"/>
  <c r="E81" s="1"/>
  <c r="D80"/>
  <c r="E80" s="1"/>
  <c r="D79"/>
  <c r="E79" s="1"/>
  <c r="D78"/>
  <c r="D77"/>
  <c r="E77" s="1"/>
  <c r="D76"/>
  <c r="E76" s="1"/>
  <c r="D75"/>
  <c r="E75" s="1"/>
  <c r="D74"/>
  <c r="E74" s="1"/>
  <c r="D73"/>
  <c r="E73" s="1"/>
  <c r="D72"/>
  <c r="E72" s="1"/>
  <c r="D71"/>
  <c r="E71" s="1"/>
  <c r="D70"/>
  <c r="D69"/>
  <c r="E69" s="1"/>
  <c r="D68"/>
  <c r="E68" s="1"/>
  <c r="D67"/>
  <c r="E67" s="1"/>
  <c r="D66"/>
  <c r="E66" s="1"/>
  <c r="D65"/>
  <c r="E65" s="1"/>
  <c r="D64"/>
  <c r="E64" s="1"/>
  <c r="D63"/>
  <c r="E63" s="1"/>
  <c r="D62"/>
  <c r="D61"/>
  <c r="E61" s="1"/>
  <c r="D60"/>
  <c r="E60" s="1"/>
  <c r="D59"/>
  <c r="E59" s="1"/>
  <c r="D58"/>
  <c r="D57"/>
  <c r="E57" s="1"/>
  <c r="D56"/>
  <c r="E56" s="1"/>
  <c r="D55"/>
  <c r="E55" s="1"/>
  <c r="D54"/>
  <c r="D53"/>
  <c r="E53" s="1"/>
  <c r="D52"/>
  <c r="E52" s="1"/>
  <c r="D51"/>
  <c r="E51" s="1"/>
  <c r="D50"/>
  <c r="D49"/>
  <c r="E49" s="1"/>
  <c r="D48"/>
  <c r="E48" s="1"/>
  <c r="D47"/>
  <c r="E47" s="1"/>
  <c r="D46"/>
  <c r="D45"/>
  <c r="E45" s="1"/>
  <c r="D44"/>
  <c r="E44" s="1"/>
  <c r="D43"/>
  <c r="E43" s="1"/>
  <c r="D42"/>
  <c r="E42" s="1"/>
  <c r="D41"/>
  <c r="E41" s="1"/>
  <c r="D40"/>
  <c r="E40" s="1"/>
  <c r="D39"/>
  <c r="E39" s="1"/>
  <c r="D38"/>
  <c r="D37"/>
  <c r="E37" s="1"/>
  <c r="D36"/>
  <c r="E36" s="1"/>
  <c r="D35"/>
  <c r="E35" s="1"/>
  <c r="D34"/>
  <c r="E34" s="1"/>
  <c r="D33"/>
  <c r="E33" s="1"/>
  <c r="D32"/>
  <c r="E32" s="1"/>
  <c r="D31"/>
  <c r="E31" s="1"/>
  <c r="D30"/>
  <c r="E30" s="1"/>
  <c r="D29"/>
  <c r="E29" s="1"/>
  <c r="D28"/>
  <c r="E28" s="1"/>
  <c r="D27"/>
  <c r="E27" s="1"/>
  <c r="D26"/>
  <c r="E26" s="1"/>
  <c r="D25"/>
  <c r="E25" s="1"/>
  <c r="D24"/>
  <c r="E24" s="1"/>
  <c r="D23"/>
  <c r="E23" s="1"/>
  <c r="D22"/>
  <c r="E22" s="1"/>
  <c r="D21"/>
  <c r="E21" s="1"/>
  <c r="D20"/>
  <c r="E20" s="1"/>
  <c r="D19"/>
  <c r="E19" s="1"/>
  <c r="D18"/>
  <c r="E18" s="1"/>
  <c r="D17"/>
  <c r="E17" s="1"/>
  <c r="D16"/>
  <c r="E16" s="1"/>
  <c r="D15"/>
  <c r="E15" s="1"/>
  <c r="D14"/>
  <c r="E14" s="1"/>
  <c r="D13"/>
  <c r="E13" s="1"/>
  <c r="D12"/>
  <c r="E12" s="1"/>
  <c r="D11"/>
  <c r="E11" s="1"/>
  <c r="D10"/>
  <c r="E10" s="1"/>
  <c r="D9"/>
  <c r="E9" s="1"/>
  <c r="D8"/>
  <c r="E8" s="1"/>
  <c r="D7"/>
  <c r="E7" s="1"/>
  <c r="D6"/>
  <c r="E6" s="1"/>
  <c r="D5"/>
  <c r="E5" s="1"/>
  <c r="D4"/>
  <c r="E4" s="1"/>
  <c r="D3"/>
  <c r="E3" s="1"/>
  <c r="D2"/>
  <c r="E2" s="1"/>
  <c r="B99"/>
  <c r="E98"/>
  <c r="E94"/>
  <c r="E90"/>
  <c r="E86"/>
  <c r="E78"/>
  <c r="E70"/>
  <c r="E62"/>
  <c r="E58"/>
  <c r="E54"/>
  <c r="E50"/>
  <c r="E46"/>
  <c r="E38"/>
  <c r="K87" i="10"/>
  <c r="K86"/>
  <c r="K85"/>
  <c r="K84"/>
  <c r="K83"/>
  <c r="K82"/>
  <c r="K81"/>
  <c r="K80"/>
  <c r="K79"/>
  <c r="K78"/>
  <c r="K77"/>
  <c r="K76"/>
  <c r="K75"/>
  <c r="K74"/>
  <c r="K73"/>
  <c r="K72"/>
  <c r="K71"/>
  <c r="K70"/>
  <c r="K69"/>
  <c r="K68"/>
  <c r="K67"/>
  <c r="K66"/>
  <c r="K65"/>
  <c r="K64"/>
  <c r="K63"/>
  <c r="K62"/>
  <c r="K61"/>
  <c r="K60"/>
  <c r="K59"/>
  <c r="K58"/>
  <c r="K57"/>
  <c r="K56"/>
  <c r="K55"/>
  <c r="K54"/>
  <c r="K53"/>
  <c r="K52"/>
  <c r="K51"/>
  <c r="K50"/>
  <c r="K49"/>
  <c r="K48"/>
  <c r="K47"/>
  <c r="K46"/>
  <c r="K45"/>
  <c r="K44"/>
  <c r="K43"/>
  <c r="K42"/>
  <c r="K41"/>
  <c r="K40"/>
  <c r="K39"/>
  <c r="K38"/>
  <c r="K37"/>
  <c r="K36"/>
  <c r="K35"/>
  <c r="K34"/>
  <c r="K33"/>
  <c r="K32"/>
  <c r="K31"/>
  <c r="K30"/>
  <c r="K29"/>
  <c r="I87"/>
  <c r="I86"/>
  <c r="I85"/>
  <c r="I84"/>
  <c r="I83"/>
  <c r="I82"/>
  <c r="I81"/>
  <c r="I80"/>
  <c r="I79"/>
  <c r="I78"/>
  <c r="I77"/>
  <c r="I76"/>
  <c r="I75"/>
  <c r="I74"/>
  <c r="I73"/>
  <c r="I72"/>
  <c r="I71"/>
  <c r="I70"/>
  <c r="I69"/>
  <c r="I68"/>
  <c r="I67"/>
  <c r="I66"/>
  <c r="I65"/>
  <c r="I64"/>
  <c r="I63"/>
  <c r="I62"/>
  <c r="I61"/>
  <c r="I60"/>
  <c r="I59"/>
  <c r="I58"/>
  <c r="I57"/>
  <c r="I56"/>
  <c r="I55"/>
  <c r="I54"/>
  <c r="I53"/>
  <c r="I52"/>
  <c r="I51"/>
  <c r="I50"/>
  <c r="I49"/>
  <c r="I48"/>
  <c r="I47"/>
  <c r="I46"/>
  <c r="I45"/>
  <c r="I44"/>
  <c r="I43"/>
  <c r="I42"/>
  <c r="I41"/>
  <c r="I40"/>
  <c r="I39"/>
  <c r="I38"/>
  <c r="I37"/>
  <c r="I36"/>
  <c r="I35"/>
  <c r="I34"/>
  <c r="I33"/>
  <c r="I32"/>
  <c r="I31"/>
  <c r="I30"/>
  <c r="I29"/>
  <c r="G87"/>
  <c r="G86"/>
  <c r="G85"/>
  <c r="G84"/>
  <c r="G83"/>
  <c r="G82"/>
  <c r="G81"/>
  <c r="G80"/>
  <c r="G79"/>
  <c r="G78"/>
  <c r="G77"/>
  <c r="G76"/>
  <c r="G75"/>
  <c r="G74"/>
  <c r="G73"/>
  <c r="G72"/>
  <c r="G71"/>
  <c r="G70"/>
  <c r="G69"/>
  <c r="G68"/>
  <c r="G67"/>
  <c r="G66"/>
  <c r="G65"/>
  <c r="G64"/>
  <c r="G63"/>
  <c r="G62"/>
  <c r="G61"/>
  <c r="G60"/>
  <c r="G59"/>
  <c r="G58"/>
  <c r="G57"/>
  <c r="G56"/>
  <c r="G55"/>
  <c r="G54"/>
  <c r="G53"/>
  <c r="G52"/>
  <c r="G51"/>
  <c r="G50"/>
  <c r="G49"/>
  <c r="G48"/>
  <c r="G47"/>
  <c r="G46"/>
  <c r="G45"/>
  <c r="G44"/>
  <c r="G43"/>
  <c r="G42"/>
  <c r="G41"/>
  <c r="G40"/>
  <c r="G39"/>
  <c r="G38"/>
  <c r="G37"/>
  <c r="G36"/>
  <c r="G35"/>
  <c r="G34"/>
  <c r="G33"/>
  <c r="G32"/>
  <c r="G31"/>
  <c r="G30"/>
  <c r="G29"/>
  <c r="E87"/>
  <c r="E86"/>
  <c r="E85"/>
  <c r="E84"/>
  <c r="E83"/>
  <c r="E82"/>
  <c r="E81"/>
  <c r="E80"/>
  <c r="E79"/>
  <c r="E78"/>
  <c r="E77"/>
  <c r="E76"/>
  <c r="E75"/>
  <c r="E74"/>
  <c r="E73"/>
  <c r="E72"/>
  <c r="E71"/>
  <c r="E70"/>
  <c r="E69"/>
  <c r="E68"/>
  <c r="E67"/>
  <c r="E66"/>
  <c r="E65"/>
  <c r="E64"/>
  <c r="E63"/>
  <c r="E62"/>
  <c r="E61"/>
  <c r="E60"/>
  <c r="E59"/>
  <c r="E58"/>
  <c r="E57"/>
  <c r="E56"/>
  <c r="E55"/>
  <c r="E54"/>
  <c r="E53"/>
  <c r="E52"/>
  <c r="E51"/>
  <c r="E50"/>
  <c r="E49"/>
  <c r="E48"/>
  <c r="E47"/>
  <c r="E46"/>
  <c r="E45"/>
  <c r="E44"/>
  <c r="E43"/>
  <c r="E42"/>
  <c r="E41"/>
  <c r="E40"/>
  <c r="E39"/>
  <c r="E38"/>
  <c r="E37"/>
  <c r="E36"/>
  <c r="E35"/>
  <c r="E34"/>
  <c r="E33"/>
  <c r="E32"/>
  <c r="E31"/>
  <c r="E30"/>
  <c r="E29"/>
  <c r="K28"/>
  <c r="I28"/>
  <c r="G28"/>
  <c r="E28"/>
  <c r="A55"/>
  <c r="X41" i="20" l="1"/>
  <c r="R41"/>
  <c r="Y41"/>
  <c r="U41"/>
  <c r="Q41"/>
  <c r="K41"/>
  <c r="P41"/>
  <c r="V41"/>
  <c r="L41"/>
  <c r="W41"/>
  <c r="S41"/>
  <c r="O41"/>
  <c r="T41"/>
  <c r="N41"/>
  <c r="M41"/>
  <c r="W35"/>
  <c r="S35"/>
  <c r="O35"/>
  <c r="X35"/>
  <c r="T35"/>
  <c r="P35"/>
  <c r="L35"/>
  <c r="Y35"/>
  <c r="U35"/>
  <c r="Q35"/>
  <c r="K35"/>
  <c r="V35"/>
  <c r="R35"/>
  <c r="N35"/>
  <c r="M35"/>
  <c r="X25"/>
  <c r="T25"/>
  <c r="P25"/>
  <c r="L25"/>
  <c r="W25"/>
  <c r="S25"/>
  <c r="O25"/>
  <c r="K25"/>
  <c r="X21"/>
  <c r="T21"/>
  <c r="P21"/>
  <c r="K21"/>
  <c r="W21"/>
  <c r="S21"/>
  <c r="O21"/>
  <c r="M21"/>
  <c r="Y22"/>
  <c r="U22"/>
  <c r="Q22"/>
  <c r="M22"/>
  <c r="X22"/>
  <c r="T22"/>
  <c r="P22"/>
  <c r="L22"/>
  <c r="Y18"/>
  <c r="U18"/>
  <c r="Q18"/>
  <c r="M18"/>
  <c r="X18"/>
  <c r="T18"/>
  <c r="P18"/>
  <c r="L18"/>
  <c r="X12"/>
  <c r="T12"/>
  <c r="P12"/>
  <c r="K12"/>
  <c r="W12"/>
  <c r="S12"/>
  <c r="O12"/>
  <c r="M12"/>
  <c r="X11"/>
  <c r="T11"/>
  <c r="P11"/>
  <c r="L11"/>
  <c r="W11"/>
  <c r="S11"/>
  <c r="O11"/>
  <c r="K11"/>
  <c r="Y9"/>
  <c r="U9"/>
  <c r="Q9"/>
  <c r="L9"/>
  <c r="V9"/>
  <c r="R9"/>
  <c r="N9"/>
  <c r="M9"/>
  <c r="V25"/>
  <c r="R25"/>
  <c r="N25"/>
  <c r="Y25"/>
  <c r="U25"/>
  <c r="Q25"/>
  <c r="M25"/>
  <c r="V21"/>
  <c r="R21"/>
  <c r="N21"/>
  <c r="Y21"/>
  <c r="U21"/>
  <c r="Q21"/>
  <c r="L21"/>
  <c r="W22"/>
  <c r="S22"/>
  <c r="O22"/>
  <c r="K22"/>
  <c r="V22"/>
  <c r="R22"/>
  <c r="N22"/>
  <c r="W18"/>
  <c r="S18"/>
  <c r="O18"/>
  <c r="K18"/>
  <c r="V18"/>
  <c r="R18"/>
  <c r="N18"/>
  <c r="V12"/>
  <c r="R12"/>
  <c r="N12"/>
  <c r="Y12"/>
  <c r="U12"/>
  <c r="Q12"/>
  <c r="L12"/>
  <c r="V11"/>
  <c r="R11"/>
  <c r="N11"/>
  <c r="Y11"/>
  <c r="U11"/>
  <c r="Q11"/>
  <c r="M11"/>
  <c r="W9"/>
  <c r="S9"/>
  <c r="O9"/>
  <c r="X9"/>
  <c r="T9"/>
  <c r="P9"/>
  <c r="K9"/>
  <c r="V37"/>
  <c r="R37"/>
  <c r="N37"/>
  <c r="Y37"/>
  <c r="U37"/>
  <c r="Q37"/>
  <c r="L37"/>
  <c r="V38"/>
  <c r="R38"/>
  <c r="N38"/>
  <c r="Y38"/>
  <c r="U38"/>
  <c r="Q38"/>
  <c r="X37"/>
  <c r="T37"/>
  <c r="P37"/>
  <c r="K37"/>
  <c r="W37"/>
  <c r="S37"/>
  <c r="O37"/>
  <c r="X38"/>
  <c r="T38"/>
  <c r="P38"/>
  <c r="L38"/>
  <c r="W38"/>
  <c r="S38"/>
  <c r="O38"/>
  <c r="K38"/>
  <c r="M37"/>
  <c r="X36"/>
  <c r="P36"/>
  <c r="W36"/>
  <c r="O36"/>
  <c r="W39"/>
  <c r="O39"/>
  <c r="T39"/>
  <c r="L39"/>
  <c r="R36"/>
  <c r="Y36"/>
  <c r="Q36"/>
  <c r="Y39"/>
  <c r="Q39"/>
  <c r="V39"/>
  <c r="N39"/>
  <c r="X24"/>
  <c r="T24"/>
  <c r="P24"/>
  <c r="L24"/>
  <c r="W24"/>
  <c r="S24"/>
  <c r="O24"/>
  <c r="K24"/>
  <c r="T36"/>
  <c r="L36"/>
  <c r="S36"/>
  <c r="K36"/>
  <c r="S39"/>
  <c r="X39"/>
  <c r="P39"/>
  <c r="V36"/>
  <c r="N36"/>
  <c r="U36"/>
  <c r="M36"/>
  <c r="U39"/>
  <c r="K39"/>
  <c r="R39"/>
  <c r="V24"/>
  <c r="R24"/>
  <c r="N24"/>
  <c r="Y24"/>
  <c r="U24"/>
  <c r="Q24"/>
  <c r="M24"/>
  <c r="Y6"/>
  <c r="U6"/>
  <c r="Q6"/>
  <c r="K6"/>
  <c r="V6"/>
  <c r="R6"/>
  <c r="N6"/>
  <c r="W8"/>
  <c r="S8"/>
  <c r="O8"/>
  <c r="X8"/>
  <c r="T8"/>
  <c r="P8"/>
  <c r="K8"/>
  <c r="X16"/>
  <c r="T16"/>
  <c r="P16"/>
  <c r="K16"/>
  <c r="W16"/>
  <c r="S16"/>
  <c r="O16"/>
  <c r="V31"/>
  <c r="R31"/>
  <c r="N31"/>
  <c r="Y31"/>
  <c r="U31"/>
  <c r="Q31"/>
  <c r="M31"/>
  <c r="W17"/>
  <c r="S17"/>
  <c r="O17"/>
  <c r="X17"/>
  <c r="T17"/>
  <c r="P17"/>
  <c r="L17"/>
  <c r="V44"/>
  <c r="R44"/>
  <c r="N44"/>
  <c r="Y44"/>
  <c r="U44"/>
  <c r="Q44"/>
  <c r="K44"/>
  <c r="X20"/>
  <c r="T20"/>
  <c r="P20"/>
  <c r="L20"/>
  <c r="W20"/>
  <c r="S20"/>
  <c r="O20"/>
  <c r="K20"/>
  <c r="Y19"/>
  <c r="U19"/>
  <c r="Q19"/>
  <c r="K19"/>
  <c r="V19"/>
  <c r="R19"/>
  <c r="N19"/>
  <c r="X14"/>
  <c r="T14"/>
  <c r="P14"/>
  <c r="L14"/>
  <c r="W14"/>
  <c r="S14"/>
  <c r="O14"/>
  <c r="Y45"/>
  <c r="U45"/>
  <c r="Q45"/>
  <c r="K45"/>
  <c r="V45"/>
  <c r="R45"/>
  <c r="N45"/>
  <c r="W28"/>
  <c r="S28"/>
  <c r="O28"/>
  <c r="X28"/>
  <c r="R28"/>
  <c r="N28"/>
  <c r="V28"/>
  <c r="W46"/>
  <c r="S46"/>
  <c r="O46"/>
  <c r="X46"/>
  <c r="T46"/>
  <c r="P46"/>
  <c r="L46"/>
  <c r="X40"/>
  <c r="T40"/>
  <c r="P40"/>
  <c r="L40"/>
  <c r="W40"/>
  <c r="S40"/>
  <c r="O40"/>
  <c r="K40"/>
  <c r="X42"/>
  <c r="T42"/>
  <c r="P42"/>
  <c r="L42"/>
  <c r="W42"/>
  <c r="S42"/>
  <c r="O42"/>
  <c r="K42"/>
  <c r="V43"/>
  <c r="R43"/>
  <c r="N43"/>
  <c r="Y43"/>
  <c r="U43"/>
  <c r="Q43"/>
  <c r="K43"/>
  <c r="W47"/>
  <c r="S47"/>
  <c r="O47"/>
  <c r="X47"/>
  <c r="T47"/>
  <c r="P47"/>
  <c r="L47"/>
  <c r="Y34"/>
  <c r="U34"/>
  <c r="Q34"/>
  <c r="K34"/>
  <c r="V34"/>
  <c r="R34"/>
  <c r="N34"/>
  <c r="V33"/>
  <c r="R33"/>
  <c r="N33"/>
  <c r="Y33"/>
  <c r="U33"/>
  <c r="Q33"/>
  <c r="M33"/>
  <c r="W32"/>
  <c r="S32"/>
  <c r="O32"/>
  <c r="X32"/>
  <c r="T32"/>
  <c r="P32"/>
  <c r="L32"/>
  <c r="Y30"/>
  <c r="U30"/>
  <c r="Q30"/>
  <c r="K30"/>
  <c r="V30"/>
  <c r="R30"/>
  <c r="N30"/>
  <c r="V29"/>
  <c r="R29"/>
  <c r="N29"/>
  <c r="Y29"/>
  <c r="U29"/>
  <c r="Q29"/>
  <c r="L29"/>
  <c r="X27"/>
  <c r="T27"/>
  <c r="P27"/>
  <c r="L27"/>
  <c r="W27"/>
  <c r="S27"/>
  <c r="O27"/>
  <c r="K27"/>
  <c r="X26"/>
  <c r="T26"/>
  <c r="P26"/>
  <c r="K26"/>
  <c r="W26"/>
  <c r="S26"/>
  <c r="O26"/>
  <c r="V23"/>
  <c r="R23"/>
  <c r="N23"/>
  <c r="Y23"/>
  <c r="U23"/>
  <c r="Q23"/>
  <c r="M23"/>
  <c r="V15"/>
  <c r="R15"/>
  <c r="N15"/>
  <c r="Y15"/>
  <c r="U15"/>
  <c r="Q15"/>
  <c r="M15"/>
  <c r="V13"/>
  <c r="R13"/>
  <c r="N13"/>
  <c r="Y13"/>
  <c r="U13"/>
  <c r="Q13"/>
  <c r="M13"/>
  <c r="V10"/>
  <c r="R10"/>
  <c r="N10"/>
  <c r="Y10"/>
  <c r="U10"/>
  <c r="Q10"/>
  <c r="L10"/>
  <c r="X7"/>
  <c r="T7"/>
  <c r="P7"/>
  <c r="K7"/>
  <c r="W7"/>
  <c r="S7"/>
  <c r="O7"/>
  <c r="W6"/>
  <c r="S6"/>
  <c r="O6"/>
  <c r="X6"/>
  <c r="T6"/>
  <c r="P6"/>
  <c r="L6"/>
  <c r="Y8"/>
  <c r="U8"/>
  <c r="Q8"/>
  <c r="L8"/>
  <c r="V8"/>
  <c r="R8"/>
  <c r="N8"/>
  <c r="V16"/>
  <c r="R16"/>
  <c r="N16"/>
  <c r="Y16"/>
  <c r="U16"/>
  <c r="Q16"/>
  <c r="L16"/>
  <c r="X31"/>
  <c r="T31"/>
  <c r="P31"/>
  <c r="L31"/>
  <c r="W31"/>
  <c r="S31"/>
  <c r="O31"/>
  <c r="K31"/>
  <c r="Y17"/>
  <c r="U17"/>
  <c r="Q17"/>
  <c r="K17"/>
  <c r="V17"/>
  <c r="R17"/>
  <c r="N17"/>
  <c r="X44"/>
  <c r="T44"/>
  <c r="P44"/>
  <c r="L44"/>
  <c r="W44"/>
  <c r="S44"/>
  <c r="O44"/>
  <c r="V20"/>
  <c r="R20"/>
  <c r="N20"/>
  <c r="U20"/>
  <c r="M20"/>
  <c r="W19"/>
  <c r="O19"/>
  <c r="T19"/>
  <c r="L19"/>
  <c r="R14"/>
  <c r="Y14"/>
  <c r="Q14"/>
  <c r="W45"/>
  <c r="O45"/>
  <c r="T45"/>
  <c r="L45"/>
  <c r="Y28"/>
  <c r="Q28"/>
  <c r="T28"/>
  <c r="L28"/>
  <c r="U46"/>
  <c r="K46"/>
  <c r="R46"/>
  <c r="R40"/>
  <c r="Y40"/>
  <c r="Q40"/>
  <c r="R42"/>
  <c r="Y42"/>
  <c r="Q42"/>
  <c r="X43"/>
  <c r="P43"/>
  <c r="W43"/>
  <c r="O43"/>
  <c r="U47"/>
  <c r="K47"/>
  <c r="R47"/>
  <c r="S34"/>
  <c r="X34"/>
  <c r="P34"/>
  <c r="T33"/>
  <c r="L33"/>
  <c r="S33"/>
  <c r="K33"/>
  <c r="Y32"/>
  <c r="Q32"/>
  <c r="V32"/>
  <c r="N32"/>
  <c r="W30"/>
  <c r="O30"/>
  <c r="T30"/>
  <c r="L30"/>
  <c r="X29"/>
  <c r="P29"/>
  <c r="W29"/>
  <c r="O29"/>
  <c r="V27"/>
  <c r="N27"/>
  <c r="U27"/>
  <c r="M27"/>
  <c r="V26"/>
  <c r="N26"/>
  <c r="U26"/>
  <c r="L26"/>
  <c r="X23"/>
  <c r="P23"/>
  <c r="W23"/>
  <c r="O23"/>
  <c r="T15"/>
  <c r="L15"/>
  <c r="S15"/>
  <c r="K15"/>
  <c r="X13"/>
  <c r="P13"/>
  <c r="W13"/>
  <c r="O13"/>
  <c r="T10"/>
  <c r="K10"/>
  <c r="S10"/>
  <c r="R7"/>
  <c r="Y7"/>
  <c r="Y20"/>
  <c r="Q20"/>
  <c r="S19"/>
  <c r="X19"/>
  <c r="P19"/>
  <c r="V14"/>
  <c r="N14"/>
  <c r="U14"/>
  <c r="K14"/>
  <c r="S45"/>
  <c r="X45"/>
  <c r="P45"/>
  <c r="U28"/>
  <c r="K28"/>
  <c r="P28"/>
  <c r="Y46"/>
  <c r="Q46"/>
  <c r="V46"/>
  <c r="N46"/>
  <c r="V40"/>
  <c r="N40"/>
  <c r="U40"/>
  <c r="V42"/>
  <c r="N42"/>
  <c r="U42"/>
  <c r="T43"/>
  <c r="L43"/>
  <c r="S43"/>
  <c r="Y47"/>
  <c r="Q47"/>
  <c r="V47"/>
  <c r="N47"/>
  <c r="W34"/>
  <c r="O34"/>
  <c r="T34"/>
  <c r="L34"/>
  <c r="X33"/>
  <c r="P33"/>
  <c r="W33"/>
  <c r="O33"/>
  <c r="U32"/>
  <c r="K32"/>
  <c r="R32"/>
  <c r="S30"/>
  <c r="X30"/>
  <c r="P30"/>
  <c r="T29"/>
  <c r="K29"/>
  <c r="S29"/>
  <c r="R27"/>
  <c r="Y27"/>
  <c r="Q27"/>
  <c r="R26"/>
  <c r="Y26"/>
  <c r="Q26"/>
  <c r="T23"/>
  <c r="L23"/>
  <c r="S23"/>
  <c r="K23"/>
  <c r="X15"/>
  <c r="P15"/>
  <c r="W15"/>
  <c r="O15"/>
  <c r="T13"/>
  <c r="L13"/>
  <c r="S13"/>
  <c r="K13"/>
  <c r="X10"/>
  <c r="P10"/>
  <c r="W10"/>
  <c r="O10"/>
  <c r="V7"/>
  <c r="N7"/>
  <c r="U7"/>
  <c r="L7"/>
  <c r="Q7"/>
  <c r="M14"/>
  <c r="M43"/>
  <c r="M26"/>
  <c r="M19"/>
  <c r="M34"/>
  <c r="M6"/>
  <c r="M29"/>
  <c r="M28"/>
  <c r="M8"/>
  <c r="M47"/>
  <c r="M46"/>
  <c r="M30"/>
  <c r="M7"/>
  <c r="M16"/>
  <c r="M45"/>
  <c r="M10"/>
  <c r="M32"/>
  <c r="M17"/>
  <c r="Y52"/>
  <c r="Q52"/>
  <c r="W52"/>
  <c r="O52"/>
  <c r="Y51"/>
  <c r="Q51"/>
  <c r="W51"/>
  <c r="O51"/>
  <c r="S48"/>
  <c r="Y48"/>
  <c r="O48"/>
  <c r="K48"/>
  <c r="U52"/>
  <c r="M52"/>
  <c r="S52"/>
  <c r="K52"/>
  <c r="U51"/>
  <c r="K51"/>
  <c r="S51"/>
  <c r="W48"/>
  <c r="U48"/>
  <c r="Q48"/>
  <c r="A135" i="9"/>
  <c r="A118"/>
  <c r="A115"/>
  <c r="A2"/>
  <c r="A106"/>
  <c r="A107"/>
  <c r="A112"/>
  <c r="A113"/>
  <c r="A116"/>
  <c r="A122"/>
  <c r="A123"/>
  <c r="A124"/>
  <c r="A125"/>
  <c r="A126"/>
  <c r="A127"/>
  <c r="A128"/>
  <c r="A130"/>
  <c r="A132"/>
  <c r="A133"/>
  <c r="A134"/>
  <c r="A136"/>
  <c r="K31"/>
  <c r="A35"/>
  <c r="K35" s="1"/>
  <c r="A36"/>
  <c r="M39" i="20" s="1"/>
  <c r="A37" i="9"/>
  <c r="M40" i="20" s="1"/>
  <c r="A38" i="9"/>
  <c r="A140" s="1"/>
  <c r="A39"/>
  <c r="M42" i="20" s="1"/>
  <c r="A40" i="9"/>
  <c r="A41"/>
  <c r="M44" i="20" s="1"/>
  <c r="A42" i="9"/>
  <c r="A43"/>
  <c r="A44"/>
  <c r="A45"/>
  <c r="A46"/>
  <c r="A47"/>
  <c r="A121" s="1"/>
  <c r="A48"/>
  <c r="A49"/>
  <c r="A119" s="1"/>
  <c r="A50"/>
  <c r="A131" s="1"/>
  <c r="A51"/>
  <c r="A114" s="1"/>
  <c r="A52"/>
  <c r="A110" s="1"/>
  <c r="A53"/>
  <c r="A155" s="1"/>
  <c r="A54"/>
  <c r="A156" s="1"/>
  <c r="A55"/>
  <c r="A157" s="1"/>
  <c r="A56"/>
  <c r="A158" s="1"/>
  <c r="A57"/>
  <c r="A159" s="1"/>
  <c r="A58"/>
  <c r="A160" s="1"/>
  <c r="A59"/>
  <c r="A161" s="1"/>
  <c r="A60"/>
  <c r="A162" s="1"/>
  <c r="A61"/>
  <c r="A163" s="1"/>
  <c r="J2"/>
  <c r="J3"/>
  <c r="F3" i="2" s="1"/>
  <c r="J4" i="9"/>
  <c r="F7" i="2"/>
  <c r="F9"/>
  <c r="F11"/>
  <c r="F13"/>
  <c r="C132" i="9"/>
  <c r="F33" i="2"/>
  <c r="C137" i="9"/>
  <c r="F36" i="2"/>
  <c r="F37"/>
  <c r="F39"/>
  <c r="F40"/>
  <c r="F41"/>
  <c r="F42"/>
  <c r="F44"/>
  <c r="F46"/>
  <c r="F47"/>
  <c r="F48"/>
  <c r="F49"/>
  <c r="J53" i="9"/>
  <c r="J54"/>
  <c r="J55"/>
  <c r="J56"/>
  <c r="J57"/>
  <c r="J58"/>
  <c r="J59"/>
  <c r="J60"/>
  <c r="J61"/>
  <c r="E50" i="1"/>
  <c r="J89" i="9"/>
  <c r="K99"/>
  <c r="L99" s="1"/>
  <c r="G99" i="19" s="1"/>
  <c r="I99" s="1"/>
  <c r="K98" i="9"/>
  <c r="L98" s="1"/>
  <c r="G98" i="19" s="1"/>
  <c r="I98" s="1"/>
  <c r="K97" i="9"/>
  <c r="L97" s="1"/>
  <c r="G97" i="19" s="1"/>
  <c r="I97" s="1"/>
  <c r="K96" i="9"/>
  <c r="L96" s="1"/>
  <c r="G96" i="19" s="1"/>
  <c r="I96" s="1"/>
  <c r="K95" i="9"/>
  <c r="K94"/>
  <c r="K93"/>
  <c r="L93" s="1"/>
  <c r="G93" i="19" s="1"/>
  <c r="I93" s="1"/>
  <c r="K92" i="9"/>
  <c r="K91"/>
  <c r="K90"/>
  <c r="K89"/>
  <c r="A88"/>
  <c r="B88" i="19" s="1"/>
  <c r="A87" i="9"/>
  <c r="B87" i="19" s="1"/>
  <c r="A86" i="9"/>
  <c r="B86" i="19" s="1"/>
  <c r="A85" i="9"/>
  <c r="B85" i="19" s="1"/>
  <c r="A84" i="9"/>
  <c r="B84" i="19" s="1"/>
  <c r="A83" i="9"/>
  <c r="B83" i="19" s="1"/>
  <c r="A82" i="9"/>
  <c r="B82" i="19" s="1"/>
  <c r="A81" i="9"/>
  <c r="B81" i="19" s="1"/>
  <c r="A80" i="9"/>
  <c r="B80" i="19" s="1"/>
  <c r="A79" i="9"/>
  <c r="B79" i="19" s="1"/>
  <c r="A78" i="9"/>
  <c r="B78" i="19" s="1"/>
  <c r="A77" i="9"/>
  <c r="B77" i="19" s="1"/>
  <c r="A76" i="9"/>
  <c r="B76" i="19" s="1"/>
  <c r="A75" i="9"/>
  <c r="B75" i="19" s="1"/>
  <c r="A74" i="9"/>
  <c r="B74" i="19" s="1"/>
  <c r="A73" i="9"/>
  <c r="B73" i="19" s="1"/>
  <c r="A72" i="9"/>
  <c r="B72" i="19" s="1"/>
  <c r="A71" i="9"/>
  <c r="B71" i="19" s="1"/>
  <c r="A70" i="9"/>
  <c r="B70" i="19" s="1"/>
  <c r="A69" i="9"/>
  <c r="B69" i="19" s="1"/>
  <c r="A68" i="9"/>
  <c r="B68" i="19" s="1"/>
  <c r="A67" i="9"/>
  <c r="B67" i="19" s="1"/>
  <c r="A66" i="9"/>
  <c r="B66" i="19" s="1"/>
  <c r="A65" i="9"/>
  <c r="B65" i="19" s="1"/>
  <c r="A64" i="9"/>
  <c r="B64" i="19" s="1"/>
  <c r="A63" i="9"/>
  <c r="B63" i="19" s="1"/>
  <c r="A62" i="9"/>
  <c r="B62" i="19" s="1"/>
  <c r="K13" i="9"/>
  <c r="K9"/>
  <c r="A29" i="3"/>
  <c r="A37" i="8"/>
  <c r="A37" i="7"/>
  <c r="A35"/>
  <c r="A36"/>
  <c r="A34" i="6"/>
  <c r="A35"/>
  <c r="A36"/>
  <c r="A37"/>
  <c r="A37" i="5"/>
  <c r="A37" i="4"/>
  <c r="X2" i="9"/>
  <c r="X3"/>
  <c r="X4"/>
  <c r="R97" s="1"/>
  <c r="E53" i="1"/>
  <c r="E54"/>
  <c r="E55"/>
  <c r="E56"/>
  <c r="E57"/>
  <c r="E51"/>
  <c r="E52"/>
  <c r="L108" i="8" a="1"/>
  <c r="L108"/>
  <c r="K108" a="1"/>
  <c r="K108"/>
  <c r="J108" a="1"/>
  <c r="J108"/>
  <c r="I108" a="1"/>
  <c r="I108"/>
  <c r="L107" a="1"/>
  <c r="L107"/>
  <c r="K107" a="1"/>
  <c r="K107"/>
  <c r="J107" a="1"/>
  <c r="J107"/>
  <c r="I107" a="1"/>
  <c r="I107"/>
  <c r="L106" a="1"/>
  <c r="L106"/>
  <c r="K106" a="1"/>
  <c r="K106"/>
  <c r="J106" a="1"/>
  <c r="J106"/>
  <c r="I106" a="1"/>
  <c r="I106"/>
  <c r="L105" a="1"/>
  <c r="L105"/>
  <c r="K105" a="1"/>
  <c r="K105"/>
  <c r="J105" a="1"/>
  <c r="J105"/>
  <c r="I105" a="1"/>
  <c r="I105"/>
  <c r="L104" a="1"/>
  <c r="L104"/>
  <c r="K104" a="1"/>
  <c r="K104"/>
  <c r="J104" a="1"/>
  <c r="J104"/>
  <c r="I104" a="1"/>
  <c r="I104"/>
  <c r="L103" a="1"/>
  <c r="L103"/>
  <c r="K103" a="1"/>
  <c r="K103"/>
  <c r="J103" a="1"/>
  <c r="J103"/>
  <c r="I103" a="1"/>
  <c r="I103"/>
  <c r="L102" a="1"/>
  <c r="L102"/>
  <c r="K102" a="1"/>
  <c r="K102"/>
  <c r="J102" a="1"/>
  <c r="J102"/>
  <c r="I102" a="1"/>
  <c r="I102"/>
  <c r="L101" a="1"/>
  <c r="L101"/>
  <c r="K101" a="1"/>
  <c r="K101"/>
  <c r="J101" a="1"/>
  <c r="J101"/>
  <c r="I101" a="1"/>
  <c r="I101"/>
  <c r="L100" a="1"/>
  <c r="L100"/>
  <c r="K100" a="1"/>
  <c r="K100"/>
  <c r="J100" a="1"/>
  <c r="J100"/>
  <c r="I100" a="1"/>
  <c r="I100"/>
  <c r="L99" a="1"/>
  <c r="L99"/>
  <c r="K99" a="1"/>
  <c r="K99"/>
  <c r="J99" a="1"/>
  <c r="J99"/>
  <c r="I99" a="1"/>
  <c r="I99"/>
  <c r="L98" a="1"/>
  <c r="L98"/>
  <c r="K98" a="1"/>
  <c r="K98"/>
  <c r="J98" a="1"/>
  <c r="J98"/>
  <c r="I98" a="1"/>
  <c r="I98"/>
  <c r="L97" a="1"/>
  <c r="L97"/>
  <c r="K97" a="1"/>
  <c r="K97"/>
  <c r="J97" a="1"/>
  <c r="J97"/>
  <c r="I97" a="1"/>
  <c r="I97"/>
  <c r="L96" a="1"/>
  <c r="L96"/>
  <c r="K96" a="1"/>
  <c r="K96"/>
  <c r="J96" a="1"/>
  <c r="J96"/>
  <c r="I96" a="1"/>
  <c r="I96"/>
  <c r="L95" a="1"/>
  <c r="L95"/>
  <c r="K95" a="1"/>
  <c r="K95"/>
  <c r="J95" a="1"/>
  <c r="J95"/>
  <c r="I95" a="1"/>
  <c r="I95"/>
  <c r="L94" a="1"/>
  <c r="L94"/>
  <c r="K94" a="1"/>
  <c r="K94"/>
  <c r="J94" a="1"/>
  <c r="J94"/>
  <c r="I94" a="1"/>
  <c r="I94"/>
  <c r="L93" a="1"/>
  <c r="L93"/>
  <c r="K93" a="1"/>
  <c r="K93"/>
  <c r="J93" a="1"/>
  <c r="J93"/>
  <c r="I93" a="1"/>
  <c r="I93"/>
  <c r="L92" a="1"/>
  <c r="L92"/>
  <c r="K92" a="1"/>
  <c r="K92"/>
  <c r="J92" a="1"/>
  <c r="J92"/>
  <c r="I92" a="1"/>
  <c r="I92"/>
  <c r="L91" a="1"/>
  <c r="L91"/>
  <c r="K91" a="1"/>
  <c r="K91"/>
  <c r="J91" a="1"/>
  <c r="J91"/>
  <c r="I91" a="1"/>
  <c r="I91"/>
  <c r="L90" a="1"/>
  <c r="L90"/>
  <c r="K90" a="1"/>
  <c r="K90"/>
  <c r="J90" a="1"/>
  <c r="J90"/>
  <c r="I90" a="1"/>
  <c r="I90"/>
  <c r="L89" a="1"/>
  <c r="L89"/>
  <c r="K89" a="1"/>
  <c r="K89"/>
  <c r="J89" a="1"/>
  <c r="J89"/>
  <c r="I89" a="1"/>
  <c r="I89"/>
  <c r="L88" a="1"/>
  <c r="L88"/>
  <c r="K88" a="1"/>
  <c r="K88"/>
  <c r="J88" a="1"/>
  <c r="J88"/>
  <c r="I88" a="1"/>
  <c r="I88"/>
  <c r="L87" a="1"/>
  <c r="L87"/>
  <c r="K87" a="1"/>
  <c r="K87"/>
  <c r="J87" a="1"/>
  <c r="J87"/>
  <c r="I87" a="1"/>
  <c r="I87"/>
  <c r="L86" a="1"/>
  <c r="L86"/>
  <c r="K86" a="1"/>
  <c r="K86"/>
  <c r="J86" a="1"/>
  <c r="J86"/>
  <c r="I86" a="1"/>
  <c r="I86"/>
  <c r="L85" a="1"/>
  <c r="L85"/>
  <c r="K85" a="1"/>
  <c r="K85"/>
  <c r="J85" a="1"/>
  <c r="J85"/>
  <c r="I85" a="1"/>
  <c r="I85"/>
  <c r="L84" a="1"/>
  <c r="L84"/>
  <c r="K84" a="1"/>
  <c r="K84"/>
  <c r="J84" a="1"/>
  <c r="J84"/>
  <c r="I84" a="1"/>
  <c r="I84"/>
  <c r="L83" a="1"/>
  <c r="L83"/>
  <c r="K83" a="1"/>
  <c r="K83"/>
  <c r="J83" a="1"/>
  <c r="J83"/>
  <c r="I83" a="1"/>
  <c r="I83"/>
  <c r="L82" a="1"/>
  <c r="L82"/>
  <c r="K82" a="1"/>
  <c r="K82"/>
  <c r="J82" a="1"/>
  <c r="J82"/>
  <c r="I82" a="1"/>
  <c r="I82"/>
  <c r="L81" a="1"/>
  <c r="L81"/>
  <c r="K81" a="1"/>
  <c r="K81"/>
  <c r="J81" a="1"/>
  <c r="J81"/>
  <c r="I81" a="1"/>
  <c r="I81"/>
  <c r="L80" a="1"/>
  <c r="L80"/>
  <c r="K80" a="1"/>
  <c r="K80"/>
  <c r="J80" a="1"/>
  <c r="J80"/>
  <c r="I80" a="1"/>
  <c r="I80"/>
  <c r="L79" a="1"/>
  <c r="L79"/>
  <c r="K79" a="1"/>
  <c r="K79"/>
  <c r="J79" a="1"/>
  <c r="J79"/>
  <c r="I79" a="1"/>
  <c r="I79"/>
  <c r="L78" a="1"/>
  <c r="L78"/>
  <c r="K78" a="1"/>
  <c r="K78"/>
  <c r="J78" a="1"/>
  <c r="J78"/>
  <c r="I78" a="1"/>
  <c r="I78"/>
  <c r="L77" a="1"/>
  <c r="L77"/>
  <c r="K77" a="1"/>
  <c r="K77"/>
  <c r="J77" a="1"/>
  <c r="J77"/>
  <c r="I77" a="1"/>
  <c r="I77"/>
  <c r="L76" a="1"/>
  <c r="L76"/>
  <c r="K76" a="1"/>
  <c r="K76"/>
  <c r="J76" a="1"/>
  <c r="J76"/>
  <c r="I76" a="1"/>
  <c r="I76"/>
  <c r="L75" a="1"/>
  <c r="L75"/>
  <c r="K75" a="1"/>
  <c r="K75"/>
  <c r="J75" a="1"/>
  <c r="J75"/>
  <c r="I75" a="1"/>
  <c r="I75"/>
  <c r="L74" a="1"/>
  <c r="L74"/>
  <c r="K74" a="1"/>
  <c r="K74"/>
  <c r="J74" a="1"/>
  <c r="J74"/>
  <c r="I74" a="1"/>
  <c r="I74"/>
  <c r="L73" a="1"/>
  <c r="L73"/>
  <c r="K73" a="1"/>
  <c r="K73"/>
  <c r="J73" a="1"/>
  <c r="J73"/>
  <c r="I73" a="1"/>
  <c r="I73"/>
  <c r="L72" a="1"/>
  <c r="L72"/>
  <c r="K72" a="1"/>
  <c r="K72"/>
  <c r="J72" a="1"/>
  <c r="J72"/>
  <c r="I72" a="1"/>
  <c r="I72"/>
  <c r="L71" a="1"/>
  <c r="L71"/>
  <c r="K71" a="1"/>
  <c r="K71"/>
  <c r="J71" a="1"/>
  <c r="J71"/>
  <c r="I71" a="1"/>
  <c r="I71"/>
  <c r="L70" a="1"/>
  <c r="L70"/>
  <c r="K70" a="1"/>
  <c r="K70"/>
  <c r="J70" a="1"/>
  <c r="J70"/>
  <c r="I70" a="1"/>
  <c r="I70"/>
  <c r="L69" a="1"/>
  <c r="L69"/>
  <c r="K69" a="1"/>
  <c r="K69"/>
  <c r="J69" a="1"/>
  <c r="J69"/>
  <c r="I69" a="1"/>
  <c r="I69"/>
  <c r="L68" a="1"/>
  <c r="L68"/>
  <c r="K68" a="1"/>
  <c r="K68"/>
  <c r="J68" a="1"/>
  <c r="J68"/>
  <c r="I68" a="1"/>
  <c r="I68"/>
  <c r="L67" a="1"/>
  <c r="L67"/>
  <c r="K67" a="1"/>
  <c r="K67"/>
  <c r="J67" a="1"/>
  <c r="J67"/>
  <c r="I67" a="1"/>
  <c r="I67"/>
  <c r="L66" a="1"/>
  <c r="L66"/>
  <c r="K66" a="1"/>
  <c r="K66"/>
  <c r="J66" a="1"/>
  <c r="J66"/>
  <c r="I66" a="1"/>
  <c r="I66"/>
  <c r="L65" a="1"/>
  <c r="L65"/>
  <c r="K65" a="1"/>
  <c r="K65"/>
  <c r="J65" a="1"/>
  <c r="J65"/>
  <c r="I65" a="1"/>
  <c r="I65"/>
  <c r="L64" a="1"/>
  <c r="L64"/>
  <c r="K64" a="1"/>
  <c r="K64"/>
  <c r="J64" a="1"/>
  <c r="J64"/>
  <c r="I64" a="1"/>
  <c r="I64"/>
  <c r="L63" a="1"/>
  <c r="L63"/>
  <c r="K63" a="1"/>
  <c r="K63"/>
  <c r="J63" a="1"/>
  <c r="J63"/>
  <c r="I63" a="1"/>
  <c r="I63"/>
  <c r="L62" a="1"/>
  <c r="L62"/>
  <c r="K62" a="1"/>
  <c r="K62"/>
  <c r="J62" a="1"/>
  <c r="J62"/>
  <c r="I62" a="1"/>
  <c r="I62"/>
  <c r="L61" a="1"/>
  <c r="L61"/>
  <c r="K61" a="1"/>
  <c r="K61"/>
  <c r="J61" a="1"/>
  <c r="J61"/>
  <c r="I61" a="1"/>
  <c r="I61"/>
  <c r="L60" a="1"/>
  <c r="L60"/>
  <c r="K60" a="1"/>
  <c r="K60"/>
  <c r="J60" a="1"/>
  <c r="J60"/>
  <c r="I60" a="1"/>
  <c r="I60"/>
  <c r="L59" a="1"/>
  <c r="L59"/>
  <c r="K59" a="1"/>
  <c r="K59"/>
  <c r="J59" a="1"/>
  <c r="J59"/>
  <c r="I59" a="1"/>
  <c r="I59"/>
  <c r="L58" a="1"/>
  <c r="L58"/>
  <c r="K58" a="1"/>
  <c r="K58"/>
  <c r="J58" a="1"/>
  <c r="J58"/>
  <c r="I58" a="1"/>
  <c r="I58"/>
  <c r="L57" a="1"/>
  <c r="L57"/>
  <c r="K57" a="1"/>
  <c r="K57"/>
  <c r="J57" a="1"/>
  <c r="J57"/>
  <c r="I57" a="1"/>
  <c r="I57"/>
  <c r="L56" a="1"/>
  <c r="L56"/>
  <c r="K56" a="1"/>
  <c r="K56"/>
  <c r="J56" a="1"/>
  <c r="J56"/>
  <c r="I56" a="1"/>
  <c r="I56"/>
  <c r="L55" a="1"/>
  <c r="L55"/>
  <c r="K55" a="1"/>
  <c r="K55"/>
  <c r="J55" a="1"/>
  <c r="J55"/>
  <c r="I55" a="1"/>
  <c r="I55"/>
  <c r="L54" a="1"/>
  <c r="L54"/>
  <c r="K54" a="1"/>
  <c r="K54"/>
  <c r="J54" a="1"/>
  <c r="J54"/>
  <c r="I54" a="1"/>
  <c r="I54"/>
  <c r="L53" a="1"/>
  <c r="L53"/>
  <c r="K53" a="1"/>
  <c r="K53"/>
  <c r="J53" a="1"/>
  <c r="J53"/>
  <c r="I53" a="1"/>
  <c r="I53"/>
  <c r="L52" a="1"/>
  <c r="L52"/>
  <c r="K52" a="1"/>
  <c r="K52"/>
  <c r="J52" a="1"/>
  <c r="J52"/>
  <c r="I52" a="1"/>
  <c r="I52"/>
  <c r="L51" a="1"/>
  <c r="L51"/>
  <c r="K51" a="1"/>
  <c r="K51"/>
  <c r="J51" a="1"/>
  <c r="J51"/>
  <c r="I51" a="1"/>
  <c r="I51"/>
  <c r="L50" a="1"/>
  <c r="L50"/>
  <c r="K50" a="1"/>
  <c r="K50"/>
  <c r="J50" a="1"/>
  <c r="J50"/>
  <c r="I50" a="1"/>
  <c r="I50"/>
  <c r="L49" a="1"/>
  <c r="L49"/>
  <c r="K49" a="1"/>
  <c r="K49"/>
  <c r="J49" a="1"/>
  <c r="J49"/>
  <c r="I49" a="1"/>
  <c r="I49"/>
  <c r="L48" a="1"/>
  <c r="L48"/>
  <c r="K48" a="1"/>
  <c r="K48"/>
  <c r="J48" a="1"/>
  <c r="J48"/>
  <c r="I48" a="1"/>
  <c r="I48"/>
  <c r="L47" a="1"/>
  <c r="L47"/>
  <c r="K47" a="1"/>
  <c r="K47"/>
  <c r="J47" a="1"/>
  <c r="J47"/>
  <c r="I47" a="1"/>
  <c r="I47"/>
  <c r="L46" a="1"/>
  <c r="L46"/>
  <c r="K46" a="1"/>
  <c r="K46"/>
  <c r="J46" a="1"/>
  <c r="J46"/>
  <c r="I46" a="1"/>
  <c r="I46"/>
  <c r="L45" a="1"/>
  <c r="L45"/>
  <c r="K45" a="1"/>
  <c r="K45"/>
  <c r="J45" a="1"/>
  <c r="J45"/>
  <c r="I45" a="1"/>
  <c r="I45"/>
  <c r="L44" a="1"/>
  <c r="L44"/>
  <c r="K44" a="1"/>
  <c r="K44"/>
  <c r="J44" a="1"/>
  <c r="J44"/>
  <c r="I44" a="1"/>
  <c r="I44"/>
  <c r="L43" a="1"/>
  <c r="L43"/>
  <c r="K43" a="1"/>
  <c r="K43"/>
  <c r="J43" a="1"/>
  <c r="J43"/>
  <c r="I43" a="1"/>
  <c r="I43"/>
  <c r="L42" a="1"/>
  <c r="L42"/>
  <c r="K42" a="1"/>
  <c r="K42"/>
  <c r="J42" a="1"/>
  <c r="J42"/>
  <c r="I42" a="1"/>
  <c r="I42"/>
  <c r="L41" a="1"/>
  <c r="L41"/>
  <c r="K41" a="1"/>
  <c r="K41"/>
  <c r="J41" a="1"/>
  <c r="J41"/>
  <c r="I41" a="1"/>
  <c r="I41"/>
  <c r="L40" a="1"/>
  <c r="L40"/>
  <c r="K40" a="1"/>
  <c r="K40"/>
  <c r="J40" a="1"/>
  <c r="J40"/>
  <c r="I40" a="1"/>
  <c r="I40"/>
  <c r="L39" a="1"/>
  <c r="L39"/>
  <c r="K39" a="1"/>
  <c r="K39"/>
  <c r="J39" a="1"/>
  <c r="J39"/>
  <c r="I39" a="1"/>
  <c r="I39"/>
  <c r="L38" a="1"/>
  <c r="L38"/>
  <c r="K38" a="1"/>
  <c r="K38"/>
  <c r="J38" a="1"/>
  <c r="J38"/>
  <c r="I38" a="1"/>
  <c r="I38"/>
  <c r="L37" a="1"/>
  <c r="L37"/>
  <c r="K37" a="1"/>
  <c r="K37"/>
  <c r="J37" a="1"/>
  <c r="J37"/>
  <c r="I37" a="1"/>
  <c r="I37"/>
  <c r="L36" a="1"/>
  <c r="L36"/>
  <c r="K36" a="1"/>
  <c r="K36"/>
  <c r="J36" a="1"/>
  <c r="J36"/>
  <c r="I36" a="1"/>
  <c r="I36"/>
  <c r="L35" a="1"/>
  <c r="L35"/>
  <c r="K35" a="1"/>
  <c r="K35"/>
  <c r="J35" a="1"/>
  <c r="J35"/>
  <c r="I35" a="1"/>
  <c r="I35"/>
  <c r="L34" a="1"/>
  <c r="L34"/>
  <c r="K34" a="1"/>
  <c r="K34"/>
  <c r="J34" a="1"/>
  <c r="J34"/>
  <c r="I34" a="1"/>
  <c r="I34"/>
  <c r="L33" a="1"/>
  <c r="L33"/>
  <c r="K33" a="1"/>
  <c r="K33"/>
  <c r="J33" a="1"/>
  <c r="J33"/>
  <c r="I33" a="1"/>
  <c r="I33"/>
  <c r="L32" a="1"/>
  <c r="L32"/>
  <c r="K32" a="1"/>
  <c r="K32"/>
  <c r="J32" a="1"/>
  <c r="J32"/>
  <c r="I32" a="1"/>
  <c r="I32"/>
  <c r="L31" a="1"/>
  <c r="L31"/>
  <c r="K31" a="1"/>
  <c r="K31"/>
  <c r="J31" a="1"/>
  <c r="J31"/>
  <c r="I31" a="1"/>
  <c r="I31"/>
  <c r="L30" a="1"/>
  <c r="L30"/>
  <c r="K30" a="1"/>
  <c r="K30"/>
  <c r="J30" a="1"/>
  <c r="J30"/>
  <c r="I30" a="1"/>
  <c r="I30"/>
  <c r="L29" a="1"/>
  <c r="L29"/>
  <c r="K29" a="1"/>
  <c r="K29"/>
  <c r="J29" a="1"/>
  <c r="J29"/>
  <c r="I29" a="1"/>
  <c r="I29"/>
  <c r="L28" a="1"/>
  <c r="L28"/>
  <c r="K28" a="1"/>
  <c r="K28"/>
  <c r="J28" a="1"/>
  <c r="J28"/>
  <c r="I28" a="1"/>
  <c r="I28"/>
  <c r="L27" a="1"/>
  <c r="L27"/>
  <c r="K27" a="1"/>
  <c r="K27"/>
  <c r="J27" a="1"/>
  <c r="J27"/>
  <c r="I27" a="1"/>
  <c r="I27"/>
  <c r="L26" a="1"/>
  <c r="L26"/>
  <c r="K26" a="1"/>
  <c r="K26"/>
  <c r="J26" a="1"/>
  <c r="J26"/>
  <c r="I26" a="1"/>
  <c r="I26"/>
  <c r="L25" a="1"/>
  <c r="L25"/>
  <c r="K25" a="1"/>
  <c r="K25"/>
  <c r="J25" a="1"/>
  <c r="J25"/>
  <c r="I25" a="1"/>
  <c r="I25"/>
  <c r="L24" a="1"/>
  <c r="L24"/>
  <c r="K24" a="1"/>
  <c r="K24"/>
  <c r="J24" a="1"/>
  <c r="J24"/>
  <c r="I24" a="1"/>
  <c r="I24"/>
  <c r="L23" a="1"/>
  <c r="L23"/>
  <c r="K23" a="1"/>
  <c r="K23"/>
  <c r="J23" a="1"/>
  <c r="J23"/>
  <c r="I23" a="1"/>
  <c r="I23"/>
  <c r="L22" a="1"/>
  <c r="L22"/>
  <c r="K22" a="1"/>
  <c r="K22"/>
  <c r="J22" a="1"/>
  <c r="J22"/>
  <c r="I22" a="1"/>
  <c r="I22"/>
  <c r="L21" a="1"/>
  <c r="L21"/>
  <c r="K21" a="1"/>
  <c r="K21"/>
  <c r="J21" a="1"/>
  <c r="J21"/>
  <c r="I21" a="1"/>
  <c r="I21"/>
  <c r="L20" a="1"/>
  <c r="L20"/>
  <c r="K20" a="1"/>
  <c r="K20"/>
  <c r="J20" a="1"/>
  <c r="J20"/>
  <c r="I20" a="1"/>
  <c r="I20"/>
  <c r="L19" a="1"/>
  <c r="L19"/>
  <c r="K19" a="1"/>
  <c r="K19"/>
  <c r="J19" a="1"/>
  <c r="J19"/>
  <c r="I19" a="1"/>
  <c r="I19"/>
  <c r="L18" a="1"/>
  <c r="L18"/>
  <c r="K18" a="1"/>
  <c r="K18"/>
  <c r="J18" a="1"/>
  <c r="J18"/>
  <c r="I18" a="1"/>
  <c r="I18"/>
  <c r="L17" a="1"/>
  <c r="L17"/>
  <c r="K17" a="1"/>
  <c r="K17"/>
  <c r="J17" a="1"/>
  <c r="J17"/>
  <c r="I17" a="1"/>
  <c r="I17"/>
  <c r="L16" a="1"/>
  <c r="L16"/>
  <c r="K16" a="1"/>
  <c r="K16"/>
  <c r="J16" a="1"/>
  <c r="J16"/>
  <c r="I16" a="1"/>
  <c r="I16"/>
  <c r="L15" a="1"/>
  <c r="L15"/>
  <c r="K15" a="1"/>
  <c r="K15"/>
  <c r="J15" a="1"/>
  <c r="J15"/>
  <c r="I15" a="1"/>
  <c r="I15"/>
  <c r="L14" a="1"/>
  <c r="L14"/>
  <c r="K14" a="1"/>
  <c r="K14"/>
  <c r="J14" a="1"/>
  <c r="J14"/>
  <c r="I14" a="1"/>
  <c r="I14"/>
  <c r="L13" a="1"/>
  <c r="L13"/>
  <c r="K13" a="1"/>
  <c r="K13"/>
  <c r="J13" a="1"/>
  <c r="J13"/>
  <c r="I13" a="1"/>
  <c r="I13"/>
  <c r="L12" a="1"/>
  <c r="L12"/>
  <c r="K12" a="1"/>
  <c r="K12"/>
  <c r="J12" a="1"/>
  <c r="J12"/>
  <c r="I12" a="1"/>
  <c r="I12"/>
  <c r="L11" a="1"/>
  <c r="L11"/>
  <c r="K11" a="1"/>
  <c r="K11"/>
  <c r="J11" a="1"/>
  <c r="J11"/>
  <c r="I11" a="1"/>
  <c r="I11"/>
  <c r="L10" a="1"/>
  <c r="L10"/>
  <c r="K10" a="1"/>
  <c r="K10"/>
  <c r="J10" a="1"/>
  <c r="J10"/>
  <c r="I10" a="1"/>
  <c r="I10"/>
  <c r="L108" i="7" a="1"/>
  <c r="L108"/>
  <c r="K108" a="1"/>
  <c r="K108"/>
  <c r="J108" a="1"/>
  <c r="J108"/>
  <c r="I108" a="1"/>
  <c r="I108"/>
  <c r="L107" a="1"/>
  <c r="L107"/>
  <c r="K107" a="1"/>
  <c r="K107"/>
  <c r="J107" a="1"/>
  <c r="J107"/>
  <c r="I107" a="1"/>
  <c r="I107"/>
  <c r="L106" a="1"/>
  <c r="L106"/>
  <c r="K106" a="1"/>
  <c r="K106"/>
  <c r="J106" a="1"/>
  <c r="J106"/>
  <c r="I106" a="1"/>
  <c r="I106"/>
  <c r="L105" a="1"/>
  <c r="L105"/>
  <c r="K105" a="1"/>
  <c r="K105"/>
  <c r="J105" a="1"/>
  <c r="J105"/>
  <c r="I105" a="1"/>
  <c r="I105"/>
  <c r="L104" a="1"/>
  <c r="L104"/>
  <c r="K104" a="1"/>
  <c r="K104"/>
  <c r="J104" a="1"/>
  <c r="J104"/>
  <c r="I104" a="1"/>
  <c r="I104"/>
  <c r="L103" a="1"/>
  <c r="L103"/>
  <c r="K103" a="1"/>
  <c r="K103"/>
  <c r="J103" a="1"/>
  <c r="J103"/>
  <c r="I103" a="1"/>
  <c r="I103"/>
  <c r="L102" a="1"/>
  <c r="L102"/>
  <c r="K102" a="1"/>
  <c r="K102"/>
  <c r="J102" a="1"/>
  <c r="J102"/>
  <c r="I102" a="1"/>
  <c r="I102"/>
  <c r="L101" a="1"/>
  <c r="L101"/>
  <c r="K101" a="1"/>
  <c r="K101"/>
  <c r="J101" a="1"/>
  <c r="J101"/>
  <c r="I101" a="1"/>
  <c r="I101"/>
  <c r="L100" a="1"/>
  <c r="L100"/>
  <c r="K100" a="1"/>
  <c r="K100"/>
  <c r="J100" a="1"/>
  <c r="J100"/>
  <c r="I100" a="1"/>
  <c r="I100"/>
  <c r="L99" a="1"/>
  <c r="L99"/>
  <c r="K99" a="1"/>
  <c r="K99"/>
  <c r="J99" a="1"/>
  <c r="J99"/>
  <c r="I99" a="1"/>
  <c r="I99"/>
  <c r="L98" a="1"/>
  <c r="L98"/>
  <c r="K98" a="1"/>
  <c r="K98"/>
  <c r="J98" a="1"/>
  <c r="J98"/>
  <c r="I98" a="1"/>
  <c r="I98"/>
  <c r="L97" a="1"/>
  <c r="L97"/>
  <c r="K97" a="1"/>
  <c r="K97"/>
  <c r="J97" a="1"/>
  <c r="J97"/>
  <c r="I97" a="1"/>
  <c r="I97"/>
  <c r="L96" a="1"/>
  <c r="L96"/>
  <c r="K96" a="1"/>
  <c r="K96"/>
  <c r="J96" a="1"/>
  <c r="J96"/>
  <c r="I96" a="1"/>
  <c r="I96"/>
  <c r="L95" a="1"/>
  <c r="L95"/>
  <c r="K95" a="1"/>
  <c r="K95"/>
  <c r="J95" a="1"/>
  <c r="J95"/>
  <c r="I95" a="1"/>
  <c r="I95"/>
  <c r="L94" a="1"/>
  <c r="L94"/>
  <c r="K94" a="1"/>
  <c r="K94"/>
  <c r="J94" a="1"/>
  <c r="J94"/>
  <c r="I94" a="1"/>
  <c r="I94"/>
  <c r="L93" a="1"/>
  <c r="L93"/>
  <c r="K93" a="1"/>
  <c r="K93"/>
  <c r="J93" a="1"/>
  <c r="J93"/>
  <c r="I93" a="1"/>
  <c r="I93"/>
  <c r="L92" a="1"/>
  <c r="L92"/>
  <c r="K92" a="1"/>
  <c r="K92"/>
  <c r="J92" a="1"/>
  <c r="J92"/>
  <c r="I92" a="1"/>
  <c r="I92"/>
  <c r="L91" a="1"/>
  <c r="L91"/>
  <c r="K91" a="1"/>
  <c r="K91"/>
  <c r="J91" a="1"/>
  <c r="J91"/>
  <c r="I91" a="1"/>
  <c r="I91"/>
  <c r="L90" a="1"/>
  <c r="L90"/>
  <c r="K90" a="1"/>
  <c r="K90"/>
  <c r="J90" a="1"/>
  <c r="J90"/>
  <c r="I90" a="1"/>
  <c r="I90"/>
  <c r="L89" a="1"/>
  <c r="L89"/>
  <c r="K89" a="1"/>
  <c r="K89"/>
  <c r="J89" a="1"/>
  <c r="J89"/>
  <c r="I89" a="1"/>
  <c r="I89"/>
  <c r="L88" a="1"/>
  <c r="L88"/>
  <c r="K88" a="1"/>
  <c r="K88"/>
  <c r="J88" a="1"/>
  <c r="J88"/>
  <c r="I88" a="1"/>
  <c r="I88"/>
  <c r="L87" a="1"/>
  <c r="L87"/>
  <c r="K87" a="1"/>
  <c r="K87"/>
  <c r="J87" a="1"/>
  <c r="J87"/>
  <c r="I87" a="1"/>
  <c r="I87"/>
  <c r="L86" a="1"/>
  <c r="L86"/>
  <c r="K86" a="1"/>
  <c r="K86"/>
  <c r="J86" a="1"/>
  <c r="J86"/>
  <c r="I86" a="1"/>
  <c r="I86"/>
  <c r="L85" a="1"/>
  <c r="L85"/>
  <c r="K85" a="1"/>
  <c r="K85"/>
  <c r="J85" a="1"/>
  <c r="J85"/>
  <c r="I85" a="1"/>
  <c r="I85"/>
  <c r="L84" a="1"/>
  <c r="L84"/>
  <c r="K84" a="1"/>
  <c r="K84"/>
  <c r="J84" a="1"/>
  <c r="J84"/>
  <c r="I84" a="1"/>
  <c r="I84"/>
  <c r="L83" a="1"/>
  <c r="L83"/>
  <c r="K83" a="1"/>
  <c r="K83"/>
  <c r="J83" a="1"/>
  <c r="J83"/>
  <c r="I83" a="1"/>
  <c r="I83"/>
  <c r="L82" a="1"/>
  <c r="L82"/>
  <c r="K82" a="1"/>
  <c r="K82"/>
  <c r="J82" a="1"/>
  <c r="J82"/>
  <c r="I82" a="1"/>
  <c r="I82"/>
  <c r="L81" a="1"/>
  <c r="L81"/>
  <c r="K81" a="1"/>
  <c r="K81"/>
  <c r="J81" a="1"/>
  <c r="J81"/>
  <c r="I81" a="1"/>
  <c r="I81"/>
  <c r="L80" a="1"/>
  <c r="L80"/>
  <c r="K80" a="1"/>
  <c r="K80"/>
  <c r="J80" a="1"/>
  <c r="J80"/>
  <c r="I80" a="1"/>
  <c r="I80"/>
  <c r="L79" a="1"/>
  <c r="L79"/>
  <c r="K79" a="1"/>
  <c r="K79"/>
  <c r="J79" a="1"/>
  <c r="J79"/>
  <c r="I79" a="1"/>
  <c r="I79"/>
  <c r="L78" a="1"/>
  <c r="L78"/>
  <c r="K78" a="1"/>
  <c r="K78"/>
  <c r="J78" a="1"/>
  <c r="J78"/>
  <c r="I78" a="1"/>
  <c r="I78"/>
  <c r="L77" a="1"/>
  <c r="L77"/>
  <c r="K77" a="1"/>
  <c r="K77"/>
  <c r="J77" a="1"/>
  <c r="J77"/>
  <c r="I77" a="1"/>
  <c r="I77"/>
  <c r="L76" a="1"/>
  <c r="L76"/>
  <c r="K76" a="1"/>
  <c r="K76"/>
  <c r="J76" a="1"/>
  <c r="J76"/>
  <c r="I76" a="1"/>
  <c r="I76"/>
  <c r="L75" a="1"/>
  <c r="L75"/>
  <c r="K75" a="1"/>
  <c r="K75"/>
  <c r="J75" a="1"/>
  <c r="J75"/>
  <c r="I75" a="1"/>
  <c r="I75"/>
  <c r="L74" a="1"/>
  <c r="L74"/>
  <c r="K74" a="1"/>
  <c r="K74"/>
  <c r="J74" a="1"/>
  <c r="J74"/>
  <c r="I74" a="1"/>
  <c r="I74"/>
  <c r="L73" a="1"/>
  <c r="L73"/>
  <c r="K73" a="1"/>
  <c r="K73"/>
  <c r="J73" a="1"/>
  <c r="J73"/>
  <c r="I73" a="1"/>
  <c r="I73"/>
  <c r="L72" a="1"/>
  <c r="L72"/>
  <c r="K72" a="1"/>
  <c r="K72"/>
  <c r="J72" a="1"/>
  <c r="J72"/>
  <c r="I72" a="1"/>
  <c r="I72"/>
  <c r="L71" a="1"/>
  <c r="L71"/>
  <c r="K71" a="1"/>
  <c r="K71"/>
  <c r="J71" a="1"/>
  <c r="J71"/>
  <c r="I71" a="1"/>
  <c r="I71"/>
  <c r="L70" a="1"/>
  <c r="L70"/>
  <c r="K70" a="1"/>
  <c r="K70"/>
  <c r="J70" a="1"/>
  <c r="J70"/>
  <c r="I70" a="1"/>
  <c r="I70"/>
  <c r="L69" a="1"/>
  <c r="L69"/>
  <c r="K69" a="1"/>
  <c r="K69"/>
  <c r="J69" a="1"/>
  <c r="J69"/>
  <c r="I69" a="1"/>
  <c r="I69"/>
  <c r="L68" a="1"/>
  <c r="L68"/>
  <c r="K68" a="1"/>
  <c r="K68"/>
  <c r="J68" a="1"/>
  <c r="J68"/>
  <c r="I68" a="1"/>
  <c r="I68"/>
  <c r="L67" a="1"/>
  <c r="L67"/>
  <c r="K67" a="1"/>
  <c r="K67"/>
  <c r="J67" a="1"/>
  <c r="J67"/>
  <c r="I67" a="1"/>
  <c r="I67"/>
  <c r="L66" a="1"/>
  <c r="L66"/>
  <c r="K66" a="1"/>
  <c r="K66"/>
  <c r="J66" a="1"/>
  <c r="J66"/>
  <c r="I66" a="1"/>
  <c r="I66"/>
  <c r="L65" a="1"/>
  <c r="L65"/>
  <c r="K65" a="1"/>
  <c r="K65"/>
  <c r="J65" a="1"/>
  <c r="J65"/>
  <c r="I65" a="1"/>
  <c r="I65"/>
  <c r="L64" a="1"/>
  <c r="L64"/>
  <c r="K64" a="1"/>
  <c r="K64"/>
  <c r="J64" a="1"/>
  <c r="J64"/>
  <c r="I64" a="1"/>
  <c r="I64"/>
  <c r="L63" a="1"/>
  <c r="L63"/>
  <c r="K63" a="1"/>
  <c r="K63"/>
  <c r="J63" a="1"/>
  <c r="J63"/>
  <c r="I63" a="1"/>
  <c r="I63"/>
  <c r="L62" a="1"/>
  <c r="L62"/>
  <c r="K62" a="1"/>
  <c r="K62"/>
  <c r="J62" a="1"/>
  <c r="J62"/>
  <c r="I62" a="1"/>
  <c r="I62"/>
  <c r="L61" a="1"/>
  <c r="L61"/>
  <c r="K61" a="1"/>
  <c r="K61"/>
  <c r="J61" a="1"/>
  <c r="J61"/>
  <c r="I61" a="1"/>
  <c r="I61"/>
  <c r="L60" a="1"/>
  <c r="L60"/>
  <c r="K60" a="1"/>
  <c r="K60"/>
  <c r="J60" a="1"/>
  <c r="J60"/>
  <c r="I60" a="1"/>
  <c r="I60"/>
  <c r="L59" a="1"/>
  <c r="L59"/>
  <c r="K59" a="1"/>
  <c r="K59"/>
  <c r="J59" a="1"/>
  <c r="J59"/>
  <c r="I59" a="1"/>
  <c r="I59"/>
  <c r="L58" a="1"/>
  <c r="L58"/>
  <c r="K58" a="1"/>
  <c r="K58"/>
  <c r="J58" a="1"/>
  <c r="J58"/>
  <c r="I58" a="1"/>
  <c r="I58"/>
  <c r="L57" a="1"/>
  <c r="L57"/>
  <c r="K57" a="1"/>
  <c r="K57"/>
  <c r="J57" a="1"/>
  <c r="J57"/>
  <c r="I57" a="1"/>
  <c r="I57"/>
  <c r="L56" a="1"/>
  <c r="L56"/>
  <c r="K56" a="1"/>
  <c r="K56"/>
  <c r="J56" a="1"/>
  <c r="J56"/>
  <c r="I56" a="1"/>
  <c r="I56"/>
  <c r="L55" a="1"/>
  <c r="L55"/>
  <c r="K55" a="1"/>
  <c r="K55"/>
  <c r="J55" a="1"/>
  <c r="J55"/>
  <c r="I55" a="1"/>
  <c r="I55"/>
  <c r="L54" a="1"/>
  <c r="L54"/>
  <c r="K54" a="1"/>
  <c r="K54"/>
  <c r="J54" a="1"/>
  <c r="J54"/>
  <c r="I54" a="1"/>
  <c r="I54"/>
  <c r="L53" a="1"/>
  <c r="L53"/>
  <c r="K53" a="1"/>
  <c r="K53"/>
  <c r="J53" a="1"/>
  <c r="J53"/>
  <c r="I53" a="1"/>
  <c r="I53"/>
  <c r="L52" a="1"/>
  <c r="L52"/>
  <c r="K52" a="1"/>
  <c r="K52"/>
  <c r="J52" a="1"/>
  <c r="J52"/>
  <c r="I52" a="1"/>
  <c r="I52"/>
  <c r="L51" a="1"/>
  <c r="L51"/>
  <c r="K51" a="1"/>
  <c r="K51"/>
  <c r="J51" a="1"/>
  <c r="J51"/>
  <c r="I51" a="1"/>
  <c r="I51"/>
  <c r="L50" a="1"/>
  <c r="L50"/>
  <c r="K50" a="1"/>
  <c r="K50"/>
  <c r="J50" a="1"/>
  <c r="J50"/>
  <c r="I50" a="1"/>
  <c r="I50"/>
  <c r="L49" a="1"/>
  <c r="L49"/>
  <c r="K49" a="1"/>
  <c r="K49"/>
  <c r="J49" a="1"/>
  <c r="J49"/>
  <c r="I49" a="1"/>
  <c r="I49"/>
  <c r="L48" a="1"/>
  <c r="L48"/>
  <c r="K48" a="1"/>
  <c r="K48"/>
  <c r="J48" a="1"/>
  <c r="J48"/>
  <c r="I48" a="1"/>
  <c r="I48"/>
  <c r="L47" a="1"/>
  <c r="L47"/>
  <c r="K47" a="1"/>
  <c r="K47"/>
  <c r="J47" a="1"/>
  <c r="J47"/>
  <c r="I47" a="1"/>
  <c r="I47"/>
  <c r="L46" a="1"/>
  <c r="L46"/>
  <c r="K46" a="1"/>
  <c r="K46"/>
  <c r="J46" a="1"/>
  <c r="J46"/>
  <c r="I46" a="1"/>
  <c r="I46"/>
  <c r="L45" a="1"/>
  <c r="L45"/>
  <c r="K45" a="1"/>
  <c r="K45"/>
  <c r="J45" a="1"/>
  <c r="J45"/>
  <c r="I45" a="1"/>
  <c r="I45"/>
  <c r="L44" a="1"/>
  <c r="L44"/>
  <c r="K44" a="1"/>
  <c r="K44"/>
  <c r="J44" a="1"/>
  <c r="J44"/>
  <c r="I44" a="1"/>
  <c r="I44"/>
  <c r="L43" a="1"/>
  <c r="L43"/>
  <c r="K43" a="1"/>
  <c r="K43"/>
  <c r="J43" a="1"/>
  <c r="J43"/>
  <c r="I43" a="1"/>
  <c r="I43"/>
  <c r="L42" a="1"/>
  <c r="L42"/>
  <c r="K42" a="1"/>
  <c r="K42"/>
  <c r="J42" a="1"/>
  <c r="J42"/>
  <c r="I42" a="1"/>
  <c r="I42"/>
  <c r="L41" a="1"/>
  <c r="L41"/>
  <c r="K41" a="1"/>
  <c r="K41"/>
  <c r="J41" a="1"/>
  <c r="J41"/>
  <c r="I41" a="1"/>
  <c r="I41"/>
  <c r="L40" a="1"/>
  <c r="L40"/>
  <c r="K40" a="1"/>
  <c r="K40"/>
  <c r="J40" a="1"/>
  <c r="J40"/>
  <c r="I40" a="1"/>
  <c r="I40"/>
  <c r="L39" a="1"/>
  <c r="L39"/>
  <c r="K39" a="1"/>
  <c r="K39"/>
  <c r="J39" a="1"/>
  <c r="J39"/>
  <c r="I39" a="1"/>
  <c r="I39"/>
  <c r="L38" a="1"/>
  <c r="L38"/>
  <c r="K38" a="1"/>
  <c r="K38"/>
  <c r="J38" a="1"/>
  <c r="J38"/>
  <c r="I38" a="1"/>
  <c r="I38"/>
  <c r="L37" a="1"/>
  <c r="L37"/>
  <c r="K37" a="1"/>
  <c r="K37"/>
  <c r="J37" a="1"/>
  <c r="J37"/>
  <c r="I37" a="1"/>
  <c r="I37"/>
  <c r="L36" a="1"/>
  <c r="L36"/>
  <c r="K36" a="1"/>
  <c r="K36"/>
  <c r="J36" a="1"/>
  <c r="J36"/>
  <c r="I36" a="1"/>
  <c r="I36"/>
  <c r="L35" a="1"/>
  <c r="L35"/>
  <c r="K35" a="1"/>
  <c r="K35"/>
  <c r="J35" a="1"/>
  <c r="J35"/>
  <c r="I35" a="1"/>
  <c r="I35"/>
  <c r="L34" a="1"/>
  <c r="L34"/>
  <c r="K34" a="1"/>
  <c r="K34"/>
  <c r="J34" a="1"/>
  <c r="J34"/>
  <c r="I34" a="1"/>
  <c r="I34"/>
  <c r="L33" a="1"/>
  <c r="L33"/>
  <c r="K33" a="1"/>
  <c r="K33"/>
  <c r="J33" a="1"/>
  <c r="J33"/>
  <c r="I33" a="1"/>
  <c r="I33"/>
  <c r="L32" a="1"/>
  <c r="L32"/>
  <c r="K32" a="1"/>
  <c r="K32"/>
  <c r="J32" a="1"/>
  <c r="J32"/>
  <c r="I32" a="1"/>
  <c r="I32"/>
  <c r="L31" a="1"/>
  <c r="L31"/>
  <c r="K31" a="1"/>
  <c r="K31"/>
  <c r="J31" a="1"/>
  <c r="J31"/>
  <c r="I31" a="1"/>
  <c r="I31"/>
  <c r="L30" a="1"/>
  <c r="L30"/>
  <c r="K30" a="1"/>
  <c r="K30"/>
  <c r="J30" a="1"/>
  <c r="J30"/>
  <c r="I30" a="1"/>
  <c r="I30"/>
  <c r="L29" a="1"/>
  <c r="L29"/>
  <c r="K29" a="1"/>
  <c r="K29"/>
  <c r="J29" a="1"/>
  <c r="J29"/>
  <c r="I29" a="1"/>
  <c r="I29"/>
  <c r="L28" a="1"/>
  <c r="L28"/>
  <c r="K28" a="1"/>
  <c r="K28"/>
  <c r="J28" a="1"/>
  <c r="J28"/>
  <c r="I28" a="1"/>
  <c r="I28"/>
  <c r="L27" a="1"/>
  <c r="L27"/>
  <c r="K27" a="1"/>
  <c r="K27"/>
  <c r="J27" a="1"/>
  <c r="J27"/>
  <c r="I27" a="1"/>
  <c r="I27"/>
  <c r="L26" a="1"/>
  <c r="L26"/>
  <c r="K26" a="1"/>
  <c r="K26"/>
  <c r="J26" a="1"/>
  <c r="J26"/>
  <c r="I26" a="1"/>
  <c r="I26"/>
  <c r="L25" a="1"/>
  <c r="L25"/>
  <c r="K25" a="1"/>
  <c r="K25"/>
  <c r="J25" a="1"/>
  <c r="J25"/>
  <c r="I25" a="1"/>
  <c r="I25"/>
  <c r="L24" a="1"/>
  <c r="L24"/>
  <c r="K24" a="1"/>
  <c r="K24"/>
  <c r="J24" a="1"/>
  <c r="J24"/>
  <c r="I24" a="1"/>
  <c r="I24"/>
  <c r="L23" a="1"/>
  <c r="L23"/>
  <c r="K23" a="1"/>
  <c r="K23"/>
  <c r="J23" a="1"/>
  <c r="J23"/>
  <c r="I23" a="1"/>
  <c r="I23"/>
  <c r="L22" a="1"/>
  <c r="L22"/>
  <c r="K22" a="1"/>
  <c r="K22"/>
  <c r="J22" a="1"/>
  <c r="J22"/>
  <c r="I22" a="1"/>
  <c r="I22"/>
  <c r="L21" a="1"/>
  <c r="L21"/>
  <c r="K21" a="1"/>
  <c r="K21"/>
  <c r="J21" a="1"/>
  <c r="J21"/>
  <c r="I21" a="1"/>
  <c r="I21"/>
  <c r="L20" a="1"/>
  <c r="L20"/>
  <c r="K20" a="1"/>
  <c r="K20"/>
  <c r="J20" a="1"/>
  <c r="J20"/>
  <c r="I20" a="1"/>
  <c r="I20"/>
  <c r="L19" a="1"/>
  <c r="L19"/>
  <c r="K19" a="1"/>
  <c r="K19"/>
  <c r="J19" a="1"/>
  <c r="J19"/>
  <c r="I19" a="1"/>
  <c r="I19"/>
  <c r="L18" a="1"/>
  <c r="L18"/>
  <c r="K18" a="1"/>
  <c r="K18"/>
  <c r="J18" a="1"/>
  <c r="J18"/>
  <c r="I18" a="1"/>
  <c r="I18"/>
  <c r="L17" a="1"/>
  <c r="L17"/>
  <c r="K17" a="1"/>
  <c r="K17"/>
  <c r="J17" a="1"/>
  <c r="J17"/>
  <c r="I17" a="1"/>
  <c r="I17"/>
  <c r="L16" a="1"/>
  <c r="L16"/>
  <c r="K16" a="1"/>
  <c r="K16"/>
  <c r="J16" a="1"/>
  <c r="J16"/>
  <c r="I16" a="1"/>
  <c r="I16"/>
  <c r="L15" a="1"/>
  <c r="L15"/>
  <c r="K15" a="1"/>
  <c r="K15"/>
  <c r="J15" a="1"/>
  <c r="J15"/>
  <c r="I15" a="1"/>
  <c r="I15"/>
  <c r="L14" a="1"/>
  <c r="L14"/>
  <c r="K14" a="1"/>
  <c r="K14"/>
  <c r="J14" a="1"/>
  <c r="J14"/>
  <c r="I14" a="1"/>
  <c r="I14"/>
  <c r="L13" a="1"/>
  <c r="L13"/>
  <c r="K13" a="1"/>
  <c r="K13"/>
  <c r="J13" a="1"/>
  <c r="J13"/>
  <c r="I13" a="1"/>
  <c r="I13"/>
  <c r="L12" a="1"/>
  <c r="L12"/>
  <c r="K12" a="1"/>
  <c r="K12"/>
  <c r="J12" a="1"/>
  <c r="J12"/>
  <c r="I12" a="1"/>
  <c r="I12"/>
  <c r="L11" a="1"/>
  <c r="L11"/>
  <c r="K11" a="1"/>
  <c r="K11"/>
  <c r="J11" a="1"/>
  <c r="J11"/>
  <c r="I11" a="1"/>
  <c r="I11"/>
  <c r="L10" a="1"/>
  <c r="L10"/>
  <c r="K10" a="1"/>
  <c r="K10"/>
  <c r="J10" a="1"/>
  <c r="J10"/>
  <c r="I10" a="1"/>
  <c r="I10"/>
  <c r="L108" i="6" a="1"/>
  <c r="L108"/>
  <c r="K108" a="1"/>
  <c r="K108"/>
  <c r="J108" a="1"/>
  <c r="J108"/>
  <c r="I108" a="1"/>
  <c r="I108"/>
  <c r="L107" a="1"/>
  <c r="L107"/>
  <c r="K107" a="1"/>
  <c r="K107"/>
  <c r="J107" a="1"/>
  <c r="J107"/>
  <c r="I107" a="1"/>
  <c r="I107"/>
  <c r="L106" a="1"/>
  <c r="L106"/>
  <c r="K106" a="1"/>
  <c r="K106"/>
  <c r="J106" a="1"/>
  <c r="J106"/>
  <c r="I106" a="1"/>
  <c r="I106"/>
  <c r="L105" a="1"/>
  <c r="L105"/>
  <c r="K105" a="1"/>
  <c r="K105"/>
  <c r="J105" a="1"/>
  <c r="J105"/>
  <c r="I105" a="1"/>
  <c r="I105"/>
  <c r="L104" a="1"/>
  <c r="L104"/>
  <c r="K104" a="1"/>
  <c r="K104"/>
  <c r="J104" a="1"/>
  <c r="J104"/>
  <c r="I104" a="1"/>
  <c r="I104"/>
  <c r="L103" a="1"/>
  <c r="L103"/>
  <c r="K103" a="1"/>
  <c r="K103"/>
  <c r="J103" a="1"/>
  <c r="J103"/>
  <c r="I103" a="1"/>
  <c r="I103"/>
  <c r="L102" a="1"/>
  <c r="L102"/>
  <c r="K102" a="1"/>
  <c r="K102"/>
  <c r="J102" a="1"/>
  <c r="J102"/>
  <c r="I102" a="1"/>
  <c r="I102"/>
  <c r="L101" a="1"/>
  <c r="L101"/>
  <c r="K101" a="1"/>
  <c r="K101"/>
  <c r="J101" a="1"/>
  <c r="J101"/>
  <c r="I101" a="1"/>
  <c r="I101"/>
  <c r="L100" a="1"/>
  <c r="L100"/>
  <c r="K100" a="1"/>
  <c r="K100"/>
  <c r="J100" a="1"/>
  <c r="J100"/>
  <c r="I100" a="1"/>
  <c r="I100"/>
  <c r="L99" a="1"/>
  <c r="L99"/>
  <c r="K99" a="1"/>
  <c r="K99"/>
  <c r="J99" a="1"/>
  <c r="J99"/>
  <c r="I99" a="1"/>
  <c r="I99"/>
  <c r="L98" a="1"/>
  <c r="L98"/>
  <c r="K98" a="1"/>
  <c r="K98"/>
  <c r="J98" a="1"/>
  <c r="J98"/>
  <c r="I98" a="1"/>
  <c r="I98"/>
  <c r="L97" a="1"/>
  <c r="L97"/>
  <c r="K97" a="1"/>
  <c r="K97"/>
  <c r="J97" a="1"/>
  <c r="J97"/>
  <c r="I97" a="1"/>
  <c r="I97"/>
  <c r="L96" a="1"/>
  <c r="L96"/>
  <c r="K96" a="1"/>
  <c r="K96"/>
  <c r="J96" a="1"/>
  <c r="J96"/>
  <c r="I96" a="1"/>
  <c r="I96"/>
  <c r="L95" a="1"/>
  <c r="L95"/>
  <c r="K95" a="1"/>
  <c r="K95"/>
  <c r="J95" a="1"/>
  <c r="J95"/>
  <c r="I95" a="1"/>
  <c r="I95"/>
  <c r="L94" a="1"/>
  <c r="L94"/>
  <c r="K94" a="1"/>
  <c r="K94"/>
  <c r="J94" a="1"/>
  <c r="J94"/>
  <c r="I94" a="1"/>
  <c r="I94"/>
  <c r="L93" a="1"/>
  <c r="L93"/>
  <c r="K93" a="1"/>
  <c r="K93"/>
  <c r="J93" a="1"/>
  <c r="J93"/>
  <c r="I93" a="1"/>
  <c r="I93"/>
  <c r="L92" a="1"/>
  <c r="L92"/>
  <c r="K92" a="1"/>
  <c r="K92"/>
  <c r="J92" a="1"/>
  <c r="J92"/>
  <c r="I92" a="1"/>
  <c r="I92"/>
  <c r="L91" a="1"/>
  <c r="L91"/>
  <c r="K91" a="1"/>
  <c r="K91"/>
  <c r="J91" a="1"/>
  <c r="J91"/>
  <c r="I91" a="1"/>
  <c r="I91"/>
  <c r="L90" a="1"/>
  <c r="L90"/>
  <c r="K90" a="1"/>
  <c r="K90"/>
  <c r="J90" a="1"/>
  <c r="J90"/>
  <c r="I90" a="1"/>
  <c r="I90"/>
  <c r="L89" a="1"/>
  <c r="L89"/>
  <c r="K89" a="1"/>
  <c r="K89"/>
  <c r="J89" a="1"/>
  <c r="J89"/>
  <c r="I89" a="1"/>
  <c r="I89"/>
  <c r="L88" a="1"/>
  <c r="L88"/>
  <c r="K88" a="1"/>
  <c r="K88"/>
  <c r="J88" a="1"/>
  <c r="J88"/>
  <c r="I88" a="1"/>
  <c r="I88"/>
  <c r="L87" a="1"/>
  <c r="L87"/>
  <c r="K87" a="1"/>
  <c r="K87"/>
  <c r="J87" a="1"/>
  <c r="J87"/>
  <c r="I87" a="1"/>
  <c r="I87"/>
  <c r="L86" a="1"/>
  <c r="L86"/>
  <c r="K86" a="1"/>
  <c r="K86"/>
  <c r="J86" a="1"/>
  <c r="J86"/>
  <c r="I86" a="1"/>
  <c r="I86"/>
  <c r="L85" a="1"/>
  <c r="L85"/>
  <c r="K85" a="1"/>
  <c r="K85"/>
  <c r="J85" a="1"/>
  <c r="J85"/>
  <c r="I85" a="1"/>
  <c r="I85"/>
  <c r="L84" a="1"/>
  <c r="L84"/>
  <c r="K84" a="1"/>
  <c r="K84"/>
  <c r="J84" a="1"/>
  <c r="J84"/>
  <c r="I84" a="1"/>
  <c r="I84"/>
  <c r="L83" a="1"/>
  <c r="L83"/>
  <c r="K83" a="1"/>
  <c r="K83"/>
  <c r="J83" a="1"/>
  <c r="J83"/>
  <c r="I83" a="1"/>
  <c r="I83"/>
  <c r="L82" a="1"/>
  <c r="L82"/>
  <c r="K82" a="1"/>
  <c r="K82"/>
  <c r="J82" a="1"/>
  <c r="J82"/>
  <c r="I82" a="1"/>
  <c r="I82"/>
  <c r="L81" a="1"/>
  <c r="L81"/>
  <c r="K81" a="1"/>
  <c r="K81"/>
  <c r="J81" a="1"/>
  <c r="J81"/>
  <c r="I81" a="1"/>
  <c r="I81"/>
  <c r="L80" a="1"/>
  <c r="L80"/>
  <c r="K80" a="1"/>
  <c r="K80"/>
  <c r="J80" a="1"/>
  <c r="J80"/>
  <c r="I80" a="1"/>
  <c r="I80"/>
  <c r="L79" a="1"/>
  <c r="L79"/>
  <c r="K79" a="1"/>
  <c r="K79"/>
  <c r="J79" a="1"/>
  <c r="J79"/>
  <c r="I79" a="1"/>
  <c r="I79"/>
  <c r="L78" a="1"/>
  <c r="L78"/>
  <c r="K78" a="1"/>
  <c r="K78"/>
  <c r="J78" a="1"/>
  <c r="J78"/>
  <c r="I78" a="1"/>
  <c r="I78"/>
  <c r="L77" a="1"/>
  <c r="L77"/>
  <c r="K77" a="1"/>
  <c r="K77"/>
  <c r="J77" a="1"/>
  <c r="J77"/>
  <c r="I77" a="1"/>
  <c r="I77"/>
  <c r="L76" a="1"/>
  <c r="L76"/>
  <c r="K76" a="1"/>
  <c r="K76"/>
  <c r="J76" a="1"/>
  <c r="J76"/>
  <c r="I76" a="1"/>
  <c r="I76"/>
  <c r="L75" a="1"/>
  <c r="L75"/>
  <c r="K75" a="1"/>
  <c r="K75"/>
  <c r="J75" a="1"/>
  <c r="J75"/>
  <c r="I75" a="1"/>
  <c r="I75"/>
  <c r="L74" a="1"/>
  <c r="L74"/>
  <c r="K74" a="1"/>
  <c r="K74"/>
  <c r="J74" a="1"/>
  <c r="J74"/>
  <c r="I74" a="1"/>
  <c r="I74"/>
  <c r="L73" a="1"/>
  <c r="L73"/>
  <c r="K73" a="1"/>
  <c r="K73"/>
  <c r="J73" a="1"/>
  <c r="J73"/>
  <c r="I73" a="1"/>
  <c r="I73"/>
  <c r="L72" a="1"/>
  <c r="L72"/>
  <c r="K72" a="1"/>
  <c r="K72"/>
  <c r="J72" a="1"/>
  <c r="J72"/>
  <c r="I72" a="1"/>
  <c r="I72"/>
  <c r="L71" a="1"/>
  <c r="L71"/>
  <c r="K71" a="1"/>
  <c r="K71"/>
  <c r="J71" a="1"/>
  <c r="J71"/>
  <c r="I71" a="1"/>
  <c r="I71"/>
  <c r="L70" a="1"/>
  <c r="L70"/>
  <c r="K70" a="1"/>
  <c r="K70"/>
  <c r="J70" a="1"/>
  <c r="J70"/>
  <c r="I70" a="1"/>
  <c r="I70"/>
  <c r="L69" a="1"/>
  <c r="L69"/>
  <c r="K69" a="1"/>
  <c r="K69"/>
  <c r="J69" a="1"/>
  <c r="J69"/>
  <c r="I69" a="1"/>
  <c r="I69"/>
  <c r="L68" a="1"/>
  <c r="L68"/>
  <c r="K68" a="1"/>
  <c r="K68"/>
  <c r="J68" a="1"/>
  <c r="J68"/>
  <c r="I68" a="1"/>
  <c r="I68"/>
  <c r="L67" a="1"/>
  <c r="L67"/>
  <c r="K67" a="1"/>
  <c r="K67"/>
  <c r="J67" a="1"/>
  <c r="J67"/>
  <c r="I67" a="1"/>
  <c r="I67"/>
  <c r="L66" a="1"/>
  <c r="L66"/>
  <c r="K66" a="1"/>
  <c r="K66"/>
  <c r="J66" a="1"/>
  <c r="J66"/>
  <c r="I66" a="1"/>
  <c r="I66"/>
  <c r="L65" a="1"/>
  <c r="L65"/>
  <c r="K65" a="1"/>
  <c r="K65"/>
  <c r="J65" a="1"/>
  <c r="J65"/>
  <c r="I65" a="1"/>
  <c r="I65"/>
  <c r="L64" a="1"/>
  <c r="L64"/>
  <c r="K64" a="1"/>
  <c r="K64"/>
  <c r="J64" a="1"/>
  <c r="J64"/>
  <c r="I64" a="1"/>
  <c r="I64"/>
  <c r="L63" a="1"/>
  <c r="L63"/>
  <c r="K63" a="1"/>
  <c r="K63"/>
  <c r="J63" a="1"/>
  <c r="J63"/>
  <c r="I63" a="1"/>
  <c r="I63"/>
  <c r="L62" a="1"/>
  <c r="L62"/>
  <c r="K62" a="1"/>
  <c r="K62"/>
  <c r="J62" a="1"/>
  <c r="J62"/>
  <c r="I62" a="1"/>
  <c r="I62"/>
  <c r="L61" a="1"/>
  <c r="L61"/>
  <c r="K61" a="1"/>
  <c r="K61"/>
  <c r="J61" a="1"/>
  <c r="J61"/>
  <c r="I61" a="1"/>
  <c r="I61"/>
  <c r="L60" a="1"/>
  <c r="L60"/>
  <c r="K60" a="1"/>
  <c r="K60"/>
  <c r="J60" a="1"/>
  <c r="J60"/>
  <c r="I60" a="1"/>
  <c r="I60"/>
  <c r="L59" a="1"/>
  <c r="L59"/>
  <c r="K59" a="1"/>
  <c r="K59"/>
  <c r="J59" a="1"/>
  <c r="J59"/>
  <c r="I59" a="1"/>
  <c r="I59"/>
  <c r="L58" a="1"/>
  <c r="L58"/>
  <c r="K58" a="1"/>
  <c r="K58"/>
  <c r="J58" a="1"/>
  <c r="J58"/>
  <c r="I58" a="1"/>
  <c r="I58"/>
  <c r="L57" a="1"/>
  <c r="L57"/>
  <c r="K57" a="1"/>
  <c r="K57"/>
  <c r="J57" a="1"/>
  <c r="J57"/>
  <c r="I57" a="1"/>
  <c r="I57"/>
  <c r="L56" a="1"/>
  <c r="L56"/>
  <c r="K56" a="1"/>
  <c r="K56"/>
  <c r="J56" a="1"/>
  <c r="J56"/>
  <c r="I56" a="1"/>
  <c r="I56"/>
  <c r="L55" a="1"/>
  <c r="L55"/>
  <c r="K55" a="1"/>
  <c r="K55"/>
  <c r="J55" a="1"/>
  <c r="J55"/>
  <c r="I55" a="1"/>
  <c r="I55"/>
  <c r="L54" a="1"/>
  <c r="L54"/>
  <c r="K54" a="1"/>
  <c r="K54"/>
  <c r="J54" a="1"/>
  <c r="J54"/>
  <c r="I54" a="1"/>
  <c r="I54"/>
  <c r="L53" a="1"/>
  <c r="L53"/>
  <c r="K53" a="1"/>
  <c r="K53"/>
  <c r="J53" a="1"/>
  <c r="J53"/>
  <c r="I53" a="1"/>
  <c r="I53"/>
  <c r="L52" a="1"/>
  <c r="L52"/>
  <c r="K52" a="1"/>
  <c r="K52"/>
  <c r="J52" a="1"/>
  <c r="J52"/>
  <c r="I52" a="1"/>
  <c r="I52"/>
  <c r="L51" a="1"/>
  <c r="L51"/>
  <c r="K51" a="1"/>
  <c r="K51"/>
  <c r="J51" a="1"/>
  <c r="J51"/>
  <c r="I51" a="1"/>
  <c r="I51"/>
  <c r="L50" a="1"/>
  <c r="L50"/>
  <c r="K50" a="1"/>
  <c r="K50"/>
  <c r="J50" a="1"/>
  <c r="J50"/>
  <c r="I50" a="1"/>
  <c r="I50"/>
  <c r="L49" a="1"/>
  <c r="L49"/>
  <c r="K49" a="1"/>
  <c r="K49"/>
  <c r="J49" a="1"/>
  <c r="J49"/>
  <c r="I49" a="1"/>
  <c r="I49"/>
  <c r="L48" a="1"/>
  <c r="L48"/>
  <c r="K48" a="1"/>
  <c r="K48"/>
  <c r="J48" a="1"/>
  <c r="J48"/>
  <c r="I48" a="1"/>
  <c r="I48"/>
  <c r="L47" a="1"/>
  <c r="L47"/>
  <c r="K47" a="1"/>
  <c r="K47"/>
  <c r="J47" a="1"/>
  <c r="J47"/>
  <c r="I47" a="1"/>
  <c r="I47"/>
  <c r="L46" a="1"/>
  <c r="L46"/>
  <c r="K46" a="1"/>
  <c r="K46"/>
  <c r="J46" a="1"/>
  <c r="J46"/>
  <c r="I46" a="1"/>
  <c r="I46"/>
  <c r="L45" a="1"/>
  <c r="L45"/>
  <c r="K45" a="1"/>
  <c r="K45"/>
  <c r="J45" a="1"/>
  <c r="J45"/>
  <c r="I45" a="1"/>
  <c r="I45"/>
  <c r="L44" a="1"/>
  <c r="L44"/>
  <c r="K44" a="1"/>
  <c r="K44"/>
  <c r="J44" a="1"/>
  <c r="J44"/>
  <c r="I44" a="1"/>
  <c r="I44"/>
  <c r="L43" a="1"/>
  <c r="L43"/>
  <c r="K43" a="1"/>
  <c r="K43"/>
  <c r="J43" a="1"/>
  <c r="J43"/>
  <c r="I43" a="1"/>
  <c r="I43"/>
  <c r="L42" a="1"/>
  <c r="L42"/>
  <c r="K42" a="1"/>
  <c r="K42"/>
  <c r="J42" a="1"/>
  <c r="J42"/>
  <c r="I42" a="1"/>
  <c r="I42"/>
  <c r="L41" a="1"/>
  <c r="L41"/>
  <c r="K41" a="1"/>
  <c r="K41"/>
  <c r="J41" a="1"/>
  <c r="J41"/>
  <c r="I41" a="1"/>
  <c r="I41"/>
  <c r="L40" a="1"/>
  <c r="L40"/>
  <c r="K40" a="1"/>
  <c r="K40"/>
  <c r="J40" a="1"/>
  <c r="J40"/>
  <c r="I40" a="1"/>
  <c r="I40"/>
  <c r="L39" a="1"/>
  <c r="L39"/>
  <c r="K39" a="1"/>
  <c r="K39"/>
  <c r="J39" a="1"/>
  <c r="J39"/>
  <c r="I39" a="1"/>
  <c r="I39"/>
  <c r="L38" a="1"/>
  <c r="L38"/>
  <c r="K38" a="1"/>
  <c r="K38"/>
  <c r="J38" a="1"/>
  <c r="J38"/>
  <c r="I38" a="1"/>
  <c r="I38"/>
  <c r="L37" a="1"/>
  <c r="L37"/>
  <c r="K37" a="1"/>
  <c r="K37"/>
  <c r="J37" a="1"/>
  <c r="J37"/>
  <c r="I37" a="1"/>
  <c r="I37"/>
  <c r="L36" a="1"/>
  <c r="L36"/>
  <c r="K36" a="1"/>
  <c r="K36"/>
  <c r="J36" a="1"/>
  <c r="J36"/>
  <c r="I36" a="1"/>
  <c r="I36"/>
  <c r="L35" a="1"/>
  <c r="L35"/>
  <c r="K35" a="1"/>
  <c r="K35"/>
  <c r="J35" a="1"/>
  <c r="J35"/>
  <c r="I35" a="1"/>
  <c r="I35"/>
  <c r="L34" a="1"/>
  <c r="L34"/>
  <c r="K34" a="1"/>
  <c r="K34"/>
  <c r="J34" a="1"/>
  <c r="J34"/>
  <c r="I34" a="1"/>
  <c r="I34"/>
  <c r="L33" a="1"/>
  <c r="L33"/>
  <c r="K33" a="1"/>
  <c r="K33"/>
  <c r="J33" a="1"/>
  <c r="J33"/>
  <c r="I33" a="1"/>
  <c r="I33"/>
  <c r="L32" a="1"/>
  <c r="L32"/>
  <c r="K32" a="1"/>
  <c r="K32"/>
  <c r="J32" a="1"/>
  <c r="J32"/>
  <c r="I32" a="1"/>
  <c r="I32"/>
  <c r="L31" a="1"/>
  <c r="L31"/>
  <c r="K31" a="1"/>
  <c r="K31"/>
  <c r="J31" a="1"/>
  <c r="J31"/>
  <c r="I31" a="1"/>
  <c r="I31"/>
  <c r="L30" a="1"/>
  <c r="L30"/>
  <c r="K30" a="1"/>
  <c r="K30"/>
  <c r="J30" a="1"/>
  <c r="J30"/>
  <c r="I30" a="1"/>
  <c r="I30"/>
  <c r="L29" a="1"/>
  <c r="L29"/>
  <c r="K29" a="1"/>
  <c r="K29"/>
  <c r="J29" a="1"/>
  <c r="J29"/>
  <c r="I29" a="1"/>
  <c r="I29"/>
  <c r="L28" a="1"/>
  <c r="L28"/>
  <c r="K28" a="1"/>
  <c r="K28"/>
  <c r="J28" a="1"/>
  <c r="J28"/>
  <c r="I28" a="1"/>
  <c r="I28"/>
  <c r="L27" a="1"/>
  <c r="L27"/>
  <c r="K27" a="1"/>
  <c r="K27"/>
  <c r="J27" a="1"/>
  <c r="J27"/>
  <c r="I27" a="1"/>
  <c r="I27"/>
  <c r="L26" a="1"/>
  <c r="L26"/>
  <c r="K26" a="1"/>
  <c r="K26"/>
  <c r="J26" a="1"/>
  <c r="J26"/>
  <c r="I26" a="1"/>
  <c r="I26"/>
  <c r="L25" a="1"/>
  <c r="L25"/>
  <c r="K25" a="1"/>
  <c r="K25"/>
  <c r="J25" a="1"/>
  <c r="J25"/>
  <c r="I25" a="1"/>
  <c r="I25"/>
  <c r="L24" a="1"/>
  <c r="L24"/>
  <c r="K24" a="1"/>
  <c r="K24"/>
  <c r="J24" a="1"/>
  <c r="J24"/>
  <c r="I24" a="1"/>
  <c r="I24"/>
  <c r="L23" a="1"/>
  <c r="L23"/>
  <c r="K23" a="1"/>
  <c r="K23"/>
  <c r="J23" a="1"/>
  <c r="J23"/>
  <c r="I23" a="1"/>
  <c r="I23"/>
  <c r="L22" a="1"/>
  <c r="L22"/>
  <c r="K22" a="1"/>
  <c r="K22"/>
  <c r="J22" a="1"/>
  <c r="J22"/>
  <c r="I22" a="1"/>
  <c r="I22"/>
  <c r="L21" a="1"/>
  <c r="L21"/>
  <c r="K21" a="1"/>
  <c r="K21"/>
  <c r="J21" a="1"/>
  <c r="J21"/>
  <c r="I21" a="1"/>
  <c r="I21"/>
  <c r="L20" a="1"/>
  <c r="L20"/>
  <c r="K20" a="1"/>
  <c r="K20"/>
  <c r="J20" a="1"/>
  <c r="J20"/>
  <c r="I20" a="1"/>
  <c r="I20"/>
  <c r="L19" a="1"/>
  <c r="L19"/>
  <c r="K19" a="1"/>
  <c r="K19"/>
  <c r="J19" a="1"/>
  <c r="J19"/>
  <c r="I19" a="1"/>
  <c r="I19"/>
  <c r="L18" a="1"/>
  <c r="L18"/>
  <c r="K18" a="1"/>
  <c r="K18"/>
  <c r="J18" a="1"/>
  <c r="J18"/>
  <c r="I18" a="1"/>
  <c r="I18"/>
  <c r="L17" a="1"/>
  <c r="L17"/>
  <c r="K17" a="1"/>
  <c r="K17"/>
  <c r="J17" a="1"/>
  <c r="J17"/>
  <c r="I17" a="1"/>
  <c r="I17"/>
  <c r="L16" a="1"/>
  <c r="L16"/>
  <c r="K16" a="1"/>
  <c r="K16"/>
  <c r="J16" a="1"/>
  <c r="J16"/>
  <c r="I16" a="1"/>
  <c r="I16"/>
  <c r="L15" a="1"/>
  <c r="L15"/>
  <c r="K15" a="1"/>
  <c r="K15"/>
  <c r="J15" a="1"/>
  <c r="J15"/>
  <c r="I15" a="1"/>
  <c r="I15"/>
  <c r="L14" a="1"/>
  <c r="L14"/>
  <c r="K14" a="1"/>
  <c r="K14"/>
  <c r="J14" a="1"/>
  <c r="J14"/>
  <c r="I14" a="1"/>
  <c r="I14"/>
  <c r="L13" a="1"/>
  <c r="L13"/>
  <c r="K13" a="1"/>
  <c r="K13"/>
  <c r="J13" a="1"/>
  <c r="J13"/>
  <c r="I13" a="1"/>
  <c r="I13"/>
  <c r="L12" a="1"/>
  <c r="L12"/>
  <c r="K12" a="1"/>
  <c r="K12"/>
  <c r="J12" a="1"/>
  <c r="J12"/>
  <c r="I12" a="1"/>
  <c r="I12"/>
  <c r="L11" a="1"/>
  <c r="L11"/>
  <c r="K11" a="1"/>
  <c r="K11"/>
  <c r="J11" a="1"/>
  <c r="J11"/>
  <c r="I11" a="1"/>
  <c r="I11"/>
  <c r="L10" a="1"/>
  <c r="L10"/>
  <c r="K10" a="1"/>
  <c r="K10"/>
  <c r="J10" a="1"/>
  <c r="J10"/>
  <c r="I10" a="1"/>
  <c r="I10"/>
  <c r="L108" i="5" a="1"/>
  <c r="L108"/>
  <c r="K108" a="1"/>
  <c r="K108"/>
  <c r="J108" a="1"/>
  <c r="J108"/>
  <c r="I108" a="1"/>
  <c r="I108"/>
  <c r="L107" a="1"/>
  <c r="L107"/>
  <c r="K107" a="1"/>
  <c r="K107"/>
  <c r="J107" a="1"/>
  <c r="J107"/>
  <c r="I107" a="1"/>
  <c r="I107"/>
  <c r="L106" a="1"/>
  <c r="L106"/>
  <c r="K106" a="1"/>
  <c r="K106"/>
  <c r="J106" a="1"/>
  <c r="J106"/>
  <c r="I106" a="1"/>
  <c r="I106"/>
  <c r="L105" a="1"/>
  <c r="L105"/>
  <c r="K105" a="1"/>
  <c r="K105"/>
  <c r="J105" a="1"/>
  <c r="J105"/>
  <c r="I105" a="1"/>
  <c r="I105"/>
  <c r="L104" a="1"/>
  <c r="L104"/>
  <c r="K104" a="1"/>
  <c r="K104"/>
  <c r="J104" a="1"/>
  <c r="J104"/>
  <c r="I104" a="1"/>
  <c r="I104"/>
  <c r="L103" a="1"/>
  <c r="L103"/>
  <c r="K103" a="1"/>
  <c r="K103"/>
  <c r="J103" a="1"/>
  <c r="J103"/>
  <c r="I103" a="1"/>
  <c r="I103"/>
  <c r="L102" a="1"/>
  <c r="L102"/>
  <c r="K102" a="1"/>
  <c r="K102"/>
  <c r="J102" a="1"/>
  <c r="J102"/>
  <c r="I102" a="1"/>
  <c r="I102"/>
  <c r="L101" a="1"/>
  <c r="L101"/>
  <c r="K101" a="1"/>
  <c r="K101"/>
  <c r="K101" i="4" a="1"/>
  <c r="K101" s="1"/>
  <c r="J101" i="5" a="1"/>
  <c r="J101"/>
  <c r="I101" a="1"/>
  <c r="I101"/>
  <c r="L100" a="1"/>
  <c r="L100"/>
  <c r="K100" a="1"/>
  <c r="K100"/>
  <c r="J100" a="1"/>
  <c r="J100"/>
  <c r="I100" a="1"/>
  <c r="I100"/>
  <c r="L99" a="1"/>
  <c r="L99"/>
  <c r="K99" a="1"/>
  <c r="K99"/>
  <c r="J99" a="1"/>
  <c r="J99"/>
  <c r="I99" a="1"/>
  <c r="I99"/>
  <c r="I99" i="4" a="1"/>
  <c r="I99" s="1"/>
  <c r="L98" i="5" a="1"/>
  <c r="L98"/>
  <c r="K98" a="1"/>
  <c r="K98"/>
  <c r="J98" a="1"/>
  <c r="J98"/>
  <c r="I98" a="1"/>
  <c r="I98"/>
  <c r="L97" a="1"/>
  <c r="L97"/>
  <c r="K97" a="1"/>
  <c r="K97"/>
  <c r="J97" a="1"/>
  <c r="J97"/>
  <c r="I97" a="1"/>
  <c r="I97"/>
  <c r="I97" i="4" a="1"/>
  <c r="I97" s="1"/>
  <c r="L96" i="5" a="1"/>
  <c r="L96"/>
  <c r="K96" a="1"/>
  <c r="K96"/>
  <c r="J96" a="1"/>
  <c r="J96"/>
  <c r="I96" a="1"/>
  <c r="I96"/>
  <c r="L95" a="1"/>
  <c r="L95"/>
  <c r="K95" a="1"/>
  <c r="K95"/>
  <c r="K95" i="4" a="1"/>
  <c r="K95" s="1"/>
  <c r="J95" i="5" a="1"/>
  <c r="J95"/>
  <c r="I95" a="1"/>
  <c r="I95"/>
  <c r="L94" a="1"/>
  <c r="L94"/>
  <c r="K94" a="1"/>
  <c r="K94"/>
  <c r="J94" a="1"/>
  <c r="J94"/>
  <c r="I94" a="1"/>
  <c r="I94"/>
  <c r="L93" a="1"/>
  <c r="L93"/>
  <c r="K93" a="1"/>
  <c r="K93"/>
  <c r="K93" i="4" a="1"/>
  <c r="K93" s="1"/>
  <c r="J93" i="5" a="1"/>
  <c r="J93"/>
  <c r="I93" a="1"/>
  <c r="I93"/>
  <c r="L92" a="1"/>
  <c r="L92"/>
  <c r="K92" a="1"/>
  <c r="K92"/>
  <c r="J92" a="1"/>
  <c r="J92"/>
  <c r="I92" a="1"/>
  <c r="I92"/>
  <c r="L91" a="1"/>
  <c r="L91"/>
  <c r="K91" a="1"/>
  <c r="K91"/>
  <c r="J91" a="1"/>
  <c r="J91"/>
  <c r="I91" a="1"/>
  <c r="I91"/>
  <c r="L90" a="1"/>
  <c r="L90"/>
  <c r="K90" a="1"/>
  <c r="K90"/>
  <c r="J90" a="1"/>
  <c r="J90"/>
  <c r="I90" a="1"/>
  <c r="I90"/>
  <c r="I90" i="4" a="1"/>
  <c r="I90" s="1"/>
  <c r="L89" i="5" a="1"/>
  <c r="L89"/>
  <c r="K89" a="1"/>
  <c r="K89"/>
  <c r="K89" i="4" a="1"/>
  <c r="K89" s="1"/>
  <c r="J89" i="5" a="1"/>
  <c r="J89"/>
  <c r="I89" a="1"/>
  <c r="I89"/>
  <c r="I89" i="4" a="1"/>
  <c r="I89" s="1"/>
  <c r="L88" i="5" a="1"/>
  <c r="L88"/>
  <c r="K88" a="1"/>
  <c r="K88"/>
  <c r="J88" a="1"/>
  <c r="J88"/>
  <c r="I88" a="1"/>
  <c r="I88"/>
  <c r="I88" i="4" a="1"/>
  <c r="I88" s="1"/>
  <c r="L87" i="5" a="1"/>
  <c r="L87"/>
  <c r="K87" a="1"/>
  <c r="K87"/>
  <c r="J87" a="1"/>
  <c r="J87"/>
  <c r="I87" a="1"/>
  <c r="I87"/>
  <c r="L86" a="1"/>
  <c r="L86"/>
  <c r="K86" a="1"/>
  <c r="K86"/>
  <c r="J86" a="1"/>
  <c r="J86"/>
  <c r="I86" a="1"/>
  <c r="I86"/>
  <c r="L85" a="1"/>
  <c r="L85"/>
  <c r="K85" a="1"/>
  <c r="K85"/>
  <c r="J85" a="1"/>
  <c r="J85"/>
  <c r="I85" a="1"/>
  <c r="I85"/>
  <c r="I85" i="4" a="1"/>
  <c r="I85" s="1"/>
  <c r="L84" i="5" a="1"/>
  <c r="L84"/>
  <c r="K84" a="1"/>
  <c r="K84"/>
  <c r="J84" a="1"/>
  <c r="J84"/>
  <c r="I84" a="1"/>
  <c r="I84"/>
  <c r="L83" a="1"/>
  <c r="L83"/>
  <c r="K83" a="1"/>
  <c r="K83"/>
  <c r="K83" i="4" a="1"/>
  <c r="K83" s="1"/>
  <c r="J83" i="5" a="1"/>
  <c r="J83"/>
  <c r="I83" a="1"/>
  <c r="I83"/>
  <c r="L82" a="1"/>
  <c r="L82"/>
  <c r="K82" a="1"/>
  <c r="K82"/>
  <c r="J82" a="1"/>
  <c r="J82"/>
  <c r="I82" a="1"/>
  <c r="I82"/>
  <c r="L81" a="1"/>
  <c r="L81"/>
  <c r="K81" a="1"/>
  <c r="K81"/>
  <c r="J81" a="1"/>
  <c r="J81"/>
  <c r="I81" a="1"/>
  <c r="I81"/>
  <c r="I81" i="4" a="1"/>
  <c r="I81" s="1"/>
  <c r="L80" i="5" a="1"/>
  <c r="L80"/>
  <c r="K80" a="1"/>
  <c r="K80"/>
  <c r="J80" a="1"/>
  <c r="J80"/>
  <c r="I80" a="1"/>
  <c r="I80"/>
  <c r="L79" a="1"/>
  <c r="L79"/>
  <c r="K79" a="1"/>
  <c r="K79"/>
  <c r="J79" a="1"/>
  <c r="J79"/>
  <c r="I79" a="1"/>
  <c r="I79"/>
  <c r="L78" a="1"/>
  <c r="L78"/>
  <c r="K78" a="1"/>
  <c r="K78"/>
  <c r="J78" a="1"/>
  <c r="J78"/>
  <c r="I78" a="1"/>
  <c r="I78"/>
  <c r="L77" a="1"/>
  <c r="L77"/>
  <c r="K77" a="1"/>
  <c r="K77"/>
  <c r="K77" i="4" a="1"/>
  <c r="K77" s="1"/>
  <c r="J77" i="5" a="1"/>
  <c r="J77"/>
  <c r="I77" a="1"/>
  <c r="I77"/>
  <c r="L76" a="1"/>
  <c r="L76"/>
  <c r="K76" a="1"/>
  <c r="K76"/>
  <c r="J76" a="1"/>
  <c r="J76"/>
  <c r="I76" a="1"/>
  <c r="I76"/>
  <c r="L75" a="1"/>
  <c r="L75"/>
  <c r="K75" a="1"/>
  <c r="K75"/>
  <c r="J75" a="1"/>
  <c r="J75"/>
  <c r="I75" a="1"/>
  <c r="I75"/>
  <c r="L74" a="1"/>
  <c r="L74"/>
  <c r="K74" a="1"/>
  <c r="K74"/>
  <c r="J74" a="1"/>
  <c r="J74"/>
  <c r="I74" a="1"/>
  <c r="I74"/>
  <c r="L73" a="1"/>
  <c r="L73"/>
  <c r="K73" a="1"/>
  <c r="K73"/>
  <c r="J73" a="1"/>
  <c r="J73"/>
  <c r="I73" a="1"/>
  <c r="I73"/>
  <c r="L72" a="1"/>
  <c r="L72"/>
  <c r="K72" a="1"/>
  <c r="K72"/>
  <c r="J72" a="1"/>
  <c r="J72"/>
  <c r="I72" a="1"/>
  <c r="I72"/>
  <c r="L71" a="1"/>
  <c r="L71"/>
  <c r="K71" a="1"/>
  <c r="K71"/>
  <c r="K71" i="4" a="1"/>
  <c r="K71" s="1"/>
  <c r="J71" i="5" a="1"/>
  <c r="J71"/>
  <c r="I71" a="1"/>
  <c r="I71"/>
  <c r="L70" a="1"/>
  <c r="L70"/>
  <c r="K70" a="1"/>
  <c r="K70"/>
  <c r="J70" a="1"/>
  <c r="J70"/>
  <c r="I70" a="1"/>
  <c r="I70"/>
  <c r="L69" a="1"/>
  <c r="L69"/>
  <c r="K69" a="1"/>
  <c r="K69"/>
  <c r="J69" a="1"/>
  <c r="J69"/>
  <c r="I69" a="1"/>
  <c r="I69"/>
  <c r="L68" a="1"/>
  <c r="L68"/>
  <c r="K68" a="1"/>
  <c r="K68"/>
  <c r="J68" a="1"/>
  <c r="J68"/>
  <c r="I68" a="1"/>
  <c r="I68"/>
  <c r="L67" a="1"/>
  <c r="L67"/>
  <c r="K67" a="1"/>
  <c r="K67"/>
  <c r="J67" a="1"/>
  <c r="J67"/>
  <c r="I67" a="1"/>
  <c r="I67"/>
  <c r="L66" a="1"/>
  <c r="L66"/>
  <c r="K66" a="1"/>
  <c r="K66"/>
  <c r="J66" a="1"/>
  <c r="J66"/>
  <c r="I66" a="1"/>
  <c r="I66"/>
  <c r="L65" a="1"/>
  <c r="L65"/>
  <c r="K65" a="1"/>
  <c r="K65"/>
  <c r="K65" i="4" a="1"/>
  <c r="K65" s="1"/>
  <c r="J65" i="5" a="1"/>
  <c r="J65"/>
  <c r="I65" a="1"/>
  <c r="I65"/>
  <c r="I65" i="4" a="1"/>
  <c r="I65" s="1"/>
  <c r="L64" i="5" a="1"/>
  <c r="L64"/>
  <c r="K64" a="1"/>
  <c r="K64"/>
  <c r="J64" a="1"/>
  <c r="J64"/>
  <c r="I64" a="1"/>
  <c r="I64"/>
  <c r="L63" a="1"/>
  <c r="L63"/>
  <c r="K63" a="1"/>
  <c r="K63"/>
  <c r="K63" i="4" a="1"/>
  <c r="K63" s="1"/>
  <c r="J63" i="5" a="1"/>
  <c r="J63"/>
  <c r="I63" a="1"/>
  <c r="I63"/>
  <c r="L62" a="1"/>
  <c r="L62"/>
  <c r="K62" a="1"/>
  <c r="K62"/>
  <c r="J62" a="1"/>
  <c r="J62"/>
  <c r="I62" a="1"/>
  <c r="I62"/>
  <c r="L61" a="1"/>
  <c r="L61"/>
  <c r="K61" a="1"/>
  <c r="K61"/>
  <c r="J61" a="1"/>
  <c r="J61"/>
  <c r="I61" a="1"/>
  <c r="I61"/>
  <c r="I61" i="4" a="1"/>
  <c r="I61" s="1"/>
  <c r="L60" i="5" a="1"/>
  <c r="L60"/>
  <c r="K60" a="1"/>
  <c r="K60"/>
  <c r="J60" a="1"/>
  <c r="J60"/>
  <c r="I60" a="1"/>
  <c r="I60"/>
  <c r="I60" i="4" a="1"/>
  <c r="I60" s="1"/>
  <c r="L59" i="5" a="1"/>
  <c r="L59"/>
  <c r="K59" a="1"/>
  <c r="K59"/>
  <c r="J59" a="1"/>
  <c r="J59"/>
  <c r="I59" a="1"/>
  <c r="I59"/>
  <c r="L58" a="1"/>
  <c r="L58"/>
  <c r="K58" a="1"/>
  <c r="K58"/>
  <c r="J58" a="1"/>
  <c r="J58"/>
  <c r="I58" a="1"/>
  <c r="I58"/>
  <c r="L57" a="1"/>
  <c r="L57"/>
  <c r="K57" a="1"/>
  <c r="K57"/>
  <c r="J57" a="1"/>
  <c r="J57"/>
  <c r="I57" a="1"/>
  <c r="I57"/>
  <c r="L56" a="1"/>
  <c r="L56"/>
  <c r="K56" a="1"/>
  <c r="K56"/>
  <c r="J56" a="1"/>
  <c r="J56"/>
  <c r="I56" a="1"/>
  <c r="I56"/>
  <c r="L55" a="1"/>
  <c r="L55"/>
  <c r="K55" a="1"/>
  <c r="K55"/>
  <c r="K55" i="4" a="1"/>
  <c r="K55" s="1"/>
  <c r="J55" i="5" a="1"/>
  <c r="J55"/>
  <c r="I55" a="1"/>
  <c r="I55"/>
  <c r="L54" a="1"/>
  <c r="L54"/>
  <c r="K54" a="1"/>
  <c r="K54"/>
  <c r="J54" a="1"/>
  <c r="J54"/>
  <c r="I54" a="1"/>
  <c r="I54"/>
  <c r="I54" i="4" a="1"/>
  <c r="I54" s="1"/>
  <c r="L53" i="5" a="1"/>
  <c r="L53"/>
  <c r="K53" a="1"/>
  <c r="K53"/>
  <c r="J53" a="1"/>
  <c r="J53"/>
  <c r="I53" a="1"/>
  <c r="I53"/>
  <c r="L52" a="1"/>
  <c r="L52"/>
  <c r="K52" a="1"/>
  <c r="K52"/>
  <c r="J52" a="1"/>
  <c r="J52"/>
  <c r="I52" a="1"/>
  <c r="I52"/>
  <c r="L51" a="1"/>
  <c r="L51"/>
  <c r="K51" a="1"/>
  <c r="K51"/>
  <c r="J51" a="1"/>
  <c r="J51"/>
  <c r="I51" a="1"/>
  <c r="I51"/>
  <c r="L50" a="1"/>
  <c r="L50"/>
  <c r="K50" a="1"/>
  <c r="K50"/>
  <c r="J50" a="1"/>
  <c r="J50"/>
  <c r="I50" a="1"/>
  <c r="I50"/>
  <c r="L49" a="1"/>
  <c r="L49"/>
  <c r="K49" a="1"/>
  <c r="K49"/>
  <c r="J49" a="1"/>
  <c r="J49"/>
  <c r="I49" a="1"/>
  <c r="I49"/>
  <c r="L48" a="1"/>
  <c r="L48"/>
  <c r="K48" a="1"/>
  <c r="K48"/>
  <c r="J48" a="1"/>
  <c r="J48"/>
  <c r="I48" a="1"/>
  <c r="I48"/>
  <c r="L47" a="1"/>
  <c r="L47"/>
  <c r="K47" a="1"/>
  <c r="K47"/>
  <c r="J47" a="1"/>
  <c r="J47"/>
  <c r="I47" a="1"/>
  <c r="I47"/>
  <c r="L46" a="1"/>
  <c r="L46"/>
  <c r="K46" a="1"/>
  <c r="K46"/>
  <c r="J46" a="1"/>
  <c r="J46"/>
  <c r="I46" a="1"/>
  <c r="I46"/>
  <c r="L45" a="1"/>
  <c r="L45"/>
  <c r="K45" a="1"/>
  <c r="K45"/>
  <c r="J45" a="1"/>
  <c r="J45"/>
  <c r="I45" a="1"/>
  <c r="I45"/>
  <c r="L44" a="1"/>
  <c r="L44"/>
  <c r="K44" a="1"/>
  <c r="K44"/>
  <c r="J44" a="1"/>
  <c r="J44"/>
  <c r="I44" a="1"/>
  <c r="I44"/>
  <c r="L43" a="1"/>
  <c r="L43"/>
  <c r="K43" a="1"/>
  <c r="K43"/>
  <c r="J43" a="1"/>
  <c r="J43"/>
  <c r="I43" a="1"/>
  <c r="I43"/>
  <c r="L42" a="1"/>
  <c r="L42"/>
  <c r="K42" a="1"/>
  <c r="K42"/>
  <c r="J42" a="1"/>
  <c r="J42"/>
  <c r="I42" a="1"/>
  <c r="I42"/>
  <c r="L41" a="1"/>
  <c r="L41"/>
  <c r="K41" a="1"/>
  <c r="K41"/>
  <c r="J41" a="1"/>
  <c r="J41"/>
  <c r="I41" a="1"/>
  <c r="I41"/>
  <c r="L40" a="1"/>
  <c r="L40"/>
  <c r="K40" a="1"/>
  <c r="K40"/>
  <c r="J40" a="1"/>
  <c r="J40"/>
  <c r="I40" a="1"/>
  <c r="I40"/>
  <c r="L39" a="1"/>
  <c r="L39"/>
  <c r="K39" a="1"/>
  <c r="K39"/>
  <c r="J39" a="1"/>
  <c r="J39"/>
  <c r="I39" a="1"/>
  <c r="I39"/>
  <c r="L38" a="1"/>
  <c r="L38"/>
  <c r="K38" a="1"/>
  <c r="K38"/>
  <c r="J38" a="1"/>
  <c r="J38"/>
  <c r="I38" a="1"/>
  <c r="I38"/>
  <c r="L37" a="1"/>
  <c r="L37"/>
  <c r="K37" a="1"/>
  <c r="K37"/>
  <c r="J37" a="1"/>
  <c r="J37"/>
  <c r="I37" a="1"/>
  <c r="I37"/>
  <c r="L36" a="1"/>
  <c r="L36"/>
  <c r="K36" a="1"/>
  <c r="K36"/>
  <c r="J36" a="1"/>
  <c r="J36"/>
  <c r="I36" a="1"/>
  <c r="I36"/>
  <c r="L35" a="1"/>
  <c r="L35"/>
  <c r="K35" a="1"/>
  <c r="K35"/>
  <c r="J35" a="1"/>
  <c r="J35"/>
  <c r="I35" a="1"/>
  <c r="I35"/>
  <c r="L34" a="1"/>
  <c r="L34"/>
  <c r="K34" a="1"/>
  <c r="K34"/>
  <c r="J34" a="1"/>
  <c r="J34"/>
  <c r="I34" a="1"/>
  <c r="I34"/>
  <c r="L33" a="1"/>
  <c r="L33"/>
  <c r="K33" a="1"/>
  <c r="K33"/>
  <c r="J33" a="1"/>
  <c r="J33"/>
  <c r="I33" a="1"/>
  <c r="I33"/>
  <c r="L32" a="1"/>
  <c r="L32"/>
  <c r="K32" a="1"/>
  <c r="K32"/>
  <c r="J32" a="1"/>
  <c r="J32"/>
  <c r="I32" a="1"/>
  <c r="I32"/>
  <c r="L31" a="1"/>
  <c r="L31"/>
  <c r="K31" a="1"/>
  <c r="K31"/>
  <c r="J31" a="1"/>
  <c r="J31"/>
  <c r="I31" a="1"/>
  <c r="I31"/>
  <c r="L30" a="1"/>
  <c r="L30"/>
  <c r="K30" a="1"/>
  <c r="K30"/>
  <c r="J30" a="1"/>
  <c r="J30"/>
  <c r="I30" a="1"/>
  <c r="I30"/>
  <c r="L29" a="1"/>
  <c r="L29"/>
  <c r="K29" a="1"/>
  <c r="K29"/>
  <c r="J29" a="1"/>
  <c r="J29"/>
  <c r="I29" a="1"/>
  <c r="I29"/>
  <c r="L28" a="1"/>
  <c r="L28"/>
  <c r="K28" a="1"/>
  <c r="K28"/>
  <c r="J28" a="1"/>
  <c r="J28"/>
  <c r="I28" a="1"/>
  <c r="I28"/>
  <c r="L27" a="1"/>
  <c r="L27"/>
  <c r="K27" a="1"/>
  <c r="K27"/>
  <c r="J27" a="1"/>
  <c r="J27"/>
  <c r="I27" a="1"/>
  <c r="I27"/>
  <c r="L26" a="1"/>
  <c r="L26"/>
  <c r="K26" a="1"/>
  <c r="K26"/>
  <c r="J26" a="1"/>
  <c r="J26"/>
  <c r="I26" a="1"/>
  <c r="I26"/>
  <c r="L25" a="1"/>
  <c r="L25"/>
  <c r="K25" a="1"/>
  <c r="K25"/>
  <c r="J25" a="1"/>
  <c r="J25"/>
  <c r="I25" a="1"/>
  <c r="I25"/>
  <c r="L24" a="1"/>
  <c r="L24"/>
  <c r="K24" a="1"/>
  <c r="K24"/>
  <c r="J24" a="1"/>
  <c r="J24"/>
  <c r="I24" a="1"/>
  <c r="I24"/>
  <c r="L23" a="1"/>
  <c r="L23"/>
  <c r="K23" a="1"/>
  <c r="K23"/>
  <c r="J23" a="1"/>
  <c r="J23"/>
  <c r="I23" a="1"/>
  <c r="I23"/>
  <c r="L22" a="1"/>
  <c r="L22"/>
  <c r="K22" a="1"/>
  <c r="K22"/>
  <c r="J22" a="1"/>
  <c r="J22"/>
  <c r="I22" a="1"/>
  <c r="I22"/>
  <c r="L21" a="1"/>
  <c r="L21"/>
  <c r="K21" a="1"/>
  <c r="K21"/>
  <c r="J21" a="1"/>
  <c r="J21"/>
  <c r="I21" a="1"/>
  <c r="I21"/>
  <c r="L20" a="1"/>
  <c r="L20"/>
  <c r="K20" a="1"/>
  <c r="K20"/>
  <c r="J20" a="1"/>
  <c r="J20"/>
  <c r="I20" a="1"/>
  <c r="I20"/>
  <c r="L19" a="1"/>
  <c r="L19"/>
  <c r="K19" a="1"/>
  <c r="K19"/>
  <c r="J19" a="1"/>
  <c r="J19"/>
  <c r="I19" a="1"/>
  <c r="I19"/>
  <c r="L18" a="1"/>
  <c r="L18"/>
  <c r="K18" a="1"/>
  <c r="K18"/>
  <c r="J18" a="1"/>
  <c r="J18"/>
  <c r="I18" a="1"/>
  <c r="I18"/>
  <c r="L17" a="1"/>
  <c r="L17"/>
  <c r="K17" a="1"/>
  <c r="K17"/>
  <c r="J17" a="1"/>
  <c r="J17"/>
  <c r="I17" a="1"/>
  <c r="I17"/>
  <c r="L16" a="1"/>
  <c r="L16"/>
  <c r="K16" a="1"/>
  <c r="K16"/>
  <c r="J16" a="1"/>
  <c r="J16"/>
  <c r="I16" a="1"/>
  <c r="I16"/>
  <c r="L15" a="1"/>
  <c r="L15"/>
  <c r="K15" a="1"/>
  <c r="K15"/>
  <c r="J15" a="1"/>
  <c r="J15"/>
  <c r="I15" a="1"/>
  <c r="I15"/>
  <c r="L14" a="1"/>
  <c r="L14"/>
  <c r="K14" a="1"/>
  <c r="K14"/>
  <c r="J14" a="1"/>
  <c r="J14"/>
  <c r="I14" a="1"/>
  <c r="I14"/>
  <c r="L13" a="1"/>
  <c r="L13"/>
  <c r="K13" a="1"/>
  <c r="K13"/>
  <c r="J13" a="1"/>
  <c r="J13"/>
  <c r="I13" a="1"/>
  <c r="I13"/>
  <c r="L12" a="1"/>
  <c r="L12"/>
  <c r="K12" a="1"/>
  <c r="K12"/>
  <c r="J12" a="1"/>
  <c r="J12"/>
  <c r="I12" a="1"/>
  <c r="I12"/>
  <c r="L11" a="1"/>
  <c r="L11"/>
  <c r="K11" a="1"/>
  <c r="K11"/>
  <c r="J11" a="1"/>
  <c r="J11"/>
  <c r="I11" a="1"/>
  <c r="I11"/>
  <c r="L10" a="1"/>
  <c r="L10"/>
  <c r="K10" a="1"/>
  <c r="K10"/>
  <c r="J10" a="1"/>
  <c r="J10"/>
  <c r="I10" a="1"/>
  <c r="I10"/>
  <c r="L108" i="4" a="1"/>
  <c r="L108" s="1"/>
  <c r="K108" a="1"/>
  <c r="K108" s="1"/>
  <c r="J108" a="1"/>
  <c r="J108" s="1"/>
  <c r="L107" a="1"/>
  <c r="L107" s="1"/>
  <c r="K107" a="1"/>
  <c r="K107" s="1"/>
  <c r="J107" a="1"/>
  <c r="J107" s="1"/>
  <c r="L106" a="1"/>
  <c r="L106" s="1"/>
  <c r="K106" a="1"/>
  <c r="K106" s="1"/>
  <c r="J106" a="1"/>
  <c r="J106" s="1"/>
  <c r="L105" a="1"/>
  <c r="L105" s="1"/>
  <c r="K105" a="1"/>
  <c r="K105" s="1"/>
  <c r="C97" i="3" s="1"/>
  <c r="J105" i="4" a="1"/>
  <c r="J105" s="1"/>
  <c r="L104" a="1"/>
  <c r="L104" s="1"/>
  <c r="K104" a="1"/>
  <c r="K104" s="1"/>
  <c r="J104" a="1"/>
  <c r="J104" s="1"/>
  <c r="F96" i="3" s="1"/>
  <c r="L103" i="4" a="1"/>
  <c r="L103" s="1"/>
  <c r="K103" a="1"/>
  <c r="K103" s="1"/>
  <c r="J103" a="1"/>
  <c r="J103" s="1"/>
  <c r="L102" a="1"/>
  <c r="L102" s="1"/>
  <c r="K102" a="1"/>
  <c r="K102" s="1"/>
  <c r="J102" a="1"/>
  <c r="J102" s="1"/>
  <c r="L101" a="1"/>
  <c r="L101" s="1"/>
  <c r="J101" a="1"/>
  <c r="J101" s="1"/>
  <c r="L100" a="1"/>
  <c r="L100" s="1"/>
  <c r="K100" a="1"/>
  <c r="K100" s="1"/>
  <c r="J100" a="1"/>
  <c r="J100" s="1"/>
  <c r="L99" a="1"/>
  <c r="L99" s="1"/>
  <c r="K99" a="1"/>
  <c r="K99" s="1"/>
  <c r="J99" a="1"/>
  <c r="J99" s="1"/>
  <c r="L98" a="1"/>
  <c r="L98" s="1"/>
  <c r="K98" a="1"/>
  <c r="K98" s="1"/>
  <c r="J98" a="1"/>
  <c r="J98" s="1"/>
  <c r="L97" a="1"/>
  <c r="L97" s="1"/>
  <c r="K97" a="1"/>
  <c r="K97" s="1"/>
  <c r="J97" a="1"/>
  <c r="J97" s="1"/>
  <c r="L96" a="1"/>
  <c r="L96" s="1"/>
  <c r="K96" a="1"/>
  <c r="K96" s="1"/>
  <c r="J96" a="1"/>
  <c r="J96" s="1"/>
  <c r="L95" a="1"/>
  <c r="L95" s="1"/>
  <c r="J95" a="1"/>
  <c r="J95" s="1"/>
  <c r="L94" a="1"/>
  <c r="L94" s="1"/>
  <c r="K94" a="1"/>
  <c r="K94" s="1"/>
  <c r="J94" a="1"/>
  <c r="J94" s="1"/>
  <c r="L93" a="1"/>
  <c r="L93" s="1"/>
  <c r="J93" a="1"/>
  <c r="J93" s="1"/>
  <c r="L92" a="1"/>
  <c r="L92" s="1"/>
  <c r="K92" a="1"/>
  <c r="K92" s="1"/>
  <c r="J92" a="1"/>
  <c r="J92" s="1"/>
  <c r="L91" a="1"/>
  <c r="L91" s="1"/>
  <c r="K91" a="1"/>
  <c r="K91" s="1"/>
  <c r="J91" a="1"/>
  <c r="J91" s="1"/>
  <c r="L90" a="1"/>
  <c r="L90" s="1"/>
  <c r="K90" a="1"/>
  <c r="K90" s="1"/>
  <c r="J90" a="1"/>
  <c r="J90" s="1"/>
  <c r="L89" a="1"/>
  <c r="L89" s="1"/>
  <c r="J89" a="1"/>
  <c r="J89" s="1"/>
  <c r="L88" a="1"/>
  <c r="L88" s="1"/>
  <c r="K88" a="1"/>
  <c r="K88" s="1"/>
  <c r="J88" a="1"/>
  <c r="J88" s="1"/>
  <c r="L87" a="1"/>
  <c r="L87" s="1"/>
  <c r="K87" a="1"/>
  <c r="K87" s="1"/>
  <c r="J87" a="1"/>
  <c r="J87" s="1"/>
  <c r="L86" a="1"/>
  <c r="L86" s="1"/>
  <c r="K86" a="1"/>
  <c r="K86" s="1"/>
  <c r="J86" a="1"/>
  <c r="J86" s="1"/>
  <c r="L85" a="1"/>
  <c r="L85" s="1"/>
  <c r="K85" a="1"/>
  <c r="K85" s="1"/>
  <c r="J85" a="1"/>
  <c r="J85" s="1"/>
  <c r="L84" a="1"/>
  <c r="L84" s="1"/>
  <c r="K84" a="1"/>
  <c r="K84" s="1"/>
  <c r="J84" a="1"/>
  <c r="J84" s="1"/>
  <c r="L83" a="1"/>
  <c r="L83" s="1"/>
  <c r="J83" a="1"/>
  <c r="J83" s="1"/>
  <c r="L82" a="1"/>
  <c r="L82" s="1"/>
  <c r="K82" a="1"/>
  <c r="K82" s="1"/>
  <c r="J82" a="1"/>
  <c r="J82" s="1"/>
  <c r="L81" a="1"/>
  <c r="L81" s="1"/>
  <c r="K81" a="1"/>
  <c r="K81" s="1"/>
  <c r="J81" a="1"/>
  <c r="J81" s="1"/>
  <c r="L80" a="1"/>
  <c r="L80" s="1"/>
  <c r="K80" a="1"/>
  <c r="K80" s="1"/>
  <c r="J80" a="1"/>
  <c r="J80" s="1"/>
  <c r="L79" a="1"/>
  <c r="L79" s="1"/>
  <c r="K79" a="1"/>
  <c r="K79" s="1"/>
  <c r="J79" a="1"/>
  <c r="J79" s="1"/>
  <c r="L78" a="1"/>
  <c r="L78" s="1"/>
  <c r="K78" a="1"/>
  <c r="K78" s="1"/>
  <c r="J78" a="1"/>
  <c r="J78" s="1"/>
  <c r="L77" a="1"/>
  <c r="L77" s="1"/>
  <c r="J77" a="1"/>
  <c r="J77" s="1"/>
  <c r="L76" a="1"/>
  <c r="L76" s="1"/>
  <c r="K76" a="1"/>
  <c r="K76" s="1"/>
  <c r="J76" a="1"/>
  <c r="J76" s="1"/>
  <c r="L75" a="1"/>
  <c r="L75" s="1"/>
  <c r="K75" a="1"/>
  <c r="K75" s="1"/>
  <c r="J75" a="1"/>
  <c r="J75" s="1"/>
  <c r="L74" a="1"/>
  <c r="L74" s="1"/>
  <c r="K74" a="1"/>
  <c r="K74" s="1"/>
  <c r="J74" a="1"/>
  <c r="J74" s="1"/>
  <c r="L73" a="1"/>
  <c r="L73" s="1"/>
  <c r="K73" a="1"/>
  <c r="K73" s="1"/>
  <c r="J73" a="1"/>
  <c r="J73" s="1"/>
  <c r="L72" a="1"/>
  <c r="L72" s="1"/>
  <c r="K72" a="1"/>
  <c r="K72" s="1"/>
  <c r="J72" a="1"/>
  <c r="J72" s="1"/>
  <c r="L71" a="1"/>
  <c r="L71" s="1"/>
  <c r="J71" a="1"/>
  <c r="J71" s="1"/>
  <c r="L70" a="1"/>
  <c r="L70" s="1"/>
  <c r="K70" a="1"/>
  <c r="K70" s="1"/>
  <c r="J70" a="1"/>
  <c r="J70" s="1"/>
  <c r="L69" a="1"/>
  <c r="L69" s="1"/>
  <c r="K69" a="1"/>
  <c r="K69" s="1"/>
  <c r="J69" a="1"/>
  <c r="J69" s="1"/>
  <c r="L68" a="1"/>
  <c r="L68" s="1"/>
  <c r="K68" a="1"/>
  <c r="K68" s="1"/>
  <c r="J68" a="1"/>
  <c r="J68" s="1"/>
  <c r="L67" a="1"/>
  <c r="L67" s="1"/>
  <c r="K67" a="1"/>
  <c r="K67" s="1"/>
  <c r="J67" a="1"/>
  <c r="J67" s="1"/>
  <c r="L66" a="1"/>
  <c r="L66" s="1"/>
  <c r="K66" a="1"/>
  <c r="K66" s="1"/>
  <c r="J66" a="1"/>
  <c r="J66" s="1"/>
  <c r="L65" a="1"/>
  <c r="L65" s="1"/>
  <c r="J65" a="1"/>
  <c r="J65" s="1"/>
  <c r="L64" a="1"/>
  <c r="L64" s="1"/>
  <c r="K64" a="1"/>
  <c r="K64" s="1"/>
  <c r="J64" a="1"/>
  <c r="J64" s="1"/>
  <c r="L63" a="1"/>
  <c r="L63" s="1"/>
  <c r="J63" a="1"/>
  <c r="J63" s="1"/>
  <c r="L62" a="1"/>
  <c r="L62" s="1"/>
  <c r="K62" a="1"/>
  <c r="K62" s="1"/>
  <c r="J62" a="1"/>
  <c r="J62" s="1"/>
  <c r="L61" a="1"/>
  <c r="L61" s="1"/>
  <c r="K61" a="1"/>
  <c r="K61" s="1"/>
  <c r="J61" a="1"/>
  <c r="J61" s="1"/>
  <c r="L60" a="1"/>
  <c r="L60" s="1"/>
  <c r="K60" a="1"/>
  <c r="K60" s="1"/>
  <c r="J60" a="1"/>
  <c r="J60" s="1"/>
  <c r="L59" a="1"/>
  <c r="L59" s="1"/>
  <c r="K59" a="1"/>
  <c r="K59" s="1"/>
  <c r="J59" a="1"/>
  <c r="J59" s="1"/>
  <c r="L58" a="1"/>
  <c r="L58" s="1"/>
  <c r="K58" a="1"/>
  <c r="K58" s="1"/>
  <c r="J58" a="1"/>
  <c r="J58" s="1"/>
  <c r="L57" a="1"/>
  <c r="L57" s="1"/>
  <c r="K57" a="1"/>
  <c r="K57" s="1"/>
  <c r="J57" a="1"/>
  <c r="J57" s="1"/>
  <c r="L56" a="1"/>
  <c r="L56" s="1"/>
  <c r="K56" a="1"/>
  <c r="K56" s="1"/>
  <c r="J56" a="1"/>
  <c r="J56" s="1"/>
  <c r="L55" a="1"/>
  <c r="L55" s="1"/>
  <c r="J55" a="1"/>
  <c r="J55" s="1"/>
  <c r="L54" a="1"/>
  <c r="L54" s="1"/>
  <c r="K54" a="1"/>
  <c r="K54" s="1"/>
  <c r="J54" a="1"/>
  <c r="J54" s="1"/>
  <c r="L53" a="1"/>
  <c r="L53" s="1"/>
  <c r="K53" a="1"/>
  <c r="K53" s="1"/>
  <c r="J53" a="1"/>
  <c r="J53" s="1"/>
  <c r="L52" a="1"/>
  <c r="L52" s="1"/>
  <c r="K52" a="1"/>
  <c r="K52" s="1"/>
  <c r="J52" a="1"/>
  <c r="J52" s="1"/>
  <c r="L51" a="1"/>
  <c r="L51" s="1"/>
  <c r="K51" a="1"/>
  <c r="K51" s="1"/>
  <c r="J51" a="1"/>
  <c r="J51" s="1"/>
  <c r="L50" a="1"/>
  <c r="L50" s="1"/>
  <c r="K50" a="1"/>
  <c r="K50" s="1"/>
  <c r="J50" a="1"/>
  <c r="J50" s="1"/>
  <c r="L49" a="1"/>
  <c r="L49" s="1"/>
  <c r="K49" a="1"/>
  <c r="K49" s="1"/>
  <c r="J49" a="1"/>
  <c r="J49" s="1"/>
  <c r="L48" a="1"/>
  <c r="L48" s="1"/>
  <c r="K48" a="1"/>
  <c r="K48" s="1"/>
  <c r="J48" a="1"/>
  <c r="J48" s="1"/>
  <c r="L47" a="1"/>
  <c r="L47" s="1"/>
  <c r="K47" a="1"/>
  <c r="K47" s="1"/>
  <c r="J47" a="1"/>
  <c r="J47" s="1"/>
  <c r="L46" a="1"/>
  <c r="L46" s="1"/>
  <c r="K46" a="1"/>
  <c r="K46" s="1"/>
  <c r="J46" a="1"/>
  <c r="J46" s="1"/>
  <c r="L45" a="1"/>
  <c r="L45" s="1"/>
  <c r="K45" a="1"/>
  <c r="K45" s="1"/>
  <c r="J45" a="1"/>
  <c r="J45" s="1"/>
  <c r="L44" a="1"/>
  <c r="L44" s="1"/>
  <c r="K44" a="1"/>
  <c r="K44" s="1"/>
  <c r="J44" a="1"/>
  <c r="J44" s="1"/>
  <c r="L43" a="1"/>
  <c r="L43" s="1"/>
  <c r="K43" a="1"/>
  <c r="K43" s="1"/>
  <c r="J43" a="1"/>
  <c r="J43" s="1"/>
  <c r="L42" a="1"/>
  <c r="L42" s="1"/>
  <c r="K42" a="1"/>
  <c r="K42" s="1"/>
  <c r="J42" a="1"/>
  <c r="J42" s="1"/>
  <c r="L41" a="1"/>
  <c r="L41" s="1"/>
  <c r="K41" a="1"/>
  <c r="K41" s="1"/>
  <c r="J41" a="1"/>
  <c r="J41" s="1"/>
  <c r="L40" a="1"/>
  <c r="L40" s="1"/>
  <c r="K40" a="1"/>
  <c r="K40" s="1"/>
  <c r="J40" a="1"/>
  <c r="J40" s="1"/>
  <c r="L39" a="1"/>
  <c r="L39" s="1"/>
  <c r="K39" a="1"/>
  <c r="K39" s="1"/>
  <c r="J39" a="1"/>
  <c r="J39" s="1"/>
  <c r="L38" a="1"/>
  <c r="L38" s="1"/>
  <c r="K38" a="1"/>
  <c r="K38" s="1"/>
  <c r="J38" a="1"/>
  <c r="J38" s="1"/>
  <c r="L37" a="1"/>
  <c r="L37" s="1"/>
  <c r="K37" a="1"/>
  <c r="K37" s="1"/>
  <c r="J37" a="1"/>
  <c r="J37" s="1"/>
  <c r="L36" a="1"/>
  <c r="L36" s="1"/>
  <c r="K36" a="1"/>
  <c r="K36" s="1"/>
  <c r="J36" a="1"/>
  <c r="J36" s="1"/>
  <c r="L35" a="1"/>
  <c r="L35" s="1"/>
  <c r="K35" a="1"/>
  <c r="K35" s="1"/>
  <c r="J35" a="1"/>
  <c r="J35" s="1"/>
  <c r="L34" a="1"/>
  <c r="L34" s="1"/>
  <c r="K34" a="1"/>
  <c r="K34" s="1"/>
  <c r="J34" a="1"/>
  <c r="J34" s="1"/>
  <c r="L33" a="1"/>
  <c r="L33" s="1"/>
  <c r="K33" a="1"/>
  <c r="K33" s="1"/>
  <c r="J33" a="1"/>
  <c r="J33" s="1"/>
  <c r="L32" a="1"/>
  <c r="L32" s="1"/>
  <c r="K32" a="1"/>
  <c r="K32" s="1"/>
  <c r="J32" a="1"/>
  <c r="J32" s="1"/>
  <c r="L31" a="1"/>
  <c r="L31" s="1"/>
  <c r="K31" a="1"/>
  <c r="K31" s="1"/>
  <c r="J31" a="1"/>
  <c r="J31" s="1"/>
  <c r="L30" a="1"/>
  <c r="L30" s="1"/>
  <c r="K30" a="1"/>
  <c r="K30" s="1"/>
  <c r="J30" a="1"/>
  <c r="J30" s="1"/>
  <c r="L29" a="1"/>
  <c r="L29" s="1"/>
  <c r="K29" a="1"/>
  <c r="K29" s="1"/>
  <c r="J29" a="1"/>
  <c r="J29" s="1"/>
  <c r="L28" a="1"/>
  <c r="L28" s="1"/>
  <c r="K28" a="1"/>
  <c r="K28" s="1"/>
  <c r="J28" a="1"/>
  <c r="J28" s="1"/>
  <c r="L27" a="1"/>
  <c r="L27" s="1"/>
  <c r="K27" a="1"/>
  <c r="K27" s="1"/>
  <c r="J27" a="1"/>
  <c r="J27" s="1"/>
  <c r="L26" a="1"/>
  <c r="L26" s="1"/>
  <c r="K26" a="1"/>
  <c r="K26" s="1"/>
  <c r="J26" a="1"/>
  <c r="J26" s="1"/>
  <c r="L25" a="1"/>
  <c r="L25" s="1"/>
  <c r="K25" a="1"/>
  <c r="K25" s="1"/>
  <c r="J25" a="1"/>
  <c r="J25" s="1"/>
  <c r="L24" a="1"/>
  <c r="L24" s="1"/>
  <c r="K24" a="1"/>
  <c r="K24" s="1"/>
  <c r="J24" a="1"/>
  <c r="J24" s="1"/>
  <c r="L23" a="1"/>
  <c r="L23" s="1"/>
  <c r="K23" a="1"/>
  <c r="K23" s="1"/>
  <c r="J23" a="1"/>
  <c r="J23" s="1"/>
  <c r="L22" a="1"/>
  <c r="L22" s="1"/>
  <c r="K22" a="1"/>
  <c r="K22" s="1"/>
  <c r="J22" a="1"/>
  <c r="J22" s="1"/>
  <c r="L21" a="1"/>
  <c r="L21" s="1"/>
  <c r="K21" a="1"/>
  <c r="K21" s="1"/>
  <c r="J21" a="1"/>
  <c r="J21" s="1"/>
  <c r="L20" a="1"/>
  <c r="L20" s="1"/>
  <c r="K20" a="1"/>
  <c r="K20" s="1"/>
  <c r="J20" a="1"/>
  <c r="J20" s="1"/>
  <c r="L19" a="1"/>
  <c r="L19" s="1"/>
  <c r="K19" a="1"/>
  <c r="K19" s="1"/>
  <c r="J19" a="1"/>
  <c r="J19" s="1"/>
  <c r="L18" a="1"/>
  <c r="L18" s="1"/>
  <c r="K18" a="1"/>
  <c r="K18" s="1"/>
  <c r="J18" a="1"/>
  <c r="J18" s="1"/>
  <c r="L17" a="1"/>
  <c r="L17" s="1"/>
  <c r="K17" a="1"/>
  <c r="K17" s="1"/>
  <c r="J17" a="1"/>
  <c r="J17" s="1"/>
  <c r="L16" a="1"/>
  <c r="L16" s="1"/>
  <c r="K16" a="1"/>
  <c r="K16" s="1"/>
  <c r="J16" a="1"/>
  <c r="J16" s="1"/>
  <c r="L15" a="1"/>
  <c r="L15" s="1"/>
  <c r="K15" a="1"/>
  <c r="K15" s="1"/>
  <c r="J15" a="1"/>
  <c r="J15" s="1"/>
  <c r="L14" a="1"/>
  <c r="L14" s="1"/>
  <c r="K14" a="1"/>
  <c r="K14" s="1"/>
  <c r="J14" a="1"/>
  <c r="J14" s="1"/>
  <c r="L13" a="1"/>
  <c r="L13" s="1"/>
  <c r="K13" a="1"/>
  <c r="K13" s="1"/>
  <c r="J13" a="1"/>
  <c r="J13" s="1"/>
  <c r="L12" a="1"/>
  <c r="L12" s="1"/>
  <c r="K12" a="1"/>
  <c r="K12" s="1"/>
  <c r="J12" a="1"/>
  <c r="J12" s="1"/>
  <c r="L11" a="1"/>
  <c r="L11" s="1"/>
  <c r="K11" a="1"/>
  <c r="K11" s="1"/>
  <c r="J11" a="1"/>
  <c r="J11" s="1"/>
  <c r="L10" a="1"/>
  <c r="L10" s="1"/>
  <c r="K10" a="1"/>
  <c r="K10" s="1"/>
  <c r="J10" a="1"/>
  <c r="J10" s="1"/>
  <c r="I108" a="1"/>
  <c r="I108" s="1"/>
  <c r="I107" a="1"/>
  <c r="I107" s="1"/>
  <c r="I106" a="1"/>
  <c r="I106" s="1"/>
  <c r="I105" a="1"/>
  <c r="I105" s="1"/>
  <c r="D97" i="3" s="1"/>
  <c r="I104" i="4" a="1"/>
  <c r="I104" s="1"/>
  <c r="I103" a="1"/>
  <c r="I103" s="1"/>
  <c r="I102" a="1"/>
  <c r="I102" s="1"/>
  <c r="I101" a="1"/>
  <c r="I101" s="1"/>
  <c r="I100" a="1"/>
  <c r="I100" s="1"/>
  <c r="I98" a="1"/>
  <c r="I98" s="1"/>
  <c r="I96" a="1"/>
  <c r="I96" s="1"/>
  <c r="I95" a="1"/>
  <c r="I95" s="1"/>
  <c r="I94" a="1"/>
  <c r="I94" s="1"/>
  <c r="I93" a="1"/>
  <c r="I93" s="1"/>
  <c r="I92" a="1"/>
  <c r="I92" s="1"/>
  <c r="I91" a="1"/>
  <c r="I91" s="1"/>
  <c r="I87" a="1"/>
  <c r="I87" s="1"/>
  <c r="I86" a="1"/>
  <c r="I86" s="1"/>
  <c r="I84" a="1"/>
  <c r="I84" s="1"/>
  <c r="I83" a="1"/>
  <c r="I83" s="1"/>
  <c r="I82" a="1"/>
  <c r="I82" s="1"/>
  <c r="I80" a="1"/>
  <c r="I80" s="1"/>
  <c r="I79" a="1"/>
  <c r="I79" s="1"/>
  <c r="I78" a="1"/>
  <c r="I78" s="1"/>
  <c r="I77" a="1"/>
  <c r="I77" s="1"/>
  <c r="I76" a="1"/>
  <c r="I76" s="1"/>
  <c r="I75" a="1"/>
  <c r="I75" s="1"/>
  <c r="I74" a="1"/>
  <c r="I74" s="1"/>
  <c r="I73" a="1"/>
  <c r="I73" s="1"/>
  <c r="I72" a="1"/>
  <c r="I72" s="1"/>
  <c r="I71" a="1"/>
  <c r="I71" s="1"/>
  <c r="I70" a="1"/>
  <c r="I70" s="1"/>
  <c r="I69" a="1"/>
  <c r="I69" s="1"/>
  <c r="I68" a="1"/>
  <c r="I68" s="1"/>
  <c r="I67" a="1"/>
  <c r="I67" s="1"/>
  <c r="I66" a="1"/>
  <c r="I66" s="1"/>
  <c r="I64" a="1"/>
  <c r="I64" s="1"/>
  <c r="I63" a="1"/>
  <c r="I63" s="1"/>
  <c r="I62" a="1"/>
  <c r="I62" s="1"/>
  <c r="I59" a="1"/>
  <c r="I59" s="1"/>
  <c r="I58" a="1"/>
  <c r="I58" s="1"/>
  <c r="I57" a="1"/>
  <c r="I57" s="1"/>
  <c r="I56" a="1"/>
  <c r="I56" s="1"/>
  <c r="I55" a="1"/>
  <c r="I55" s="1"/>
  <c r="I53" a="1"/>
  <c r="I53" s="1"/>
  <c r="I52" a="1"/>
  <c r="I52" s="1"/>
  <c r="I51" a="1"/>
  <c r="I51" s="1"/>
  <c r="I50" a="1"/>
  <c r="I50" s="1"/>
  <c r="I49" a="1"/>
  <c r="I49" s="1"/>
  <c r="I48" a="1"/>
  <c r="I48" s="1"/>
  <c r="I47" a="1"/>
  <c r="I47" s="1"/>
  <c r="I46" a="1"/>
  <c r="I46" s="1"/>
  <c r="I45" a="1"/>
  <c r="I45" s="1"/>
  <c r="I44" a="1"/>
  <c r="I44" s="1"/>
  <c r="I43" a="1"/>
  <c r="I43" s="1"/>
  <c r="I42" a="1"/>
  <c r="I42" s="1"/>
  <c r="I41" a="1"/>
  <c r="I41" s="1"/>
  <c r="I40" a="1"/>
  <c r="I40" s="1"/>
  <c r="I39" a="1"/>
  <c r="I39" s="1"/>
  <c r="I38" a="1"/>
  <c r="I38" s="1"/>
  <c r="I37" a="1"/>
  <c r="I37" s="1"/>
  <c r="I36" a="1"/>
  <c r="I36" s="1"/>
  <c r="I35" a="1"/>
  <c r="I35" s="1"/>
  <c r="I34" a="1"/>
  <c r="I34" s="1"/>
  <c r="I33" a="1"/>
  <c r="I33" s="1"/>
  <c r="I32" a="1"/>
  <c r="I32" s="1"/>
  <c r="I31" a="1"/>
  <c r="I31" s="1"/>
  <c r="I30" a="1"/>
  <c r="I30" s="1"/>
  <c r="I29" a="1"/>
  <c r="I29" s="1"/>
  <c r="I28" a="1"/>
  <c r="I28" s="1"/>
  <c r="I27" a="1"/>
  <c r="I27" s="1"/>
  <c r="I26" a="1"/>
  <c r="I26" s="1"/>
  <c r="I25" a="1"/>
  <c r="I25" s="1"/>
  <c r="I24" a="1"/>
  <c r="I24" s="1"/>
  <c r="I23" a="1"/>
  <c r="I23" s="1"/>
  <c r="I22" a="1"/>
  <c r="I22" s="1"/>
  <c r="I21" a="1"/>
  <c r="I21" s="1"/>
  <c r="I20" a="1"/>
  <c r="I20" s="1"/>
  <c r="I19" a="1"/>
  <c r="I19" s="1"/>
  <c r="I18" a="1"/>
  <c r="I18" s="1"/>
  <c r="I17" a="1"/>
  <c r="I17" s="1"/>
  <c r="I16" a="1"/>
  <c r="I16" s="1"/>
  <c r="I15" a="1"/>
  <c r="I15" s="1"/>
  <c r="I14" a="1"/>
  <c r="I14" s="1"/>
  <c r="I13" a="1"/>
  <c r="I13" s="1"/>
  <c r="I12" a="1"/>
  <c r="I12" s="1"/>
  <c r="I11" a="1"/>
  <c r="I11" s="1"/>
  <c r="I10" a="1"/>
  <c r="I10" s="1"/>
  <c r="AF9" i="2"/>
  <c r="AF8"/>
  <c r="AF7"/>
  <c r="AE9"/>
  <c r="AD9"/>
  <c r="AC9"/>
  <c r="AE8"/>
  <c r="AD8"/>
  <c r="AC8"/>
  <c r="AE7"/>
  <c r="AD7"/>
  <c r="AC7"/>
  <c r="AP51" i="11"/>
  <c r="AO51"/>
  <c r="AN51"/>
  <c r="AM51"/>
  <c r="AL51"/>
  <c r="AK51"/>
  <c r="AJ51"/>
  <c r="AH51"/>
  <c r="AG51"/>
  <c r="AF51"/>
  <c r="AE51"/>
  <c r="AD51"/>
  <c r="AC51"/>
  <c r="AB51"/>
  <c r="T51"/>
  <c r="U51"/>
  <c r="V51"/>
  <c r="W51"/>
  <c r="X51"/>
  <c r="Y51"/>
  <c r="Z51"/>
  <c r="L51"/>
  <c r="M51"/>
  <c r="N51"/>
  <c r="O51"/>
  <c r="P51"/>
  <c r="Q51"/>
  <c r="R51"/>
  <c r="D51"/>
  <c r="E51"/>
  <c r="G51"/>
  <c r="H51"/>
  <c r="I51"/>
  <c r="J51"/>
  <c r="AJ50"/>
  <c r="AK50"/>
  <c r="AL50"/>
  <c r="AM50"/>
  <c r="AN50"/>
  <c r="AO50"/>
  <c r="AP50"/>
  <c r="AB50"/>
  <c r="AC50"/>
  <c r="AD50"/>
  <c r="AE50"/>
  <c r="AF50"/>
  <c r="AG50"/>
  <c r="AH50"/>
  <c r="T50"/>
  <c r="U50"/>
  <c r="V50"/>
  <c r="W50"/>
  <c r="X50"/>
  <c r="Y50"/>
  <c r="Z50"/>
  <c r="L50"/>
  <c r="M50"/>
  <c r="N50"/>
  <c r="O50"/>
  <c r="P50"/>
  <c r="Q50"/>
  <c r="R50"/>
  <c r="D50"/>
  <c r="E50"/>
  <c r="G50"/>
  <c r="H50"/>
  <c r="I50"/>
  <c r="J50"/>
  <c r="AJ47"/>
  <c r="AK47"/>
  <c r="AL47"/>
  <c r="AM47"/>
  <c r="AN47"/>
  <c r="AO47"/>
  <c r="AP47"/>
  <c r="AB47"/>
  <c r="AC47"/>
  <c r="AD47"/>
  <c r="AE47"/>
  <c r="AF47"/>
  <c r="AG47"/>
  <c r="AH47"/>
  <c r="T47"/>
  <c r="U47"/>
  <c r="V47"/>
  <c r="W47"/>
  <c r="X47"/>
  <c r="Y47"/>
  <c r="Z47"/>
  <c r="L47"/>
  <c r="M47"/>
  <c r="N47"/>
  <c r="O47"/>
  <c r="P47"/>
  <c r="Q47"/>
  <c r="R47"/>
  <c r="D47"/>
  <c r="E47"/>
  <c r="G47"/>
  <c r="H47"/>
  <c r="I47"/>
  <c r="J47"/>
  <c r="AJ44"/>
  <c r="AK44"/>
  <c r="AL44"/>
  <c r="AM44"/>
  <c r="AN44"/>
  <c r="AO44"/>
  <c r="AP44"/>
  <c r="AB44"/>
  <c r="AC44"/>
  <c r="AD44"/>
  <c r="AE44"/>
  <c r="AF44"/>
  <c r="AG44"/>
  <c r="AH44"/>
  <c r="T44"/>
  <c r="U44"/>
  <c r="V44"/>
  <c r="W44"/>
  <c r="X44"/>
  <c r="Y44"/>
  <c r="Z44"/>
  <c r="L44"/>
  <c r="M44"/>
  <c r="N44"/>
  <c r="O44"/>
  <c r="P44"/>
  <c r="Q44"/>
  <c r="R44"/>
  <c r="D44"/>
  <c r="E44"/>
  <c r="G44"/>
  <c r="H44"/>
  <c r="I44"/>
  <c r="J44"/>
  <c r="AJ43"/>
  <c r="AK43"/>
  <c r="AL43"/>
  <c r="AM43"/>
  <c r="AN43"/>
  <c r="AO43"/>
  <c r="AP43"/>
  <c r="AB43"/>
  <c r="AC43"/>
  <c r="AD43"/>
  <c r="AE43"/>
  <c r="AF43"/>
  <c r="AG43"/>
  <c r="AH43"/>
  <c r="T43"/>
  <c r="U43"/>
  <c r="V43"/>
  <c r="W43"/>
  <c r="X43"/>
  <c r="Y43"/>
  <c r="Z43"/>
  <c r="L43"/>
  <c r="M43"/>
  <c r="N43"/>
  <c r="O43"/>
  <c r="P43"/>
  <c r="Q43"/>
  <c r="R43"/>
  <c r="D43"/>
  <c r="E43"/>
  <c r="G43"/>
  <c r="H43"/>
  <c r="I43"/>
  <c r="J43"/>
  <c r="AJ42"/>
  <c r="AK42"/>
  <c r="AL42"/>
  <c r="AM42"/>
  <c r="AN42"/>
  <c r="AO42"/>
  <c r="AP42"/>
  <c r="AB42"/>
  <c r="AC42"/>
  <c r="AD42"/>
  <c r="AE42"/>
  <c r="AF42"/>
  <c r="AG42"/>
  <c r="AH42"/>
  <c r="T42"/>
  <c r="U42"/>
  <c r="V42"/>
  <c r="W42"/>
  <c r="X42"/>
  <c r="Y42"/>
  <c r="Z42"/>
  <c r="L42"/>
  <c r="M42"/>
  <c r="N42"/>
  <c r="O42"/>
  <c r="P42"/>
  <c r="Q42"/>
  <c r="R42"/>
  <c r="D42"/>
  <c r="E42"/>
  <c r="G42"/>
  <c r="H42"/>
  <c r="I42"/>
  <c r="J42"/>
  <c r="AJ39"/>
  <c r="AK39"/>
  <c r="AL39"/>
  <c r="AM39"/>
  <c r="AN39"/>
  <c r="AO39"/>
  <c r="AP39"/>
  <c r="AB39"/>
  <c r="AC39"/>
  <c r="AD39"/>
  <c r="AE39"/>
  <c r="AF39"/>
  <c r="AG39"/>
  <c r="AH39"/>
  <c r="T39"/>
  <c r="U39"/>
  <c r="V39"/>
  <c r="W39"/>
  <c r="X39"/>
  <c r="Y39"/>
  <c r="Z39"/>
  <c r="L39"/>
  <c r="M39"/>
  <c r="N39"/>
  <c r="O39"/>
  <c r="P39"/>
  <c r="Q39"/>
  <c r="R39"/>
  <c r="D39"/>
  <c r="E39"/>
  <c r="G39"/>
  <c r="H39"/>
  <c r="I39"/>
  <c r="J39"/>
  <c r="AJ36"/>
  <c r="AK36"/>
  <c r="AL36"/>
  <c r="AM36"/>
  <c r="AN36"/>
  <c r="AO36"/>
  <c r="AP36"/>
  <c r="AB36"/>
  <c r="AC36"/>
  <c r="AD36"/>
  <c r="AE36"/>
  <c r="AF36"/>
  <c r="AG36"/>
  <c r="AH36"/>
  <c r="T36"/>
  <c r="U36"/>
  <c r="V36"/>
  <c r="W36"/>
  <c r="X36"/>
  <c r="Y36"/>
  <c r="Z36"/>
  <c r="L36"/>
  <c r="M36"/>
  <c r="N36"/>
  <c r="O36"/>
  <c r="P36"/>
  <c r="Q36"/>
  <c r="R36"/>
  <c r="D36"/>
  <c r="E36"/>
  <c r="G36"/>
  <c r="H36"/>
  <c r="I36"/>
  <c r="J36"/>
  <c r="AJ35"/>
  <c r="AK35"/>
  <c r="AL35"/>
  <c r="AM35"/>
  <c r="AN35"/>
  <c r="AO35"/>
  <c r="AP35"/>
  <c r="AB35"/>
  <c r="AC35"/>
  <c r="AD35"/>
  <c r="AE35"/>
  <c r="AF35"/>
  <c r="AG35"/>
  <c r="AH35"/>
  <c r="T35"/>
  <c r="U35"/>
  <c r="V35"/>
  <c r="W35"/>
  <c r="X35"/>
  <c r="Y35"/>
  <c r="Z35"/>
  <c r="L35"/>
  <c r="M35"/>
  <c r="N35"/>
  <c r="O35"/>
  <c r="P35"/>
  <c r="Q35"/>
  <c r="R35"/>
  <c r="D35"/>
  <c r="E35"/>
  <c r="G35"/>
  <c r="H35"/>
  <c r="I35"/>
  <c r="J35"/>
  <c r="AJ32"/>
  <c r="AK32"/>
  <c r="AL32"/>
  <c r="AM32"/>
  <c r="AN32"/>
  <c r="AO32"/>
  <c r="AP32"/>
  <c r="AB32"/>
  <c r="AC32"/>
  <c r="AD32"/>
  <c r="AE32"/>
  <c r="AF32"/>
  <c r="AG32"/>
  <c r="AH32"/>
  <c r="T32"/>
  <c r="U32"/>
  <c r="V32"/>
  <c r="W32"/>
  <c r="X32"/>
  <c r="Y32"/>
  <c r="Z32"/>
  <c r="L32"/>
  <c r="M32"/>
  <c r="N32"/>
  <c r="O32"/>
  <c r="P32"/>
  <c r="Q32"/>
  <c r="R32"/>
  <c r="D32"/>
  <c r="E32"/>
  <c r="G32"/>
  <c r="H32"/>
  <c r="I32"/>
  <c r="J32"/>
  <c r="AJ31"/>
  <c r="AK31"/>
  <c r="AL31"/>
  <c r="AM31"/>
  <c r="AN31"/>
  <c r="AO31"/>
  <c r="AP31"/>
  <c r="AB31"/>
  <c r="AC31"/>
  <c r="AD31"/>
  <c r="AE31"/>
  <c r="AF31"/>
  <c r="AG31"/>
  <c r="AH31"/>
  <c r="T31"/>
  <c r="U31"/>
  <c r="V31"/>
  <c r="W31"/>
  <c r="X31"/>
  <c r="Y31"/>
  <c r="Z31"/>
  <c r="L31"/>
  <c r="M31"/>
  <c r="N31"/>
  <c r="O31"/>
  <c r="P31"/>
  <c r="Q31"/>
  <c r="R31"/>
  <c r="D31"/>
  <c r="E31"/>
  <c r="G31"/>
  <c r="H31"/>
  <c r="I31"/>
  <c r="J31"/>
  <c r="AJ30"/>
  <c r="AK30"/>
  <c r="AL30"/>
  <c r="AM30"/>
  <c r="AN30"/>
  <c r="AO30"/>
  <c r="AP30"/>
  <c r="AB30"/>
  <c r="AC30"/>
  <c r="AD30"/>
  <c r="AE30"/>
  <c r="AF30"/>
  <c r="AG30"/>
  <c r="AH30"/>
  <c r="T30"/>
  <c r="U30"/>
  <c r="V30"/>
  <c r="W30"/>
  <c r="X30"/>
  <c r="Y30"/>
  <c r="Z30"/>
  <c r="L30"/>
  <c r="M30"/>
  <c r="N30"/>
  <c r="O30"/>
  <c r="P30"/>
  <c r="Q30"/>
  <c r="R30"/>
  <c r="D30"/>
  <c r="E30"/>
  <c r="G30"/>
  <c r="H30"/>
  <c r="I30"/>
  <c r="J30"/>
  <c r="AJ22"/>
  <c r="AK22"/>
  <c r="AL22"/>
  <c r="AM22"/>
  <c r="AN22"/>
  <c r="AO22"/>
  <c r="AP22"/>
  <c r="AB22"/>
  <c r="AC22"/>
  <c r="AD22"/>
  <c r="AE22"/>
  <c r="AF22"/>
  <c r="AG22"/>
  <c r="AH22"/>
  <c r="T22"/>
  <c r="U22"/>
  <c r="V22"/>
  <c r="W22"/>
  <c r="X22"/>
  <c r="Y22"/>
  <c r="Z22"/>
  <c r="L22"/>
  <c r="M22"/>
  <c r="N22"/>
  <c r="O22"/>
  <c r="P22"/>
  <c r="Q22"/>
  <c r="R22"/>
  <c r="D22"/>
  <c r="E22"/>
  <c r="G22"/>
  <c r="H22"/>
  <c r="I22"/>
  <c r="J22"/>
  <c r="AJ19"/>
  <c r="AK19"/>
  <c r="AL19"/>
  <c r="AM19"/>
  <c r="AN19"/>
  <c r="AO19"/>
  <c r="AP19"/>
  <c r="AB19"/>
  <c r="AC19"/>
  <c r="AD19"/>
  <c r="AE19"/>
  <c r="AF19"/>
  <c r="AG19"/>
  <c r="AH19"/>
  <c r="T19"/>
  <c r="U19"/>
  <c r="V19"/>
  <c r="W19"/>
  <c r="X19"/>
  <c r="Y19"/>
  <c r="Z19"/>
  <c r="L19"/>
  <c r="M19"/>
  <c r="N19"/>
  <c r="O19"/>
  <c r="P19"/>
  <c r="Q19"/>
  <c r="R19"/>
  <c r="D19"/>
  <c r="E19"/>
  <c r="G19"/>
  <c r="H19"/>
  <c r="I19"/>
  <c r="J19"/>
  <c r="AJ16"/>
  <c r="AK16"/>
  <c r="AL16"/>
  <c r="AM16"/>
  <c r="AN16"/>
  <c r="AO16"/>
  <c r="AP16"/>
  <c r="AB16"/>
  <c r="AC16"/>
  <c r="AD16"/>
  <c r="AE16"/>
  <c r="AF16"/>
  <c r="AG16"/>
  <c r="AH16"/>
  <c r="T16"/>
  <c r="U16"/>
  <c r="V16"/>
  <c r="W16"/>
  <c r="X16"/>
  <c r="Y16"/>
  <c r="Z16"/>
  <c r="L16"/>
  <c r="M16"/>
  <c r="N16"/>
  <c r="O16"/>
  <c r="P16"/>
  <c r="Q16"/>
  <c r="R16"/>
  <c r="D16"/>
  <c r="E16"/>
  <c r="G16"/>
  <c r="H16"/>
  <c r="I16"/>
  <c r="J16"/>
  <c r="AJ15"/>
  <c r="AK15"/>
  <c r="AL15"/>
  <c r="AM15"/>
  <c r="AN15"/>
  <c r="AO15"/>
  <c r="AP15"/>
  <c r="AB15"/>
  <c r="AC15"/>
  <c r="AD15"/>
  <c r="AE15"/>
  <c r="AF15"/>
  <c r="AG15"/>
  <c r="AH15"/>
  <c r="T15"/>
  <c r="U15"/>
  <c r="V15"/>
  <c r="W15"/>
  <c r="X15"/>
  <c r="Y15"/>
  <c r="Z15"/>
  <c r="L15"/>
  <c r="M15"/>
  <c r="N15"/>
  <c r="O15"/>
  <c r="P15"/>
  <c r="Q15"/>
  <c r="R15"/>
  <c r="D15"/>
  <c r="E15"/>
  <c r="G15"/>
  <c r="H15"/>
  <c r="I15"/>
  <c r="J15"/>
  <c r="AJ14"/>
  <c r="AK14"/>
  <c r="AL14"/>
  <c r="AM14"/>
  <c r="AN14"/>
  <c r="AO14"/>
  <c r="AP14"/>
  <c r="AB14"/>
  <c r="AC14"/>
  <c r="AD14"/>
  <c r="AE14"/>
  <c r="AF14"/>
  <c r="AG14"/>
  <c r="AH14"/>
  <c r="T14"/>
  <c r="U14"/>
  <c r="V14"/>
  <c r="W14"/>
  <c r="X14"/>
  <c r="Y14"/>
  <c r="Z14"/>
  <c r="L14"/>
  <c r="M14"/>
  <c r="N14"/>
  <c r="O14"/>
  <c r="P14"/>
  <c r="Q14"/>
  <c r="R14"/>
  <c r="D14"/>
  <c r="E14"/>
  <c r="G14"/>
  <c r="H14"/>
  <c r="I14"/>
  <c r="J14"/>
  <c r="AJ13"/>
  <c r="AK13"/>
  <c r="AL13"/>
  <c r="AM13"/>
  <c r="AN13"/>
  <c r="AO13"/>
  <c r="AP13"/>
  <c r="AB13"/>
  <c r="AC13"/>
  <c r="AD13"/>
  <c r="AE13"/>
  <c r="AF13"/>
  <c r="AG13"/>
  <c r="AH13"/>
  <c r="T13"/>
  <c r="U13"/>
  <c r="V13"/>
  <c r="W13"/>
  <c r="X13"/>
  <c r="Y13"/>
  <c r="Z13"/>
  <c r="L13"/>
  <c r="M13"/>
  <c r="N13"/>
  <c r="O13"/>
  <c r="P13"/>
  <c r="Q13"/>
  <c r="R13"/>
  <c r="D13"/>
  <c r="E13"/>
  <c r="G13"/>
  <c r="H13"/>
  <c r="I13"/>
  <c r="J13"/>
  <c r="AJ10"/>
  <c r="AK10"/>
  <c r="AL10"/>
  <c r="AM10"/>
  <c r="AN10"/>
  <c r="AO10"/>
  <c r="AP10"/>
  <c r="AB10"/>
  <c r="AC10"/>
  <c r="AD10"/>
  <c r="AE10"/>
  <c r="AF10"/>
  <c r="AG10"/>
  <c r="AH10"/>
  <c r="T10"/>
  <c r="U10"/>
  <c r="V10"/>
  <c r="W10"/>
  <c r="X10"/>
  <c r="Y10"/>
  <c r="Z10"/>
  <c r="L10"/>
  <c r="M10"/>
  <c r="N10"/>
  <c r="O10"/>
  <c r="P10"/>
  <c r="Q10"/>
  <c r="R10"/>
  <c r="D10"/>
  <c r="E10"/>
  <c r="G10"/>
  <c r="H10"/>
  <c r="I10"/>
  <c r="J10"/>
  <c r="AJ9"/>
  <c r="AK9"/>
  <c r="AK4" s="1"/>
  <c r="AL9"/>
  <c r="AM9"/>
  <c r="AN9"/>
  <c r="AO9"/>
  <c r="AO4" s="1"/>
  <c r="AP9"/>
  <c r="AB9"/>
  <c r="AC9"/>
  <c r="AD9"/>
  <c r="AE9"/>
  <c r="AE4" s="1"/>
  <c r="AF9"/>
  <c r="AF4" s="1"/>
  <c r="AG9"/>
  <c r="AH9"/>
  <c r="T9"/>
  <c r="U9"/>
  <c r="V9"/>
  <c r="W9"/>
  <c r="W4" s="1"/>
  <c r="X9"/>
  <c r="Y9"/>
  <c r="Z9"/>
  <c r="L9"/>
  <c r="M9"/>
  <c r="N9"/>
  <c r="O9"/>
  <c r="P9"/>
  <c r="Q9"/>
  <c r="R9"/>
  <c r="D9"/>
  <c r="E9"/>
  <c r="F4"/>
  <c r="G9"/>
  <c r="H9"/>
  <c r="I9"/>
  <c r="J9"/>
  <c r="J100" i="9"/>
  <c r="F100" i="2" s="1"/>
  <c r="R99" i="9"/>
  <c r="J99"/>
  <c r="F99" i="2" s="1"/>
  <c r="J98" i="9"/>
  <c r="F98" i="2" s="1"/>
  <c r="J97" i="9"/>
  <c r="J96"/>
  <c r="J95"/>
  <c r="F95" i="2" s="1"/>
  <c r="J94" i="9"/>
  <c r="J93"/>
  <c r="F93" i="2" s="1"/>
  <c r="J92" i="9"/>
  <c r="F92" i="2" s="1"/>
  <c r="J91" i="9"/>
  <c r="F91" i="2" s="1"/>
  <c r="J90" i="9"/>
  <c r="F90" i="2" s="1"/>
  <c r="J88" i="9"/>
  <c r="F88" i="2" s="1"/>
  <c r="J87" i="9"/>
  <c r="J86"/>
  <c r="F86" i="2" s="1"/>
  <c r="J85" i="9"/>
  <c r="J84"/>
  <c r="F84" i="2" s="1"/>
  <c r="J83" i="9"/>
  <c r="J82"/>
  <c r="F82" i="2" s="1"/>
  <c r="J81" i="9"/>
  <c r="J80"/>
  <c r="F80" i="2" s="1"/>
  <c r="R79" i="9"/>
  <c r="J79"/>
  <c r="F79" i="2" s="1"/>
  <c r="J78" i="9"/>
  <c r="F78" i="2" s="1"/>
  <c r="J77" i="9"/>
  <c r="F77" i="2" s="1"/>
  <c r="J76" i="9"/>
  <c r="J75"/>
  <c r="F75" i="2" s="1"/>
  <c r="J74" i="9"/>
  <c r="F74" i="2" s="1"/>
  <c r="J73" i="9"/>
  <c r="J72"/>
  <c r="J71"/>
  <c r="J70"/>
  <c r="F70" i="2" s="1"/>
  <c r="F69"/>
  <c r="J68" i="9"/>
  <c r="J67"/>
  <c r="F67" i="2" s="1"/>
  <c r="J66" i="9"/>
  <c r="F66" i="2" s="1"/>
  <c r="J65" i="9"/>
  <c r="F65" i="2" s="1"/>
  <c r="J64" i="9"/>
  <c r="J63"/>
  <c r="F63" i="2" s="1"/>
  <c r="J62" i="9"/>
  <c r="F62" i="2" s="1"/>
  <c r="P2" i="9"/>
  <c r="N87" i="10"/>
  <c r="D87"/>
  <c r="F87"/>
  <c r="H87"/>
  <c r="J87"/>
  <c r="A87"/>
  <c r="N86"/>
  <c r="D86"/>
  <c r="F86"/>
  <c r="H86"/>
  <c r="J86"/>
  <c r="A86"/>
  <c r="N85"/>
  <c r="D85"/>
  <c r="F85"/>
  <c r="H85"/>
  <c r="J85"/>
  <c r="A85"/>
  <c r="N84"/>
  <c r="D84"/>
  <c r="F84"/>
  <c r="H84"/>
  <c r="J84"/>
  <c r="A84"/>
  <c r="N83"/>
  <c r="D83"/>
  <c r="F83"/>
  <c r="H83"/>
  <c r="J83"/>
  <c r="A83"/>
  <c r="N82"/>
  <c r="D82"/>
  <c r="F82"/>
  <c r="H82"/>
  <c r="J82"/>
  <c r="A82"/>
  <c r="N81"/>
  <c r="D81"/>
  <c r="F81"/>
  <c r="H81"/>
  <c r="J81"/>
  <c r="A81"/>
  <c r="N80"/>
  <c r="D80"/>
  <c r="F80"/>
  <c r="H80"/>
  <c r="J80"/>
  <c r="A80"/>
  <c r="N79"/>
  <c r="D79"/>
  <c r="F79"/>
  <c r="H79"/>
  <c r="J79"/>
  <c r="A79"/>
  <c r="N78"/>
  <c r="D78"/>
  <c r="F78"/>
  <c r="H78"/>
  <c r="J78"/>
  <c r="A78"/>
  <c r="N77"/>
  <c r="D77"/>
  <c r="F77"/>
  <c r="H77"/>
  <c r="J77"/>
  <c r="A77"/>
  <c r="N76"/>
  <c r="D76"/>
  <c r="F76"/>
  <c r="H76"/>
  <c r="J76"/>
  <c r="A76"/>
  <c r="N75"/>
  <c r="D75"/>
  <c r="F75"/>
  <c r="H75"/>
  <c r="J75"/>
  <c r="A75"/>
  <c r="N74"/>
  <c r="D74"/>
  <c r="F74"/>
  <c r="H74"/>
  <c r="J74"/>
  <c r="A74"/>
  <c r="N73"/>
  <c r="D73"/>
  <c r="F73"/>
  <c r="H73"/>
  <c r="J73"/>
  <c r="A73"/>
  <c r="N72"/>
  <c r="D72"/>
  <c r="F72"/>
  <c r="H72"/>
  <c r="J72"/>
  <c r="A72"/>
  <c r="N71"/>
  <c r="D71"/>
  <c r="F71"/>
  <c r="H71"/>
  <c r="J71"/>
  <c r="A71"/>
  <c r="N70"/>
  <c r="D70"/>
  <c r="F70"/>
  <c r="H70"/>
  <c r="J70"/>
  <c r="A70"/>
  <c r="N69"/>
  <c r="D69"/>
  <c r="F69"/>
  <c r="H69"/>
  <c r="J69"/>
  <c r="A69"/>
  <c r="N68"/>
  <c r="D68"/>
  <c r="F68"/>
  <c r="H68"/>
  <c r="J68"/>
  <c r="A68"/>
  <c r="N67"/>
  <c r="D67"/>
  <c r="F67"/>
  <c r="H67"/>
  <c r="J67"/>
  <c r="A67"/>
  <c r="N66"/>
  <c r="D66"/>
  <c r="F66"/>
  <c r="H66"/>
  <c r="J66"/>
  <c r="A66"/>
  <c r="N65"/>
  <c r="D65"/>
  <c r="F65"/>
  <c r="H65"/>
  <c r="J65"/>
  <c r="A65"/>
  <c r="N64"/>
  <c r="D64"/>
  <c r="F64"/>
  <c r="H64"/>
  <c r="J64"/>
  <c r="A64"/>
  <c r="N63"/>
  <c r="D63"/>
  <c r="F63"/>
  <c r="H63"/>
  <c r="J63"/>
  <c r="A63"/>
  <c r="N62"/>
  <c r="D62"/>
  <c r="F62"/>
  <c r="H62"/>
  <c r="J62"/>
  <c r="A62"/>
  <c r="N61"/>
  <c r="D61"/>
  <c r="F61"/>
  <c r="H61"/>
  <c r="J61"/>
  <c r="A61"/>
  <c r="N60"/>
  <c r="D60"/>
  <c r="F60"/>
  <c r="H60"/>
  <c r="J60"/>
  <c r="A60"/>
  <c r="N59"/>
  <c r="D59"/>
  <c r="F59"/>
  <c r="H59"/>
  <c r="J59"/>
  <c r="A59"/>
  <c r="N58"/>
  <c r="D58"/>
  <c r="F58"/>
  <c r="H58"/>
  <c r="J58"/>
  <c r="A58"/>
  <c r="N57"/>
  <c r="D57"/>
  <c r="F57"/>
  <c r="H57"/>
  <c r="J57"/>
  <c r="A57"/>
  <c r="N56"/>
  <c r="D56"/>
  <c r="F56"/>
  <c r="H56"/>
  <c r="J56"/>
  <c r="A56"/>
  <c r="N55"/>
  <c r="D55"/>
  <c r="F55"/>
  <c r="H55"/>
  <c r="J55"/>
  <c r="N54"/>
  <c r="D54"/>
  <c r="F54"/>
  <c r="H54"/>
  <c r="J54"/>
  <c r="A54"/>
  <c r="N53"/>
  <c r="D53"/>
  <c r="F53"/>
  <c r="H53"/>
  <c r="J53"/>
  <c r="A53"/>
  <c r="N52"/>
  <c r="D52"/>
  <c r="F52"/>
  <c r="H52"/>
  <c r="J52"/>
  <c r="A52"/>
  <c r="N51"/>
  <c r="D51"/>
  <c r="F51"/>
  <c r="H51"/>
  <c r="J51"/>
  <c r="A51"/>
  <c r="N50"/>
  <c r="D50"/>
  <c r="F50"/>
  <c r="H50"/>
  <c r="J50"/>
  <c r="A50"/>
  <c r="N49"/>
  <c r="D49"/>
  <c r="F49"/>
  <c r="H49"/>
  <c r="J49"/>
  <c r="A49"/>
  <c r="N48"/>
  <c r="D48"/>
  <c r="F48"/>
  <c r="H48"/>
  <c r="J48"/>
  <c r="A48"/>
  <c r="N47"/>
  <c r="D47"/>
  <c r="F47"/>
  <c r="H47"/>
  <c r="J47"/>
  <c r="A47"/>
  <c r="N46"/>
  <c r="D46"/>
  <c r="F46"/>
  <c r="H46"/>
  <c r="J46"/>
  <c r="A46"/>
  <c r="N45"/>
  <c r="D45"/>
  <c r="F45"/>
  <c r="H45"/>
  <c r="J45"/>
  <c r="A45"/>
  <c r="N44"/>
  <c r="D44"/>
  <c r="F44"/>
  <c r="H44"/>
  <c r="J44"/>
  <c r="A44"/>
  <c r="N43"/>
  <c r="D43"/>
  <c r="F43"/>
  <c r="H43"/>
  <c r="J43"/>
  <c r="A43"/>
  <c r="N42"/>
  <c r="D42"/>
  <c r="F42"/>
  <c r="H42"/>
  <c r="J42"/>
  <c r="A42"/>
  <c r="N41"/>
  <c r="D41"/>
  <c r="F41"/>
  <c r="H41"/>
  <c r="J41"/>
  <c r="A41"/>
  <c r="N40"/>
  <c r="D40"/>
  <c r="F40"/>
  <c r="H40"/>
  <c r="J40"/>
  <c r="A40"/>
  <c r="N39"/>
  <c r="D39"/>
  <c r="F39"/>
  <c r="H39"/>
  <c r="J39"/>
  <c r="A39"/>
  <c r="N38"/>
  <c r="D38"/>
  <c r="F38"/>
  <c r="H38"/>
  <c r="J38"/>
  <c r="A38"/>
  <c r="N37"/>
  <c r="D37"/>
  <c r="F37"/>
  <c r="H37"/>
  <c r="J37"/>
  <c r="A37"/>
  <c r="N36"/>
  <c r="D36"/>
  <c r="F36"/>
  <c r="H36"/>
  <c r="J36"/>
  <c r="A36"/>
  <c r="N35"/>
  <c r="D35"/>
  <c r="F35"/>
  <c r="H35"/>
  <c r="J35"/>
  <c r="A35"/>
  <c r="N34"/>
  <c r="D34"/>
  <c r="F34"/>
  <c r="H34"/>
  <c r="J34"/>
  <c r="A34"/>
  <c r="N33"/>
  <c r="D33"/>
  <c r="F33"/>
  <c r="H33"/>
  <c r="J33"/>
  <c r="A33"/>
  <c r="N32"/>
  <c r="D32"/>
  <c r="F32"/>
  <c r="H32"/>
  <c r="J32"/>
  <c r="A32"/>
  <c r="N31"/>
  <c r="D31"/>
  <c r="F31"/>
  <c r="H31"/>
  <c r="J31"/>
  <c r="A31"/>
  <c r="N30"/>
  <c r="D30"/>
  <c r="F30"/>
  <c r="H30"/>
  <c r="J30"/>
  <c r="A30"/>
  <c r="N29"/>
  <c r="D29"/>
  <c r="F29"/>
  <c r="H29"/>
  <c r="J29"/>
  <c r="A29"/>
  <c r="N28"/>
  <c r="D28"/>
  <c r="F28"/>
  <c r="H28"/>
  <c r="J28"/>
  <c r="A28"/>
  <c r="O108" i="8"/>
  <c r="N108"/>
  <c r="M108"/>
  <c r="O107"/>
  <c r="N107"/>
  <c r="M107"/>
  <c r="O106"/>
  <c r="N106"/>
  <c r="M106"/>
  <c r="O105"/>
  <c r="N105"/>
  <c r="M105"/>
  <c r="O104"/>
  <c r="N104"/>
  <c r="M104"/>
  <c r="O103"/>
  <c r="N103"/>
  <c r="M103"/>
  <c r="O102"/>
  <c r="N102"/>
  <c r="M102"/>
  <c r="O101"/>
  <c r="N101"/>
  <c r="M101"/>
  <c r="O100"/>
  <c r="N100"/>
  <c r="M100"/>
  <c r="O99"/>
  <c r="N99"/>
  <c r="M99"/>
  <c r="O98"/>
  <c r="N98"/>
  <c r="M98"/>
  <c r="O97"/>
  <c r="N97"/>
  <c r="M97"/>
  <c r="O96"/>
  <c r="N96"/>
  <c r="M96"/>
  <c r="A96"/>
  <c r="O95"/>
  <c r="N95"/>
  <c r="M95"/>
  <c r="A95"/>
  <c r="O94"/>
  <c r="N94"/>
  <c r="M94"/>
  <c r="A94"/>
  <c r="O93"/>
  <c r="N93"/>
  <c r="M93"/>
  <c r="A93"/>
  <c r="O92"/>
  <c r="N92"/>
  <c r="M92"/>
  <c r="A92"/>
  <c r="O91"/>
  <c r="N91"/>
  <c r="M91"/>
  <c r="A91"/>
  <c r="O90"/>
  <c r="N90"/>
  <c r="M90"/>
  <c r="A90"/>
  <c r="O89"/>
  <c r="N89"/>
  <c r="M89"/>
  <c r="A89"/>
  <c r="O88"/>
  <c r="N88"/>
  <c r="M88"/>
  <c r="A88"/>
  <c r="O87"/>
  <c r="N87"/>
  <c r="M87"/>
  <c r="A87"/>
  <c r="O86"/>
  <c r="N86"/>
  <c r="M86"/>
  <c r="A86"/>
  <c r="O85"/>
  <c r="N85"/>
  <c r="M85"/>
  <c r="A85"/>
  <c r="O84"/>
  <c r="N84"/>
  <c r="M84"/>
  <c r="A84"/>
  <c r="O83"/>
  <c r="N83"/>
  <c r="M83"/>
  <c r="A83"/>
  <c r="O82"/>
  <c r="N82"/>
  <c r="M82"/>
  <c r="A82"/>
  <c r="O81"/>
  <c r="N81"/>
  <c r="M81"/>
  <c r="A81"/>
  <c r="O80"/>
  <c r="N80"/>
  <c r="M80"/>
  <c r="A80"/>
  <c r="O79"/>
  <c r="N79"/>
  <c r="M79"/>
  <c r="A79"/>
  <c r="O78"/>
  <c r="N78"/>
  <c r="M78"/>
  <c r="A78"/>
  <c r="O77"/>
  <c r="N77"/>
  <c r="M77"/>
  <c r="A77"/>
  <c r="O76"/>
  <c r="N76"/>
  <c r="M76"/>
  <c r="A76"/>
  <c r="O75"/>
  <c r="N75"/>
  <c r="M75"/>
  <c r="A75"/>
  <c r="O74"/>
  <c r="N74"/>
  <c r="M74"/>
  <c r="A74"/>
  <c r="O73"/>
  <c r="N73"/>
  <c r="M73"/>
  <c r="A73"/>
  <c r="O72"/>
  <c r="N72"/>
  <c r="M72"/>
  <c r="A72"/>
  <c r="O71"/>
  <c r="N71"/>
  <c r="M71"/>
  <c r="A71"/>
  <c r="O70"/>
  <c r="N70"/>
  <c r="M70"/>
  <c r="A70"/>
  <c r="O69"/>
  <c r="N69"/>
  <c r="M69"/>
  <c r="A69"/>
  <c r="O68"/>
  <c r="N68"/>
  <c r="M68"/>
  <c r="A68"/>
  <c r="O67"/>
  <c r="N67"/>
  <c r="M67"/>
  <c r="A67"/>
  <c r="O66"/>
  <c r="N66"/>
  <c r="M66"/>
  <c r="A66"/>
  <c r="O65"/>
  <c r="N65"/>
  <c r="M65"/>
  <c r="A65"/>
  <c r="O64"/>
  <c r="N64"/>
  <c r="M64"/>
  <c r="A64"/>
  <c r="O63"/>
  <c r="N63"/>
  <c r="M63"/>
  <c r="A63"/>
  <c r="O62"/>
  <c r="N62"/>
  <c r="M62"/>
  <c r="A62"/>
  <c r="O61"/>
  <c r="N61"/>
  <c r="M61"/>
  <c r="A61"/>
  <c r="O60"/>
  <c r="N60"/>
  <c r="M60"/>
  <c r="A60"/>
  <c r="O59"/>
  <c r="N59"/>
  <c r="M59"/>
  <c r="A59"/>
  <c r="O58"/>
  <c r="N58"/>
  <c r="M58"/>
  <c r="A58"/>
  <c r="O57"/>
  <c r="N57"/>
  <c r="M57"/>
  <c r="A57"/>
  <c r="O56"/>
  <c r="N56"/>
  <c r="M56"/>
  <c r="A56"/>
  <c r="O55"/>
  <c r="N55"/>
  <c r="M55"/>
  <c r="A55"/>
  <c r="O54"/>
  <c r="N54"/>
  <c r="M54"/>
  <c r="A54"/>
  <c r="O53"/>
  <c r="N53"/>
  <c r="M53"/>
  <c r="A53"/>
  <c r="O52"/>
  <c r="N52"/>
  <c r="M52"/>
  <c r="A52"/>
  <c r="O51"/>
  <c r="N51"/>
  <c r="M51"/>
  <c r="A51"/>
  <c r="O50"/>
  <c r="N50"/>
  <c r="M50"/>
  <c r="A50"/>
  <c r="O49"/>
  <c r="N49"/>
  <c r="M49"/>
  <c r="A49"/>
  <c r="O48"/>
  <c r="N48"/>
  <c r="M48"/>
  <c r="A48"/>
  <c r="O47"/>
  <c r="N47"/>
  <c r="M47"/>
  <c r="A47"/>
  <c r="O46"/>
  <c r="N46"/>
  <c r="M46"/>
  <c r="A46"/>
  <c r="O45"/>
  <c r="N45"/>
  <c r="M45"/>
  <c r="A45"/>
  <c r="O44"/>
  <c r="N44"/>
  <c r="M44"/>
  <c r="A44"/>
  <c r="O43"/>
  <c r="N43"/>
  <c r="M43"/>
  <c r="A43"/>
  <c r="O42"/>
  <c r="N42"/>
  <c r="M42"/>
  <c r="A42"/>
  <c r="O41"/>
  <c r="N41"/>
  <c r="M41"/>
  <c r="A41"/>
  <c r="O40"/>
  <c r="N40"/>
  <c r="M40"/>
  <c r="A40"/>
  <c r="O39"/>
  <c r="N39"/>
  <c r="M39"/>
  <c r="A39"/>
  <c r="O38"/>
  <c r="N38"/>
  <c r="M38"/>
  <c r="A38"/>
  <c r="O37"/>
  <c r="N37"/>
  <c r="M37"/>
  <c r="O36"/>
  <c r="N36"/>
  <c r="M36"/>
  <c r="A36"/>
  <c r="O35"/>
  <c r="N35"/>
  <c r="M35"/>
  <c r="A35"/>
  <c r="O34"/>
  <c r="N34"/>
  <c r="M34"/>
  <c r="A34"/>
  <c r="O33"/>
  <c r="N33"/>
  <c r="M33"/>
  <c r="A33"/>
  <c r="O32"/>
  <c r="N32"/>
  <c r="M32"/>
  <c r="A32"/>
  <c r="O31"/>
  <c r="N31"/>
  <c r="M31"/>
  <c r="A31"/>
  <c r="O30"/>
  <c r="N30"/>
  <c r="M30"/>
  <c r="A30"/>
  <c r="O29"/>
  <c r="N29"/>
  <c r="M29"/>
  <c r="A29"/>
  <c r="O28"/>
  <c r="N28"/>
  <c r="M28"/>
  <c r="A28"/>
  <c r="O27"/>
  <c r="N27"/>
  <c r="M27"/>
  <c r="A27"/>
  <c r="O26"/>
  <c r="N26"/>
  <c r="M26"/>
  <c r="A26"/>
  <c r="O25"/>
  <c r="N25"/>
  <c r="M25"/>
  <c r="A25"/>
  <c r="O24"/>
  <c r="N24"/>
  <c r="M24"/>
  <c r="A24"/>
  <c r="O23"/>
  <c r="N23"/>
  <c r="M23"/>
  <c r="A23"/>
  <c r="O22"/>
  <c r="N22"/>
  <c r="M22"/>
  <c r="A22"/>
  <c r="O21"/>
  <c r="N21"/>
  <c r="M21"/>
  <c r="A21"/>
  <c r="O20"/>
  <c r="N20"/>
  <c r="M20"/>
  <c r="A20"/>
  <c r="O19"/>
  <c r="N19"/>
  <c r="M19"/>
  <c r="A19"/>
  <c r="O18"/>
  <c r="N18"/>
  <c r="M18"/>
  <c r="A18"/>
  <c r="O17"/>
  <c r="N17"/>
  <c r="M17"/>
  <c r="A17"/>
  <c r="O16"/>
  <c r="N16"/>
  <c r="M16"/>
  <c r="A16"/>
  <c r="O15"/>
  <c r="N15"/>
  <c r="M15"/>
  <c r="A15"/>
  <c r="O14"/>
  <c r="N14"/>
  <c r="M14"/>
  <c r="A14"/>
  <c r="O13"/>
  <c r="N13"/>
  <c r="M13"/>
  <c r="A13"/>
  <c r="O12"/>
  <c r="N12"/>
  <c r="M12"/>
  <c r="A12"/>
  <c r="O11"/>
  <c r="N11"/>
  <c r="M11"/>
  <c r="A11"/>
  <c r="O10"/>
  <c r="N10"/>
  <c r="M10"/>
  <c r="A10"/>
  <c r="D2" i="4"/>
  <c r="O108" i="7"/>
  <c r="N108"/>
  <c r="M108"/>
  <c r="O107"/>
  <c r="N107"/>
  <c r="M107"/>
  <c r="O106"/>
  <c r="N106"/>
  <c r="M106"/>
  <c r="O105"/>
  <c r="N105"/>
  <c r="M105"/>
  <c r="O104"/>
  <c r="N104"/>
  <c r="M104"/>
  <c r="O103"/>
  <c r="N103"/>
  <c r="M103"/>
  <c r="O102"/>
  <c r="N102"/>
  <c r="M102"/>
  <c r="O101"/>
  <c r="N101"/>
  <c r="M101"/>
  <c r="O100"/>
  <c r="N100"/>
  <c r="M100"/>
  <c r="O99"/>
  <c r="N99"/>
  <c r="M99"/>
  <c r="O98"/>
  <c r="N98"/>
  <c r="M98"/>
  <c r="O97"/>
  <c r="N97"/>
  <c r="M97"/>
  <c r="O96"/>
  <c r="N96"/>
  <c r="M96"/>
  <c r="A96"/>
  <c r="O95"/>
  <c r="N95"/>
  <c r="M95"/>
  <c r="A95"/>
  <c r="O94"/>
  <c r="N94"/>
  <c r="M94"/>
  <c r="A94"/>
  <c r="O93"/>
  <c r="N93"/>
  <c r="M93"/>
  <c r="A93"/>
  <c r="O92"/>
  <c r="N92"/>
  <c r="M92"/>
  <c r="A92"/>
  <c r="O91"/>
  <c r="N91"/>
  <c r="M91"/>
  <c r="A91"/>
  <c r="O90"/>
  <c r="N90"/>
  <c r="M90"/>
  <c r="A90"/>
  <c r="O89"/>
  <c r="N89"/>
  <c r="M89"/>
  <c r="A89"/>
  <c r="O88"/>
  <c r="N88"/>
  <c r="M88"/>
  <c r="A88"/>
  <c r="O87"/>
  <c r="N87"/>
  <c r="M87"/>
  <c r="A87"/>
  <c r="O86"/>
  <c r="N86"/>
  <c r="M86"/>
  <c r="A86"/>
  <c r="O85"/>
  <c r="N85"/>
  <c r="M85"/>
  <c r="A85"/>
  <c r="O84"/>
  <c r="N84"/>
  <c r="M84"/>
  <c r="A84"/>
  <c r="O83"/>
  <c r="N83"/>
  <c r="M83"/>
  <c r="A83"/>
  <c r="O82"/>
  <c r="N82"/>
  <c r="M82"/>
  <c r="A82"/>
  <c r="O81"/>
  <c r="N81"/>
  <c r="M81"/>
  <c r="A81"/>
  <c r="O80"/>
  <c r="N80"/>
  <c r="M80"/>
  <c r="A80"/>
  <c r="O79"/>
  <c r="N79"/>
  <c r="M79"/>
  <c r="A79"/>
  <c r="O78"/>
  <c r="N78"/>
  <c r="M78"/>
  <c r="A78"/>
  <c r="O77"/>
  <c r="N77"/>
  <c r="M77"/>
  <c r="A77"/>
  <c r="O76"/>
  <c r="N76"/>
  <c r="M76"/>
  <c r="A76"/>
  <c r="O75"/>
  <c r="N75"/>
  <c r="M75"/>
  <c r="A75"/>
  <c r="O74"/>
  <c r="N74"/>
  <c r="M74"/>
  <c r="A74"/>
  <c r="O73"/>
  <c r="N73"/>
  <c r="M73"/>
  <c r="A73"/>
  <c r="O72"/>
  <c r="N72"/>
  <c r="M72"/>
  <c r="A72"/>
  <c r="O71"/>
  <c r="N71"/>
  <c r="M71"/>
  <c r="A71"/>
  <c r="O70"/>
  <c r="N70"/>
  <c r="M70"/>
  <c r="A70"/>
  <c r="O69"/>
  <c r="N69"/>
  <c r="M69"/>
  <c r="A69"/>
  <c r="O68"/>
  <c r="N68"/>
  <c r="M68"/>
  <c r="A68"/>
  <c r="O67"/>
  <c r="N67"/>
  <c r="M67"/>
  <c r="A67"/>
  <c r="O66"/>
  <c r="N66"/>
  <c r="M66"/>
  <c r="A66"/>
  <c r="O65"/>
  <c r="N65"/>
  <c r="M65"/>
  <c r="A65"/>
  <c r="O64"/>
  <c r="N64"/>
  <c r="M64"/>
  <c r="A64"/>
  <c r="O63"/>
  <c r="N63"/>
  <c r="M63"/>
  <c r="A63"/>
  <c r="O62"/>
  <c r="N62"/>
  <c r="M62"/>
  <c r="A62"/>
  <c r="O61"/>
  <c r="N61"/>
  <c r="M61"/>
  <c r="A61"/>
  <c r="O60"/>
  <c r="N60"/>
  <c r="M60"/>
  <c r="A60"/>
  <c r="O59"/>
  <c r="N59"/>
  <c r="M59"/>
  <c r="A59"/>
  <c r="O58"/>
  <c r="N58"/>
  <c r="M58"/>
  <c r="A58"/>
  <c r="O57"/>
  <c r="N57"/>
  <c r="M57"/>
  <c r="A57"/>
  <c r="O56"/>
  <c r="N56"/>
  <c r="M56"/>
  <c r="A56"/>
  <c r="O55"/>
  <c r="N55"/>
  <c r="M55"/>
  <c r="A55"/>
  <c r="O54"/>
  <c r="N54"/>
  <c r="M54"/>
  <c r="A54"/>
  <c r="O53"/>
  <c r="N53"/>
  <c r="M53"/>
  <c r="A53"/>
  <c r="O52"/>
  <c r="N52"/>
  <c r="M52"/>
  <c r="A52"/>
  <c r="O51"/>
  <c r="N51"/>
  <c r="M51"/>
  <c r="A51"/>
  <c r="O50"/>
  <c r="N50"/>
  <c r="M50"/>
  <c r="A50"/>
  <c r="O49"/>
  <c r="N49"/>
  <c r="M49"/>
  <c r="A49"/>
  <c r="O48"/>
  <c r="N48"/>
  <c r="M48"/>
  <c r="A48"/>
  <c r="O47"/>
  <c r="N47"/>
  <c r="M47"/>
  <c r="A47"/>
  <c r="O46"/>
  <c r="N46"/>
  <c r="M46"/>
  <c r="A46"/>
  <c r="O45"/>
  <c r="N45"/>
  <c r="M45"/>
  <c r="A45"/>
  <c r="O44"/>
  <c r="N44"/>
  <c r="M44"/>
  <c r="A44"/>
  <c r="O43"/>
  <c r="N43"/>
  <c r="M43"/>
  <c r="A43"/>
  <c r="O42"/>
  <c r="N42"/>
  <c r="M42"/>
  <c r="A42"/>
  <c r="O41"/>
  <c r="N41"/>
  <c r="M41"/>
  <c r="A41"/>
  <c r="O40"/>
  <c r="N40"/>
  <c r="M40"/>
  <c r="A40"/>
  <c r="O39"/>
  <c r="N39"/>
  <c r="M39"/>
  <c r="A39"/>
  <c r="O38"/>
  <c r="N38"/>
  <c r="M38"/>
  <c r="A38"/>
  <c r="O37"/>
  <c r="N37"/>
  <c r="M37"/>
  <c r="O36"/>
  <c r="N36"/>
  <c r="M36"/>
  <c r="O35"/>
  <c r="N35"/>
  <c r="M35"/>
  <c r="O34"/>
  <c r="N34"/>
  <c r="M34"/>
  <c r="A34"/>
  <c r="O33"/>
  <c r="N33"/>
  <c r="M33"/>
  <c r="A33"/>
  <c r="O32"/>
  <c r="N32"/>
  <c r="M32"/>
  <c r="A32"/>
  <c r="O31"/>
  <c r="N31"/>
  <c r="M31"/>
  <c r="A31"/>
  <c r="O30"/>
  <c r="N30"/>
  <c r="M30"/>
  <c r="A30"/>
  <c r="O29"/>
  <c r="N29"/>
  <c r="M29"/>
  <c r="A29"/>
  <c r="O28"/>
  <c r="N28"/>
  <c r="M28"/>
  <c r="A28"/>
  <c r="O27"/>
  <c r="N27"/>
  <c r="M27"/>
  <c r="A27"/>
  <c r="O26"/>
  <c r="N26"/>
  <c r="M26"/>
  <c r="A26"/>
  <c r="O25"/>
  <c r="N25"/>
  <c r="M25"/>
  <c r="A25"/>
  <c r="O24"/>
  <c r="N24"/>
  <c r="M24"/>
  <c r="A24"/>
  <c r="O23"/>
  <c r="N23"/>
  <c r="M23"/>
  <c r="A23"/>
  <c r="O22"/>
  <c r="N22"/>
  <c r="M22"/>
  <c r="A22"/>
  <c r="O21"/>
  <c r="N21"/>
  <c r="M21"/>
  <c r="A21"/>
  <c r="O20"/>
  <c r="N20"/>
  <c r="M20"/>
  <c r="A20"/>
  <c r="O19"/>
  <c r="N19"/>
  <c r="M19"/>
  <c r="A19"/>
  <c r="O18"/>
  <c r="N18"/>
  <c r="M18"/>
  <c r="A18"/>
  <c r="O17"/>
  <c r="N17"/>
  <c r="M17"/>
  <c r="A17"/>
  <c r="O16"/>
  <c r="N16"/>
  <c r="M16"/>
  <c r="A16"/>
  <c r="O15"/>
  <c r="N15"/>
  <c r="M15"/>
  <c r="A15"/>
  <c r="O14"/>
  <c r="N14"/>
  <c r="M14"/>
  <c r="A14"/>
  <c r="O13"/>
  <c r="N13"/>
  <c r="M13"/>
  <c r="A13"/>
  <c r="O12"/>
  <c r="N12"/>
  <c r="M12"/>
  <c r="A12"/>
  <c r="O11"/>
  <c r="N11"/>
  <c r="M11"/>
  <c r="A11"/>
  <c r="O10"/>
  <c r="N10"/>
  <c r="M10"/>
  <c r="A10"/>
  <c r="O108" i="6"/>
  <c r="N108"/>
  <c r="M108"/>
  <c r="O107"/>
  <c r="N107"/>
  <c r="M107"/>
  <c r="O106"/>
  <c r="N106"/>
  <c r="M106"/>
  <c r="O105"/>
  <c r="N105"/>
  <c r="M105"/>
  <c r="O104"/>
  <c r="N104"/>
  <c r="M104"/>
  <c r="O103"/>
  <c r="N103"/>
  <c r="M103"/>
  <c r="O102"/>
  <c r="N102"/>
  <c r="M102"/>
  <c r="O101"/>
  <c r="N101"/>
  <c r="M101"/>
  <c r="O100"/>
  <c r="N100"/>
  <c r="M100"/>
  <c r="O99"/>
  <c r="N99"/>
  <c r="M99"/>
  <c r="O98"/>
  <c r="N98"/>
  <c r="M98"/>
  <c r="O97"/>
  <c r="N97"/>
  <c r="M97"/>
  <c r="O96"/>
  <c r="N96"/>
  <c r="M96"/>
  <c r="A96"/>
  <c r="O95"/>
  <c r="N95"/>
  <c r="M95"/>
  <c r="A95"/>
  <c r="O94"/>
  <c r="N94"/>
  <c r="M94"/>
  <c r="A94"/>
  <c r="O93"/>
  <c r="N93"/>
  <c r="M93"/>
  <c r="A93"/>
  <c r="O92"/>
  <c r="N92"/>
  <c r="M92"/>
  <c r="A92"/>
  <c r="O91"/>
  <c r="N91"/>
  <c r="M91"/>
  <c r="A91"/>
  <c r="O90"/>
  <c r="N90"/>
  <c r="M90"/>
  <c r="A90"/>
  <c r="O89"/>
  <c r="N89"/>
  <c r="M89"/>
  <c r="A89"/>
  <c r="O88"/>
  <c r="N88"/>
  <c r="M88"/>
  <c r="A88"/>
  <c r="O87"/>
  <c r="N87"/>
  <c r="M87"/>
  <c r="A87"/>
  <c r="O86"/>
  <c r="N86"/>
  <c r="M86"/>
  <c r="A86"/>
  <c r="O85"/>
  <c r="N85"/>
  <c r="M85"/>
  <c r="A85"/>
  <c r="O84"/>
  <c r="N84"/>
  <c r="M84"/>
  <c r="A84"/>
  <c r="O83"/>
  <c r="N83"/>
  <c r="M83"/>
  <c r="A83"/>
  <c r="O82"/>
  <c r="N82"/>
  <c r="M82"/>
  <c r="A82"/>
  <c r="O81"/>
  <c r="N81"/>
  <c r="M81"/>
  <c r="A81"/>
  <c r="O80"/>
  <c r="N80"/>
  <c r="M80"/>
  <c r="A80"/>
  <c r="O79"/>
  <c r="N79"/>
  <c r="M79"/>
  <c r="A79"/>
  <c r="O78"/>
  <c r="N78"/>
  <c r="M78"/>
  <c r="A78"/>
  <c r="O77"/>
  <c r="N77"/>
  <c r="M77"/>
  <c r="A77"/>
  <c r="O76"/>
  <c r="N76"/>
  <c r="M76"/>
  <c r="A76"/>
  <c r="O75"/>
  <c r="N75"/>
  <c r="M75"/>
  <c r="A75"/>
  <c r="O74"/>
  <c r="N74"/>
  <c r="M74"/>
  <c r="A74"/>
  <c r="O73"/>
  <c r="N73"/>
  <c r="M73"/>
  <c r="A73"/>
  <c r="O72"/>
  <c r="N72"/>
  <c r="M72"/>
  <c r="A72"/>
  <c r="O71"/>
  <c r="N71"/>
  <c r="M71"/>
  <c r="A71"/>
  <c r="O70"/>
  <c r="N70"/>
  <c r="M70"/>
  <c r="A70"/>
  <c r="O69"/>
  <c r="N69"/>
  <c r="M69"/>
  <c r="A69"/>
  <c r="O68"/>
  <c r="N68"/>
  <c r="M68"/>
  <c r="A68"/>
  <c r="O67"/>
  <c r="N67"/>
  <c r="M67"/>
  <c r="A67"/>
  <c r="O66"/>
  <c r="N66"/>
  <c r="M66"/>
  <c r="A66"/>
  <c r="O65"/>
  <c r="N65"/>
  <c r="M65"/>
  <c r="A65"/>
  <c r="O64"/>
  <c r="N64"/>
  <c r="M64"/>
  <c r="A64"/>
  <c r="O63"/>
  <c r="N63"/>
  <c r="M63"/>
  <c r="A63"/>
  <c r="O62"/>
  <c r="N62"/>
  <c r="M62"/>
  <c r="A62"/>
  <c r="O61"/>
  <c r="N61"/>
  <c r="M61"/>
  <c r="A61"/>
  <c r="O60"/>
  <c r="N60"/>
  <c r="M60"/>
  <c r="A60"/>
  <c r="O59"/>
  <c r="N59"/>
  <c r="M59"/>
  <c r="A59"/>
  <c r="O58"/>
  <c r="N58"/>
  <c r="M58"/>
  <c r="A58"/>
  <c r="O57"/>
  <c r="N57"/>
  <c r="M57"/>
  <c r="A57"/>
  <c r="O56"/>
  <c r="N56"/>
  <c r="M56"/>
  <c r="A56"/>
  <c r="O55"/>
  <c r="N55"/>
  <c r="M55"/>
  <c r="A55"/>
  <c r="O54"/>
  <c r="N54"/>
  <c r="M54"/>
  <c r="A54"/>
  <c r="O53"/>
  <c r="N53"/>
  <c r="M53"/>
  <c r="A53"/>
  <c r="O52"/>
  <c r="N52"/>
  <c r="M52"/>
  <c r="A52"/>
  <c r="O51"/>
  <c r="N51"/>
  <c r="M51"/>
  <c r="A51"/>
  <c r="O50"/>
  <c r="N50"/>
  <c r="M50"/>
  <c r="A50"/>
  <c r="O49"/>
  <c r="N49"/>
  <c r="M49"/>
  <c r="A49"/>
  <c r="O48"/>
  <c r="N48"/>
  <c r="M48"/>
  <c r="A48"/>
  <c r="O47"/>
  <c r="N47"/>
  <c r="M47"/>
  <c r="A47"/>
  <c r="O46"/>
  <c r="N46"/>
  <c r="M46"/>
  <c r="A46"/>
  <c r="O45"/>
  <c r="N45"/>
  <c r="M45"/>
  <c r="A45"/>
  <c r="O44"/>
  <c r="N44"/>
  <c r="M44"/>
  <c r="A44"/>
  <c r="O43"/>
  <c r="N43"/>
  <c r="M43"/>
  <c r="A43"/>
  <c r="O42"/>
  <c r="N42"/>
  <c r="M42"/>
  <c r="A42"/>
  <c r="O41"/>
  <c r="N41"/>
  <c r="M41"/>
  <c r="A41"/>
  <c r="O40"/>
  <c r="N40"/>
  <c r="M40"/>
  <c r="A40"/>
  <c r="O39"/>
  <c r="N39"/>
  <c r="M39"/>
  <c r="A39"/>
  <c r="O38"/>
  <c r="N38"/>
  <c r="M38"/>
  <c r="A38"/>
  <c r="O37"/>
  <c r="N37"/>
  <c r="M37"/>
  <c r="O36"/>
  <c r="N36"/>
  <c r="M36"/>
  <c r="O35"/>
  <c r="N35"/>
  <c r="M35"/>
  <c r="O34"/>
  <c r="N34"/>
  <c r="M34"/>
  <c r="O33"/>
  <c r="N33"/>
  <c r="M33"/>
  <c r="A33"/>
  <c r="O32"/>
  <c r="N32"/>
  <c r="M32"/>
  <c r="A32"/>
  <c r="O31"/>
  <c r="N31"/>
  <c r="M31"/>
  <c r="A31"/>
  <c r="O30"/>
  <c r="N30"/>
  <c r="M30"/>
  <c r="A30"/>
  <c r="O29"/>
  <c r="N29"/>
  <c r="M29"/>
  <c r="A29"/>
  <c r="O28"/>
  <c r="N28"/>
  <c r="M28"/>
  <c r="A28"/>
  <c r="O27"/>
  <c r="N27"/>
  <c r="M27"/>
  <c r="A27"/>
  <c r="O26"/>
  <c r="N26"/>
  <c r="M26"/>
  <c r="A26"/>
  <c r="O25"/>
  <c r="N25"/>
  <c r="M25"/>
  <c r="A25"/>
  <c r="O24"/>
  <c r="N24"/>
  <c r="M24"/>
  <c r="A24"/>
  <c r="O23"/>
  <c r="N23"/>
  <c r="M23"/>
  <c r="A23"/>
  <c r="O22"/>
  <c r="N22"/>
  <c r="M22"/>
  <c r="A22"/>
  <c r="O21"/>
  <c r="N21"/>
  <c r="M21"/>
  <c r="A21"/>
  <c r="O20"/>
  <c r="N20"/>
  <c r="M20"/>
  <c r="A20"/>
  <c r="O19"/>
  <c r="N19"/>
  <c r="M19"/>
  <c r="A19"/>
  <c r="O18"/>
  <c r="N18"/>
  <c r="M18"/>
  <c r="A18"/>
  <c r="O17"/>
  <c r="N17"/>
  <c r="M17"/>
  <c r="A17"/>
  <c r="O16"/>
  <c r="N16"/>
  <c r="M16"/>
  <c r="A16"/>
  <c r="O15"/>
  <c r="N15"/>
  <c r="M15"/>
  <c r="A15"/>
  <c r="O14"/>
  <c r="N14"/>
  <c r="M14"/>
  <c r="A14"/>
  <c r="O13"/>
  <c r="N13"/>
  <c r="M13"/>
  <c r="A13"/>
  <c r="O12"/>
  <c r="N12"/>
  <c r="M12"/>
  <c r="A12"/>
  <c r="O11"/>
  <c r="N11"/>
  <c r="M11"/>
  <c r="A11"/>
  <c r="O10"/>
  <c r="N10"/>
  <c r="M10"/>
  <c r="A10"/>
  <c r="O108" i="5"/>
  <c r="N108"/>
  <c r="M108"/>
  <c r="O107"/>
  <c r="N107"/>
  <c r="M107"/>
  <c r="O106"/>
  <c r="N106"/>
  <c r="M106"/>
  <c r="O105"/>
  <c r="N105"/>
  <c r="M105"/>
  <c r="O104"/>
  <c r="N104"/>
  <c r="M104"/>
  <c r="O103"/>
  <c r="N103"/>
  <c r="M103"/>
  <c r="O102"/>
  <c r="N102"/>
  <c r="M102"/>
  <c r="O101"/>
  <c r="N101"/>
  <c r="M101"/>
  <c r="O100"/>
  <c r="N100"/>
  <c r="M100"/>
  <c r="O99"/>
  <c r="N99"/>
  <c r="M99"/>
  <c r="O98"/>
  <c r="N98"/>
  <c r="M98"/>
  <c r="O97"/>
  <c r="N97"/>
  <c r="M97"/>
  <c r="O96"/>
  <c r="N96"/>
  <c r="M96"/>
  <c r="A96"/>
  <c r="O95"/>
  <c r="N95"/>
  <c r="M95"/>
  <c r="A95"/>
  <c r="O94"/>
  <c r="N94"/>
  <c r="M94"/>
  <c r="A94"/>
  <c r="O93"/>
  <c r="N93"/>
  <c r="M93"/>
  <c r="A93"/>
  <c r="O92"/>
  <c r="N92"/>
  <c r="M92"/>
  <c r="A92"/>
  <c r="O91"/>
  <c r="N91"/>
  <c r="M91"/>
  <c r="A91"/>
  <c r="O90"/>
  <c r="N90"/>
  <c r="M90"/>
  <c r="A90"/>
  <c r="O89"/>
  <c r="N89"/>
  <c r="M89"/>
  <c r="A89"/>
  <c r="O88"/>
  <c r="N88"/>
  <c r="M88"/>
  <c r="A88"/>
  <c r="O87"/>
  <c r="N87"/>
  <c r="M87"/>
  <c r="A87"/>
  <c r="O86"/>
  <c r="N86"/>
  <c r="M86"/>
  <c r="A86"/>
  <c r="O85"/>
  <c r="N85"/>
  <c r="M85"/>
  <c r="A85"/>
  <c r="O84"/>
  <c r="N84"/>
  <c r="M84"/>
  <c r="A84"/>
  <c r="O83"/>
  <c r="N83"/>
  <c r="M83"/>
  <c r="A83"/>
  <c r="O82"/>
  <c r="N82"/>
  <c r="M82"/>
  <c r="A82"/>
  <c r="O81"/>
  <c r="N81"/>
  <c r="M81"/>
  <c r="A81"/>
  <c r="O80"/>
  <c r="N80"/>
  <c r="M80"/>
  <c r="A80"/>
  <c r="O79"/>
  <c r="N79"/>
  <c r="M79"/>
  <c r="A79"/>
  <c r="O78"/>
  <c r="N78"/>
  <c r="M78"/>
  <c r="A78"/>
  <c r="O77"/>
  <c r="N77"/>
  <c r="M77"/>
  <c r="A77"/>
  <c r="O76"/>
  <c r="N76"/>
  <c r="M76"/>
  <c r="A76"/>
  <c r="O75"/>
  <c r="N75"/>
  <c r="M75"/>
  <c r="A75"/>
  <c r="O74"/>
  <c r="N74"/>
  <c r="M74"/>
  <c r="A74"/>
  <c r="O73"/>
  <c r="N73"/>
  <c r="M73"/>
  <c r="A73"/>
  <c r="O72"/>
  <c r="N72"/>
  <c r="M72"/>
  <c r="A72"/>
  <c r="O71"/>
  <c r="N71"/>
  <c r="M71"/>
  <c r="A71"/>
  <c r="O70"/>
  <c r="N70"/>
  <c r="M70"/>
  <c r="A70"/>
  <c r="O69"/>
  <c r="N69"/>
  <c r="M69"/>
  <c r="A69"/>
  <c r="O68"/>
  <c r="N68"/>
  <c r="M68"/>
  <c r="A68"/>
  <c r="O67"/>
  <c r="N67"/>
  <c r="M67"/>
  <c r="A67"/>
  <c r="O66"/>
  <c r="N66"/>
  <c r="M66"/>
  <c r="A66"/>
  <c r="O65"/>
  <c r="N65"/>
  <c r="M65"/>
  <c r="A65"/>
  <c r="O64"/>
  <c r="N64"/>
  <c r="M64"/>
  <c r="A64"/>
  <c r="O63"/>
  <c r="N63"/>
  <c r="M63"/>
  <c r="A63"/>
  <c r="O62"/>
  <c r="N62"/>
  <c r="M62"/>
  <c r="A62"/>
  <c r="O61"/>
  <c r="N61"/>
  <c r="M61"/>
  <c r="A61"/>
  <c r="O60"/>
  <c r="N60"/>
  <c r="M60"/>
  <c r="A60"/>
  <c r="O59"/>
  <c r="N59"/>
  <c r="M59"/>
  <c r="A59"/>
  <c r="O58"/>
  <c r="N58"/>
  <c r="M58"/>
  <c r="A58"/>
  <c r="O57"/>
  <c r="N57"/>
  <c r="M57"/>
  <c r="A57"/>
  <c r="O56"/>
  <c r="N56"/>
  <c r="M56"/>
  <c r="A56"/>
  <c r="O55"/>
  <c r="N55"/>
  <c r="M55"/>
  <c r="A55"/>
  <c r="O54"/>
  <c r="N54"/>
  <c r="M54"/>
  <c r="A54"/>
  <c r="O53"/>
  <c r="N53"/>
  <c r="M53"/>
  <c r="A53"/>
  <c r="O52"/>
  <c r="N52"/>
  <c r="M52"/>
  <c r="A52"/>
  <c r="O51"/>
  <c r="N51"/>
  <c r="M51"/>
  <c r="A51"/>
  <c r="O50"/>
  <c r="N50"/>
  <c r="M50"/>
  <c r="A50"/>
  <c r="O49"/>
  <c r="N49"/>
  <c r="M49"/>
  <c r="A49"/>
  <c r="O48"/>
  <c r="N48"/>
  <c r="M48"/>
  <c r="A48"/>
  <c r="O47"/>
  <c r="N47"/>
  <c r="M47"/>
  <c r="A47"/>
  <c r="O46"/>
  <c r="N46"/>
  <c r="M46"/>
  <c r="A46"/>
  <c r="O45"/>
  <c r="N45"/>
  <c r="M45"/>
  <c r="A45"/>
  <c r="O44"/>
  <c r="N44"/>
  <c r="M44"/>
  <c r="A44"/>
  <c r="O43"/>
  <c r="N43"/>
  <c r="M43"/>
  <c r="A43"/>
  <c r="O42"/>
  <c r="N42"/>
  <c r="M42"/>
  <c r="A42"/>
  <c r="O41"/>
  <c r="N41"/>
  <c r="M41"/>
  <c r="A41"/>
  <c r="O40"/>
  <c r="N40"/>
  <c r="M40"/>
  <c r="A40"/>
  <c r="O39"/>
  <c r="N39"/>
  <c r="M39"/>
  <c r="A39"/>
  <c r="O38"/>
  <c r="N38"/>
  <c r="M38"/>
  <c r="A38"/>
  <c r="O37"/>
  <c r="N37"/>
  <c r="M37"/>
  <c r="O36"/>
  <c r="N36"/>
  <c r="M36"/>
  <c r="A36"/>
  <c r="O35"/>
  <c r="N35"/>
  <c r="M35"/>
  <c r="A35"/>
  <c r="O34"/>
  <c r="N34"/>
  <c r="M34"/>
  <c r="A34"/>
  <c r="O33"/>
  <c r="N33"/>
  <c r="M33"/>
  <c r="A33"/>
  <c r="O32"/>
  <c r="N32"/>
  <c r="M32"/>
  <c r="A32"/>
  <c r="O31"/>
  <c r="N31"/>
  <c r="M31"/>
  <c r="A31"/>
  <c r="O30"/>
  <c r="N30"/>
  <c r="M30"/>
  <c r="A30"/>
  <c r="O29"/>
  <c r="N29"/>
  <c r="M29"/>
  <c r="A29"/>
  <c r="O28"/>
  <c r="N28"/>
  <c r="M28"/>
  <c r="A28"/>
  <c r="O27"/>
  <c r="N27"/>
  <c r="M27"/>
  <c r="A27"/>
  <c r="O26"/>
  <c r="N26"/>
  <c r="M26"/>
  <c r="A26"/>
  <c r="O25"/>
  <c r="N25"/>
  <c r="M25"/>
  <c r="A25"/>
  <c r="O24"/>
  <c r="N24"/>
  <c r="M24"/>
  <c r="A24"/>
  <c r="O23"/>
  <c r="N23"/>
  <c r="M23"/>
  <c r="A23"/>
  <c r="O22"/>
  <c r="N22"/>
  <c r="M22"/>
  <c r="A22"/>
  <c r="O21"/>
  <c r="N21"/>
  <c r="M21"/>
  <c r="A21"/>
  <c r="O20"/>
  <c r="N20"/>
  <c r="M20"/>
  <c r="A20"/>
  <c r="O19"/>
  <c r="N19"/>
  <c r="M19"/>
  <c r="A19"/>
  <c r="O18"/>
  <c r="N18"/>
  <c r="M18"/>
  <c r="A18"/>
  <c r="O17"/>
  <c r="N17"/>
  <c r="M17"/>
  <c r="A17"/>
  <c r="O16"/>
  <c r="N16"/>
  <c r="M16"/>
  <c r="A16"/>
  <c r="O15"/>
  <c r="N15"/>
  <c r="M15"/>
  <c r="A15"/>
  <c r="O14"/>
  <c r="N14"/>
  <c r="M14"/>
  <c r="A14"/>
  <c r="O13"/>
  <c r="N13"/>
  <c r="M13"/>
  <c r="A13"/>
  <c r="O12"/>
  <c r="N12"/>
  <c r="M12"/>
  <c r="A12"/>
  <c r="O11"/>
  <c r="N11"/>
  <c r="M11"/>
  <c r="A11"/>
  <c r="O10"/>
  <c r="N10"/>
  <c r="M10"/>
  <c r="A10"/>
  <c r="O108" i="4"/>
  <c r="N108"/>
  <c r="M108"/>
  <c r="O107"/>
  <c r="N107"/>
  <c r="M107"/>
  <c r="O106"/>
  <c r="N106"/>
  <c r="M106"/>
  <c r="O105"/>
  <c r="N105"/>
  <c r="M105"/>
  <c r="O104"/>
  <c r="N104"/>
  <c r="M104"/>
  <c r="O103"/>
  <c r="N103"/>
  <c r="M103"/>
  <c r="O102"/>
  <c r="N102"/>
  <c r="M102"/>
  <c r="O101"/>
  <c r="N101"/>
  <c r="M101"/>
  <c r="O100"/>
  <c r="N100"/>
  <c r="M100"/>
  <c r="O99"/>
  <c r="N99"/>
  <c r="M99"/>
  <c r="O98"/>
  <c r="N98"/>
  <c r="M98"/>
  <c r="O97"/>
  <c r="N97"/>
  <c r="M97"/>
  <c r="O96"/>
  <c r="N96"/>
  <c r="M96"/>
  <c r="A96"/>
  <c r="O95"/>
  <c r="N95"/>
  <c r="M95"/>
  <c r="A95"/>
  <c r="O94"/>
  <c r="N94"/>
  <c r="M94"/>
  <c r="A94"/>
  <c r="O93"/>
  <c r="N93"/>
  <c r="M93"/>
  <c r="A93"/>
  <c r="O92"/>
  <c r="N92"/>
  <c r="M92"/>
  <c r="A92"/>
  <c r="O91"/>
  <c r="N91"/>
  <c r="M91"/>
  <c r="A91"/>
  <c r="O90"/>
  <c r="N90"/>
  <c r="M90"/>
  <c r="A90"/>
  <c r="O89"/>
  <c r="N89"/>
  <c r="M89"/>
  <c r="A89"/>
  <c r="O88"/>
  <c r="N88"/>
  <c r="M88"/>
  <c r="A88"/>
  <c r="O87"/>
  <c r="N87"/>
  <c r="M87"/>
  <c r="A87"/>
  <c r="O86"/>
  <c r="N86"/>
  <c r="M86"/>
  <c r="A86"/>
  <c r="O85"/>
  <c r="N85"/>
  <c r="M85"/>
  <c r="A85"/>
  <c r="O84"/>
  <c r="N84"/>
  <c r="M84"/>
  <c r="A84"/>
  <c r="O83"/>
  <c r="N83"/>
  <c r="M83"/>
  <c r="A83"/>
  <c r="O82"/>
  <c r="N82"/>
  <c r="M82"/>
  <c r="A82"/>
  <c r="O81"/>
  <c r="N81"/>
  <c r="M81"/>
  <c r="A81"/>
  <c r="O80"/>
  <c r="N80"/>
  <c r="M80"/>
  <c r="A80"/>
  <c r="O79"/>
  <c r="N79"/>
  <c r="M79"/>
  <c r="A79"/>
  <c r="O78"/>
  <c r="N78"/>
  <c r="M78"/>
  <c r="A78"/>
  <c r="O77"/>
  <c r="N77"/>
  <c r="M77"/>
  <c r="A77"/>
  <c r="O76"/>
  <c r="N76"/>
  <c r="M76"/>
  <c r="A76"/>
  <c r="O75"/>
  <c r="N75"/>
  <c r="M75"/>
  <c r="A75"/>
  <c r="O74"/>
  <c r="N74"/>
  <c r="M74"/>
  <c r="A74"/>
  <c r="O73"/>
  <c r="N73"/>
  <c r="M73"/>
  <c r="A73"/>
  <c r="O72"/>
  <c r="N72"/>
  <c r="M72"/>
  <c r="A72"/>
  <c r="O71"/>
  <c r="N71"/>
  <c r="M71"/>
  <c r="A71"/>
  <c r="O70"/>
  <c r="N70"/>
  <c r="M70"/>
  <c r="A70"/>
  <c r="O69"/>
  <c r="N69"/>
  <c r="M69"/>
  <c r="A69"/>
  <c r="O68"/>
  <c r="N68"/>
  <c r="M68"/>
  <c r="A68"/>
  <c r="O67"/>
  <c r="N67"/>
  <c r="M67"/>
  <c r="A67"/>
  <c r="O66"/>
  <c r="N66"/>
  <c r="M66"/>
  <c r="A66"/>
  <c r="O65"/>
  <c r="N65"/>
  <c r="M65"/>
  <c r="A65"/>
  <c r="O64"/>
  <c r="N64"/>
  <c r="M64"/>
  <c r="A64"/>
  <c r="O63"/>
  <c r="N63"/>
  <c r="M63"/>
  <c r="A63"/>
  <c r="O62"/>
  <c r="N62"/>
  <c r="M62"/>
  <c r="A62"/>
  <c r="O61"/>
  <c r="N61"/>
  <c r="M61"/>
  <c r="A61"/>
  <c r="O60"/>
  <c r="N60"/>
  <c r="M60"/>
  <c r="A60"/>
  <c r="O59"/>
  <c r="N59"/>
  <c r="M59"/>
  <c r="A59"/>
  <c r="O58"/>
  <c r="N58"/>
  <c r="M58"/>
  <c r="A58"/>
  <c r="O57"/>
  <c r="N57"/>
  <c r="M57"/>
  <c r="A57"/>
  <c r="O56"/>
  <c r="N56"/>
  <c r="M56"/>
  <c r="A56"/>
  <c r="O55"/>
  <c r="N55"/>
  <c r="M55"/>
  <c r="A55"/>
  <c r="O54"/>
  <c r="N54"/>
  <c r="M54"/>
  <c r="A54"/>
  <c r="O53"/>
  <c r="N53"/>
  <c r="M53"/>
  <c r="A53"/>
  <c r="O52"/>
  <c r="N52"/>
  <c r="M52"/>
  <c r="A52"/>
  <c r="O51"/>
  <c r="N51"/>
  <c r="M51"/>
  <c r="A51"/>
  <c r="O50"/>
  <c r="N50"/>
  <c r="M50"/>
  <c r="A50"/>
  <c r="O49"/>
  <c r="N49"/>
  <c r="M49"/>
  <c r="A49"/>
  <c r="O48"/>
  <c r="N48"/>
  <c r="M48"/>
  <c r="A48"/>
  <c r="O47"/>
  <c r="N47"/>
  <c r="M47"/>
  <c r="A47"/>
  <c r="O46"/>
  <c r="N46"/>
  <c r="M46"/>
  <c r="A46"/>
  <c r="O45"/>
  <c r="N45"/>
  <c r="M45"/>
  <c r="A45"/>
  <c r="O44"/>
  <c r="N44"/>
  <c r="M44"/>
  <c r="A44"/>
  <c r="O43"/>
  <c r="N43"/>
  <c r="M43"/>
  <c r="A43"/>
  <c r="O42"/>
  <c r="N42"/>
  <c r="M42"/>
  <c r="A42"/>
  <c r="O41"/>
  <c r="N41"/>
  <c r="M41"/>
  <c r="A41"/>
  <c r="O40"/>
  <c r="N40"/>
  <c r="M40"/>
  <c r="A40"/>
  <c r="O39"/>
  <c r="N39"/>
  <c r="M39"/>
  <c r="A39"/>
  <c r="O38"/>
  <c r="N38"/>
  <c r="M38"/>
  <c r="A38"/>
  <c r="O37"/>
  <c r="N37"/>
  <c r="M37"/>
  <c r="O36"/>
  <c r="N36"/>
  <c r="M36"/>
  <c r="A36"/>
  <c r="O35"/>
  <c r="N35"/>
  <c r="M35"/>
  <c r="A35"/>
  <c r="O34"/>
  <c r="N34"/>
  <c r="M34"/>
  <c r="A34"/>
  <c r="O33"/>
  <c r="N33"/>
  <c r="M33"/>
  <c r="A33"/>
  <c r="O32"/>
  <c r="N32"/>
  <c r="M32"/>
  <c r="A32"/>
  <c r="O31"/>
  <c r="N31"/>
  <c r="M31"/>
  <c r="A31"/>
  <c r="O30"/>
  <c r="N30"/>
  <c r="M30"/>
  <c r="A30"/>
  <c r="O29"/>
  <c r="N29"/>
  <c r="M29"/>
  <c r="A29"/>
  <c r="O28"/>
  <c r="N28"/>
  <c r="M28"/>
  <c r="A28"/>
  <c r="O27"/>
  <c r="N27"/>
  <c r="M27"/>
  <c r="A27"/>
  <c r="O26"/>
  <c r="N26"/>
  <c r="M26"/>
  <c r="A26"/>
  <c r="O25"/>
  <c r="N25"/>
  <c r="M25"/>
  <c r="A25"/>
  <c r="O24"/>
  <c r="N24"/>
  <c r="M24"/>
  <c r="A24"/>
  <c r="O23"/>
  <c r="N23"/>
  <c r="M23"/>
  <c r="A23"/>
  <c r="O22"/>
  <c r="N22"/>
  <c r="M22"/>
  <c r="A22"/>
  <c r="O21"/>
  <c r="N21"/>
  <c r="M21"/>
  <c r="A21"/>
  <c r="O20"/>
  <c r="N20"/>
  <c r="M20"/>
  <c r="A20"/>
  <c r="O19"/>
  <c r="N19"/>
  <c r="M19"/>
  <c r="A19"/>
  <c r="O18"/>
  <c r="N18"/>
  <c r="M18"/>
  <c r="A18"/>
  <c r="O17"/>
  <c r="N17"/>
  <c r="M17"/>
  <c r="A17"/>
  <c r="O16"/>
  <c r="N16"/>
  <c r="M16"/>
  <c r="A16"/>
  <c r="O15"/>
  <c r="N15"/>
  <c r="M15"/>
  <c r="A15"/>
  <c r="O14"/>
  <c r="N14"/>
  <c r="M14"/>
  <c r="A14"/>
  <c r="O13"/>
  <c r="N13"/>
  <c r="M13"/>
  <c r="A13"/>
  <c r="O12"/>
  <c r="N12"/>
  <c r="M12"/>
  <c r="A12"/>
  <c r="O11"/>
  <c r="N11"/>
  <c r="M11"/>
  <c r="A11"/>
  <c r="O10"/>
  <c r="N10"/>
  <c r="M10"/>
  <c r="A10"/>
  <c r="A88" i="3"/>
  <c r="A87"/>
  <c r="A86"/>
  <c r="A85"/>
  <c r="A84"/>
  <c r="A83"/>
  <c r="A82"/>
  <c r="A81"/>
  <c r="A80"/>
  <c r="A79"/>
  <c r="A78"/>
  <c r="A77"/>
  <c r="A76"/>
  <c r="A75"/>
  <c r="A74"/>
  <c r="A73"/>
  <c r="A72"/>
  <c r="A71"/>
  <c r="A70"/>
  <c r="A69"/>
  <c r="A68"/>
  <c r="A67"/>
  <c r="A66"/>
  <c r="A65"/>
  <c r="A64"/>
  <c r="A63"/>
  <c r="A62"/>
  <c r="A61"/>
  <c r="A60"/>
  <c r="A59"/>
  <c r="A58"/>
  <c r="A57"/>
  <c r="A56"/>
  <c r="A55"/>
  <c r="A54"/>
  <c r="A53"/>
  <c r="A52"/>
  <c r="A51"/>
  <c r="A50"/>
  <c r="A49"/>
  <c r="A48"/>
  <c r="A47"/>
  <c r="A46"/>
  <c r="A45"/>
  <c r="A44"/>
  <c r="A43"/>
  <c r="A42"/>
  <c r="A41"/>
  <c r="A40"/>
  <c r="A39"/>
  <c r="A38"/>
  <c r="A37"/>
  <c r="A36"/>
  <c r="A35"/>
  <c r="A34"/>
  <c r="A33"/>
  <c r="A32"/>
  <c r="A31"/>
  <c r="A30"/>
  <c r="A28"/>
  <c r="A27"/>
  <c r="A26"/>
  <c r="A25"/>
  <c r="A24"/>
  <c r="A23"/>
  <c r="A22"/>
  <c r="A21"/>
  <c r="A20"/>
  <c r="A19"/>
  <c r="A18"/>
  <c r="A17"/>
  <c r="A16"/>
  <c r="A15"/>
  <c r="A14"/>
  <c r="A13"/>
  <c r="A12"/>
  <c r="A11"/>
  <c r="A10"/>
  <c r="A9"/>
  <c r="A8"/>
  <c r="A7"/>
  <c r="A6"/>
  <c r="A5"/>
  <c r="A4"/>
  <c r="A3"/>
  <c r="A2"/>
  <c r="F97" i="2"/>
  <c r="F96"/>
  <c r="F94"/>
  <c r="F89"/>
  <c r="F87"/>
  <c r="F85"/>
  <c r="F83"/>
  <c r="V83"/>
  <c r="U83"/>
  <c r="T83"/>
  <c r="S83"/>
  <c r="R83"/>
  <c r="Q83"/>
  <c r="P83"/>
  <c r="O83"/>
  <c r="N83"/>
  <c r="M83"/>
  <c r="L83"/>
  <c r="K83"/>
  <c r="J83"/>
  <c r="V82"/>
  <c r="U82"/>
  <c r="T82"/>
  <c r="S82"/>
  <c r="R82"/>
  <c r="Q82"/>
  <c r="P82"/>
  <c r="O82"/>
  <c r="N82"/>
  <c r="M82"/>
  <c r="L82"/>
  <c r="K82"/>
  <c r="J82"/>
  <c r="F81"/>
  <c r="V81"/>
  <c r="U81"/>
  <c r="T81"/>
  <c r="S81"/>
  <c r="R81"/>
  <c r="Q81"/>
  <c r="P81"/>
  <c r="O81"/>
  <c r="N81"/>
  <c r="M81"/>
  <c r="L81"/>
  <c r="K81"/>
  <c r="J81"/>
  <c r="V80"/>
  <c r="U80"/>
  <c r="T80"/>
  <c r="S80"/>
  <c r="R80"/>
  <c r="Q80"/>
  <c r="P80"/>
  <c r="O80"/>
  <c r="N80"/>
  <c r="M80"/>
  <c r="L80"/>
  <c r="K80"/>
  <c r="J80"/>
  <c r="V79"/>
  <c r="U79"/>
  <c r="T79"/>
  <c r="S79"/>
  <c r="R79"/>
  <c r="Q79"/>
  <c r="P79"/>
  <c r="O79"/>
  <c r="N79"/>
  <c r="M79"/>
  <c r="L79"/>
  <c r="K79"/>
  <c r="J79"/>
  <c r="V78"/>
  <c r="U78"/>
  <c r="T78"/>
  <c r="S78"/>
  <c r="R78"/>
  <c r="Q78"/>
  <c r="P78"/>
  <c r="O78"/>
  <c r="N78"/>
  <c r="M78"/>
  <c r="L78"/>
  <c r="K78"/>
  <c r="J78"/>
  <c r="V77"/>
  <c r="U77"/>
  <c r="T77"/>
  <c r="S77"/>
  <c r="R77"/>
  <c r="Q77"/>
  <c r="P77"/>
  <c r="O77"/>
  <c r="N77"/>
  <c r="M77"/>
  <c r="L77"/>
  <c r="K77"/>
  <c r="J77"/>
  <c r="F76"/>
  <c r="V76"/>
  <c r="U76"/>
  <c r="T76"/>
  <c r="S76"/>
  <c r="R76"/>
  <c r="Q76"/>
  <c r="P76"/>
  <c r="O76"/>
  <c r="N76"/>
  <c r="M76"/>
  <c r="L76"/>
  <c r="K76"/>
  <c r="J76"/>
  <c r="V75"/>
  <c r="U75"/>
  <c r="T75"/>
  <c r="S75"/>
  <c r="R75"/>
  <c r="Q75"/>
  <c r="P75"/>
  <c r="O75"/>
  <c r="N75"/>
  <c r="M75"/>
  <c r="L75"/>
  <c r="K75"/>
  <c r="J75"/>
  <c r="V74"/>
  <c r="U74"/>
  <c r="T74"/>
  <c r="S74"/>
  <c r="R74"/>
  <c r="Q74"/>
  <c r="P74"/>
  <c r="O74"/>
  <c r="N74"/>
  <c r="M74"/>
  <c r="L74"/>
  <c r="K74"/>
  <c r="J74"/>
  <c r="F73"/>
  <c r="V73"/>
  <c r="U73"/>
  <c r="T73"/>
  <c r="S73"/>
  <c r="R73"/>
  <c r="Q73"/>
  <c r="P73"/>
  <c r="O73"/>
  <c r="N73"/>
  <c r="M73"/>
  <c r="L73"/>
  <c r="K73"/>
  <c r="J73"/>
  <c r="F72"/>
  <c r="V72"/>
  <c r="U72"/>
  <c r="T72"/>
  <c r="S72"/>
  <c r="R72"/>
  <c r="Q72"/>
  <c r="P72"/>
  <c r="O72"/>
  <c r="N72"/>
  <c r="M72"/>
  <c r="L72"/>
  <c r="K72"/>
  <c r="J72"/>
  <c r="F71"/>
  <c r="V71"/>
  <c r="U71"/>
  <c r="T71"/>
  <c r="S71"/>
  <c r="R71"/>
  <c r="Q71"/>
  <c r="P71"/>
  <c r="O71"/>
  <c r="N71"/>
  <c r="M71"/>
  <c r="L71"/>
  <c r="K71"/>
  <c r="J71"/>
  <c r="V70"/>
  <c r="U70"/>
  <c r="T70"/>
  <c r="S70"/>
  <c r="R70"/>
  <c r="Q70"/>
  <c r="P70"/>
  <c r="O70"/>
  <c r="N70"/>
  <c r="M70"/>
  <c r="L70"/>
  <c r="K70"/>
  <c r="J70"/>
  <c r="V69"/>
  <c r="U69"/>
  <c r="T69"/>
  <c r="S69"/>
  <c r="R69"/>
  <c r="Q69"/>
  <c r="P69"/>
  <c r="O69"/>
  <c r="N69"/>
  <c r="M69"/>
  <c r="L69"/>
  <c r="K69"/>
  <c r="J69"/>
  <c r="F68"/>
  <c r="V68"/>
  <c r="U68"/>
  <c r="T68"/>
  <c r="S68"/>
  <c r="R68"/>
  <c r="Q68"/>
  <c r="P68"/>
  <c r="O68"/>
  <c r="N68"/>
  <c r="M68"/>
  <c r="L68"/>
  <c r="K68"/>
  <c r="J68"/>
  <c r="V67"/>
  <c r="U67"/>
  <c r="T67"/>
  <c r="S67"/>
  <c r="R67"/>
  <c r="Q67"/>
  <c r="P67"/>
  <c r="O67"/>
  <c r="N67"/>
  <c r="M67"/>
  <c r="L67"/>
  <c r="K67"/>
  <c r="J67"/>
  <c r="V66"/>
  <c r="U66"/>
  <c r="T66"/>
  <c r="S66"/>
  <c r="R66"/>
  <c r="Q66"/>
  <c r="P66"/>
  <c r="O66"/>
  <c r="N66"/>
  <c r="M66"/>
  <c r="L66"/>
  <c r="K66"/>
  <c r="J66"/>
  <c r="V65"/>
  <c r="U65"/>
  <c r="T65"/>
  <c r="S65"/>
  <c r="R65"/>
  <c r="Q65"/>
  <c r="P65"/>
  <c r="O65"/>
  <c r="N65"/>
  <c r="M65"/>
  <c r="L65"/>
  <c r="K65"/>
  <c r="J65"/>
  <c r="F64"/>
  <c r="V64"/>
  <c r="U64"/>
  <c r="T64"/>
  <c r="S64"/>
  <c r="R64"/>
  <c r="Q64"/>
  <c r="P64"/>
  <c r="O64"/>
  <c r="N64"/>
  <c r="M64"/>
  <c r="L64"/>
  <c r="K64"/>
  <c r="J64"/>
  <c r="V63"/>
  <c r="U63"/>
  <c r="T63"/>
  <c r="S63"/>
  <c r="R63"/>
  <c r="Q63"/>
  <c r="P63"/>
  <c r="O63"/>
  <c r="N63"/>
  <c r="M63"/>
  <c r="L63"/>
  <c r="K63"/>
  <c r="J63"/>
  <c r="V62"/>
  <c r="U62"/>
  <c r="T62"/>
  <c r="S62"/>
  <c r="R62"/>
  <c r="Q62"/>
  <c r="P62"/>
  <c r="O62"/>
  <c r="N62"/>
  <c r="M62"/>
  <c r="L62"/>
  <c r="K62"/>
  <c r="J62"/>
  <c r="F61"/>
  <c r="V61"/>
  <c r="U61"/>
  <c r="T61"/>
  <c r="S61"/>
  <c r="R61"/>
  <c r="Q61"/>
  <c r="P61"/>
  <c r="O61"/>
  <c r="N61"/>
  <c r="M61"/>
  <c r="L61"/>
  <c r="K61"/>
  <c r="J61"/>
  <c r="F60"/>
  <c r="V60"/>
  <c r="U60"/>
  <c r="T60"/>
  <c r="S60"/>
  <c r="R60"/>
  <c r="Q60"/>
  <c r="P60"/>
  <c r="O60"/>
  <c r="N60"/>
  <c r="M60"/>
  <c r="L60"/>
  <c r="K60"/>
  <c r="J60"/>
  <c r="F59"/>
  <c r="V59"/>
  <c r="U59"/>
  <c r="T59"/>
  <c r="S59"/>
  <c r="R59"/>
  <c r="Q59"/>
  <c r="P59"/>
  <c r="O59"/>
  <c r="N59"/>
  <c r="M59"/>
  <c r="L59"/>
  <c r="K59"/>
  <c r="J59"/>
  <c r="F58"/>
  <c r="V58"/>
  <c r="U58"/>
  <c r="T58"/>
  <c r="S58"/>
  <c r="R58"/>
  <c r="Q58"/>
  <c r="P58"/>
  <c r="O58"/>
  <c r="N58"/>
  <c r="M58"/>
  <c r="L58"/>
  <c r="K58"/>
  <c r="J58"/>
  <c r="F57"/>
  <c r="V57"/>
  <c r="U57"/>
  <c r="T57"/>
  <c r="S57"/>
  <c r="R57"/>
  <c r="Q57"/>
  <c r="P57"/>
  <c r="O57"/>
  <c r="N57"/>
  <c r="M57"/>
  <c r="L57"/>
  <c r="K57"/>
  <c r="J57"/>
  <c r="F56"/>
  <c r="V56"/>
  <c r="U56"/>
  <c r="T56"/>
  <c r="S56"/>
  <c r="R56"/>
  <c r="Q56"/>
  <c r="P56"/>
  <c r="O56"/>
  <c r="N56"/>
  <c r="M56"/>
  <c r="L56"/>
  <c r="K56"/>
  <c r="J56"/>
  <c r="F55"/>
  <c r="V55"/>
  <c r="U55"/>
  <c r="T55"/>
  <c r="S55"/>
  <c r="R55"/>
  <c r="Q55"/>
  <c r="P55"/>
  <c r="O55"/>
  <c r="N55"/>
  <c r="M55"/>
  <c r="L55"/>
  <c r="K55"/>
  <c r="J55"/>
  <c r="F54"/>
  <c r="V54"/>
  <c r="U54"/>
  <c r="T54"/>
  <c r="S54"/>
  <c r="R54"/>
  <c r="Q54"/>
  <c r="P54"/>
  <c r="O54"/>
  <c r="N54"/>
  <c r="M54"/>
  <c r="L54"/>
  <c r="K54"/>
  <c r="J54"/>
  <c r="F53"/>
  <c r="V53"/>
  <c r="U53"/>
  <c r="T53"/>
  <c r="S53"/>
  <c r="R53"/>
  <c r="Q53"/>
  <c r="P53"/>
  <c r="O53"/>
  <c r="N53"/>
  <c r="M53"/>
  <c r="L53"/>
  <c r="K53"/>
  <c r="J53"/>
  <c r="F52"/>
  <c r="V52"/>
  <c r="U52"/>
  <c r="T52"/>
  <c r="S52"/>
  <c r="R52"/>
  <c r="Q52"/>
  <c r="P52"/>
  <c r="O52"/>
  <c r="N52"/>
  <c r="M52"/>
  <c r="L52"/>
  <c r="K52"/>
  <c r="J52"/>
  <c r="F51"/>
  <c r="V51"/>
  <c r="U51"/>
  <c r="T51"/>
  <c r="S51"/>
  <c r="R51"/>
  <c r="Q51"/>
  <c r="P51"/>
  <c r="O51"/>
  <c r="N51"/>
  <c r="M51"/>
  <c r="L51"/>
  <c r="K51"/>
  <c r="J51"/>
  <c r="F50"/>
  <c r="V50"/>
  <c r="U50"/>
  <c r="T50"/>
  <c r="S50"/>
  <c r="R50"/>
  <c r="Q50"/>
  <c r="P50"/>
  <c r="O50"/>
  <c r="N50"/>
  <c r="M50"/>
  <c r="L50"/>
  <c r="K50"/>
  <c r="J50"/>
  <c r="V49"/>
  <c r="U49"/>
  <c r="T49"/>
  <c r="S49"/>
  <c r="R49"/>
  <c r="Q49"/>
  <c r="P49"/>
  <c r="O49"/>
  <c r="N49"/>
  <c r="M49"/>
  <c r="L49"/>
  <c r="K49"/>
  <c r="J49"/>
  <c r="V48"/>
  <c r="U48"/>
  <c r="T48"/>
  <c r="S48"/>
  <c r="R48"/>
  <c r="Q48"/>
  <c r="P48"/>
  <c r="O48"/>
  <c r="N48"/>
  <c r="M48"/>
  <c r="L48"/>
  <c r="K48"/>
  <c r="J48"/>
  <c r="V47"/>
  <c r="U47"/>
  <c r="T47"/>
  <c r="S47"/>
  <c r="R47"/>
  <c r="Q47"/>
  <c r="P47"/>
  <c r="O47"/>
  <c r="N47"/>
  <c r="M47"/>
  <c r="L47"/>
  <c r="K47"/>
  <c r="J47"/>
  <c r="V46"/>
  <c r="U46"/>
  <c r="T46"/>
  <c r="S46"/>
  <c r="R46"/>
  <c r="Q46"/>
  <c r="P46"/>
  <c r="O46"/>
  <c r="N46"/>
  <c r="M46"/>
  <c r="L46"/>
  <c r="K46"/>
  <c r="J46"/>
  <c r="F45"/>
  <c r="V45"/>
  <c r="U45"/>
  <c r="T45"/>
  <c r="S45"/>
  <c r="R45"/>
  <c r="Q45"/>
  <c r="P45"/>
  <c r="O45"/>
  <c r="N45"/>
  <c r="M45"/>
  <c r="L45"/>
  <c r="K45"/>
  <c r="J45"/>
  <c r="V44"/>
  <c r="U44"/>
  <c r="T44"/>
  <c r="S44"/>
  <c r="R44"/>
  <c r="Q44"/>
  <c r="P44"/>
  <c r="O44"/>
  <c r="N44"/>
  <c r="M44"/>
  <c r="L44"/>
  <c r="K44"/>
  <c r="J44"/>
  <c r="F43"/>
  <c r="V43"/>
  <c r="U43"/>
  <c r="T43"/>
  <c r="S43"/>
  <c r="R43"/>
  <c r="Q43"/>
  <c r="P43"/>
  <c r="O43"/>
  <c r="N43"/>
  <c r="M43"/>
  <c r="L43"/>
  <c r="K43"/>
  <c r="J43"/>
  <c r="V42"/>
  <c r="U42"/>
  <c r="T42"/>
  <c r="S42"/>
  <c r="R42"/>
  <c r="Q42"/>
  <c r="P42"/>
  <c r="O42"/>
  <c r="N42"/>
  <c r="M42"/>
  <c r="L42"/>
  <c r="K42"/>
  <c r="J42"/>
  <c r="V41"/>
  <c r="U41"/>
  <c r="T41"/>
  <c r="S41"/>
  <c r="R41"/>
  <c r="Q41"/>
  <c r="P41"/>
  <c r="O41"/>
  <c r="N41"/>
  <c r="M41"/>
  <c r="L41"/>
  <c r="K41"/>
  <c r="J41"/>
  <c r="V40"/>
  <c r="U40"/>
  <c r="T40"/>
  <c r="S40"/>
  <c r="R40"/>
  <c r="Q40"/>
  <c r="P40"/>
  <c r="O40"/>
  <c r="N40"/>
  <c r="M40"/>
  <c r="L40"/>
  <c r="K40"/>
  <c r="J40"/>
  <c r="V39"/>
  <c r="U39"/>
  <c r="T39"/>
  <c r="S39"/>
  <c r="R39"/>
  <c r="Q39"/>
  <c r="P39"/>
  <c r="O39"/>
  <c r="N39"/>
  <c r="M39"/>
  <c r="L39"/>
  <c r="K39"/>
  <c r="J39"/>
  <c r="F38"/>
  <c r="V38"/>
  <c r="U38"/>
  <c r="T38"/>
  <c r="S38"/>
  <c r="R38"/>
  <c r="Q38"/>
  <c r="P38"/>
  <c r="O38"/>
  <c r="N38"/>
  <c r="M38"/>
  <c r="L38"/>
  <c r="K38"/>
  <c r="J38"/>
  <c r="V37"/>
  <c r="U37"/>
  <c r="T37"/>
  <c r="S37"/>
  <c r="R37"/>
  <c r="Q37"/>
  <c r="P37"/>
  <c r="O37"/>
  <c r="N37"/>
  <c r="M37"/>
  <c r="L37"/>
  <c r="K37"/>
  <c r="J37"/>
  <c r="V36"/>
  <c r="U36"/>
  <c r="T36"/>
  <c r="S36"/>
  <c r="R36"/>
  <c r="Q36"/>
  <c r="P36"/>
  <c r="O36"/>
  <c r="N36"/>
  <c r="M36"/>
  <c r="L36"/>
  <c r="K36"/>
  <c r="J36"/>
  <c r="V35"/>
  <c r="U35"/>
  <c r="T35"/>
  <c r="S35"/>
  <c r="R35"/>
  <c r="Q35"/>
  <c r="P35"/>
  <c r="O35"/>
  <c r="N35"/>
  <c r="M35"/>
  <c r="L35"/>
  <c r="K35"/>
  <c r="J35"/>
  <c r="F34"/>
  <c r="V34"/>
  <c r="U34"/>
  <c r="T34"/>
  <c r="S34"/>
  <c r="R34"/>
  <c r="Q34"/>
  <c r="P34"/>
  <c r="O34"/>
  <c r="N34"/>
  <c r="M34"/>
  <c r="L34"/>
  <c r="K34"/>
  <c r="J34"/>
  <c r="V33"/>
  <c r="U33"/>
  <c r="T33"/>
  <c r="S33"/>
  <c r="R33"/>
  <c r="Q33"/>
  <c r="P33"/>
  <c r="O33"/>
  <c r="N33"/>
  <c r="M33"/>
  <c r="L33"/>
  <c r="K33"/>
  <c r="J33"/>
  <c r="F32"/>
  <c r="V32"/>
  <c r="U32"/>
  <c r="T32"/>
  <c r="S32"/>
  <c r="R32"/>
  <c r="Q32"/>
  <c r="P32"/>
  <c r="O32"/>
  <c r="N32"/>
  <c r="M32"/>
  <c r="L32"/>
  <c r="K32"/>
  <c r="J32"/>
  <c r="F31"/>
  <c r="V31"/>
  <c r="U31"/>
  <c r="T31"/>
  <c r="S31"/>
  <c r="R31"/>
  <c r="Q31"/>
  <c r="P31"/>
  <c r="O31"/>
  <c r="N31"/>
  <c r="M31"/>
  <c r="L31"/>
  <c r="K31"/>
  <c r="J31"/>
  <c r="F30"/>
  <c r="V30"/>
  <c r="U30"/>
  <c r="T30"/>
  <c r="S30"/>
  <c r="R30"/>
  <c r="Q30"/>
  <c r="P30"/>
  <c r="O30"/>
  <c r="N30"/>
  <c r="M30"/>
  <c r="L30"/>
  <c r="K30"/>
  <c r="J30"/>
  <c r="F29"/>
  <c r="V29"/>
  <c r="U29"/>
  <c r="T29"/>
  <c r="S29"/>
  <c r="R29"/>
  <c r="Q29"/>
  <c r="P29"/>
  <c r="O29"/>
  <c r="N29"/>
  <c r="M29"/>
  <c r="L29"/>
  <c r="K29"/>
  <c r="J29"/>
  <c r="F28"/>
  <c r="V28"/>
  <c r="U28"/>
  <c r="T28"/>
  <c r="S28"/>
  <c r="R28"/>
  <c r="Q28"/>
  <c r="P28"/>
  <c r="O28"/>
  <c r="N28"/>
  <c r="M28"/>
  <c r="L28"/>
  <c r="K28"/>
  <c r="J28"/>
  <c r="F27"/>
  <c r="V27"/>
  <c r="U27"/>
  <c r="T27"/>
  <c r="S27"/>
  <c r="R27"/>
  <c r="Q27"/>
  <c r="P27"/>
  <c r="O27"/>
  <c r="N27"/>
  <c r="M27"/>
  <c r="L27"/>
  <c r="K27"/>
  <c r="J27"/>
  <c r="V26"/>
  <c r="U26"/>
  <c r="T26"/>
  <c r="S26"/>
  <c r="R26"/>
  <c r="Q26"/>
  <c r="P26"/>
  <c r="O26"/>
  <c r="N26"/>
  <c r="M26"/>
  <c r="L26"/>
  <c r="K26"/>
  <c r="J26"/>
  <c r="F25"/>
  <c r="V25"/>
  <c r="U25"/>
  <c r="T25"/>
  <c r="S25"/>
  <c r="R25"/>
  <c r="Q25"/>
  <c r="P25"/>
  <c r="O25"/>
  <c r="N25"/>
  <c r="M25"/>
  <c r="L25"/>
  <c r="K25"/>
  <c r="J25"/>
  <c r="V24"/>
  <c r="U24"/>
  <c r="T24"/>
  <c r="S24"/>
  <c r="R24"/>
  <c r="Q24"/>
  <c r="P24"/>
  <c r="O24"/>
  <c r="N24"/>
  <c r="M24"/>
  <c r="L24"/>
  <c r="K24"/>
  <c r="J24"/>
  <c r="F23"/>
  <c r="V23"/>
  <c r="U23"/>
  <c r="T23"/>
  <c r="S23"/>
  <c r="R23"/>
  <c r="Q23"/>
  <c r="P23"/>
  <c r="O23"/>
  <c r="N23"/>
  <c r="M23"/>
  <c r="L23"/>
  <c r="K23"/>
  <c r="J23"/>
  <c r="V22"/>
  <c r="U22"/>
  <c r="T22"/>
  <c r="S22"/>
  <c r="R22"/>
  <c r="Q22"/>
  <c r="P22"/>
  <c r="O22"/>
  <c r="N22"/>
  <c r="M22"/>
  <c r="L22"/>
  <c r="K22"/>
  <c r="J22"/>
  <c r="F21"/>
  <c r="V21"/>
  <c r="U21"/>
  <c r="T21"/>
  <c r="S21"/>
  <c r="R21"/>
  <c r="Q21"/>
  <c r="P21"/>
  <c r="O21"/>
  <c r="N21"/>
  <c r="M21"/>
  <c r="L21"/>
  <c r="K21"/>
  <c r="J21"/>
  <c r="V20"/>
  <c r="U20"/>
  <c r="T20"/>
  <c r="S20"/>
  <c r="R20"/>
  <c r="Q20"/>
  <c r="P20"/>
  <c r="O20"/>
  <c r="N20"/>
  <c r="M20"/>
  <c r="L20"/>
  <c r="K20"/>
  <c r="J20"/>
  <c r="F19"/>
  <c r="V19"/>
  <c r="U19"/>
  <c r="T19"/>
  <c r="S19"/>
  <c r="R19"/>
  <c r="Q19"/>
  <c r="P19"/>
  <c r="O19"/>
  <c r="N19"/>
  <c r="M19"/>
  <c r="L19"/>
  <c r="K19"/>
  <c r="J19"/>
  <c r="V18"/>
  <c r="U18"/>
  <c r="T18"/>
  <c r="S18"/>
  <c r="R18"/>
  <c r="Q18"/>
  <c r="P18"/>
  <c r="O18"/>
  <c r="N18"/>
  <c r="M18"/>
  <c r="L18"/>
  <c r="K18"/>
  <c r="J18"/>
  <c r="V17"/>
  <c r="U17"/>
  <c r="T17"/>
  <c r="S17"/>
  <c r="R17"/>
  <c r="Q17"/>
  <c r="P17"/>
  <c r="O17"/>
  <c r="N17"/>
  <c r="M17"/>
  <c r="L17"/>
  <c r="K17"/>
  <c r="J17"/>
  <c r="V16"/>
  <c r="U16"/>
  <c r="T16"/>
  <c r="S16"/>
  <c r="R16"/>
  <c r="Q16"/>
  <c r="P16"/>
  <c r="O16"/>
  <c r="N16"/>
  <c r="M16"/>
  <c r="L16"/>
  <c r="K16"/>
  <c r="J16"/>
  <c r="F15"/>
  <c r="V15"/>
  <c r="U15"/>
  <c r="T15"/>
  <c r="S15"/>
  <c r="R15"/>
  <c r="Q15"/>
  <c r="P15"/>
  <c r="O15"/>
  <c r="N15"/>
  <c r="M15"/>
  <c r="L15"/>
  <c r="K15"/>
  <c r="J15"/>
  <c r="V14"/>
  <c r="U14"/>
  <c r="T14"/>
  <c r="S14"/>
  <c r="R14"/>
  <c r="Q14"/>
  <c r="P14"/>
  <c r="O14"/>
  <c r="N14"/>
  <c r="M14"/>
  <c r="L14"/>
  <c r="K14"/>
  <c r="J14"/>
  <c r="V13"/>
  <c r="U13"/>
  <c r="T13"/>
  <c r="S13"/>
  <c r="R13"/>
  <c r="Q13"/>
  <c r="P13"/>
  <c r="O13"/>
  <c r="N13"/>
  <c r="M13"/>
  <c r="L13"/>
  <c r="K13"/>
  <c r="J13"/>
  <c r="V12"/>
  <c r="U12"/>
  <c r="T12"/>
  <c r="S12"/>
  <c r="R12"/>
  <c r="Q12"/>
  <c r="P12"/>
  <c r="O12"/>
  <c r="N12"/>
  <c r="M12"/>
  <c r="L12"/>
  <c r="K12"/>
  <c r="J12"/>
  <c r="V11"/>
  <c r="U11"/>
  <c r="T11"/>
  <c r="S11"/>
  <c r="R11"/>
  <c r="Q11"/>
  <c r="P11"/>
  <c r="O11"/>
  <c r="N11"/>
  <c r="M11"/>
  <c r="L11"/>
  <c r="K11"/>
  <c r="J11"/>
  <c r="V10"/>
  <c r="U10"/>
  <c r="T10"/>
  <c r="S10"/>
  <c r="R10"/>
  <c r="Q10"/>
  <c r="P10"/>
  <c r="O10"/>
  <c r="N10"/>
  <c r="M10"/>
  <c r="L10"/>
  <c r="K10"/>
  <c r="J10"/>
  <c r="V9"/>
  <c r="U9"/>
  <c r="T9"/>
  <c r="S9"/>
  <c r="R9"/>
  <c r="Q9"/>
  <c r="P9"/>
  <c r="O9"/>
  <c r="N9"/>
  <c r="M9"/>
  <c r="L9"/>
  <c r="K9"/>
  <c r="J9"/>
  <c r="V8"/>
  <c r="U8"/>
  <c r="T8"/>
  <c r="S8"/>
  <c r="R8"/>
  <c r="Q8"/>
  <c r="P8"/>
  <c r="O8"/>
  <c r="N8"/>
  <c r="M8"/>
  <c r="L8"/>
  <c r="K8"/>
  <c r="J8"/>
  <c r="V7"/>
  <c r="U7"/>
  <c r="T7"/>
  <c r="S7"/>
  <c r="R7"/>
  <c r="Q7"/>
  <c r="P7"/>
  <c r="O7"/>
  <c r="N7"/>
  <c r="M7"/>
  <c r="L7"/>
  <c r="K7"/>
  <c r="J7"/>
  <c r="V6"/>
  <c r="U6"/>
  <c r="T6"/>
  <c r="S6"/>
  <c r="R6"/>
  <c r="Q6"/>
  <c r="P6"/>
  <c r="O6"/>
  <c r="N6"/>
  <c r="M6"/>
  <c r="L6"/>
  <c r="K6"/>
  <c r="J6"/>
  <c r="F5"/>
  <c r="V5"/>
  <c r="U5"/>
  <c r="T5"/>
  <c r="S5"/>
  <c r="R5"/>
  <c r="Q5"/>
  <c r="P5"/>
  <c r="O5"/>
  <c r="N5"/>
  <c r="M5"/>
  <c r="L5"/>
  <c r="K5"/>
  <c r="J5"/>
  <c r="V4"/>
  <c r="U4"/>
  <c r="T4"/>
  <c r="S4"/>
  <c r="R4"/>
  <c r="Q4"/>
  <c r="P4"/>
  <c r="O4"/>
  <c r="N4"/>
  <c r="M4"/>
  <c r="L4"/>
  <c r="K4"/>
  <c r="J4"/>
  <c r="V3"/>
  <c r="U3"/>
  <c r="T3"/>
  <c r="S3"/>
  <c r="R3"/>
  <c r="Q3"/>
  <c r="P3"/>
  <c r="O3"/>
  <c r="N3"/>
  <c r="M3"/>
  <c r="L3"/>
  <c r="K3"/>
  <c r="J3"/>
  <c r="V2"/>
  <c r="U2"/>
  <c r="T2"/>
  <c r="S2"/>
  <c r="R2"/>
  <c r="Q2"/>
  <c r="P2"/>
  <c r="O2"/>
  <c r="N2"/>
  <c r="M2"/>
  <c r="L2"/>
  <c r="K2"/>
  <c r="J2"/>
  <c r="C46" i="1"/>
  <c r="E46" a="1"/>
  <c r="E46" s="1"/>
  <c r="C45"/>
  <c r="F45" s="1"/>
  <c r="C44"/>
  <c r="D44" a="1"/>
  <c r="D44" s="1"/>
  <c r="C43"/>
  <c r="F43" s="1"/>
  <c r="C42"/>
  <c r="D42" a="1"/>
  <c r="D42" s="1"/>
  <c r="C41"/>
  <c r="D41" a="1"/>
  <c r="D41" s="1"/>
  <c r="E41" a="1"/>
  <c r="E41" s="1"/>
  <c r="C39"/>
  <c r="F39" s="1"/>
  <c r="C38"/>
  <c r="F38" s="1"/>
  <c r="C37"/>
  <c r="D37" a="1"/>
  <c r="D37" s="1"/>
  <c r="E37" a="1"/>
  <c r="E37" s="1"/>
  <c r="C36"/>
  <c r="E36" a="1"/>
  <c r="E36" s="1"/>
  <c r="F33"/>
  <c r="C31"/>
  <c r="C32"/>
  <c r="C33"/>
  <c r="F32"/>
  <c r="F31"/>
  <c r="E31"/>
  <c r="E24"/>
  <c r="D24"/>
  <c r="C24"/>
  <c r="E4" i="11" l="1"/>
  <c r="R71" i="9"/>
  <c r="M38" i="20"/>
  <c r="Q2" i="9"/>
  <c r="R2" s="1"/>
  <c r="Y5" i="20"/>
  <c r="W5"/>
  <c r="U5"/>
  <c r="S5"/>
  <c r="Q5"/>
  <c r="O5"/>
  <c r="L5"/>
  <c r="X5"/>
  <c r="V5"/>
  <c r="T5"/>
  <c r="R5"/>
  <c r="P5"/>
  <c r="N5"/>
  <c r="K5"/>
  <c r="F35" i="2"/>
  <c r="A104" i="9"/>
  <c r="AD4" i="11"/>
  <c r="A105" i="9"/>
  <c r="R4" i="11"/>
  <c r="Z4"/>
  <c r="AC4"/>
  <c r="K55" i="9"/>
  <c r="L55" s="1"/>
  <c r="G55" i="19" s="1"/>
  <c r="P4" i="11"/>
  <c r="A154" i="9"/>
  <c r="A146"/>
  <c r="K47"/>
  <c r="L47" s="1"/>
  <c r="G47" i="19" s="1"/>
  <c r="M48" i="20"/>
  <c r="A149" i="9"/>
  <c r="A138"/>
  <c r="D93" i="3"/>
  <c r="E91"/>
  <c r="A129" i="9"/>
  <c r="O4" i="11"/>
  <c r="A147" i="9"/>
  <c r="A145"/>
  <c r="K39"/>
  <c r="L39" s="1"/>
  <c r="G39" i="19" s="1"/>
  <c r="K51" i="9"/>
  <c r="L51" s="1"/>
  <c r="G51" i="19" s="1"/>
  <c r="K59" i="9"/>
  <c r="L59" s="1"/>
  <c r="G59" i="19" s="1"/>
  <c r="A141" i="9"/>
  <c r="A152"/>
  <c r="A117"/>
  <c r="A151"/>
  <c r="V4" i="11"/>
  <c r="A120" i="9"/>
  <c r="M51" i="20"/>
  <c r="A148" i="9"/>
  <c r="A153"/>
  <c r="A150"/>
  <c r="L35"/>
  <c r="G35" i="19" s="1"/>
  <c r="K43" i="9"/>
  <c r="L43" s="1"/>
  <c r="G43" i="19" s="1"/>
  <c r="K30" i="9"/>
  <c r="L30" s="1"/>
  <c r="U27" i="25"/>
  <c r="G75" i="3"/>
  <c r="G77"/>
  <c r="G78"/>
  <c r="G79"/>
  <c r="G80"/>
  <c r="G81"/>
  <c r="G82"/>
  <c r="G83"/>
  <c r="F99"/>
  <c r="AP4" i="11"/>
  <c r="K27" i="9"/>
  <c r="L27" s="1"/>
  <c r="G27" i="19" s="1"/>
  <c r="R75" i="9"/>
  <c r="R83"/>
  <c r="R84"/>
  <c r="R85"/>
  <c r="R86"/>
  <c r="R87"/>
  <c r="R88"/>
  <c r="R90"/>
  <c r="R95"/>
  <c r="L94"/>
  <c r="G94" i="19" s="1"/>
  <c r="I94" s="1"/>
  <c r="L89" i="9"/>
  <c r="G89" i="19" s="1"/>
  <c r="I89" s="1"/>
  <c r="L91" i="9"/>
  <c r="G91" i="19" s="1"/>
  <c r="I91" s="1"/>
  <c r="L95" i="9"/>
  <c r="G95" i="19" s="1"/>
  <c r="I95" s="1"/>
  <c r="A111" i="9"/>
  <c r="A143"/>
  <c r="A142"/>
  <c r="A108"/>
  <c r="K5"/>
  <c r="L5" s="1"/>
  <c r="G5" i="19" s="1"/>
  <c r="T4" i="11"/>
  <c r="R69" i="9"/>
  <c r="R73"/>
  <c r="R77"/>
  <c r="R81"/>
  <c r="R92"/>
  <c r="R93"/>
  <c r="K29"/>
  <c r="L29" s="1"/>
  <c r="G29" i="19" s="1"/>
  <c r="G76" i="3"/>
  <c r="N4" i="11"/>
  <c r="I4"/>
  <c r="K32" i="9"/>
  <c r="L32" s="1"/>
  <c r="G32" i="19" s="1"/>
  <c r="G64" i="3"/>
  <c r="G65"/>
  <c r="G66"/>
  <c r="G67"/>
  <c r="G68"/>
  <c r="G69"/>
  <c r="G70"/>
  <c r="G71"/>
  <c r="G72"/>
  <c r="G73"/>
  <c r="G11"/>
  <c r="K12" i="25" s="1"/>
  <c r="M12" s="1"/>
  <c r="G99" i="3"/>
  <c r="AL4" i="11"/>
  <c r="AM4"/>
  <c r="AH4"/>
  <c r="K19" i="9"/>
  <c r="G74" i="3"/>
  <c r="F92"/>
  <c r="A137" i="9"/>
  <c r="S32" i="25"/>
  <c r="A109" i="9"/>
  <c r="U32" i="25"/>
  <c r="G97" i="3"/>
  <c r="D4" i="11"/>
  <c r="Q4"/>
  <c r="J4"/>
  <c r="G4"/>
  <c r="K2" i="9"/>
  <c r="L2" s="1"/>
  <c r="K6"/>
  <c r="L6" s="1"/>
  <c r="AQ51" i="11"/>
  <c r="AI51"/>
  <c r="A139" i="9"/>
  <c r="AN4" i="11"/>
  <c r="C163" i="9"/>
  <c r="S62" i="25"/>
  <c r="U62" s="1"/>
  <c r="C162" i="9"/>
  <c r="S61" i="25"/>
  <c r="U61" s="1"/>
  <c r="C161" i="9"/>
  <c r="S60" i="25"/>
  <c r="U60" s="1"/>
  <c r="C160" i="9"/>
  <c r="S59" i="25"/>
  <c r="U59" s="1"/>
  <c r="C159" i="9"/>
  <c r="S58" i="25"/>
  <c r="U58" s="1"/>
  <c r="C158" i="9"/>
  <c r="S57" i="25"/>
  <c r="U57" s="1"/>
  <c r="C157" i="9"/>
  <c r="S56" i="25"/>
  <c r="U56" s="1"/>
  <c r="C156" i="9"/>
  <c r="S55" i="25"/>
  <c r="U55" s="1"/>
  <c r="C155" i="9"/>
  <c r="S54" i="25"/>
  <c r="U54" s="1"/>
  <c r="C110" i="9"/>
  <c r="S53" i="25"/>
  <c r="U53" s="1"/>
  <c r="C114" i="9"/>
  <c r="S52" i="25"/>
  <c r="U52" s="1"/>
  <c r="C131" i="9"/>
  <c r="S51" i="25"/>
  <c r="U51" s="1"/>
  <c r="C119" i="9"/>
  <c r="S50" i="25"/>
  <c r="U50" s="1"/>
  <c r="C120" i="9"/>
  <c r="S49" i="25"/>
  <c r="U49" s="1"/>
  <c r="C121" i="9"/>
  <c r="S48" i="25"/>
  <c r="U48" s="1"/>
  <c r="C141" i="9"/>
  <c r="S47" i="25"/>
  <c r="U47" s="1"/>
  <c r="C104" i="9"/>
  <c r="S46" i="25"/>
  <c r="U46" s="1"/>
  <c r="C148" i="9"/>
  <c r="S45" i="25"/>
  <c r="U45" s="1"/>
  <c r="C154" i="9"/>
  <c r="S44" i="25"/>
  <c r="U44" s="1"/>
  <c r="C153" i="9"/>
  <c r="S43" i="25"/>
  <c r="U43" s="1"/>
  <c r="C149" i="9"/>
  <c r="S42" i="25"/>
  <c r="U42" s="1"/>
  <c r="C152" i="9"/>
  <c r="S41" i="25"/>
  <c r="U41" s="1"/>
  <c r="C151" i="9"/>
  <c r="S40" i="25"/>
  <c r="U40" s="1"/>
  <c r="C150" i="9"/>
  <c r="S39" i="25"/>
  <c r="U39" s="1"/>
  <c r="C144" i="9"/>
  <c r="S38" i="25"/>
  <c r="U38" s="1"/>
  <c r="C143" i="9"/>
  <c r="S37" i="25"/>
  <c r="U37" s="1"/>
  <c r="C142" i="9"/>
  <c r="S36" i="25"/>
  <c r="U36" s="1"/>
  <c r="C140" i="9"/>
  <c r="S35" i="25"/>
  <c r="U35" s="1"/>
  <c r="C139" i="9"/>
  <c r="S34" i="25"/>
  <c r="U34" s="1"/>
  <c r="C138" i="9"/>
  <c r="S33" i="25"/>
  <c r="U33" s="1"/>
  <c r="C136" i="9"/>
  <c r="S31" i="25"/>
  <c r="U31" s="1"/>
  <c r="C134" i="9"/>
  <c r="S29" i="25"/>
  <c r="U29" s="1"/>
  <c r="C133" i="9"/>
  <c r="S28" i="25"/>
  <c r="U28" s="1"/>
  <c r="C130" i="9"/>
  <c r="S26" i="25"/>
  <c r="U26" s="1"/>
  <c r="C129" i="9"/>
  <c r="S25" i="25"/>
  <c r="U25" s="1"/>
  <c r="C128" i="9"/>
  <c r="S24" i="25"/>
  <c r="U24" s="1"/>
  <c r="C127" i="9"/>
  <c r="S23" i="25"/>
  <c r="U23" s="1"/>
  <c r="C126" i="9"/>
  <c r="S22" i="25"/>
  <c r="U22" s="1"/>
  <c r="C125" i="9"/>
  <c r="S21" i="25"/>
  <c r="U21" s="1"/>
  <c r="C124" i="9"/>
  <c r="S20" i="25"/>
  <c r="U20" s="1"/>
  <c r="C123" i="9"/>
  <c r="S19" i="25"/>
  <c r="U19" s="1"/>
  <c r="C122" i="9"/>
  <c r="S18" i="25"/>
  <c r="U18" s="1"/>
  <c r="C118" i="9"/>
  <c r="S17" i="25"/>
  <c r="U17" s="1"/>
  <c r="C117" i="9"/>
  <c r="S16" i="25"/>
  <c r="U16" s="1"/>
  <c r="C145" i="9"/>
  <c r="S15" i="25"/>
  <c r="U15" s="1"/>
  <c r="C146" i="9"/>
  <c r="S14" i="25"/>
  <c r="U14" s="1"/>
  <c r="C147" i="9"/>
  <c r="S13" i="25"/>
  <c r="U13" s="1"/>
  <c r="C116" i="9"/>
  <c r="S12" i="25"/>
  <c r="U12" s="1"/>
  <c r="C115" i="9"/>
  <c r="S11" i="25"/>
  <c r="U11" s="1"/>
  <c r="C113" i="9"/>
  <c r="S10" i="25"/>
  <c r="U10" s="1"/>
  <c r="C112" i="9"/>
  <c r="S9" i="25"/>
  <c r="U9" s="1"/>
  <c r="C111" i="9"/>
  <c r="S8" i="25"/>
  <c r="U8" s="1"/>
  <c r="C109" i="9"/>
  <c r="S7" i="25"/>
  <c r="U7" s="1"/>
  <c r="C108" i="9"/>
  <c r="S6" i="25"/>
  <c r="U6" s="1"/>
  <c r="C107" i="9"/>
  <c r="S5" i="25"/>
  <c r="U5" s="1"/>
  <c r="C106" i="9"/>
  <c r="S4" i="25"/>
  <c r="U4" s="1"/>
  <c r="C105" i="9"/>
  <c r="S3" i="25"/>
  <c r="U3" s="1"/>
  <c r="C135" i="9"/>
  <c r="S30" i="25"/>
  <c r="U30" s="1"/>
  <c r="E2" i="4"/>
  <c r="F2" s="1"/>
  <c r="G2" s="1"/>
  <c r="H2" s="1"/>
  <c r="A144" i="9"/>
  <c r="K37"/>
  <c r="L37" s="1"/>
  <c r="G37" i="19" s="1"/>
  <c r="G20" i="3"/>
  <c r="K21" i="25" s="1"/>
  <c r="M21" s="1"/>
  <c r="L92" i="9"/>
  <c r="G92" i="19" s="1"/>
  <c r="I92" s="1"/>
  <c r="G9" i="3"/>
  <c r="K10" i="25" s="1"/>
  <c r="M10" s="1"/>
  <c r="Y4" i="11"/>
  <c r="F17" i="2"/>
  <c r="G22" i="3"/>
  <c r="K23" i="25" s="1"/>
  <c r="M23" s="1"/>
  <c r="G95" i="3"/>
  <c r="G91"/>
  <c r="G93"/>
  <c r="F98"/>
  <c r="E99"/>
  <c r="L9" i="9"/>
  <c r="G9" i="19" s="1"/>
  <c r="L13" i="9"/>
  <c r="G13" i="19" s="1"/>
  <c r="L19" i="9"/>
  <c r="G19" i="19" s="1"/>
  <c r="L31" i="9"/>
  <c r="G31" i="19" s="1"/>
  <c r="L90" i="9"/>
  <c r="G90" i="19" s="1"/>
  <c r="I90" s="1"/>
  <c r="G90" i="3"/>
  <c r="C100"/>
  <c r="F2" i="2"/>
  <c r="F4"/>
  <c r="F6"/>
  <c r="F8"/>
  <c r="F10"/>
  <c r="F12"/>
  <c r="F14"/>
  <c r="F16"/>
  <c r="F18"/>
  <c r="F20"/>
  <c r="F22"/>
  <c r="F24"/>
  <c r="AO5" i="11"/>
  <c r="G30" i="3"/>
  <c r="K31" i="25" s="1"/>
  <c r="M31" s="1"/>
  <c r="G33" i="3"/>
  <c r="K34" i="25" s="1"/>
  <c r="M34" s="1"/>
  <c r="G34" i="3"/>
  <c r="K35" i="25" s="1"/>
  <c r="M35" s="1"/>
  <c r="G35" i="3"/>
  <c r="K36" i="25" s="1"/>
  <c r="M36" s="1"/>
  <c r="G36" i="3"/>
  <c r="K37" i="25" s="1"/>
  <c r="M37" s="1"/>
  <c r="G37" i="3"/>
  <c r="K38" i="25" s="1"/>
  <c r="M38" s="1"/>
  <c r="G38" i="3"/>
  <c r="K39" i="25" s="1"/>
  <c r="M39" s="1"/>
  <c r="G39" i="3"/>
  <c r="K40" i="25" s="1"/>
  <c r="M40" s="1"/>
  <c r="G40" i="3"/>
  <c r="K41" i="25" s="1"/>
  <c r="M41" s="1"/>
  <c r="G41" i="3"/>
  <c r="K42" i="25" s="1"/>
  <c r="M42" s="1"/>
  <c r="G42" i="3"/>
  <c r="K43" i="25" s="1"/>
  <c r="M43" s="1"/>
  <c r="G43" i="3"/>
  <c r="K44" i="25" s="1"/>
  <c r="M44" s="1"/>
  <c r="G44" i="3"/>
  <c r="K45" i="25" s="1"/>
  <c r="M45" s="1"/>
  <c r="G45" i="3"/>
  <c r="K46" i="25" s="1"/>
  <c r="M46" s="1"/>
  <c r="G46" i="3"/>
  <c r="K47" i="25" s="1"/>
  <c r="M47" s="1"/>
  <c r="G47" i="3"/>
  <c r="K48" i="25" s="1"/>
  <c r="M48" s="1"/>
  <c r="G48" i="3"/>
  <c r="K49" i="25" s="1"/>
  <c r="M49" s="1"/>
  <c r="G49" i="3"/>
  <c r="K50" i="25" s="1"/>
  <c r="M50" s="1"/>
  <c r="G50" i="3"/>
  <c r="K51" i="25" s="1"/>
  <c r="M51" s="1"/>
  <c r="G51" i="3"/>
  <c r="K52" i="25" s="1"/>
  <c r="M52" s="1"/>
  <c r="G52" i="3"/>
  <c r="K53" i="25" s="1"/>
  <c r="M53" s="1"/>
  <c r="G53" i="3"/>
  <c r="K54" i="25" s="1"/>
  <c r="M54" s="1"/>
  <c r="G54" i="3"/>
  <c r="K55" i="25" s="1"/>
  <c r="M55" s="1"/>
  <c r="G55" i="3"/>
  <c r="K56" i="25" s="1"/>
  <c r="M56" s="1"/>
  <c r="G56" i="3"/>
  <c r="K57" i="25" s="1"/>
  <c r="M57" s="1"/>
  <c r="G57" i="3"/>
  <c r="K58" i="25" s="1"/>
  <c r="M58" s="1"/>
  <c r="G58" i="3"/>
  <c r="K59" i="25" s="1"/>
  <c r="M59" s="1"/>
  <c r="G59" i="3"/>
  <c r="K60" i="25" s="1"/>
  <c r="M60" s="1"/>
  <c r="G60" i="3"/>
  <c r="K61" i="25" s="1"/>
  <c r="M61" s="1"/>
  <c r="G61" i="3"/>
  <c r="K62" i="25" s="1"/>
  <c r="M62" s="1"/>
  <c r="G62" i="3"/>
  <c r="G85"/>
  <c r="G86"/>
  <c r="G87"/>
  <c r="G88"/>
  <c r="G92"/>
  <c r="G94"/>
  <c r="G96"/>
  <c r="G98"/>
  <c r="G100"/>
  <c r="G12"/>
  <c r="K13" i="25" s="1"/>
  <c r="M13" s="1"/>
  <c r="G27" i="3"/>
  <c r="K28" i="25" s="1"/>
  <c r="M28" s="1"/>
  <c r="G19" i="3"/>
  <c r="K20" i="25" s="1"/>
  <c r="M20" s="1"/>
  <c r="D78" i="3"/>
  <c r="E81"/>
  <c r="E84"/>
  <c r="F86"/>
  <c r="D87"/>
  <c r="E88"/>
  <c r="E89"/>
  <c r="F90"/>
  <c r="C91"/>
  <c r="E93"/>
  <c r="E94"/>
  <c r="C95"/>
  <c r="E95"/>
  <c r="D96"/>
  <c r="E100"/>
  <c r="C89"/>
  <c r="D88"/>
  <c r="K4" i="9"/>
  <c r="L4" s="1"/>
  <c r="G4" i="19" s="1"/>
  <c r="K8" i="9"/>
  <c r="L8" s="1"/>
  <c r="G8" i="19" s="1"/>
  <c r="K11" i="9"/>
  <c r="L11" s="1"/>
  <c r="G11" i="19" s="1"/>
  <c r="K15" i="9"/>
  <c r="L15" s="1"/>
  <c r="G15" i="19" s="1"/>
  <c r="G31" i="3"/>
  <c r="K32" i="25" s="1"/>
  <c r="M32" s="1"/>
  <c r="G17" i="3"/>
  <c r="K18" i="25" s="1"/>
  <c r="M18" s="1"/>
  <c r="F26" i="2"/>
  <c r="G3" i="3"/>
  <c r="K4" i="25" s="1"/>
  <c r="M4" s="1"/>
  <c r="G84" i="3"/>
  <c r="G24"/>
  <c r="K25" i="25" s="1"/>
  <c r="M25" s="1"/>
  <c r="G15" i="3"/>
  <c r="K16" i="25" s="1"/>
  <c r="M16" s="1"/>
  <c r="G7" i="3"/>
  <c r="K8" i="25" s="1"/>
  <c r="M8" s="1"/>
  <c r="G63" i="3"/>
  <c r="I5" i="11"/>
  <c r="F42" i="1"/>
  <c r="AK5" i="11"/>
  <c r="AN6"/>
  <c r="J6"/>
  <c r="AH6"/>
  <c r="F5"/>
  <c r="D5"/>
  <c r="Z5"/>
  <c r="V5"/>
  <c r="AD5"/>
  <c r="AM5"/>
  <c r="K7" i="9"/>
  <c r="L7" s="1"/>
  <c r="G7" i="19" s="1"/>
  <c r="E99" i="2"/>
  <c r="W6" i="11"/>
  <c r="G5"/>
  <c r="R5"/>
  <c r="N5"/>
  <c r="W5"/>
  <c r="AH5"/>
  <c r="AB5"/>
  <c r="F36" i="1"/>
  <c r="K23" i="9"/>
  <c r="L23" s="1"/>
  <c r="G23" i="19" s="1"/>
  <c r="K3" i="9"/>
  <c r="L3" s="1"/>
  <c r="G3" i="19" s="1"/>
  <c r="K10" i="9"/>
  <c r="L10" s="1"/>
  <c r="G10" i="19" s="1"/>
  <c r="K12" i="9"/>
  <c r="L12" s="1"/>
  <c r="G12" i="19" s="1"/>
  <c r="K14" i="9"/>
  <c r="L14" s="1"/>
  <c r="G14" i="19" s="1"/>
  <c r="K17" i="9"/>
  <c r="L17" s="1"/>
  <c r="G17" i="19" s="1"/>
  <c r="K21" i="9"/>
  <c r="L21" s="1"/>
  <c r="G21" i="19" s="1"/>
  <c r="K25" i="9"/>
  <c r="L25" s="1"/>
  <c r="G25" i="19" s="1"/>
  <c r="K33" i="9"/>
  <c r="L33" s="1"/>
  <c r="G33" i="19" s="1"/>
  <c r="K41" i="9"/>
  <c r="L41" s="1"/>
  <c r="G41" i="19" s="1"/>
  <c r="K45" i="9"/>
  <c r="L45" s="1"/>
  <c r="G45" i="19" s="1"/>
  <c r="K49" i="9"/>
  <c r="L49" s="1"/>
  <c r="G49" i="19" s="1"/>
  <c r="K53" i="9"/>
  <c r="L53" s="1"/>
  <c r="G53" i="19" s="1"/>
  <c r="K57" i="9"/>
  <c r="L57" s="1"/>
  <c r="G57" i="19" s="1"/>
  <c r="K61" i="9"/>
  <c r="L61" s="1"/>
  <c r="G61" i="19" s="1"/>
  <c r="K16" i="9"/>
  <c r="L16" s="1"/>
  <c r="G16" i="19" s="1"/>
  <c r="K18" i="9"/>
  <c r="L18" s="1"/>
  <c r="G18" i="19" s="1"/>
  <c r="K20" i="9"/>
  <c r="L20" s="1"/>
  <c r="G20" i="19" s="1"/>
  <c r="K22" i="9"/>
  <c r="L22" s="1"/>
  <c r="G22" i="19" s="1"/>
  <c r="K24" i="9"/>
  <c r="L24" s="1"/>
  <c r="G24" i="19" s="1"/>
  <c r="K26" i="9"/>
  <c r="K28"/>
  <c r="L28" s="1"/>
  <c r="G28" i="19" s="1"/>
  <c r="K34" i="9"/>
  <c r="L34" s="1"/>
  <c r="G34" i="19" s="1"/>
  <c r="K36" i="9"/>
  <c r="L36" s="1"/>
  <c r="G36" i="19" s="1"/>
  <c r="K38" i="9"/>
  <c r="L38" s="1"/>
  <c r="G38" i="19" s="1"/>
  <c r="K40" i="9"/>
  <c r="L40" s="1"/>
  <c r="G40" i="19" s="1"/>
  <c r="K42" i="9"/>
  <c r="L42" s="1"/>
  <c r="G42" i="19" s="1"/>
  <c r="K44" i="9"/>
  <c r="L44" s="1"/>
  <c r="G44" i="19" s="1"/>
  <c r="K46" i="9"/>
  <c r="L46" s="1"/>
  <c r="G46" i="19" s="1"/>
  <c r="K48" i="9"/>
  <c r="L48" s="1"/>
  <c r="G48" i="19" s="1"/>
  <c r="K50" i="9"/>
  <c r="L50" s="1"/>
  <c r="G50" i="19" s="1"/>
  <c r="K52" i="9"/>
  <c r="L52" s="1"/>
  <c r="G52" i="19" s="1"/>
  <c r="K54" i="9"/>
  <c r="L54" s="1"/>
  <c r="G54" i="19" s="1"/>
  <c r="K56" i="9"/>
  <c r="L56" s="1"/>
  <c r="G56" i="19" s="1"/>
  <c r="K58" i="9"/>
  <c r="L58" s="1"/>
  <c r="G58" i="19" s="1"/>
  <c r="K60" i="9"/>
  <c r="L60" s="1"/>
  <c r="G60" i="19" s="1"/>
  <c r="F46" i="1"/>
  <c r="Q6" i="11"/>
  <c r="P5"/>
  <c r="C30" i="1"/>
  <c r="D32" s="1"/>
  <c r="E6" i="11"/>
  <c r="F44" i="1"/>
  <c r="G6" i="11"/>
  <c r="AD6"/>
  <c r="E5"/>
  <c r="O6"/>
  <c r="T6"/>
  <c r="AP6"/>
  <c r="AL6"/>
  <c r="AP5"/>
  <c r="AN5"/>
  <c r="AL5"/>
  <c r="F41" i="1"/>
  <c r="F37"/>
  <c r="F6" i="11"/>
  <c r="D6"/>
  <c r="Z6"/>
  <c r="V6"/>
  <c r="AE6"/>
  <c r="AC6"/>
  <c r="J5"/>
  <c r="Q5"/>
  <c r="O5"/>
  <c r="T5"/>
  <c r="AE5"/>
  <c r="AC5"/>
  <c r="I6"/>
  <c r="R6"/>
  <c r="P6"/>
  <c r="N6"/>
  <c r="AO6"/>
  <c r="AM6"/>
  <c r="AK6"/>
  <c r="AF6"/>
  <c r="AF5"/>
  <c r="M4"/>
  <c r="M6"/>
  <c r="M5"/>
  <c r="S9"/>
  <c r="S13"/>
  <c r="S15"/>
  <c r="S19"/>
  <c r="S30"/>
  <c r="S32"/>
  <c r="S36"/>
  <c r="S42"/>
  <c r="S44"/>
  <c r="S50"/>
  <c r="S10"/>
  <c r="S14"/>
  <c r="S16"/>
  <c r="S22"/>
  <c r="S31"/>
  <c r="S35"/>
  <c r="S39"/>
  <c r="S43"/>
  <c r="S47"/>
  <c r="S51"/>
  <c r="L4"/>
  <c r="L5"/>
  <c r="L6"/>
  <c r="D98" i="3"/>
  <c r="E60"/>
  <c r="F79"/>
  <c r="C83"/>
  <c r="E85"/>
  <c r="G3" i="2"/>
  <c r="R72" i="9"/>
  <c r="G72" i="2"/>
  <c r="R76" i="9"/>
  <c r="G76" i="2"/>
  <c r="R80" i="9"/>
  <c r="G80" i="2"/>
  <c r="R70" i="9"/>
  <c r="G70" i="2"/>
  <c r="R74" i="9"/>
  <c r="G74" i="2"/>
  <c r="R78" i="9"/>
  <c r="G78" i="2"/>
  <c r="R82" i="9"/>
  <c r="G82" i="2"/>
  <c r="K62" i="9"/>
  <c r="L62" s="1"/>
  <c r="G62" i="19" s="1"/>
  <c r="I62" s="1"/>
  <c r="K63" i="9"/>
  <c r="L63" s="1"/>
  <c r="K64"/>
  <c r="L64" s="1"/>
  <c r="G64" i="19" s="1"/>
  <c r="I64" s="1"/>
  <c r="K65" i="9"/>
  <c r="L65" s="1"/>
  <c r="G65" i="19" s="1"/>
  <c r="I65" s="1"/>
  <c r="K66" i="9"/>
  <c r="L66" s="1"/>
  <c r="G66" i="19" s="1"/>
  <c r="I66" s="1"/>
  <c r="K67" i="9"/>
  <c r="L67" s="1"/>
  <c r="G67" i="19" s="1"/>
  <c r="I67" s="1"/>
  <c r="K68" i="9"/>
  <c r="L68" s="1"/>
  <c r="G68" i="19" s="1"/>
  <c r="I68" s="1"/>
  <c r="K69" i="9"/>
  <c r="L69" s="1"/>
  <c r="G69" i="19" s="1"/>
  <c r="I69" s="1"/>
  <c r="K70" i="9"/>
  <c r="L70" s="1"/>
  <c r="G70" i="19" s="1"/>
  <c r="I70" s="1"/>
  <c r="K71" i="9"/>
  <c r="L71" s="1"/>
  <c r="G71" i="19" s="1"/>
  <c r="I71" s="1"/>
  <c r="K72" i="9"/>
  <c r="L72" s="1"/>
  <c r="G72" i="19" s="1"/>
  <c r="I72" s="1"/>
  <c r="K73" i="9"/>
  <c r="L73" s="1"/>
  <c r="G73" i="19" s="1"/>
  <c r="I73" s="1"/>
  <c r="K74" i="9"/>
  <c r="L74" s="1"/>
  <c r="G74" i="19" s="1"/>
  <c r="I74" s="1"/>
  <c r="K75" i="9"/>
  <c r="L75" s="1"/>
  <c r="G75" i="19" s="1"/>
  <c r="I75" s="1"/>
  <c r="K76" i="9"/>
  <c r="L76" s="1"/>
  <c r="G76" i="19" s="1"/>
  <c r="I76" s="1"/>
  <c r="K77" i="9"/>
  <c r="L77" s="1"/>
  <c r="G77" i="19" s="1"/>
  <c r="I77" s="1"/>
  <c r="K78" i="9"/>
  <c r="L78" s="1"/>
  <c r="G78" i="19" s="1"/>
  <c r="I78" s="1"/>
  <c r="K79" i="9"/>
  <c r="L79" s="1"/>
  <c r="G79" i="19" s="1"/>
  <c r="I79" s="1"/>
  <c r="K80" i="9"/>
  <c r="L80" s="1"/>
  <c r="G80" i="19" s="1"/>
  <c r="I80" s="1"/>
  <c r="K81" i="9"/>
  <c r="L81" s="1"/>
  <c r="K82"/>
  <c r="L82" s="1"/>
  <c r="G82" i="19" s="1"/>
  <c r="I82" s="1"/>
  <c r="K83" i="9"/>
  <c r="L83" s="1"/>
  <c r="G83" i="19" s="1"/>
  <c r="I83" s="1"/>
  <c r="K84" i="9"/>
  <c r="L84" s="1"/>
  <c r="G84" i="19" s="1"/>
  <c r="I84" s="1"/>
  <c r="K85" i="9"/>
  <c r="L85" s="1"/>
  <c r="G85" i="19" s="1"/>
  <c r="I85" s="1"/>
  <c r="K86" i="9"/>
  <c r="L86" s="1"/>
  <c r="G86" i="19" s="1"/>
  <c r="I86" s="1"/>
  <c r="K87" i="9"/>
  <c r="L87" s="1"/>
  <c r="G87" i="19" s="1"/>
  <c r="I87" s="1"/>
  <c r="K88" i="9"/>
  <c r="L88" s="1"/>
  <c r="G88" i="19" s="1"/>
  <c r="I88" s="1"/>
  <c r="W6" i="9"/>
  <c r="X6"/>
  <c r="G89" i="2"/>
  <c r="R89" i="9"/>
  <c r="G94" i="2"/>
  <c r="R94" i="9"/>
  <c r="G98" i="2"/>
  <c r="R98" i="9"/>
  <c r="R4"/>
  <c r="G4" i="2"/>
  <c r="R91" i="9"/>
  <c r="G91" i="2"/>
  <c r="G96"/>
  <c r="R96" i="9"/>
  <c r="R100"/>
  <c r="G100" i="2"/>
  <c r="G69"/>
  <c r="G71"/>
  <c r="G73"/>
  <c r="G75"/>
  <c r="G77"/>
  <c r="G79"/>
  <c r="G81"/>
  <c r="G83"/>
  <c r="G84"/>
  <c r="G85"/>
  <c r="G86"/>
  <c r="G87"/>
  <c r="G88"/>
  <c r="G90"/>
  <c r="G92"/>
  <c r="G93"/>
  <c r="G95"/>
  <c r="G97"/>
  <c r="G99"/>
  <c r="R3" i="9"/>
  <c r="G12" i="2"/>
  <c r="R12" i="9"/>
  <c r="R13"/>
  <c r="G13" i="2"/>
  <c r="G14"/>
  <c r="R14" i="9"/>
  <c r="G15" i="2"/>
  <c r="R15" i="9"/>
  <c r="G16" i="2"/>
  <c r="R16" i="9"/>
  <c r="R17"/>
  <c r="G17" i="2"/>
  <c r="G18"/>
  <c r="R18" i="9"/>
  <c r="R19"/>
  <c r="G19" i="2"/>
  <c r="G20"/>
  <c r="R20" i="9"/>
  <c r="G21" i="2"/>
  <c r="R21" i="9"/>
  <c r="G22" i="2"/>
  <c r="R22" i="9"/>
  <c r="G23" i="2"/>
  <c r="R23" i="9"/>
  <c r="G24" i="2"/>
  <c r="R24" i="9"/>
  <c r="G25" i="2"/>
  <c r="R25" i="9"/>
  <c r="G26" i="2"/>
  <c r="R26" i="9"/>
  <c r="G27" i="2"/>
  <c r="R27" i="9"/>
  <c r="G28" i="2"/>
  <c r="R28" i="9"/>
  <c r="R29"/>
  <c r="G29" i="2"/>
  <c r="G30"/>
  <c r="R30" i="9"/>
  <c r="R31"/>
  <c r="G31" i="2"/>
  <c r="G32"/>
  <c r="R32" i="9"/>
  <c r="R33"/>
  <c r="G33" i="2"/>
  <c r="G9"/>
  <c r="R9" i="9"/>
  <c r="G11" i="2"/>
  <c r="R11" i="9"/>
  <c r="G5" i="2"/>
  <c r="R5" i="9"/>
  <c r="R6"/>
  <c r="G6" i="2"/>
  <c r="G7"/>
  <c r="R7" i="9"/>
  <c r="R8"/>
  <c r="G8" i="2"/>
  <c r="R10" i="9"/>
  <c r="G10" i="2"/>
  <c r="R34" i="9"/>
  <c r="G34" i="2"/>
  <c r="G35"/>
  <c r="R35" i="9"/>
  <c r="R36"/>
  <c r="G36" i="2"/>
  <c r="G37"/>
  <c r="R37" i="9"/>
  <c r="R38"/>
  <c r="G38" i="2"/>
  <c r="G39"/>
  <c r="R39" i="9"/>
  <c r="R40"/>
  <c r="G40" i="2"/>
  <c r="G41"/>
  <c r="R41" i="9"/>
  <c r="R42"/>
  <c r="G42" i="2"/>
  <c r="G43"/>
  <c r="R43" i="9"/>
  <c r="R44"/>
  <c r="G44" i="2"/>
  <c r="G45"/>
  <c r="R45" i="9"/>
  <c r="R46"/>
  <c r="G46" i="2"/>
  <c r="G47"/>
  <c r="R47" i="9"/>
  <c r="R48"/>
  <c r="G48" i="2"/>
  <c r="G49"/>
  <c r="R49" i="9"/>
  <c r="R50"/>
  <c r="G50" i="2"/>
  <c r="G51"/>
  <c r="R51" i="9"/>
  <c r="R52"/>
  <c r="G52" i="2"/>
  <c r="G53"/>
  <c r="R53" i="9"/>
  <c r="R54"/>
  <c r="G54" i="2"/>
  <c r="G55"/>
  <c r="R55" i="9"/>
  <c r="R56"/>
  <c r="G56" i="2"/>
  <c r="G57"/>
  <c r="R57" i="9"/>
  <c r="R58"/>
  <c r="G58" i="2"/>
  <c r="G59"/>
  <c r="R59" i="9"/>
  <c r="R60"/>
  <c r="G60" i="2"/>
  <c r="G61"/>
  <c r="R61" i="9"/>
  <c r="R62"/>
  <c r="G62" i="2"/>
  <c r="G63"/>
  <c r="R63" i="9"/>
  <c r="R64"/>
  <c r="G64" i="2"/>
  <c r="G65"/>
  <c r="R65" i="9"/>
  <c r="R66"/>
  <c r="G66" i="2"/>
  <c r="G67"/>
  <c r="R67" i="9"/>
  <c r="R68"/>
  <c r="G68" i="2"/>
  <c r="K9" i="11"/>
  <c r="K10"/>
  <c r="K13"/>
  <c r="K14"/>
  <c r="K15"/>
  <c r="K16"/>
  <c r="K19"/>
  <c r="K22"/>
  <c r="K30"/>
  <c r="K31"/>
  <c r="K32"/>
  <c r="K35"/>
  <c r="K36"/>
  <c r="K39"/>
  <c r="K42"/>
  <c r="K43"/>
  <c r="K44"/>
  <c r="K47"/>
  <c r="K50"/>
  <c r="K51"/>
  <c r="H5"/>
  <c r="H6"/>
  <c r="H4"/>
  <c r="B61" i="19"/>
  <c r="I61" s="1"/>
  <c r="B60"/>
  <c r="I60" s="1"/>
  <c r="B59"/>
  <c r="I59" s="1"/>
  <c r="B58"/>
  <c r="I58" s="1"/>
  <c r="B57"/>
  <c r="I57" s="1"/>
  <c r="B56"/>
  <c r="I56" s="1"/>
  <c r="B55"/>
  <c r="I55" s="1"/>
  <c r="B54"/>
  <c r="I54" s="1"/>
  <c r="B53"/>
  <c r="I53" s="1"/>
  <c r="B52"/>
  <c r="B51"/>
  <c r="B50"/>
  <c r="I50" s="1"/>
  <c r="B49"/>
  <c r="I49" s="1"/>
  <c r="B48"/>
  <c r="B47"/>
  <c r="I47" s="1"/>
  <c r="B46"/>
  <c r="I46" s="1"/>
  <c r="B45"/>
  <c r="B44"/>
  <c r="B43"/>
  <c r="I43" s="1"/>
  <c r="B42"/>
  <c r="B41"/>
  <c r="I41" s="1"/>
  <c r="B40"/>
  <c r="B39"/>
  <c r="B38"/>
  <c r="B37"/>
  <c r="B36"/>
  <c r="B35"/>
  <c r="B34"/>
  <c r="B33"/>
  <c r="B31"/>
  <c r="B30"/>
  <c r="B28"/>
  <c r="B27"/>
  <c r="B26"/>
  <c r="B25"/>
  <c r="B24"/>
  <c r="B23"/>
  <c r="B22"/>
  <c r="B21"/>
  <c r="B20"/>
  <c r="B19"/>
  <c r="B18"/>
  <c r="B17"/>
  <c r="B15"/>
  <c r="B14"/>
  <c r="B13"/>
  <c r="B12"/>
  <c r="B11"/>
  <c r="B9"/>
  <c r="B8"/>
  <c r="B7"/>
  <c r="B6"/>
  <c r="B5"/>
  <c r="B4"/>
  <c r="B3"/>
  <c r="B2"/>
  <c r="B10"/>
  <c r="B16"/>
  <c r="B32"/>
  <c r="B29"/>
  <c r="G29" i="3"/>
  <c r="K30" i="25" s="1"/>
  <c r="M30" s="1"/>
  <c r="G32" i="3"/>
  <c r="K33" i="25" s="1"/>
  <c r="M33" s="1"/>
  <c r="G28" i="3"/>
  <c r="K29" i="25" s="1"/>
  <c r="M29" s="1"/>
  <c r="AQ9" i="11"/>
  <c r="AQ10"/>
  <c r="AQ13"/>
  <c r="AQ14"/>
  <c r="AQ15"/>
  <c r="AQ16"/>
  <c r="AQ19"/>
  <c r="AQ22"/>
  <c r="AQ30"/>
  <c r="AQ31"/>
  <c r="AQ32"/>
  <c r="AQ35"/>
  <c r="AQ36"/>
  <c r="AQ39"/>
  <c r="AQ42"/>
  <c r="AQ43"/>
  <c r="AQ44"/>
  <c r="AQ47"/>
  <c r="AQ50"/>
  <c r="E14" i="3"/>
  <c r="F32"/>
  <c r="D75"/>
  <c r="D79"/>
  <c r="F80"/>
  <c r="E82"/>
  <c r="D84"/>
  <c r="F85"/>
  <c r="D86"/>
  <c r="E86"/>
  <c r="F87"/>
  <c r="F88"/>
  <c r="F89"/>
  <c r="D90"/>
  <c r="E90"/>
  <c r="F91"/>
  <c r="D92"/>
  <c r="E92"/>
  <c r="F93"/>
  <c r="C94"/>
  <c r="D95"/>
  <c r="F95"/>
  <c r="C96"/>
  <c r="E96"/>
  <c r="J96" s="1"/>
  <c r="K52" i="21" s="1"/>
  <c r="F97" i="3"/>
  <c r="E97"/>
  <c r="C98"/>
  <c r="E98"/>
  <c r="D99"/>
  <c r="C99"/>
  <c r="D100"/>
  <c r="F100"/>
  <c r="AG6" i="11"/>
  <c r="AG5"/>
  <c r="G6" i="3"/>
  <c r="K7" i="25" s="1"/>
  <c r="M7" s="1"/>
  <c r="AJ4" i="11"/>
  <c r="AJ5"/>
  <c r="AJ6"/>
  <c r="AG4"/>
  <c r="E43" i="2"/>
  <c r="E97"/>
  <c r="E96"/>
  <c r="E98"/>
  <c r="E93"/>
  <c r="G14" i="3"/>
  <c r="K15" i="25" s="1"/>
  <c r="M15" s="1"/>
  <c r="G21" i="3"/>
  <c r="K22" i="25" s="1"/>
  <c r="M22" s="1"/>
  <c r="G2" i="3"/>
  <c r="K3" i="25" s="1"/>
  <c r="M3" s="1"/>
  <c r="G4" i="3"/>
  <c r="K5" i="25" s="1"/>
  <c r="M5" s="1"/>
  <c r="G5" i="3"/>
  <c r="K6" i="25" s="1"/>
  <c r="M6" s="1"/>
  <c r="G8" i="3"/>
  <c r="K9" i="25" s="1"/>
  <c r="M9" s="1"/>
  <c r="G10" i="3"/>
  <c r="K11" i="25" s="1"/>
  <c r="M11" s="1"/>
  <c r="G13" i="3"/>
  <c r="K14" i="25" s="1"/>
  <c r="M14" s="1"/>
  <c r="G16" i="3"/>
  <c r="K17" i="25" s="1"/>
  <c r="M17" s="1"/>
  <c r="G18" i="3"/>
  <c r="K19" i="25" s="1"/>
  <c r="M19" s="1"/>
  <c r="G23" i="3"/>
  <c r="K24" i="25" s="1"/>
  <c r="M24" s="1"/>
  <c r="G25" i="3"/>
  <c r="K26" i="25" s="1"/>
  <c r="M26" s="1"/>
  <c r="G89" i="3"/>
  <c r="F2"/>
  <c r="C2"/>
  <c r="E2"/>
  <c r="D3"/>
  <c r="F3"/>
  <c r="C3"/>
  <c r="E3"/>
  <c r="D4"/>
  <c r="F4"/>
  <c r="C4"/>
  <c r="E4"/>
  <c r="D5"/>
  <c r="F5"/>
  <c r="C5"/>
  <c r="E5"/>
  <c r="D6"/>
  <c r="C6"/>
  <c r="E6"/>
  <c r="D7"/>
  <c r="F7"/>
  <c r="C7"/>
  <c r="E7"/>
  <c r="D8"/>
  <c r="F8"/>
  <c r="C8"/>
  <c r="E8"/>
  <c r="D9"/>
  <c r="F9"/>
  <c r="C9"/>
  <c r="E9"/>
  <c r="D10"/>
  <c r="F10"/>
  <c r="C10"/>
  <c r="D11"/>
  <c r="F11"/>
  <c r="C11"/>
  <c r="E11"/>
  <c r="D12"/>
  <c r="F12"/>
  <c r="C12"/>
  <c r="D13"/>
  <c r="F13"/>
  <c r="C13"/>
  <c r="E13"/>
  <c r="D14"/>
  <c r="F14"/>
  <c r="C14"/>
  <c r="D15"/>
  <c r="F15"/>
  <c r="C15"/>
  <c r="E15"/>
  <c r="D16"/>
  <c r="C16"/>
  <c r="E16"/>
  <c r="D17"/>
  <c r="F17"/>
  <c r="C17"/>
  <c r="E17"/>
  <c r="D18"/>
  <c r="F18"/>
  <c r="C18"/>
  <c r="E18"/>
  <c r="D19"/>
  <c r="F19"/>
  <c r="C19"/>
  <c r="E19"/>
  <c r="D20"/>
  <c r="F20"/>
  <c r="C20"/>
  <c r="E20"/>
  <c r="D21"/>
  <c r="F21"/>
  <c r="C21"/>
  <c r="E21"/>
  <c r="D22"/>
  <c r="F22"/>
  <c r="C22"/>
  <c r="E22"/>
  <c r="D23"/>
  <c r="F23"/>
  <c r="C23"/>
  <c r="D24"/>
  <c r="F24"/>
  <c r="C24"/>
  <c r="E24"/>
  <c r="D25"/>
  <c r="F25"/>
  <c r="C25"/>
  <c r="E25"/>
  <c r="D26"/>
  <c r="F26"/>
  <c r="C26"/>
  <c r="E26"/>
  <c r="D27"/>
  <c r="F27"/>
  <c r="C27"/>
  <c r="E27"/>
  <c r="D28"/>
  <c r="F28"/>
  <c r="C28"/>
  <c r="E28"/>
  <c r="D29"/>
  <c r="F29"/>
  <c r="C29"/>
  <c r="E29"/>
  <c r="D30"/>
  <c r="F30"/>
  <c r="C30"/>
  <c r="E30"/>
  <c r="D31"/>
  <c r="F31"/>
  <c r="C31"/>
  <c r="E31"/>
  <c r="D32"/>
  <c r="C32"/>
  <c r="E32"/>
  <c r="D33"/>
  <c r="F33"/>
  <c r="C33"/>
  <c r="I33" s="1"/>
  <c r="I70" i="21" s="1"/>
  <c r="E33" i="3"/>
  <c r="D34"/>
  <c r="F34"/>
  <c r="C34"/>
  <c r="E34"/>
  <c r="D35"/>
  <c r="F35"/>
  <c r="C35"/>
  <c r="E35"/>
  <c r="D36"/>
  <c r="C36"/>
  <c r="E36"/>
  <c r="D37"/>
  <c r="F37"/>
  <c r="C37"/>
  <c r="E37"/>
  <c r="D38"/>
  <c r="F38"/>
  <c r="C38"/>
  <c r="E38"/>
  <c r="D39"/>
  <c r="F39"/>
  <c r="C39"/>
  <c r="E39"/>
  <c r="D40"/>
  <c r="C40"/>
  <c r="E40"/>
  <c r="D41"/>
  <c r="F41"/>
  <c r="C41"/>
  <c r="E41"/>
  <c r="D42"/>
  <c r="F42"/>
  <c r="C42"/>
  <c r="E42"/>
  <c r="D43"/>
  <c r="F43"/>
  <c r="C43"/>
  <c r="E43"/>
  <c r="D44"/>
  <c r="C44"/>
  <c r="E44"/>
  <c r="D45"/>
  <c r="F45"/>
  <c r="C45"/>
  <c r="E45"/>
  <c r="D46"/>
  <c r="F46"/>
  <c r="C46"/>
  <c r="E46"/>
  <c r="D47"/>
  <c r="F47"/>
  <c r="E47"/>
  <c r="D48"/>
  <c r="F48"/>
  <c r="C48"/>
  <c r="E48"/>
  <c r="D49"/>
  <c r="F49"/>
  <c r="C49"/>
  <c r="I49" s="1"/>
  <c r="I90" i="21" s="1"/>
  <c r="E49" i="3"/>
  <c r="D50"/>
  <c r="C50"/>
  <c r="E50"/>
  <c r="D51"/>
  <c r="F51"/>
  <c r="C51"/>
  <c r="E51"/>
  <c r="D52"/>
  <c r="F52"/>
  <c r="C52"/>
  <c r="E52"/>
  <c r="D53"/>
  <c r="F53"/>
  <c r="C53"/>
  <c r="E53"/>
  <c r="D54"/>
  <c r="C54"/>
  <c r="E54"/>
  <c r="D55"/>
  <c r="F55"/>
  <c r="C55"/>
  <c r="E55"/>
  <c r="D56"/>
  <c r="F56"/>
  <c r="C56"/>
  <c r="D57"/>
  <c r="F57"/>
  <c r="C57"/>
  <c r="E57"/>
  <c r="D58"/>
  <c r="F58"/>
  <c r="C58"/>
  <c r="E58"/>
  <c r="D59"/>
  <c r="F59"/>
  <c r="E59"/>
  <c r="D60"/>
  <c r="F60"/>
  <c r="C60"/>
  <c r="I60" s="1"/>
  <c r="I17" i="21" s="1"/>
  <c r="D61" i="3"/>
  <c r="F61"/>
  <c r="C61"/>
  <c r="E61"/>
  <c r="J61" s="1"/>
  <c r="K18" i="21" s="1"/>
  <c r="D62" i="3"/>
  <c r="F62"/>
  <c r="C62"/>
  <c r="E62"/>
  <c r="J62" s="1"/>
  <c r="K31" i="21" s="1"/>
  <c r="D63" i="3"/>
  <c r="F63"/>
  <c r="C63"/>
  <c r="E63"/>
  <c r="D64"/>
  <c r="C64"/>
  <c r="E64"/>
  <c r="D65"/>
  <c r="F65"/>
  <c r="C65"/>
  <c r="E65"/>
  <c r="D66"/>
  <c r="F66"/>
  <c r="C66"/>
  <c r="E66"/>
  <c r="D67"/>
  <c r="F67"/>
  <c r="E67"/>
  <c r="D68"/>
  <c r="F68"/>
  <c r="C68"/>
  <c r="E68"/>
  <c r="D69"/>
  <c r="F69"/>
  <c r="C69"/>
  <c r="E69"/>
  <c r="D70"/>
  <c r="F70"/>
  <c r="C70"/>
  <c r="E70"/>
  <c r="D71"/>
  <c r="C71"/>
  <c r="D72"/>
  <c r="F72"/>
  <c r="C72"/>
  <c r="E72"/>
  <c r="D73"/>
  <c r="F73"/>
  <c r="C73"/>
  <c r="E73"/>
  <c r="D74"/>
  <c r="F74"/>
  <c r="C74"/>
  <c r="E74"/>
  <c r="F75"/>
  <c r="C75"/>
  <c r="E75"/>
  <c r="D76"/>
  <c r="F76"/>
  <c r="C76"/>
  <c r="E76"/>
  <c r="D77"/>
  <c r="F77"/>
  <c r="E77"/>
  <c r="F78"/>
  <c r="C78"/>
  <c r="E78"/>
  <c r="E79"/>
  <c r="D80"/>
  <c r="C80"/>
  <c r="C81"/>
  <c r="D82"/>
  <c r="C82"/>
  <c r="F83"/>
  <c r="C85"/>
  <c r="C86"/>
  <c r="C87"/>
  <c r="E87"/>
  <c r="C88"/>
  <c r="D89"/>
  <c r="C90"/>
  <c r="D91"/>
  <c r="C92"/>
  <c r="C93"/>
  <c r="F94"/>
  <c r="D2"/>
  <c r="F6"/>
  <c r="E10"/>
  <c r="E12"/>
  <c r="F16"/>
  <c r="E23"/>
  <c r="J23" s="1"/>
  <c r="K99" i="21" s="1"/>
  <c r="F36" i="3"/>
  <c r="F40"/>
  <c r="F44"/>
  <c r="J44" s="1"/>
  <c r="K72" i="21" s="1"/>
  <c r="C47" i="3"/>
  <c r="I47" s="1"/>
  <c r="I57" i="21" s="1"/>
  <c r="F50" i="3"/>
  <c r="J50" s="1"/>
  <c r="K69" i="21" s="1"/>
  <c r="F54" i="3"/>
  <c r="E56"/>
  <c r="C59"/>
  <c r="I59" s="1"/>
  <c r="I16" i="21" s="1"/>
  <c r="F64" i="3"/>
  <c r="C67"/>
  <c r="F71"/>
  <c r="E71"/>
  <c r="C77"/>
  <c r="I77" s="1"/>
  <c r="I34" i="21" s="1"/>
  <c r="C79" i="3"/>
  <c r="E80"/>
  <c r="D81"/>
  <c r="F81"/>
  <c r="F82"/>
  <c r="D83"/>
  <c r="E83"/>
  <c r="F84"/>
  <c r="C84"/>
  <c r="D85"/>
  <c r="D94"/>
  <c r="AI9" i="11"/>
  <c r="AI10"/>
  <c r="AI13"/>
  <c r="AI14"/>
  <c r="AI15"/>
  <c r="AI16"/>
  <c r="AI19"/>
  <c r="AI22"/>
  <c r="AI30"/>
  <c r="AI31"/>
  <c r="AI32"/>
  <c r="AI35"/>
  <c r="AI36"/>
  <c r="AI39"/>
  <c r="AI42"/>
  <c r="AI43"/>
  <c r="AI44"/>
  <c r="AI47"/>
  <c r="AI50"/>
  <c r="G26" i="3"/>
  <c r="K27" i="25" s="1"/>
  <c r="M27" s="1"/>
  <c r="AB4" i="11"/>
  <c r="AB6"/>
  <c r="M28" i="10"/>
  <c r="M30"/>
  <c r="M32"/>
  <c r="M34"/>
  <c r="M36"/>
  <c r="M38"/>
  <c r="M40"/>
  <c r="M42"/>
  <c r="M44"/>
  <c r="M46"/>
  <c r="M48"/>
  <c r="M50"/>
  <c r="M52"/>
  <c r="M54"/>
  <c r="M55"/>
  <c r="M57"/>
  <c r="M59"/>
  <c r="M61"/>
  <c r="M63"/>
  <c r="M65"/>
  <c r="M67"/>
  <c r="M69"/>
  <c r="M71"/>
  <c r="M73"/>
  <c r="M75"/>
  <c r="M77"/>
  <c r="M79"/>
  <c r="M81"/>
  <c r="M83"/>
  <c r="M85"/>
  <c r="M29"/>
  <c r="M31"/>
  <c r="M33"/>
  <c r="M35"/>
  <c r="M37"/>
  <c r="M39"/>
  <c r="M41"/>
  <c r="M43"/>
  <c r="M45"/>
  <c r="M47"/>
  <c r="M49"/>
  <c r="M51"/>
  <c r="M53"/>
  <c r="M56"/>
  <c r="M58"/>
  <c r="M60"/>
  <c r="M62"/>
  <c r="M64"/>
  <c r="M66"/>
  <c r="M68"/>
  <c r="M70"/>
  <c r="M72"/>
  <c r="M74"/>
  <c r="M76"/>
  <c r="M78"/>
  <c r="M80"/>
  <c r="M82"/>
  <c r="M84"/>
  <c r="M86"/>
  <c r="M87"/>
  <c r="AA10" i="11"/>
  <c r="AA14"/>
  <c r="Y6"/>
  <c r="AA16"/>
  <c r="AA22"/>
  <c r="AA31"/>
  <c r="Y5"/>
  <c r="AA35"/>
  <c r="AA39"/>
  <c r="AA43"/>
  <c r="AA47"/>
  <c r="AA9"/>
  <c r="AA13"/>
  <c r="AA15"/>
  <c r="AA19"/>
  <c r="AA30"/>
  <c r="AA32"/>
  <c r="AA42"/>
  <c r="AA44"/>
  <c r="AA50"/>
  <c r="AA51"/>
  <c r="X5"/>
  <c r="X4"/>
  <c r="X6"/>
  <c r="AA36"/>
  <c r="I97" i="3"/>
  <c r="I53" i="21" s="1"/>
  <c r="U5" i="11"/>
  <c r="U4"/>
  <c r="U6"/>
  <c r="I4" i="3" l="1"/>
  <c r="I103" i="21" s="1"/>
  <c r="J45" i="3"/>
  <c r="K68" i="21" s="1"/>
  <c r="L26" i="9"/>
  <c r="G26" i="19" s="1"/>
  <c r="I39"/>
  <c r="I33"/>
  <c r="I8" i="3"/>
  <c r="I79" i="21" s="1"/>
  <c r="J2" i="3"/>
  <c r="K92" i="21" s="1"/>
  <c r="J19" i="3"/>
  <c r="K80" i="21" s="1"/>
  <c r="J88" i="3"/>
  <c r="K44" i="21" s="1"/>
  <c r="J86" i="3"/>
  <c r="K42" i="21" s="1"/>
  <c r="G2" i="2"/>
  <c r="M5" i="20"/>
  <c r="G30" i="19"/>
  <c r="E30" i="2"/>
  <c r="I5" i="3"/>
  <c r="I96" i="21" s="1"/>
  <c r="I98" i="3"/>
  <c r="I4" i="21" s="1"/>
  <c r="J29" i="3"/>
  <c r="K89" i="21" s="1"/>
  <c r="E13" i="2"/>
  <c r="J42" i="3"/>
  <c r="K98" i="21" s="1"/>
  <c r="J98" i="3"/>
  <c r="K4" i="21" s="1"/>
  <c r="R4" s="1"/>
  <c r="I42" i="19"/>
  <c r="I27"/>
  <c r="E55" i="2"/>
  <c r="E95"/>
  <c r="I11" i="3"/>
  <c r="I93" i="21" s="1"/>
  <c r="J36" i="3"/>
  <c r="K22" i="21" s="1"/>
  <c r="I51" i="19"/>
  <c r="I29" i="3"/>
  <c r="I89" i="21" s="1"/>
  <c r="J18" i="3"/>
  <c r="K65" i="21" s="1"/>
  <c r="J91" i="3"/>
  <c r="K47" i="21" s="1"/>
  <c r="I52" i="19"/>
  <c r="E94" i="2"/>
  <c r="E59"/>
  <c r="E47"/>
  <c r="E51"/>
  <c r="I68" i="3"/>
  <c r="I25" i="21" s="1"/>
  <c r="I34" i="19"/>
  <c r="E35" i="2"/>
  <c r="I35" i="19"/>
  <c r="I37"/>
  <c r="I45"/>
  <c r="J35" i="3"/>
  <c r="K21" i="21" s="1"/>
  <c r="G2" i="19"/>
  <c r="I2" s="1"/>
  <c r="D64" i="1"/>
  <c r="J48" i="3"/>
  <c r="K83" i="21" s="1"/>
  <c r="J7" i="3"/>
  <c r="K75" i="21" s="1"/>
  <c r="E39" i="2"/>
  <c r="I48" i="19"/>
  <c r="J66" i="3"/>
  <c r="K61" i="21" s="1"/>
  <c r="J49" i="3"/>
  <c r="K90" i="21" s="1"/>
  <c r="W90" s="1"/>
  <c r="R90" s="1"/>
  <c r="J41" i="3"/>
  <c r="K84" i="21" s="1"/>
  <c r="I44" i="19"/>
  <c r="I40"/>
  <c r="J52" i="3"/>
  <c r="K9" i="21" s="1"/>
  <c r="J51" i="3"/>
  <c r="K8" i="21" s="1"/>
  <c r="J37" i="3"/>
  <c r="K20" i="21" s="1"/>
  <c r="J82" i="3"/>
  <c r="K38" i="21" s="1"/>
  <c r="I79" i="3"/>
  <c r="I36" i="21" s="1"/>
  <c r="J3" i="3"/>
  <c r="K88" i="21" s="1"/>
  <c r="G6" i="19"/>
  <c r="I6" s="1"/>
  <c r="E89" i="2"/>
  <c r="E90"/>
  <c r="E92"/>
  <c r="I12" i="3"/>
  <c r="I86" i="21" s="1"/>
  <c r="E91" i="2"/>
  <c r="J99" i="3"/>
  <c r="K54" i="21" s="1"/>
  <c r="I46" i="3"/>
  <c r="I59" i="21" s="1"/>
  <c r="J80" i="3"/>
  <c r="K5" i="21" s="1"/>
  <c r="J87" i="3"/>
  <c r="K43" i="21" s="1"/>
  <c r="I86" i="3"/>
  <c r="I42" i="21" s="1"/>
  <c r="R42" s="1"/>
  <c r="E32" i="2"/>
  <c r="I32" i="19"/>
  <c r="I9"/>
  <c r="I19"/>
  <c r="I30"/>
  <c r="I13"/>
  <c r="J57" i="3"/>
  <c r="K14" i="21" s="1"/>
  <c r="I5" i="19"/>
  <c r="E27" i="2"/>
  <c r="E5"/>
  <c r="I72" i="3"/>
  <c r="I6" i="21" s="1"/>
  <c r="J13" i="3"/>
  <c r="K102" i="21" s="1"/>
  <c r="I56" i="3"/>
  <c r="I13" i="21" s="1"/>
  <c r="I43" i="3"/>
  <c r="I85" i="21" s="1"/>
  <c r="I10" i="3"/>
  <c r="I95" i="21" s="1"/>
  <c r="J69" i="3"/>
  <c r="K26" i="21" s="1"/>
  <c r="I17" i="3"/>
  <c r="I91" i="21" s="1"/>
  <c r="I13" i="3"/>
  <c r="I102" i="21" s="1"/>
  <c r="I9" i="3"/>
  <c r="I100" i="21" s="1"/>
  <c r="J92" i="3"/>
  <c r="K48" i="21" s="1"/>
  <c r="J46" i="3"/>
  <c r="K59" i="21" s="1"/>
  <c r="J15" i="3"/>
  <c r="K64" i="21" s="1"/>
  <c r="I14" i="3"/>
  <c r="I74" i="21" s="1"/>
  <c r="I41" i="3"/>
  <c r="I84" i="21" s="1"/>
  <c r="J30" i="3"/>
  <c r="K73" i="21" s="1"/>
  <c r="I38" i="19"/>
  <c r="J39" i="3"/>
  <c r="K7" i="21" s="1"/>
  <c r="I75" i="3"/>
  <c r="I32" i="21" s="1"/>
  <c r="I36" i="19"/>
  <c r="E29" i="2"/>
  <c r="E19"/>
  <c r="E9"/>
  <c r="E31"/>
  <c r="J22" i="3"/>
  <c r="K63" i="21" s="1"/>
  <c r="I24" i="3"/>
  <c r="I67" i="21" s="1"/>
  <c r="J8" i="3"/>
  <c r="K79" i="21" s="1"/>
  <c r="J34" i="3"/>
  <c r="K23" i="21" s="1"/>
  <c r="E8" i="2"/>
  <c r="I29" i="19"/>
  <c r="I31"/>
  <c r="I100" i="3"/>
  <c r="I55" i="21" s="1"/>
  <c r="I62" i="3"/>
  <c r="I31" i="21" s="1"/>
  <c r="R31" s="1"/>
  <c r="I52" i="3"/>
  <c r="I9" i="21" s="1"/>
  <c r="I37" i="3"/>
  <c r="I20" i="21" s="1"/>
  <c r="J9" i="3"/>
  <c r="K100" i="21" s="1"/>
  <c r="I3" i="3"/>
  <c r="I88" i="21" s="1"/>
  <c r="I8" i="19"/>
  <c r="I15"/>
  <c r="I76" i="3"/>
  <c r="I78" i="21" s="1"/>
  <c r="J73" i="3"/>
  <c r="K28" i="21" s="1"/>
  <c r="I35" i="3"/>
  <c r="I21" i="21" s="1"/>
  <c r="I22" i="3"/>
  <c r="I63" i="21" s="1"/>
  <c r="I19" i="3"/>
  <c r="I80" i="21" s="1"/>
  <c r="J11" i="3"/>
  <c r="K93" i="21" s="1"/>
  <c r="J5" i="3"/>
  <c r="K96" i="21" s="1"/>
  <c r="I96" i="3"/>
  <c r="I52" i="21" s="1"/>
  <c r="R52" s="1"/>
  <c r="J78" i="3"/>
  <c r="K35" i="21" s="1"/>
  <c r="I70" i="3"/>
  <c r="I27" i="21" s="1"/>
  <c r="I61" i="3"/>
  <c r="I18" i="21" s="1"/>
  <c r="R18" s="1"/>
  <c r="I51" i="3"/>
  <c r="I8" i="21" s="1"/>
  <c r="I45" i="3"/>
  <c r="I68" i="21" s="1"/>
  <c r="I38" i="3"/>
  <c r="I19" i="21" s="1"/>
  <c r="J33" i="3"/>
  <c r="K70" i="21" s="1"/>
  <c r="J20" i="3"/>
  <c r="K97" i="21" s="1"/>
  <c r="J72" i="3"/>
  <c r="K6" i="21" s="1"/>
  <c r="J68" i="3"/>
  <c r="K25" i="21" s="1"/>
  <c r="J28" i="3"/>
  <c r="K76" i="21" s="1"/>
  <c r="I23" i="3"/>
  <c r="I99" i="21" s="1"/>
  <c r="I18" i="3"/>
  <c r="I65" i="21" s="1"/>
  <c r="J4" i="3"/>
  <c r="K103" i="21" s="1"/>
  <c r="J43" i="3"/>
  <c r="K85" i="21" s="1"/>
  <c r="I39" i="3"/>
  <c r="I7" i="21" s="1"/>
  <c r="J21" i="3"/>
  <c r="K71" i="21" s="1"/>
  <c r="E6" i="2"/>
  <c r="I7" i="3"/>
  <c r="I75" i="21" s="1"/>
  <c r="I20" i="3"/>
  <c r="I97" i="21" s="1"/>
  <c r="J90" i="3"/>
  <c r="K46" i="21" s="1"/>
  <c r="B2" i="5"/>
  <c r="C2" s="1"/>
  <c r="D2" s="1"/>
  <c r="E2" s="1"/>
  <c r="F2" s="1"/>
  <c r="J74" i="3"/>
  <c r="K29" i="21" s="1"/>
  <c r="J58" i="3"/>
  <c r="K15" i="21" s="1"/>
  <c r="E61" i="2"/>
  <c r="E15"/>
  <c r="B95" i="3"/>
  <c r="H95" i="2" s="1"/>
  <c r="J84" i="3"/>
  <c r="K40" i="21" s="1"/>
  <c r="I83" i="3"/>
  <c r="I39" i="21" s="1"/>
  <c r="I91" i="3"/>
  <c r="I47" i="21" s="1"/>
  <c r="I78" i="3"/>
  <c r="I35" i="21" s="1"/>
  <c r="J76" i="3"/>
  <c r="K78" i="21" s="1"/>
  <c r="I53" i="3"/>
  <c r="I10" i="21" s="1"/>
  <c r="I31" i="3"/>
  <c r="I101" i="21" s="1"/>
  <c r="I15" i="3"/>
  <c r="I64" i="21" s="1"/>
  <c r="J70" i="3"/>
  <c r="K27" i="21" s="1"/>
  <c r="I65" i="3"/>
  <c r="I60" i="21" s="1"/>
  <c r="J53" i="3"/>
  <c r="K10" i="21" s="1"/>
  <c r="I48" i="3"/>
  <c r="I83" i="21" s="1"/>
  <c r="I42" i="3"/>
  <c r="I98" i="21" s="1"/>
  <c r="I34" i="3"/>
  <c r="I23" i="21" s="1"/>
  <c r="E4" i="2"/>
  <c r="I4" i="19"/>
  <c r="I11"/>
  <c r="I28"/>
  <c r="I74" i="3"/>
  <c r="I29" i="21" s="1"/>
  <c r="I57" i="3"/>
  <c r="I14" i="21" s="1"/>
  <c r="J55" i="3"/>
  <c r="K12" i="21" s="1"/>
  <c r="K4" i="11"/>
  <c r="E11" i="2"/>
  <c r="I55" i="3"/>
  <c r="I12" i="21" s="1"/>
  <c r="J89" i="3"/>
  <c r="K45" i="21" s="1"/>
  <c r="B94" i="3"/>
  <c r="H94" i="2" s="1"/>
  <c r="J94" i="3"/>
  <c r="K50" i="21" s="1"/>
  <c r="I88" i="3"/>
  <c r="I44" i="21" s="1"/>
  <c r="R44" s="1"/>
  <c r="I87" i="3"/>
  <c r="I43" i="21" s="1"/>
  <c r="J60" i="3"/>
  <c r="K17" i="21" s="1"/>
  <c r="R17" s="1"/>
  <c r="J100" i="3"/>
  <c r="K55" i="21" s="1"/>
  <c r="J95" i="3"/>
  <c r="K51" i="21" s="1"/>
  <c r="J75" i="3"/>
  <c r="K32" i="21" s="1"/>
  <c r="I69" i="3"/>
  <c r="I26" i="21" s="1"/>
  <c r="I63" i="3"/>
  <c r="I33" i="21" s="1"/>
  <c r="I58" i="3"/>
  <c r="I15" i="21" s="1"/>
  <c r="B36" i="3"/>
  <c r="B99"/>
  <c r="H99" i="2" s="1"/>
  <c r="X99" s="1"/>
  <c r="I95" i="3"/>
  <c r="I51" i="21" s="1"/>
  <c r="B58" i="3"/>
  <c r="B46"/>
  <c r="B37"/>
  <c r="J81"/>
  <c r="K37" i="21" s="1"/>
  <c r="B93" i="3"/>
  <c r="H93" i="2" s="1"/>
  <c r="X93" s="1"/>
  <c r="B89" i="3"/>
  <c r="H89" i="2" s="1"/>
  <c r="J93" i="3"/>
  <c r="K49" i="21" s="1"/>
  <c r="I50" i="3"/>
  <c r="I69" i="21" s="1"/>
  <c r="W69" s="1"/>
  <c r="R69" s="1"/>
  <c r="J97" i="3"/>
  <c r="K53" i="21" s="1"/>
  <c r="R53" s="1"/>
  <c r="B70" i="3"/>
  <c r="H70" i="2" s="1"/>
  <c r="B60" i="3"/>
  <c r="B53"/>
  <c r="B22"/>
  <c r="B20"/>
  <c r="B3"/>
  <c r="B2"/>
  <c r="E86" i="2"/>
  <c r="E82"/>
  <c r="E33"/>
  <c r="I10" i="19"/>
  <c r="I14"/>
  <c r="I21"/>
  <c r="B28" i="3"/>
  <c r="B66"/>
  <c r="H66" i="2" s="1"/>
  <c r="B65" i="3"/>
  <c r="H65" i="2" s="1"/>
  <c r="B48" i="3"/>
  <c r="I44"/>
  <c r="I72" i="21" s="1"/>
  <c r="B39" i="3"/>
  <c r="B38"/>
  <c r="B32"/>
  <c r="B31"/>
  <c r="B64"/>
  <c r="H64" i="2" s="1"/>
  <c r="B100" i="3"/>
  <c r="H100" i="2" s="1"/>
  <c r="B98" i="3"/>
  <c r="H98" i="2" s="1"/>
  <c r="W98" s="1"/>
  <c r="B97" i="3"/>
  <c r="H97" i="2" s="1"/>
  <c r="X97" s="1"/>
  <c r="I66" i="3"/>
  <c r="I61" i="21" s="1"/>
  <c r="B61" i="3"/>
  <c r="J59"/>
  <c r="K16" i="21" s="1"/>
  <c r="R16" s="1"/>
  <c r="B96" i="3"/>
  <c r="H96" i="2" s="1"/>
  <c r="X96" s="1"/>
  <c r="I93" i="3"/>
  <c r="I49" i="21" s="1"/>
  <c r="I89" i="3"/>
  <c r="I45" i="21" s="1"/>
  <c r="J85" i="3"/>
  <c r="K41" i="21" s="1"/>
  <c r="D33" i="1"/>
  <c r="B13" i="3"/>
  <c r="B4"/>
  <c r="B63"/>
  <c r="H63" i="2" s="1"/>
  <c r="B8" i="3"/>
  <c r="B18"/>
  <c r="J63"/>
  <c r="K33" i="21" s="1"/>
  <c r="J38" i="3"/>
  <c r="K19" i="21" s="1"/>
  <c r="J31" i="3"/>
  <c r="K101" i="21" s="1"/>
  <c r="B62" i="3"/>
  <c r="H62" i="2" s="1"/>
  <c r="B29" i="3"/>
  <c r="B10"/>
  <c r="I84"/>
  <c r="I40" i="21" s="1"/>
  <c r="J83" i="3"/>
  <c r="K39" i="21" s="1"/>
  <c r="I67" i="3"/>
  <c r="I62" i="21" s="1"/>
  <c r="B40" i="3"/>
  <c r="J12"/>
  <c r="K86" i="21" s="1"/>
  <c r="B92" i="3"/>
  <c r="H92" i="2" s="1"/>
  <c r="B90" i="3"/>
  <c r="H90" i="2" s="1"/>
  <c r="I85" i="3"/>
  <c r="I41" i="21" s="1"/>
  <c r="I82" i="3"/>
  <c r="I38" i="21" s="1"/>
  <c r="B80" i="3"/>
  <c r="H80" i="2" s="1"/>
  <c r="J67" i="3"/>
  <c r="K62" i="21" s="1"/>
  <c r="I64" i="3"/>
  <c r="I58" i="21" s="1"/>
  <c r="B55" i="3"/>
  <c r="I54"/>
  <c r="I11" i="21" s="1"/>
  <c r="B52" i="3"/>
  <c r="B51"/>
  <c r="B49"/>
  <c r="J47"/>
  <c r="K57" i="21" s="1"/>
  <c r="B45" i="3"/>
  <c r="B43"/>
  <c r="B41"/>
  <c r="I40"/>
  <c r="I30" i="21" s="1"/>
  <c r="I36" i="3"/>
  <c r="I22" i="21" s="1"/>
  <c r="B35" i="3"/>
  <c r="B34"/>
  <c r="I32"/>
  <c r="I82" i="21" s="1"/>
  <c r="B30" i="3"/>
  <c r="B27"/>
  <c r="J17"/>
  <c r="K91" i="21" s="1"/>
  <c r="E76" i="2"/>
  <c r="E45"/>
  <c r="E7"/>
  <c r="I7" i="19"/>
  <c r="I92" i="3"/>
  <c r="I48" i="21" s="1"/>
  <c r="B68" i="3"/>
  <c r="H68" i="2" s="1"/>
  <c r="I90" i="3"/>
  <c r="I46" i="21" s="1"/>
  <c r="I99" i="3"/>
  <c r="I54" i="21" s="1"/>
  <c r="I23" i="19"/>
  <c r="E80" i="2"/>
  <c r="E53"/>
  <c r="E37"/>
  <c r="E25"/>
  <c r="E17"/>
  <c r="E49"/>
  <c r="E23"/>
  <c r="E14"/>
  <c r="E79"/>
  <c r="E85"/>
  <c r="E87"/>
  <c r="E56"/>
  <c r="E40"/>
  <c r="E20"/>
  <c r="E57"/>
  <c r="E48"/>
  <c r="E41"/>
  <c r="E28"/>
  <c r="E21"/>
  <c r="E10"/>
  <c r="B24" i="3"/>
  <c r="J24"/>
  <c r="K67" i="21" s="1"/>
  <c r="J14" i="3"/>
  <c r="K74" i="21" s="1"/>
  <c r="B7" i="3"/>
  <c r="I94"/>
  <c r="I50" i="21" s="1"/>
  <c r="I81" i="3"/>
  <c r="I37" i="21" s="1"/>
  <c r="J54" i="3"/>
  <c r="K11" i="21" s="1"/>
  <c r="B50" i="3"/>
  <c r="B44"/>
  <c r="J40"/>
  <c r="K30" i="21" s="1"/>
  <c r="E60" i="2"/>
  <c r="E52"/>
  <c r="E44"/>
  <c r="E36"/>
  <c r="E24"/>
  <c r="I20" i="19"/>
  <c r="I24"/>
  <c r="E88" i="2"/>
  <c r="E62"/>
  <c r="I3" i="19"/>
  <c r="I12"/>
  <c r="I17"/>
  <c r="I25"/>
  <c r="E72" i="2"/>
  <c r="E68"/>
  <c r="E74"/>
  <c r="E84"/>
  <c r="I16" i="3"/>
  <c r="I94" i="21" s="1"/>
  <c r="J16" i="3"/>
  <c r="K94" i="21" s="1"/>
  <c r="E16" i="2"/>
  <c r="I16" i="19"/>
  <c r="G81"/>
  <c r="I81" s="1"/>
  <c r="E81" i="2"/>
  <c r="G63" i="19"/>
  <c r="I63" s="1"/>
  <c r="E63" i="2"/>
  <c r="B88" i="3"/>
  <c r="H88" i="2" s="1"/>
  <c r="B33" i="3"/>
  <c r="B54"/>
  <c r="B47"/>
  <c r="B42"/>
  <c r="B17"/>
  <c r="C18" i="25" s="1"/>
  <c r="E18" s="1"/>
  <c r="B74" i="3"/>
  <c r="H74" i="2" s="1"/>
  <c r="AA4" i="11"/>
  <c r="B16" i="3"/>
  <c r="C17" i="25" s="1"/>
  <c r="E17" s="1"/>
  <c r="J10" i="3"/>
  <c r="K95" i="21" s="1"/>
  <c r="I2" i="3"/>
  <c r="I92" i="21" s="1"/>
  <c r="B91" i="3"/>
  <c r="H91" i="2" s="1"/>
  <c r="B86" i="3"/>
  <c r="E73" i="2"/>
  <c r="E75"/>
  <c r="E77"/>
  <c r="E83"/>
  <c r="E58"/>
  <c r="E54"/>
  <c r="E50"/>
  <c r="E46"/>
  <c r="E42"/>
  <c r="E38"/>
  <c r="E34"/>
  <c r="E22"/>
  <c r="E18"/>
  <c r="E12"/>
  <c r="I18" i="19"/>
  <c r="I22"/>
  <c r="I26"/>
  <c r="D31" i="1"/>
  <c r="E3" i="2"/>
  <c r="B12" i="3"/>
  <c r="B67"/>
  <c r="H67" i="2" s="1"/>
  <c r="E66"/>
  <c r="E70"/>
  <c r="E78"/>
  <c r="B21" i="3"/>
  <c r="C22" i="25" s="1"/>
  <c r="E22" s="1"/>
  <c r="E64" i="2"/>
  <c r="E67"/>
  <c r="AQ5" i="11"/>
  <c r="B5" i="3"/>
  <c r="C6" i="25" s="1"/>
  <c r="E6" s="1"/>
  <c r="AQ6" i="11"/>
  <c r="AA6"/>
  <c r="B9" i="3"/>
  <c r="S5" i="11"/>
  <c r="S6"/>
  <c r="S4"/>
  <c r="I80" i="3"/>
  <c r="I5" i="21" s="1"/>
  <c r="I71" i="3"/>
  <c r="I66" i="21" s="1"/>
  <c r="J56" i="3"/>
  <c r="K13" i="21" s="1"/>
  <c r="B15" i="3"/>
  <c r="C16" i="25" s="1"/>
  <c r="E16" s="1"/>
  <c r="J6" i="3"/>
  <c r="K77" i="21" s="1"/>
  <c r="B85" i="3"/>
  <c r="H85" i="2" s="1"/>
  <c r="B83" i="3"/>
  <c r="H83" i="2" s="1"/>
  <c r="B77" i="3"/>
  <c r="H77" i="2" s="1"/>
  <c r="J64" i="3"/>
  <c r="K58" i="21" s="1"/>
  <c r="B56" i="3"/>
  <c r="B87"/>
  <c r="H87" i="2" s="1"/>
  <c r="B82" i="3"/>
  <c r="B79"/>
  <c r="H79" i="2" s="1"/>
  <c r="B78" i="3"/>
  <c r="J77"/>
  <c r="K34" i="21" s="1"/>
  <c r="R34" s="1"/>
  <c r="B76" i="3"/>
  <c r="B75"/>
  <c r="H75" i="2" s="1"/>
  <c r="B73" i="3"/>
  <c r="B72"/>
  <c r="H72" i="2" s="1"/>
  <c r="B71" i="3"/>
  <c r="H71" i="2" s="1"/>
  <c r="B59" i="3"/>
  <c r="B57"/>
  <c r="C58" i="25" s="1"/>
  <c r="E58" s="1"/>
  <c r="E65" i="2"/>
  <c r="E69"/>
  <c r="V6" i="9"/>
  <c r="V2"/>
  <c r="V4"/>
  <c r="V3"/>
  <c r="I6" i="3"/>
  <c r="I77" i="21" s="1"/>
  <c r="B6" i="3"/>
  <c r="B51" i="11"/>
  <c r="J16" i="26" s="1"/>
  <c r="G16" s="1"/>
  <c r="B23" i="3"/>
  <c r="B19"/>
  <c r="C20" i="25" s="1"/>
  <c r="E20" s="1"/>
  <c r="K5" i="11"/>
  <c r="K6"/>
  <c r="B81" i="3"/>
  <c r="H81" i="2" s="1"/>
  <c r="J79" i="3"/>
  <c r="K36" i="21" s="1"/>
  <c r="B84" i="3"/>
  <c r="H84" i="2" s="1"/>
  <c r="B69" i="3"/>
  <c r="H69" i="2" s="1"/>
  <c r="J32" i="3"/>
  <c r="K82" i="21" s="1"/>
  <c r="B26" i="3"/>
  <c r="B11"/>
  <c r="C12" i="25" s="1"/>
  <c r="E12" s="1"/>
  <c r="B25" i="3"/>
  <c r="C26" i="25" s="1"/>
  <c r="E26" s="1"/>
  <c r="J71" i="3"/>
  <c r="K66" i="21" s="1"/>
  <c r="AQ4" i="11"/>
  <c r="B14" i="3"/>
  <c r="C15" i="25" s="1"/>
  <c r="E15" s="1"/>
  <c r="B50" i="11"/>
  <c r="J30" i="26" s="1"/>
  <c r="G30" s="1"/>
  <c r="B42" i="11"/>
  <c r="J13" i="26" s="1"/>
  <c r="G13" s="1"/>
  <c r="B30" i="11"/>
  <c r="J29" i="26" s="1"/>
  <c r="G29" s="1"/>
  <c r="B15" i="11"/>
  <c r="J6" i="26" s="1"/>
  <c r="G6" s="1"/>
  <c r="B9" i="11"/>
  <c r="J26" i="26" s="1"/>
  <c r="G26" s="1"/>
  <c r="E71" i="2"/>
  <c r="E25" i="1" a="1"/>
  <c r="E25" s="1"/>
  <c r="E26" a="1"/>
  <c r="E26" s="1"/>
  <c r="E27" a="1"/>
  <c r="E27" s="1"/>
  <c r="D25" a="1"/>
  <c r="D25" s="1"/>
  <c r="D26" a="1"/>
  <c r="D26" s="1"/>
  <c r="D27" a="1"/>
  <c r="D27" s="1"/>
  <c r="I73" i="3"/>
  <c r="I28" i="21" s="1"/>
  <c r="J65" i="3"/>
  <c r="K60" i="21" s="1"/>
  <c r="I30" i="3"/>
  <c r="I73" i="21" s="1"/>
  <c r="I28" i="3"/>
  <c r="I76" i="21" s="1"/>
  <c r="J27" i="3"/>
  <c r="K87" i="21" s="1"/>
  <c r="I27" i="3"/>
  <c r="I87" i="21" s="1"/>
  <c r="J26" i="3"/>
  <c r="K24" i="21" s="1"/>
  <c r="I26" i="3"/>
  <c r="I24" i="21" s="1"/>
  <c r="J25" i="3"/>
  <c r="K81" i="21" s="1"/>
  <c r="I25" i="3"/>
  <c r="I81" i="21" s="1"/>
  <c r="I21" i="3"/>
  <c r="I71" i="21" s="1"/>
  <c r="B36" i="11"/>
  <c r="J22" i="26" s="1"/>
  <c r="G22" s="1"/>
  <c r="B44" i="11"/>
  <c r="J23" i="26" s="1"/>
  <c r="G23" s="1"/>
  <c r="B32" i="11"/>
  <c r="J21" i="26" s="1"/>
  <c r="G21" s="1"/>
  <c r="B19" i="11"/>
  <c r="J7" i="26" s="1"/>
  <c r="G7" s="1"/>
  <c r="B13" i="11"/>
  <c r="J27" i="26" s="1"/>
  <c r="G27" s="1"/>
  <c r="B43" i="11"/>
  <c r="J14" i="26" s="1"/>
  <c r="G14" s="1"/>
  <c r="B35" i="11"/>
  <c r="J11" i="26" s="1"/>
  <c r="G11" s="1"/>
  <c r="B31" i="11"/>
  <c r="J10" i="26" s="1"/>
  <c r="G10" s="1"/>
  <c r="B16" i="11"/>
  <c r="B14"/>
  <c r="J5" i="26" s="1"/>
  <c r="G5" s="1"/>
  <c r="AI6" i="11"/>
  <c r="B47"/>
  <c r="J15" i="26" s="1"/>
  <c r="G15" s="1"/>
  <c r="B39" i="11"/>
  <c r="J12" i="26" s="1"/>
  <c r="G12" s="1"/>
  <c r="B22" i="11"/>
  <c r="J8" i="26" s="1"/>
  <c r="G8" s="1"/>
  <c r="B10" i="11"/>
  <c r="AI4"/>
  <c r="AI5"/>
  <c r="AA5"/>
  <c r="E26" i="2" l="1"/>
  <c r="W95"/>
  <c r="X94"/>
  <c r="R61" i="21"/>
  <c r="R8"/>
  <c r="AA8" s="1"/>
  <c r="V13" i="9"/>
  <c r="R47" i="21"/>
  <c r="AA47" s="1"/>
  <c r="R36"/>
  <c r="B36" s="1"/>
  <c r="R25"/>
  <c r="W78"/>
  <c r="AA34"/>
  <c r="B34"/>
  <c r="AA16"/>
  <c r="B16"/>
  <c r="AA69"/>
  <c r="B69"/>
  <c r="AA52"/>
  <c r="B52"/>
  <c r="AA42"/>
  <c r="B42"/>
  <c r="AA4"/>
  <c r="B4"/>
  <c r="AA53"/>
  <c r="B53"/>
  <c r="AA17"/>
  <c r="B17"/>
  <c r="AA44"/>
  <c r="B44"/>
  <c r="AA18"/>
  <c r="B18"/>
  <c r="AA90"/>
  <c r="B90"/>
  <c r="W72"/>
  <c r="W83"/>
  <c r="R83" s="1"/>
  <c r="W6"/>
  <c r="W66"/>
  <c r="R43"/>
  <c r="R37"/>
  <c r="R54"/>
  <c r="R26"/>
  <c r="W90" i="2"/>
  <c r="W92"/>
  <c r="X89"/>
  <c r="V12" i="9"/>
  <c r="R9" i="21"/>
  <c r="R13"/>
  <c r="R38"/>
  <c r="R6"/>
  <c r="V8" i="9"/>
  <c r="V9"/>
  <c r="E2" i="2"/>
  <c r="C49" i="1" s="1"/>
  <c r="V10" i="9"/>
  <c r="V14"/>
  <c r="V11"/>
  <c r="W97" i="2"/>
  <c r="X95"/>
  <c r="W93"/>
  <c r="W96"/>
  <c r="R60" i="21"/>
  <c r="R5"/>
  <c r="W91" i="2"/>
  <c r="R14" i="21"/>
  <c r="C61" i="1"/>
  <c r="R35" i="21"/>
  <c r="R39"/>
  <c r="W94" i="2"/>
  <c r="W99"/>
  <c r="R28" i="21"/>
  <c r="R48"/>
  <c r="R32"/>
  <c r="X92" i="2"/>
  <c r="W68"/>
  <c r="R46" i="21"/>
  <c r="R12"/>
  <c r="R10"/>
  <c r="R27"/>
  <c r="R40"/>
  <c r="R45"/>
  <c r="R78"/>
  <c r="W89" i="2"/>
  <c r="R15" i="21"/>
  <c r="X80" i="2"/>
  <c r="R29" i="21"/>
  <c r="H23" i="2"/>
  <c r="W23" s="1"/>
  <c r="C24" i="25"/>
  <c r="E24" s="1"/>
  <c r="H6" i="2"/>
  <c r="X6" s="1"/>
  <c r="C7" i="25"/>
  <c r="E7" s="1"/>
  <c r="H56" i="2"/>
  <c r="W56" s="1"/>
  <c r="C57" i="25"/>
  <c r="E57" s="1"/>
  <c r="H9" i="2"/>
  <c r="C10" i="25"/>
  <c r="E10" s="1"/>
  <c r="H12" i="2"/>
  <c r="X12" s="1"/>
  <c r="C13" i="25"/>
  <c r="E13" s="1"/>
  <c r="H47" i="2"/>
  <c r="C48" i="25"/>
  <c r="E48" s="1"/>
  <c r="H33" i="2"/>
  <c r="W33" s="1"/>
  <c r="C34" i="25"/>
  <c r="E34" s="1"/>
  <c r="H44" i="2"/>
  <c r="W44" s="1"/>
  <c r="C45" i="25"/>
  <c r="E45" s="1"/>
  <c r="H24" i="2"/>
  <c r="W24" s="1"/>
  <c r="C25" i="25"/>
  <c r="E25" s="1"/>
  <c r="H30" i="2"/>
  <c r="W30" s="1"/>
  <c r="C31" i="25"/>
  <c r="E31" s="1"/>
  <c r="H34" i="2"/>
  <c r="X34" s="1"/>
  <c r="C35" i="25"/>
  <c r="E35" s="1"/>
  <c r="H41" i="2"/>
  <c r="X41" s="1"/>
  <c r="C42" i="25"/>
  <c r="E42" s="1"/>
  <c r="H45" i="2"/>
  <c r="X45" s="1"/>
  <c r="C46" i="25"/>
  <c r="E46" s="1"/>
  <c r="H49" i="2"/>
  <c r="X49" s="1"/>
  <c r="C50" i="25"/>
  <c r="E50" s="1"/>
  <c r="H52" i="2"/>
  <c r="W52" s="1"/>
  <c r="C53" i="25"/>
  <c r="E53" s="1"/>
  <c r="H55" i="2"/>
  <c r="C56" i="25"/>
  <c r="E56" s="1"/>
  <c r="H29" i="2"/>
  <c r="W29" s="1"/>
  <c r="C30" i="25"/>
  <c r="E30" s="1"/>
  <c r="H18" i="2"/>
  <c r="X18" s="1"/>
  <c r="C19" i="25"/>
  <c r="E19" s="1"/>
  <c r="H13" i="2"/>
  <c r="W13" s="1"/>
  <c r="C14" i="25"/>
  <c r="E14" s="1"/>
  <c r="H32" i="2"/>
  <c r="X32" s="1"/>
  <c r="C33" i="25"/>
  <c r="E33" s="1"/>
  <c r="H39" i="2"/>
  <c r="X39" s="1"/>
  <c r="C40" i="25"/>
  <c r="E40" s="1"/>
  <c r="H48" i="2"/>
  <c r="W48" s="1"/>
  <c r="C49" i="25"/>
  <c r="E49" s="1"/>
  <c r="H2" i="2"/>
  <c r="C3" i="25"/>
  <c r="E3" s="1"/>
  <c r="H20" i="2"/>
  <c r="X20" s="1"/>
  <c r="C21" i="25"/>
  <c r="E21" s="1"/>
  <c r="H53" i="2"/>
  <c r="X53" s="1"/>
  <c r="C54" i="25"/>
  <c r="E54" s="1"/>
  <c r="H46" i="2"/>
  <c r="W46" s="1"/>
  <c r="C47" i="25"/>
  <c r="E47" s="1"/>
  <c r="H36" i="2"/>
  <c r="W36" s="1"/>
  <c r="C37" i="25"/>
  <c r="E37" s="1"/>
  <c r="X36" i="2"/>
  <c r="H26"/>
  <c r="W26" s="1"/>
  <c r="C27" i="25"/>
  <c r="E27" s="1"/>
  <c r="H59" i="2"/>
  <c r="W59" s="1"/>
  <c r="C60" i="25"/>
  <c r="E60" s="1"/>
  <c r="H42" i="2"/>
  <c r="X42" s="1"/>
  <c r="C43" i="25"/>
  <c r="E43" s="1"/>
  <c r="H54" i="2"/>
  <c r="W54" s="1"/>
  <c r="C55" i="25"/>
  <c r="E55" s="1"/>
  <c r="H50" i="2"/>
  <c r="W50" s="1"/>
  <c r="C51" i="25"/>
  <c r="E51" s="1"/>
  <c r="H7" i="2"/>
  <c r="W7" s="1"/>
  <c r="C8" i="25"/>
  <c r="E8" s="1"/>
  <c r="H27" i="2"/>
  <c r="C28" i="25"/>
  <c r="E28" s="1"/>
  <c r="H35" i="2"/>
  <c r="X35" s="1"/>
  <c r="C36" i="25"/>
  <c r="E36" s="1"/>
  <c r="H43" i="2"/>
  <c r="C44" i="25"/>
  <c r="E44" s="1"/>
  <c r="H51" i="2"/>
  <c r="X51" s="1"/>
  <c r="C52" i="25"/>
  <c r="E52" s="1"/>
  <c r="H40" i="2"/>
  <c r="W40" s="1"/>
  <c r="C41" i="25"/>
  <c r="E41" s="1"/>
  <c r="H10" i="2"/>
  <c r="W10" s="1"/>
  <c r="C11" i="25"/>
  <c r="E11" s="1"/>
  <c r="H8" i="2"/>
  <c r="W8" s="1"/>
  <c r="C9" i="25"/>
  <c r="E9" s="1"/>
  <c r="H4" i="2"/>
  <c r="W4" s="1"/>
  <c r="C5" i="25"/>
  <c r="E5" s="1"/>
  <c r="H61" i="2"/>
  <c r="W61" s="1"/>
  <c r="C62" i="25"/>
  <c r="E62" s="1"/>
  <c r="H31" i="2"/>
  <c r="X31" s="1"/>
  <c r="C32" i="25"/>
  <c r="E32" s="1"/>
  <c r="H38" i="2"/>
  <c r="W38" s="1"/>
  <c r="C39" i="25"/>
  <c r="E39" s="1"/>
  <c r="H28" i="2"/>
  <c r="W28" s="1"/>
  <c r="C29" i="25"/>
  <c r="E29" s="1"/>
  <c r="H3" i="2"/>
  <c r="X3" s="1"/>
  <c r="C4" i="25"/>
  <c r="E4" s="1"/>
  <c r="H22" i="2"/>
  <c r="W22" s="1"/>
  <c r="C23" i="25"/>
  <c r="E23" s="1"/>
  <c r="H60" i="2"/>
  <c r="W60" s="1"/>
  <c r="C61" i="25"/>
  <c r="E61" s="1"/>
  <c r="H37" i="2"/>
  <c r="X37" s="1"/>
  <c r="C38" i="25"/>
  <c r="E38" s="1"/>
  <c r="H58" i="2"/>
  <c r="W58" s="1"/>
  <c r="C59" i="25"/>
  <c r="E59" s="1"/>
  <c r="X22" i="2"/>
  <c r="B6" i="11"/>
  <c r="J4" i="26"/>
  <c r="B5" i="11"/>
  <c r="J19" i="26"/>
  <c r="J25"/>
  <c r="B4" i="11"/>
  <c r="X74" i="2"/>
  <c r="X85"/>
  <c r="C54" i="1"/>
  <c r="X64" i="2"/>
  <c r="X98"/>
  <c r="W85"/>
  <c r="C51" i="1"/>
  <c r="C55"/>
  <c r="C26" a="1"/>
  <c r="C26" s="1"/>
  <c r="X63" i="2"/>
  <c r="W62"/>
  <c r="R50" i="21"/>
  <c r="R33"/>
  <c r="R51"/>
  <c r="X91" i="2"/>
  <c r="X65"/>
  <c r="R49" i="21"/>
  <c r="R62"/>
  <c r="R41"/>
  <c r="X90" i="2"/>
  <c r="R58" i="21"/>
  <c r="X70" i="2"/>
  <c r="R11" i="21"/>
  <c r="C58" i="1"/>
  <c r="R66" i="21"/>
  <c r="W66" i="2"/>
  <c r="X83"/>
  <c r="X68"/>
  <c r="W77"/>
  <c r="W80"/>
  <c r="X67"/>
  <c r="W83"/>
  <c r="X88"/>
  <c r="X81"/>
  <c r="W87"/>
  <c r="X79"/>
  <c r="X87"/>
  <c r="W64"/>
  <c r="X62"/>
  <c r="W81"/>
  <c r="W79"/>
  <c r="W63"/>
  <c r="W70"/>
  <c r="X77"/>
  <c r="W88"/>
  <c r="W65"/>
  <c r="W67"/>
  <c r="H14"/>
  <c r="W14" s="1"/>
  <c r="H25"/>
  <c r="X25" s="1"/>
  <c r="H19"/>
  <c r="W19" s="1"/>
  <c r="H57"/>
  <c r="W57" s="1"/>
  <c r="H73"/>
  <c r="X73" s="1"/>
  <c r="H76"/>
  <c r="W76" s="1"/>
  <c r="H78"/>
  <c r="X78" s="1"/>
  <c r="H82"/>
  <c r="W82" s="1"/>
  <c r="H15"/>
  <c r="W15" s="1"/>
  <c r="H5"/>
  <c r="X5" s="1"/>
  <c r="H11"/>
  <c r="W11" s="1"/>
  <c r="H21"/>
  <c r="X21" s="1"/>
  <c r="H86"/>
  <c r="X86" s="1"/>
  <c r="H16"/>
  <c r="W16" s="1"/>
  <c r="H17"/>
  <c r="W17" s="1"/>
  <c r="W69"/>
  <c r="W75"/>
  <c r="W84"/>
  <c r="W72"/>
  <c r="X66"/>
  <c r="X84"/>
  <c r="X72"/>
  <c r="X75"/>
  <c r="C62" i="1"/>
  <c r="C56"/>
  <c r="W74" i="2"/>
  <c r="C59" i="1"/>
  <c r="C27" a="1"/>
  <c r="C27" s="1"/>
  <c r="C25" a="1"/>
  <c r="C25" s="1"/>
  <c r="X71" i="2"/>
  <c r="X69"/>
  <c r="W71"/>
  <c r="E28" i="1"/>
  <c r="G27" s="1"/>
  <c r="D28"/>
  <c r="F27" s="1"/>
  <c r="C50" l="1"/>
  <c r="X46" i="2"/>
  <c r="W39"/>
  <c r="X13"/>
  <c r="B8" i="21"/>
  <c r="W20" i="2"/>
  <c r="C53" i="1"/>
  <c r="AA36" i="21"/>
  <c r="C60" i="1"/>
  <c r="B47" i="21"/>
  <c r="C57" i="1"/>
  <c r="W2" i="2"/>
  <c r="AA51" i="21"/>
  <c r="B51"/>
  <c r="AA28"/>
  <c r="B28"/>
  <c r="AA11"/>
  <c r="B11"/>
  <c r="AA41"/>
  <c r="B41"/>
  <c r="AA49"/>
  <c r="B49"/>
  <c r="AA15"/>
  <c r="B15"/>
  <c r="AA40"/>
  <c r="B40"/>
  <c r="AA10"/>
  <c r="B10"/>
  <c r="AA46"/>
  <c r="B46"/>
  <c r="AA48"/>
  <c r="B48"/>
  <c r="AA39"/>
  <c r="B39"/>
  <c r="AA38"/>
  <c r="B38"/>
  <c r="AA9"/>
  <c r="B9"/>
  <c r="AA54"/>
  <c r="B54"/>
  <c r="AA43"/>
  <c r="B43"/>
  <c r="AA83"/>
  <c r="B83"/>
  <c r="AA50"/>
  <c r="B50"/>
  <c r="AA45"/>
  <c r="B45"/>
  <c r="AA27"/>
  <c r="B27"/>
  <c r="AA12"/>
  <c r="B12"/>
  <c r="AA32"/>
  <c r="B32"/>
  <c r="AA35"/>
  <c r="B35"/>
  <c r="AA14"/>
  <c r="B14"/>
  <c r="AA5"/>
  <c r="B5"/>
  <c r="AA29"/>
  <c r="B29"/>
  <c r="AA13"/>
  <c r="B13"/>
  <c r="AA26"/>
  <c r="B26"/>
  <c r="AA37"/>
  <c r="B37"/>
  <c r="C64" i="1"/>
  <c r="W3" i="2"/>
  <c r="W42"/>
  <c r="W6"/>
  <c r="W41"/>
  <c r="X33"/>
  <c r="W18"/>
  <c r="X2"/>
  <c r="X60"/>
  <c r="X7"/>
  <c r="X54"/>
  <c r="X26"/>
  <c r="X10"/>
  <c r="W12"/>
  <c r="X44"/>
  <c r="X29"/>
  <c r="X24"/>
  <c r="W49"/>
  <c r="X8"/>
  <c r="X59"/>
  <c r="X28"/>
  <c r="X50"/>
  <c r="X4"/>
  <c r="X61"/>
  <c r="W31"/>
  <c r="X58"/>
  <c r="W37"/>
  <c r="W51"/>
  <c r="X38"/>
  <c r="W53"/>
  <c r="X52"/>
  <c r="X23"/>
  <c r="W34"/>
  <c r="X30"/>
  <c r="X40"/>
  <c r="W45"/>
  <c r="W35"/>
  <c r="X48"/>
  <c r="W32"/>
  <c r="X56"/>
  <c r="X43"/>
  <c r="W43"/>
  <c r="W27"/>
  <c r="X27"/>
  <c r="W55"/>
  <c r="X55"/>
  <c r="W47"/>
  <c r="X47"/>
  <c r="X9"/>
  <c r="W9"/>
  <c r="G2" i="5"/>
  <c r="H2" s="1"/>
  <c r="J18" i="26"/>
  <c r="G19"/>
  <c r="J3"/>
  <c r="G4"/>
  <c r="G25" i="1"/>
  <c r="G26"/>
  <c r="W73" i="2"/>
  <c r="X19"/>
  <c r="X14"/>
  <c r="X17"/>
  <c r="X16"/>
  <c r="W86"/>
  <c r="W21"/>
  <c r="X11"/>
  <c r="W5"/>
  <c r="X15"/>
  <c r="X82"/>
  <c r="W78"/>
  <c r="X76"/>
  <c r="X57"/>
  <c r="W25"/>
  <c r="C28" i="1"/>
  <c r="F26"/>
  <c r="F25"/>
  <c r="AF3" i="20"/>
  <c r="G33" i="26" l="1"/>
  <c r="G34" s="1"/>
  <c r="B2" i="6"/>
  <c r="C2" s="1"/>
  <c r="D2" s="1"/>
  <c r="E2" s="1"/>
  <c r="F2" s="1"/>
  <c r="G2" s="1"/>
  <c r="H2" s="1"/>
  <c r="B2" i="7" l="1"/>
  <c r="C2" s="1"/>
  <c r="D2" s="1"/>
  <c r="E2" s="1"/>
  <c r="F2" s="1"/>
  <c r="G2" s="1"/>
  <c r="H2" s="1"/>
  <c r="B2" i="8" l="1"/>
  <c r="C2" s="1"/>
  <c r="D2" s="1"/>
  <c r="E2" s="1"/>
  <c r="F2" s="1"/>
  <c r="G2" s="1"/>
  <c r="H2" s="1"/>
  <c r="A108" i="4"/>
  <c r="A108" i="7"/>
  <c r="A108" i="6"/>
  <c r="A100" i="3"/>
  <c r="A108" i="8"/>
  <c r="A108" i="5"/>
  <c r="AH100" i="2"/>
  <c r="I100" s="1"/>
  <c r="C55" i="21"/>
  <c r="A100" i="9"/>
  <c r="B100" i="19" s="1"/>
  <c r="V102" i="21" l="1"/>
  <c r="U55"/>
  <c r="V55"/>
  <c r="K100" i="9"/>
  <c r="L100" s="1"/>
  <c r="E100" i="2" s="1"/>
  <c r="U102" i="21"/>
  <c r="O86" l="1"/>
  <c r="O102"/>
  <c r="M86"/>
  <c r="M102"/>
  <c r="W22"/>
  <c r="O73"/>
  <c r="O76"/>
  <c r="M73"/>
  <c r="M76"/>
  <c r="M95"/>
  <c r="M65"/>
  <c r="O95"/>
  <c r="O65"/>
  <c r="M82"/>
  <c r="M96"/>
  <c r="O82"/>
  <c r="O96"/>
  <c r="M98"/>
  <c r="M87"/>
  <c r="O98"/>
  <c r="O87"/>
  <c r="O75"/>
  <c r="O103"/>
  <c r="M75"/>
  <c r="W23" s="1"/>
  <c r="M103"/>
  <c r="W21" s="1"/>
  <c r="M59"/>
  <c r="M63"/>
  <c r="O59"/>
  <c r="O63"/>
  <c r="O89"/>
  <c r="O68"/>
  <c r="M89"/>
  <c r="M68"/>
  <c r="W65" s="1"/>
  <c r="O55"/>
  <c r="O57"/>
  <c r="M55"/>
  <c r="R55" s="1"/>
  <c r="M57"/>
  <c r="W57" s="1"/>
  <c r="G100" i="19"/>
  <c r="I100" s="1"/>
  <c r="W100" i="2"/>
  <c r="X100"/>
  <c r="W24" i="21" l="1"/>
  <c r="W95"/>
  <c r="W77"/>
  <c r="W82"/>
  <c r="W81"/>
  <c r="W100"/>
  <c r="W80"/>
  <c r="W79"/>
  <c r="W91"/>
  <c r="W94"/>
  <c r="W93"/>
  <c r="W87"/>
  <c r="W58"/>
  <c r="W99"/>
  <c r="W101"/>
  <c r="W89"/>
  <c r="W84"/>
  <c r="W88"/>
  <c r="W59"/>
  <c r="W98"/>
  <c r="W64"/>
  <c r="W68"/>
  <c r="W75"/>
  <c r="W92"/>
  <c r="W96"/>
  <c r="W67"/>
  <c r="W70"/>
  <c r="R72" s="1"/>
  <c r="AA72" s="1"/>
  <c r="W86"/>
  <c r="W71"/>
  <c r="W85"/>
  <c r="W73"/>
  <c r="W63"/>
  <c r="W97"/>
  <c r="AA55"/>
  <c r="B55"/>
  <c r="W7"/>
  <c r="W61"/>
  <c r="W74"/>
  <c r="W103"/>
  <c r="W60"/>
  <c r="W76"/>
  <c r="W62"/>
  <c r="W102"/>
  <c r="R64" l="1"/>
  <c r="R99"/>
  <c r="R76"/>
  <c r="R22"/>
  <c r="R92"/>
  <c r="R67"/>
  <c r="R77"/>
  <c r="R71"/>
  <c r="R24"/>
  <c r="R7"/>
  <c r="R93"/>
  <c r="R30"/>
  <c r="R94"/>
  <c r="R85"/>
  <c r="R74"/>
  <c r="R21"/>
  <c r="R65"/>
  <c r="R98"/>
  <c r="R87"/>
  <c r="R81"/>
  <c r="R20"/>
  <c r="R19"/>
  <c r="R100"/>
  <c r="R96"/>
  <c r="R102"/>
  <c r="R23"/>
  <c r="R86"/>
  <c r="AA78"/>
  <c r="R73"/>
  <c r="R82"/>
  <c r="R95"/>
  <c r="R70"/>
  <c r="B78"/>
  <c r="R88"/>
  <c r="R80"/>
  <c r="R101"/>
  <c r="R79"/>
  <c r="R84"/>
  <c r="R97"/>
  <c r="R59"/>
  <c r="AA59" s="1"/>
  <c r="R57"/>
  <c r="R63"/>
  <c r="R75"/>
  <c r="R68"/>
  <c r="R103"/>
  <c r="R89"/>
  <c r="R91"/>
  <c r="B23" l="1"/>
  <c r="AA23"/>
  <c r="B21"/>
  <c r="AA21"/>
  <c r="B24"/>
  <c r="AA24"/>
  <c r="B22"/>
  <c r="AA22"/>
  <c r="B19"/>
  <c r="AA19"/>
  <c r="AA25"/>
  <c r="B25"/>
  <c r="B20"/>
  <c r="AA20"/>
  <c r="AA99"/>
  <c r="AA79"/>
  <c r="B99"/>
  <c r="B80"/>
  <c r="B30"/>
  <c r="B88"/>
  <c r="AA30"/>
  <c r="AA80"/>
  <c r="B33"/>
  <c r="AA33"/>
  <c r="B31"/>
  <c r="AA31"/>
  <c r="AA63"/>
  <c r="B63"/>
  <c r="AA77"/>
  <c r="B77"/>
  <c r="B6"/>
  <c r="AA75"/>
  <c r="AA65"/>
  <c r="AA88"/>
  <c r="B95"/>
  <c r="AA82"/>
  <c r="B96"/>
  <c r="B101"/>
  <c r="AA101"/>
  <c r="AA100"/>
  <c r="B100"/>
  <c r="B59"/>
  <c r="B65"/>
  <c r="B75"/>
  <c r="AA94"/>
  <c r="B94"/>
  <c r="B66"/>
  <c r="AA66"/>
  <c r="B68"/>
  <c r="AA68"/>
  <c r="B93"/>
  <c r="AA95"/>
  <c r="AA93"/>
  <c r="AA96"/>
  <c r="B60"/>
  <c r="AA64"/>
  <c r="B70"/>
  <c r="AA70"/>
  <c r="B89"/>
  <c r="AA89"/>
  <c r="B64"/>
  <c r="B92"/>
  <c r="AA92"/>
  <c r="B67"/>
  <c r="AA67"/>
  <c r="B85"/>
  <c r="AA85"/>
  <c r="B91"/>
  <c r="AA91"/>
  <c r="B76"/>
  <c r="B73"/>
  <c r="AA73"/>
  <c r="B72"/>
  <c r="AA81"/>
  <c r="B81"/>
  <c r="B82"/>
  <c r="B87"/>
  <c r="AA87"/>
  <c r="AA6"/>
  <c r="AA58"/>
  <c r="B58"/>
  <c r="B61"/>
  <c r="B84"/>
  <c r="AA84"/>
  <c r="B71"/>
  <c r="AA71"/>
  <c r="B103"/>
  <c r="B57"/>
  <c r="AA57"/>
  <c r="B62"/>
  <c r="AA97"/>
  <c r="B97"/>
  <c r="B79"/>
  <c r="B98"/>
  <c r="AA98"/>
  <c r="B86"/>
  <c r="AA86"/>
  <c r="B102"/>
  <c r="B74"/>
  <c r="AA74"/>
  <c r="AA61"/>
  <c r="AA76"/>
  <c r="AA7"/>
  <c r="B7"/>
  <c r="AA103"/>
  <c r="AA102"/>
  <c r="AA62"/>
  <c r="AA60"/>
</calcChain>
</file>

<file path=xl/sharedStrings.xml><?xml version="1.0" encoding="utf-8"?>
<sst xmlns="http://schemas.openxmlformats.org/spreadsheetml/2006/main" count="4166" uniqueCount="267">
  <si>
    <t>Raids</t>
  </si>
  <si>
    <t>10 % act</t>
  </si>
  <si>
    <t>25 % act</t>
  </si>
  <si>
    <t>Healers</t>
  </si>
  <si>
    <t>DPS</t>
  </si>
  <si>
    <t>Tanks</t>
  </si>
  <si>
    <t>Total</t>
  </si>
  <si>
    <t>Total in guild</t>
  </si>
  <si>
    <t>25% act</t>
  </si>
  <si>
    <t>25% req</t>
  </si>
  <si>
    <t>10% req</t>
  </si>
  <si>
    <t>Class</t>
  </si>
  <si>
    <t>Amount</t>
  </si>
  <si>
    <t>Healer</t>
  </si>
  <si>
    <t>Tank</t>
  </si>
  <si>
    <t>Death Knight</t>
  </si>
  <si>
    <t>Druid</t>
  </si>
  <si>
    <t>Hunter</t>
  </si>
  <si>
    <t>Mage</t>
  </si>
  <si>
    <t>Paladin</t>
  </si>
  <si>
    <t>Priest</t>
  </si>
  <si>
    <t>Rogue</t>
  </si>
  <si>
    <t>Shaman</t>
  </si>
  <si>
    <t xml:space="preserve">Warlock </t>
  </si>
  <si>
    <t>Warrior</t>
  </si>
  <si>
    <t>Gear Averages</t>
  </si>
  <si>
    <t>Name</t>
  </si>
  <si>
    <t>Rank</t>
  </si>
  <si>
    <t>Mainspec</t>
  </si>
  <si>
    <t xml:space="preserve">Rogue </t>
  </si>
  <si>
    <t>Warlock</t>
  </si>
  <si>
    <t>Venturer</t>
  </si>
  <si>
    <t>Auska</t>
  </si>
  <si>
    <t>Traveler</t>
  </si>
  <si>
    <t>Signups this Month</t>
  </si>
  <si>
    <t>Confirmed 10</t>
  </si>
  <si>
    <t>Confirmed 25</t>
  </si>
  <si>
    <t>Standby 10</t>
  </si>
  <si>
    <t>Standby 25</t>
  </si>
  <si>
    <t>Out</t>
  </si>
  <si>
    <t>Monday</t>
  </si>
  <si>
    <t>25 man confirmed</t>
  </si>
  <si>
    <t>25 man standby</t>
  </si>
  <si>
    <t>10 man confirmed</t>
  </si>
  <si>
    <t>10 man standby</t>
  </si>
  <si>
    <t>Total Confirmed</t>
  </si>
  <si>
    <t>Total Standby</t>
  </si>
  <si>
    <t>Total Out</t>
  </si>
  <si>
    <t>Date</t>
  </si>
  <si>
    <t>Where</t>
  </si>
  <si>
    <t>How many</t>
  </si>
  <si>
    <t>RL's</t>
  </si>
  <si>
    <t>Standby</t>
  </si>
  <si>
    <t>Confirmed</t>
  </si>
  <si>
    <t>Correct Meta Gem</t>
  </si>
  <si>
    <t>Missing Gems</t>
  </si>
  <si>
    <t>Incorrect Gems</t>
  </si>
  <si>
    <t>Belt Buckle</t>
  </si>
  <si>
    <t>Missing Enchants</t>
  </si>
  <si>
    <t>Non-optimum Enchants</t>
  </si>
  <si>
    <t>Yes</t>
  </si>
  <si>
    <t>Raid Leader</t>
  </si>
  <si>
    <t>Week 1</t>
  </si>
  <si>
    <t>Week 2</t>
  </si>
  <si>
    <t>Week 3</t>
  </si>
  <si>
    <t>Week 4</t>
  </si>
  <si>
    <t>Week 5</t>
  </si>
  <si>
    <t>Raiding Totals</t>
  </si>
  <si>
    <t>Wed</t>
  </si>
  <si>
    <t>Thur</t>
  </si>
  <si>
    <t>Fri</t>
  </si>
  <si>
    <t>Sat</t>
  </si>
  <si>
    <t>Sun</t>
  </si>
  <si>
    <t>Mon</t>
  </si>
  <si>
    <t>Tue</t>
  </si>
  <si>
    <t>DK</t>
  </si>
  <si>
    <t>RDPS</t>
  </si>
  <si>
    <t>MDPS</t>
  </si>
  <si>
    <t>Class/Role</t>
  </si>
  <si>
    <t>Gear lvl</t>
  </si>
  <si>
    <t>Gear Ranking</t>
  </si>
  <si>
    <t>Class/spec</t>
  </si>
  <si>
    <t>DPS/HPS</t>
  </si>
  <si>
    <t>Death Knight - Frost</t>
  </si>
  <si>
    <t>Death Knight - Unholy</t>
  </si>
  <si>
    <t>Druid - Balance</t>
  </si>
  <si>
    <t>Druid - Feral Kitty</t>
  </si>
  <si>
    <t>Hunter - Marksman</t>
  </si>
  <si>
    <t>Hunter - Beastmastery</t>
  </si>
  <si>
    <t>Hunter - Survival</t>
  </si>
  <si>
    <t>Mage - Fire</t>
  </si>
  <si>
    <t>Mage - Arcane</t>
  </si>
  <si>
    <t>Mage - Frost</t>
  </si>
  <si>
    <t>Paladin - Retribution</t>
  </si>
  <si>
    <t>Priest - Shadow</t>
  </si>
  <si>
    <t>Rogue - Assassination</t>
  </si>
  <si>
    <t>Rogue - Combat</t>
  </si>
  <si>
    <t>Rogue - Subtlety</t>
  </si>
  <si>
    <t>Shaman - Elemental</t>
  </si>
  <si>
    <t>Shaman - Enhancement</t>
  </si>
  <si>
    <t>Warlock - Destruction</t>
  </si>
  <si>
    <t>Warlock - Affliction</t>
  </si>
  <si>
    <t>Warlock - Daemonology</t>
  </si>
  <si>
    <t>Warrior - Arms</t>
  </si>
  <si>
    <t>Warrior - Fury</t>
  </si>
  <si>
    <t>Priest - Holy</t>
  </si>
  <si>
    <t>Priest - Discipline</t>
  </si>
  <si>
    <t>Druid - Restoration</t>
  </si>
  <si>
    <t>Paladin - Holy</t>
  </si>
  <si>
    <t>Shaman - Restoration</t>
  </si>
  <si>
    <t>Death Knight - Blood</t>
  </si>
  <si>
    <t>Paladin - Protection</t>
  </si>
  <si>
    <t>Warrior - Protection</t>
  </si>
  <si>
    <t>WoW-Heroes</t>
  </si>
  <si>
    <t>WoW-Heroes Score</t>
  </si>
  <si>
    <t>Guild Score</t>
  </si>
  <si>
    <t>Output 1</t>
  </si>
  <si>
    <t>Average</t>
  </si>
  <si>
    <t>World %</t>
  </si>
  <si>
    <t>%</t>
  </si>
  <si>
    <t>Gladiator</t>
  </si>
  <si>
    <t>Target</t>
  </si>
  <si>
    <t>Output 2</t>
  </si>
  <si>
    <t>Output 3</t>
  </si>
  <si>
    <t>Class/Spec</t>
  </si>
  <si>
    <t>Output Ranking</t>
  </si>
  <si>
    <t>Healererer</t>
  </si>
  <si>
    <t>Gear Quality</t>
  </si>
  <si>
    <t>Raid Output</t>
  </si>
  <si>
    <t>Attendance</t>
  </si>
  <si>
    <t>Gear</t>
  </si>
  <si>
    <t>Quality</t>
  </si>
  <si>
    <t>Present Month</t>
  </si>
  <si>
    <t>Last Month</t>
  </si>
  <si>
    <t>Muckyfloor</t>
  </si>
  <si>
    <t>Thoeli</t>
  </si>
  <si>
    <t>Drakodin</t>
  </si>
  <si>
    <t>Wow-heroes</t>
  </si>
  <si>
    <t>Previous sign-up</t>
  </si>
  <si>
    <t xml:space="preserve">NEMData = { </t>
  </si>
  <si>
    <t>["</t>
  </si>
  <si>
    <t>"] = { ["note"] = "</t>
  </si>
  <si>
    <t>(</t>
  </si>
  <si>
    <t>)"}</t>
  </si>
  <si>
    <t>,["</t>
  </si>
  <si>
    <t>}</t>
  </si>
  <si>
    <t>Step 1</t>
  </si>
  <si>
    <t>Step 2</t>
  </si>
  <si>
    <t>Step 3</t>
  </si>
  <si>
    <t>Step 4</t>
  </si>
  <si>
    <t>Successful</t>
  </si>
  <si>
    <t>Pending</t>
  </si>
  <si>
    <t>Unsuccessful</t>
  </si>
  <si>
    <t>[Table][tr][td][center][b]</t>
  </si>
  <si>
    <t>[tr][td][center]</t>
  </si>
  <si>
    <t>[/b][/center][/td][td][center][b]</t>
  </si>
  <si>
    <t>[/center][/td][td][center]</t>
  </si>
  <si>
    <t>[/b][/center][/td][/tr]</t>
  </si>
  <si>
    <t>[/center][/td][/tr]</t>
  </si>
  <si>
    <t>--------------</t>
  </si>
  <si>
    <t>[/Table]</t>
  </si>
  <si>
    <t>------------</t>
  </si>
  <si>
    <t>Venturer Application (Areas of improvement)</t>
  </si>
  <si>
    <t>Gladiator Application (Areas of improvement)</t>
  </si>
  <si>
    <t>Raid PR</t>
  </si>
  <si>
    <t>Role</t>
  </si>
  <si>
    <t>Confirm</t>
  </si>
  <si>
    <t>Raider</t>
  </si>
  <si>
    <t>Score</t>
  </si>
  <si>
    <t>Omf</t>
  </si>
  <si>
    <t>Monk - Brewmaster</t>
  </si>
  <si>
    <t>Druid - Guardian</t>
  </si>
  <si>
    <t>Monk - Mistweaver</t>
  </si>
  <si>
    <t>Monk - Windwalker</t>
  </si>
  <si>
    <t>This</t>
  </si>
  <si>
    <t>Month</t>
  </si>
  <si>
    <t>Last</t>
  </si>
  <si>
    <t>Insufficent Attendance</t>
  </si>
  <si>
    <t>Total Outs</t>
  </si>
  <si>
    <t>Non-Attendance of Sign-up</t>
  </si>
  <si>
    <t>Under Quality Gear</t>
  </si>
  <si>
    <t>Gear Tolerance</t>
  </si>
  <si>
    <t>Monk</t>
  </si>
  <si>
    <t>Role Total</t>
  </si>
  <si>
    <t>HEALER</t>
  </si>
  <si>
    <t>TANK</t>
  </si>
  <si>
    <t>Signs</t>
  </si>
  <si>
    <t>Potentially Recruit</t>
  </si>
  <si>
    <t>[tr][td][center][b]</t>
  </si>
  <si>
    <t>Potential</t>
  </si>
  <si>
    <t>Wed 1</t>
  </si>
  <si>
    <t>Wed 2</t>
  </si>
  <si>
    <t>Thu 1</t>
  </si>
  <si>
    <t>Thu 2</t>
  </si>
  <si>
    <t>Sun 1</t>
  </si>
  <si>
    <t>Note</t>
  </si>
  <si>
    <t>CAT</t>
  </si>
  <si>
    <t>Sun 2</t>
  </si>
  <si>
    <t>Izzabelle</t>
  </si>
  <si>
    <t>Seraphÿm</t>
  </si>
  <si>
    <t>Shinkai</t>
  </si>
  <si>
    <t>Normal</t>
  </si>
  <si>
    <t>Heroic</t>
  </si>
  <si>
    <t>SCORE</t>
  </si>
  <si>
    <t>6's</t>
  </si>
  <si>
    <t>5's</t>
  </si>
  <si>
    <t>4's</t>
  </si>
  <si>
    <t>3's</t>
  </si>
  <si>
    <t>2's</t>
  </si>
  <si>
    <t>1's</t>
  </si>
  <si>
    <t>0's</t>
  </si>
  <si>
    <t>Hyperïon</t>
  </si>
  <si>
    <t>Lychi</t>
  </si>
  <si>
    <t>Ambú</t>
  </si>
  <si>
    <t>Craving</t>
  </si>
  <si>
    <t>Andreah</t>
  </si>
  <si>
    <t>&gt;0 red</t>
  </si>
  <si>
    <t>0 amber</t>
  </si>
  <si>
    <t>0 - -10 green</t>
  </si>
  <si>
    <t>[/color]</t>
  </si>
  <si>
    <t>Mortali</t>
  </si>
  <si>
    <t>Meltface</t>
  </si>
  <si>
    <t>Grandhoof</t>
  </si>
  <si>
    <t>Quemzar</t>
  </si>
  <si>
    <t>Catena</t>
  </si>
  <si>
    <t>Kristofix</t>
  </si>
  <si>
    <t>Harkar</t>
  </si>
  <si>
    <t>Icewinde</t>
  </si>
  <si>
    <t>Nazgol</t>
  </si>
  <si>
    <t>Yardk</t>
  </si>
  <si>
    <t>Sáik</t>
  </si>
  <si>
    <t>Bonegasmic</t>
  </si>
  <si>
    <t>Ashenhand</t>
  </si>
  <si>
    <t>Halfhorns</t>
  </si>
  <si>
    <t>Difson</t>
  </si>
  <si>
    <t>Raiyn</t>
  </si>
  <si>
    <t>Adanya</t>
  </si>
  <si>
    <t>Darshei</t>
  </si>
  <si>
    <t>Fireaxe</t>
  </si>
  <si>
    <t>Firefoxy</t>
  </si>
  <si>
    <t>Kátsumi</t>
  </si>
  <si>
    <t>Rahwin</t>
  </si>
  <si>
    <t>Zerobabe</t>
  </si>
  <si>
    <t>Assap</t>
  </si>
  <si>
    <t>Müfti</t>
  </si>
  <si>
    <t>Páula</t>
  </si>
  <si>
    <t>Rokthrol</t>
  </si>
  <si>
    <t>Ebullio</t>
  </si>
  <si>
    <t>70% of N</t>
  </si>
  <si>
    <t>Boeyah</t>
  </si>
  <si>
    <t>Brákspak</t>
  </si>
  <si>
    <t>Cottman</t>
  </si>
  <si>
    <t>Céléstine</t>
  </si>
  <si>
    <t>Illianá</t>
  </si>
  <si>
    <t>Méych</t>
  </si>
  <si>
    <t>Palorde</t>
  </si>
  <si>
    <t>Yaodeng</t>
  </si>
  <si>
    <t>Zorrg</t>
  </si>
  <si>
    <t>Âspect</t>
  </si>
  <si>
    <t>SOO</t>
  </si>
  <si>
    <t>50% of N</t>
  </si>
  <si>
    <t>25 Man Normal SoO - The Fallen Protectors</t>
  </si>
  <si>
    <t>SoO</t>
  </si>
  <si>
    <t>Volson</t>
  </si>
  <si>
    <t>Judgementz</t>
  </si>
  <si>
    <t>TANK DPS (Doesn't Matter)</t>
  </si>
  <si>
    <t>25 Man Normal SoO - Iron Juggernaught</t>
  </si>
</sst>
</file>

<file path=xl/styles.xml><?xml version="1.0" encoding="utf-8"?>
<styleSheet xmlns="http://schemas.openxmlformats.org/spreadsheetml/2006/main">
  <numFmts count="3">
    <numFmt numFmtId="164" formatCode="0.0"/>
    <numFmt numFmtId="165" formatCode="dd/mm/yy"/>
    <numFmt numFmtId="166" formatCode="0.0%"/>
  </numFmts>
  <fonts count="25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7"/>
      <name val="Arial"/>
      <family val="2"/>
    </font>
    <font>
      <sz val="10"/>
      <color indexed="60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b/>
      <sz val="1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indexed="31"/>
        <bgColor indexed="13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45"/>
      </patternFill>
    </fill>
    <fill>
      <patternFill patternType="solid">
        <fgColor indexed="27"/>
        <bgColor indexed="42"/>
      </patternFill>
    </fill>
    <fill>
      <patternFill patternType="solid">
        <fgColor indexed="47"/>
        <bgColor indexed="13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34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50"/>
      </patternFill>
    </fill>
    <fill>
      <patternFill patternType="solid">
        <fgColor indexed="55"/>
        <bgColor indexed="24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24"/>
        <bgColor indexed="55"/>
      </patternFill>
    </fill>
    <fill>
      <patternFill patternType="solid">
        <fgColor indexed="54"/>
        <bgColor indexed="23"/>
      </patternFill>
    </fill>
    <fill>
      <patternFill patternType="solid">
        <fgColor indexed="41"/>
        <bgColor indexed="13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1" tint="0.34998626667073579"/>
        <bgColor indexed="24"/>
      </patternFill>
    </fill>
    <fill>
      <patternFill patternType="solid">
        <fgColor theme="1" tint="0.34998626667073579"/>
        <bgColor indexed="50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50"/>
      </patternFill>
    </fill>
  </fills>
  <borders count="23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double">
        <color indexed="8"/>
      </left>
      <right style="medium">
        <color indexed="8"/>
      </right>
      <top style="double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double">
        <color indexed="8"/>
      </top>
      <bottom style="medium">
        <color indexed="8"/>
      </bottom>
      <diagonal/>
    </border>
    <border>
      <left style="medium">
        <color indexed="8"/>
      </left>
      <right style="double">
        <color indexed="8"/>
      </right>
      <top style="double">
        <color indexed="8"/>
      </top>
      <bottom style="medium">
        <color indexed="8"/>
      </bottom>
      <diagonal/>
    </border>
    <border>
      <left style="double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double">
        <color indexed="8"/>
      </right>
      <top style="medium">
        <color indexed="8"/>
      </top>
      <bottom style="medium">
        <color indexed="8"/>
      </bottom>
      <diagonal/>
    </border>
    <border>
      <left style="double">
        <color indexed="8"/>
      </left>
      <right style="medium">
        <color indexed="8"/>
      </right>
      <top style="medium">
        <color indexed="8"/>
      </top>
      <bottom style="double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double">
        <color indexed="8"/>
      </bottom>
      <diagonal/>
    </border>
    <border>
      <left style="medium">
        <color indexed="8"/>
      </left>
      <right style="double">
        <color indexed="8"/>
      </right>
      <top style="medium">
        <color indexed="8"/>
      </top>
      <bottom style="double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double">
        <color indexed="8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double">
        <color indexed="8"/>
      </bottom>
      <diagonal/>
    </border>
    <border>
      <left style="medium">
        <color indexed="8"/>
      </left>
      <right style="medium">
        <color indexed="8"/>
      </right>
      <top/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double">
        <color indexed="8"/>
      </bottom>
      <diagonal/>
    </border>
    <border>
      <left style="medium">
        <color indexed="8"/>
      </left>
      <right/>
      <top style="thin">
        <color indexed="8"/>
      </top>
      <bottom style="double">
        <color indexed="8"/>
      </bottom>
      <diagonal/>
    </border>
    <border>
      <left/>
      <right style="medium">
        <color indexed="8"/>
      </right>
      <top style="thin">
        <color indexed="8"/>
      </top>
      <bottom style="double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medium">
        <color indexed="8"/>
      </left>
      <right style="medium">
        <color indexed="8"/>
      </right>
      <top style="double">
        <color indexed="8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dashed">
        <color indexed="8"/>
      </bottom>
      <diagonal/>
    </border>
    <border>
      <left style="medium">
        <color indexed="8"/>
      </left>
      <right style="medium">
        <color indexed="8"/>
      </right>
      <top style="dashed">
        <color indexed="8"/>
      </top>
      <bottom style="dashed">
        <color indexed="8"/>
      </bottom>
      <diagonal/>
    </border>
    <border>
      <left style="medium">
        <color indexed="8"/>
      </left>
      <right style="medium">
        <color indexed="8"/>
      </right>
      <top style="dashed">
        <color indexed="8"/>
      </top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double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/>
      <diagonal/>
    </border>
    <border>
      <left/>
      <right/>
      <top style="thin">
        <color indexed="8"/>
      </top>
      <bottom style="medium">
        <color indexed="8"/>
      </bottom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double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/>
      <diagonal/>
    </border>
    <border>
      <left style="double">
        <color auto="1"/>
      </left>
      <right style="thin">
        <color auto="1"/>
      </right>
      <top/>
      <bottom/>
      <diagonal/>
    </border>
    <border>
      <left style="thin">
        <color auto="1"/>
      </left>
      <right style="double">
        <color auto="1"/>
      </right>
      <top/>
      <bottom/>
      <diagonal/>
    </border>
    <border>
      <left style="double">
        <color auto="1"/>
      </left>
      <right style="thin">
        <color auto="1"/>
      </right>
      <top/>
      <bottom style="double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double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double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medium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8"/>
      </left>
      <right/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8"/>
      </right>
      <top/>
      <bottom style="thin">
        <color indexed="8"/>
      </bottom>
      <diagonal/>
    </border>
    <border>
      <left style="medium">
        <color indexed="64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medium">
        <color indexed="8"/>
      </bottom>
      <diagonal/>
    </border>
    <border>
      <left style="medium">
        <color indexed="64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/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8"/>
      </right>
      <top style="double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double">
        <color indexed="8"/>
      </top>
      <bottom style="thin">
        <color indexed="8"/>
      </bottom>
      <diagonal/>
    </border>
    <border>
      <left/>
      <right/>
      <top style="double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7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3" borderId="0" applyNumberFormat="0" applyBorder="0" applyAlignment="0" applyProtection="0"/>
    <xf numFmtId="0" fontId="6" fillId="20" borderId="1" applyNumberFormat="0" applyAlignment="0" applyProtection="0"/>
    <xf numFmtId="0" fontId="7" fillId="21" borderId="2" applyNumberFormat="0" applyAlignment="0" applyProtection="0"/>
    <xf numFmtId="0" fontId="3" fillId="0" borderId="0"/>
    <xf numFmtId="0" fontId="3" fillId="0" borderId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3" fillId="7" borderId="1" applyNumberFormat="0" applyAlignment="0" applyProtection="0"/>
    <xf numFmtId="0" fontId="14" fillId="0" borderId="6" applyNumberFormat="0" applyFill="0" applyAlignment="0" applyProtection="0"/>
    <xf numFmtId="0" fontId="15" fillId="22" borderId="0" applyNumberFormat="0" applyBorder="0" applyAlignment="0" applyProtection="0"/>
    <xf numFmtId="0" fontId="22" fillId="23" borderId="7" applyNumberFormat="0" applyAlignment="0" applyProtection="0"/>
    <xf numFmtId="0" fontId="16" fillId="20" borderId="8" applyNumberFormat="0" applyAlignment="0" applyProtection="0"/>
    <xf numFmtId="9" fontId="2" fillId="0" borderId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1" fillId="0" borderId="0"/>
    <xf numFmtId="0" fontId="1" fillId="0" borderId="0"/>
  </cellStyleXfs>
  <cellXfs count="516">
    <xf numFmtId="0" fontId="0" fillId="0" borderId="0" xfId="0"/>
    <xf numFmtId="0" fontId="3" fillId="0" borderId="0" xfId="28" applyAlignment="1">
      <alignment horizontal="center" vertical="center"/>
    </xf>
    <xf numFmtId="0" fontId="18" fillId="21" borderId="10" xfId="28" applyFont="1" applyFill="1" applyBorder="1" applyAlignment="1">
      <alignment horizontal="center" vertical="center"/>
    </xf>
    <xf numFmtId="0" fontId="18" fillId="0" borderId="0" xfId="28" applyFont="1" applyAlignment="1">
      <alignment horizontal="center" vertical="center"/>
    </xf>
    <xf numFmtId="0" fontId="3" fillId="0" borderId="11" xfId="28" applyFont="1" applyBorder="1" applyAlignment="1">
      <alignment horizontal="center" vertical="center"/>
    </xf>
    <xf numFmtId="0" fontId="3" fillId="0" borderId="12" xfId="28" applyFont="1" applyBorder="1" applyAlignment="1">
      <alignment horizontal="center" vertical="center"/>
    </xf>
    <xf numFmtId="0" fontId="3" fillId="0" borderId="0" xfId="28" applyFont="1" applyAlignment="1">
      <alignment horizontal="center" vertical="center"/>
    </xf>
    <xf numFmtId="0" fontId="18" fillId="20" borderId="13" xfId="28" applyFont="1" applyFill="1" applyBorder="1" applyAlignment="1">
      <alignment horizontal="center" vertical="center"/>
    </xf>
    <xf numFmtId="0" fontId="3" fillId="0" borderId="13" xfId="28" applyBorder="1" applyAlignment="1">
      <alignment horizontal="center" vertical="center"/>
    </xf>
    <xf numFmtId="0" fontId="3" fillId="0" borderId="13" xfId="28" applyFont="1" applyBorder="1" applyAlignment="1">
      <alignment horizontal="center" vertical="center"/>
    </xf>
    <xf numFmtId="0" fontId="3" fillId="0" borderId="10" xfId="28" applyBorder="1" applyAlignment="1">
      <alignment horizontal="center" vertical="center"/>
    </xf>
    <xf numFmtId="0" fontId="3" fillId="24" borderId="10" xfId="28" applyFill="1" applyBorder="1" applyAlignment="1">
      <alignment horizontal="center" vertical="center"/>
    </xf>
    <xf numFmtId="0" fontId="3" fillId="0" borderId="12" xfId="28" applyBorder="1" applyAlignment="1">
      <alignment horizontal="center" vertical="center"/>
    </xf>
    <xf numFmtId="0" fontId="3" fillId="24" borderId="15" xfId="28" applyFont="1" applyFill="1" applyBorder="1" applyAlignment="1">
      <alignment horizontal="center" vertical="center"/>
    </xf>
    <xf numFmtId="0" fontId="3" fillId="24" borderId="16" xfId="28" applyFont="1" applyFill="1" applyBorder="1" applyAlignment="1">
      <alignment horizontal="center" vertical="center"/>
    </xf>
    <xf numFmtId="0" fontId="3" fillId="0" borderId="18" xfId="28" applyBorder="1" applyAlignment="1">
      <alignment horizontal="center" vertical="center"/>
    </xf>
    <xf numFmtId="0" fontId="3" fillId="0" borderId="19" xfId="28" applyBorder="1" applyAlignment="1">
      <alignment horizontal="center" vertical="center"/>
    </xf>
    <xf numFmtId="0" fontId="3" fillId="0" borderId="21" xfId="28" applyBorder="1" applyAlignment="1">
      <alignment horizontal="center" vertical="center"/>
    </xf>
    <xf numFmtId="0" fontId="3" fillId="21" borderId="10" xfId="28" applyFont="1" applyFill="1" applyBorder="1" applyAlignment="1">
      <alignment horizontal="center" vertical="center"/>
    </xf>
    <xf numFmtId="0" fontId="3" fillId="21" borderId="23" xfId="28" applyFont="1" applyFill="1" applyBorder="1" applyAlignment="1">
      <alignment horizontal="center" vertical="center"/>
    </xf>
    <xf numFmtId="0" fontId="3" fillId="0" borderId="0" xfId="28" applyFill="1" applyAlignment="1">
      <alignment horizontal="center" vertical="center"/>
    </xf>
    <xf numFmtId="0" fontId="3" fillId="0" borderId="25" xfId="28" applyBorder="1" applyAlignment="1">
      <alignment horizontal="center" vertical="center"/>
    </xf>
    <xf numFmtId="0" fontId="3" fillId="21" borderId="12" xfId="28" applyFill="1" applyBorder="1" applyAlignment="1">
      <alignment horizontal="center" vertical="center"/>
    </xf>
    <xf numFmtId="0" fontId="3" fillId="0" borderId="26" xfId="28" applyBorder="1" applyAlignment="1">
      <alignment horizontal="center" vertical="center"/>
    </xf>
    <xf numFmtId="0" fontId="3" fillId="0" borderId="30" xfId="28" applyBorder="1" applyAlignment="1">
      <alignment horizontal="center" vertical="center"/>
    </xf>
    <xf numFmtId="0" fontId="3" fillId="0" borderId="20" xfId="28" applyBorder="1" applyAlignment="1">
      <alignment horizontal="center" vertical="center"/>
    </xf>
    <xf numFmtId="0" fontId="3" fillId="0" borderId="31" xfId="28" applyBorder="1" applyAlignment="1">
      <alignment horizontal="center" vertical="center"/>
    </xf>
    <xf numFmtId="0" fontId="18" fillId="21" borderId="32" xfId="28" applyFont="1" applyFill="1" applyBorder="1" applyAlignment="1">
      <alignment horizontal="center" vertical="center"/>
    </xf>
    <xf numFmtId="0" fontId="18" fillId="20" borderId="12" xfId="28" applyFont="1" applyFill="1" applyBorder="1" applyAlignment="1">
      <alignment horizontal="center" vertical="center"/>
    </xf>
    <xf numFmtId="164" fontId="3" fillId="0" borderId="12" xfId="28" applyNumberFormat="1" applyBorder="1" applyAlignment="1">
      <alignment horizontal="center" vertical="center"/>
    </xf>
    <xf numFmtId="164" fontId="3" fillId="0" borderId="13" xfId="28" applyNumberFormat="1" applyBorder="1" applyAlignment="1">
      <alignment horizontal="center" vertical="center"/>
    </xf>
    <xf numFmtId="0" fontId="18" fillId="20" borderId="20" xfId="28" applyFont="1" applyFill="1" applyBorder="1" applyAlignment="1">
      <alignment horizontal="center" vertical="center"/>
    </xf>
    <xf numFmtId="164" fontId="3" fillId="0" borderId="20" xfId="28" applyNumberFormat="1" applyBorder="1" applyAlignment="1">
      <alignment horizontal="center" vertical="center"/>
    </xf>
    <xf numFmtId="0" fontId="18" fillId="21" borderId="33" xfId="28" applyFont="1" applyFill="1" applyBorder="1" applyAlignment="1">
      <alignment horizontal="center" vertical="center" wrapText="1"/>
    </xf>
    <xf numFmtId="0" fontId="18" fillId="21" borderId="32" xfId="28" applyFont="1" applyFill="1" applyBorder="1" applyAlignment="1">
      <alignment horizontal="center" vertical="center" wrapText="1"/>
    </xf>
    <xf numFmtId="0" fontId="18" fillId="21" borderId="10" xfId="28" applyFont="1" applyFill="1" applyBorder="1" applyAlignment="1">
      <alignment horizontal="center" vertical="center" wrapText="1"/>
    </xf>
    <xf numFmtId="0" fontId="3" fillId="0" borderId="12" xfId="28" applyFont="1" applyBorder="1" applyAlignment="1" applyProtection="1">
      <alignment horizontal="center" vertical="center"/>
      <protection locked="0"/>
    </xf>
    <xf numFmtId="0" fontId="3" fillId="20" borderId="35" xfId="28" applyFont="1" applyFill="1" applyBorder="1" applyAlignment="1" applyProtection="1">
      <alignment horizontal="center" vertical="center"/>
      <protection locked="0"/>
    </xf>
    <xf numFmtId="0" fontId="3" fillId="0" borderId="13" xfId="28" applyFont="1" applyBorder="1" applyAlignment="1" applyProtection="1">
      <alignment horizontal="center" vertical="center"/>
      <protection locked="0"/>
    </xf>
    <xf numFmtId="0" fontId="3" fillId="20" borderId="36" xfId="28" applyFont="1" applyFill="1" applyBorder="1" applyAlignment="1" applyProtection="1">
      <alignment horizontal="center" vertical="center"/>
      <protection locked="0"/>
    </xf>
    <xf numFmtId="0" fontId="3" fillId="20" borderId="37" xfId="28" applyFont="1" applyFill="1" applyBorder="1" applyAlignment="1" applyProtection="1">
      <alignment horizontal="center" vertical="center"/>
      <protection locked="0"/>
    </xf>
    <xf numFmtId="0" fontId="3" fillId="20" borderId="25" xfId="28" applyFont="1" applyFill="1" applyBorder="1" applyAlignment="1" applyProtection="1">
      <alignment horizontal="center" vertical="center"/>
      <protection locked="0"/>
    </xf>
    <xf numFmtId="0" fontId="3" fillId="0" borderId="11" xfId="28" applyFont="1" applyBorder="1" applyAlignment="1" applyProtection="1">
      <alignment horizontal="center" vertical="center"/>
      <protection locked="0"/>
    </xf>
    <xf numFmtId="0" fontId="3" fillId="0" borderId="18" xfId="28" applyFont="1" applyBorder="1" applyAlignment="1">
      <alignment horizontal="center" vertical="center"/>
    </xf>
    <xf numFmtId="0" fontId="18" fillId="21" borderId="38" xfId="28" applyFont="1" applyFill="1" applyBorder="1" applyAlignment="1">
      <alignment horizontal="center" vertical="center"/>
    </xf>
    <xf numFmtId="0" fontId="18" fillId="21" borderId="15" xfId="28" applyFont="1" applyFill="1" applyBorder="1" applyAlignment="1">
      <alignment horizontal="center" vertical="center" wrapText="1"/>
    </xf>
    <xf numFmtId="0" fontId="18" fillId="21" borderId="16" xfId="28" applyFont="1" applyFill="1" applyBorder="1" applyAlignment="1">
      <alignment horizontal="center" vertical="center" wrapText="1"/>
    </xf>
    <xf numFmtId="0" fontId="3" fillId="0" borderId="0" xfId="28" applyBorder="1" applyAlignment="1">
      <alignment horizontal="center" vertical="center"/>
    </xf>
    <xf numFmtId="0" fontId="3" fillId="0" borderId="24" xfId="28" applyFont="1" applyBorder="1" applyAlignment="1">
      <alignment horizontal="center" vertical="center"/>
    </xf>
    <xf numFmtId="0" fontId="3" fillId="0" borderId="39" xfId="28" applyFont="1" applyBorder="1" applyAlignment="1">
      <alignment horizontal="center" vertical="center"/>
    </xf>
    <xf numFmtId="0" fontId="3" fillId="0" borderId="39" xfId="28" applyBorder="1" applyAlignment="1">
      <alignment horizontal="center" vertical="center"/>
    </xf>
    <xf numFmtId="0" fontId="3" fillId="0" borderId="40" xfId="28" applyFont="1" applyBorder="1" applyAlignment="1">
      <alignment horizontal="center" vertical="center"/>
    </xf>
    <xf numFmtId="0" fontId="3" fillId="0" borderId="21" xfId="28" applyFont="1" applyBorder="1" applyAlignment="1">
      <alignment horizontal="center" vertical="center"/>
    </xf>
    <xf numFmtId="0" fontId="3" fillId="0" borderId="0" xfId="28"/>
    <xf numFmtId="0" fontId="18" fillId="21" borderId="12" xfId="28" applyFont="1" applyFill="1" applyBorder="1" applyAlignment="1">
      <alignment horizontal="center" vertical="center"/>
    </xf>
    <xf numFmtId="0" fontId="18" fillId="20" borderId="41" xfId="28" applyFont="1" applyFill="1" applyBorder="1" applyAlignment="1">
      <alignment horizontal="center" vertical="center"/>
    </xf>
    <xf numFmtId="0" fontId="18" fillId="20" borderId="42" xfId="28" applyFont="1" applyFill="1" applyBorder="1" applyAlignment="1">
      <alignment horizontal="center" vertical="center"/>
    </xf>
    <xf numFmtId="0" fontId="18" fillId="20" borderId="43" xfId="28" applyFont="1" applyFill="1" applyBorder="1" applyAlignment="1">
      <alignment horizontal="center" vertical="center"/>
    </xf>
    <xf numFmtId="0" fontId="18" fillId="21" borderId="13" xfId="28" applyFont="1" applyFill="1" applyBorder="1" applyAlignment="1">
      <alignment horizontal="center" vertical="center"/>
    </xf>
    <xf numFmtId="14" fontId="3" fillId="0" borderId="44" xfId="28" applyNumberFormat="1" applyBorder="1" applyAlignment="1" applyProtection="1">
      <alignment horizontal="center" vertical="center"/>
      <protection locked="0"/>
    </xf>
    <xf numFmtId="0" fontId="3" fillId="0" borderId="44" xfId="28" applyFont="1" applyBorder="1" applyAlignment="1" applyProtection="1">
      <alignment horizontal="center" vertical="center"/>
      <protection locked="0"/>
    </xf>
    <xf numFmtId="0" fontId="3" fillId="0" borderId="18" xfId="28" applyBorder="1" applyAlignment="1" applyProtection="1">
      <alignment horizontal="center" vertical="center"/>
      <protection locked="0"/>
    </xf>
    <xf numFmtId="0" fontId="3" fillId="0" borderId="37" xfId="28" applyBorder="1" applyAlignment="1" applyProtection="1">
      <alignment horizontal="center" vertical="center"/>
      <protection locked="0"/>
    </xf>
    <xf numFmtId="0" fontId="18" fillId="21" borderId="20" xfId="28" applyFont="1" applyFill="1" applyBorder="1" applyAlignment="1">
      <alignment horizontal="center" vertical="center"/>
    </xf>
    <xf numFmtId="0" fontId="3" fillId="0" borderId="45" xfId="28" applyFont="1" applyBorder="1" applyAlignment="1" applyProtection="1">
      <alignment horizontal="center" vertical="center" wrapText="1"/>
      <protection locked="0"/>
    </xf>
    <xf numFmtId="0" fontId="3" fillId="0" borderId="21" xfId="28" applyFont="1" applyBorder="1" applyAlignment="1" applyProtection="1">
      <alignment horizontal="center" vertical="center" wrapText="1"/>
      <protection locked="0"/>
    </xf>
    <xf numFmtId="0" fontId="3" fillId="0" borderId="46" xfId="28" applyFont="1" applyBorder="1" applyAlignment="1" applyProtection="1">
      <alignment horizontal="center" vertical="center" wrapText="1"/>
      <protection locked="0"/>
    </xf>
    <xf numFmtId="0" fontId="3" fillId="0" borderId="47" xfId="28" applyFont="1" applyBorder="1" applyAlignment="1">
      <alignment horizontal="center" vertical="center"/>
    </xf>
    <xf numFmtId="0" fontId="3" fillId="0" borderId="42" xfId="28" applyFont="1" applyBorder="1" applyAlignment="1">
      <alignment horizontal="center" vertical="center"/>
    </xf>
    <xf numFmtId="0" fontId="3" fillId="0" borderId="48" xfId="28" applyFont="1" applyBorder="1" applyAlignment="1">
      <alignment horizontal="center" vertical="center"/>
    </xf>
    <xf numFmtId="0" fontId="3" fillId="0" borderId="27" xfId="28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8" xfId="29" applyBorder="1" applyAlignment="1">
      <alignment horizontal="center" vertical="center"/>
    </xf>
    <xf numFmtId="0" fontId="3" fillId="0" borderId="19" xfId="29" applyBorder="1" applyAlignment="1">
      <alignment horizontal="center" vertical="center"/>
    </xf>
    <xf numFmtId="0" fontId="3" fillId="0" borderId="11" xfId="29" applyFont="1" applyBorder="1" applyAlignment="1">
      <alignment horizontal="center" vertical="center"/>
    </xf>
    <xf numFmtId="0" fontId="3" fillId="0" borderId="13" xfId="29" applyFont="1" applyBorder="1" applyAlignment="1">
      <alignment horizontal="center" vertical="center"/>
    </xf>
    <xf numFmtId="0" fontId="0" fillId="0" borderId="0" xfId="0" applyFont="1"/>
    <xf numFmtId="0" fontId="3" fillId="0" borderId="21" xfId="29" applyBorder="1" applyAlignment="1">
      <alignment horizontal="center" vertical="center"/>
    </xf>
    <xf numFmtId="0" fontId="3" fillId="0" borderId="22" xfId="29" applyBorder="1" applyAlignment="1">
      <alignment horizontal="center" vertical="center"/>
    </xf>
    <xf numFmtId="0" fontId="18" fillId="21" borderId="49" xfId="28" applyFont="1" applyFill="1" applyBorder="1" applyAlignment="1">
      <alignment horizontal="center" vertical="center"/>
    </xf>
    <xf numFmtId="0" fontId="18" fillId="21" borderId="50" xfId="28" applyFont="1" applyFill="1" applyBorder="1" applyAlignment="1">
      <alignment horizontal="center" vertical="center" wrapText="1"/>
    </xf>
    <xf numFmtId="0" fontId="0" fillId="0" borderId="0" xfId="0" applyFont="1" applyAlignment="1">
      <alignment horizontal="left" vertical="top"/>
    </xf>
    <xf numFmtId="0" fontId="0" fillId="0" borderId="51" xfId="0" applyBorder="1"/>
    <xf numFmtId="0" fontId="0" fillId="0" borderId="52" xfId="0" applyFont="1" applyBorder="1"/>
    <xf numFmtId="0" fontId="0" fillId="0" borderId="52" xfId="0" applyFont="1" applyBorder="1" applyAlignment="1">
      <alignment horizontal="left" vertical="top"/>
    </xf>
    <xf numFmtId="0" fontId="0" fillId="0" borderId="53" xfId="0" applyFont="1" applyBorder="1"/>
    <xf numFmtId="0" fontId="0" fillId="0" borderId="54" xfId="0" applyBorder="1"/>
    <xf numFmtId="0" fontId="0" fillId="0" borderId="10" xfId="0" applyFont="1" applyBorder="1" applyAlignment="1">
      <alignment horizontal="center"/>
    </xf>
    <xf numFmtId="0" fontId="0" fillId="0" borderId="10" xfId="0" applyFont="1" applyBorder="1"/>
    <xf numFmtId="0" fontId="0" fillId="0" borderId="55" xfId="0" applyFont="1" applyBorder="1" applyAlignment="1">
      <alignment horizontal="center"/>
    </xf>
    <xf numFmtId="0" fontId="20" fillId="0" borderId="10" xfId="0" applyNumberFormat="1" applyFont="1" applyBorder="1" applyAlignment="1">
      <alignment horizontal="center"/>
    </xf>
    <xf numFmtId="0" fontId="21" fillId="0" borderId="10" xfId="0" applyNumberFormat="1" applyFont="1" applyBorder="1" applyAlignment="1">
      <alignment horizontal="center"/>
    </xf>
    <xf numFmtId="0" fontId="20" fillId="0" borderId="10" xfId="0" applyFont="1" applyBorder="1" applyAlignment="1">
      <alignment horizontal="center"/>
    </xf>
    <xf numFmtId="0" fontId="21" fillId="0" borderId="10" xfId="0" applyFont="1" applyBorder="1" applyAlignment="1">
      <alignment horizontal="center"/>
    </xf>
    <xf numFmtId="20" fontId="0" fillId="0" borderId="0" xfId="0" applyNumberFormat="1" applyFont="1" applyAlignment="1">
      <alignment horizontal="left"/>
    </xf>
    <xf numFmtId="0" fontId="0" fillId="0" borderId="0" xfId="0" applyFont="1" applyAlignment="1">
      <alignment horizontal="left"/>
    </xf>
    <xf numFmtId="0" fontId="0" fillId="0" borderId="0" xfId="29" applyFont="1" applyAlignment="1">
      <alignment horizontal="left" vertical="top"/>
    </xf>
    <xf numFmtId="0" fontId="0" fillId="0" borderId="56" xfId="0" applyBorder="1"/>
    <xf numFmtId="0" fontId="0" fillId="0" borderId="57" xfId="0" applyFont="1" applyBorder="1" applyAlignment="1">
      <alignment horizontal="center"/>
    </xf>
    <xf numFmtId="0" fontId="0" fillId="0" borderId="58" xfId="0" applyFont="1" applyBorder="1" applyAlignment="1">
      <alignment horizontal="center"/>
    </xf>
    <xf numFmtId="0" fontId="0" fillId="0" borderId="38" xfId="0" applyFont="1" applyBorder="1"/>
    <xf numFmtId="0" fontId="0" fillId="0" borderId="15" xfId="0" applyFont="1" applyBorder="1"/>
    <xf numFmtId="0" fontId="0" fillId="0" borderId="16" xfId="0" applyFont="1" applyBorder="1"/>
    <xf numFmtId="0" fontId="0" fillId="0" borderId="59" xfId="0" applyBorder="1"/>
    <xf numFmtId="0" fontId="0" fillId="0" borderId="47" xfId="0" applyFont="1" applyBorder="1"/>
    <xf numFmtId="0" fontId="0" fillId="0" borderId="48" xfId="0" applyBorder="1"/>
    <xf numFmtId="0" fontId="0" fillId="0" borderId="42" xfId="0" applyBorder="1"/>
    <xf numFmtId="0" fontId="0" fillId="25" borderId="42" xfId="0" applyFill="1" applyBorder="1"/>
    <xf numFmtId="0" fontId="0" fillId="26" borderId="12" xfId="0" applyFill="1" applyBorder="1"/>
    <xf numFmtId="0" fontId="0" fillId="0" borderId="27" xfId="0" applyFont="1" applyBorder="1"/>
    <xf numFmtId="0" fontId="0" fillId="0" borderId="19" xfId="0" applyBorder="1"/>
    <xf numFmtId="0" fontId="0" fillId="0" borderId="18" xfId="0" applyBorder="1"/>
    <xf numFmtId="0" fontId="0" fillId="25" borderId="18" xfId="0" applyFill="1" applyBorder="1"/>
    <xf numFmtId="0" fontId="0" fillId="26" borderId="13" xfId="0" applyFill="1" applyBorder="1"/>
    <xf numFmtId="0" fontId="0" fillId="0" borderId="29" xfId="0" applyFont="1" applyBorder="1"/>
    <xf numFmtId="0" fontId="0" fillId="0" borderId="22" xfId="0" applyBorder="1"/>
    <xf numFmtId="0" fontId="0" fillId="0" borderId="21" xfId="0" applyBorder="1"/>
    <xf numFmtId="0" fontId="0" fillId="25" borderId="21" xfId="0" applyFill="1" applyBorder="1"/>
    <xf numFmtId="0" fontId="0" fillId="26" borderId="20" xfId="0" applyFill="1" applyBorder="1"/>
    <xf numFmtId="0" fontId="0" fillId="0" borderId="0" xfId="0" applyBorder="1"/>
    <xf numFmtId="0" fontId="3" fillId="0" borderId="47" xfId="0" applyFont="1" applyBorder="1"/>
    <xf numFmtId="0" fontId="3" fillId="0" borderId="42" xfId="0" applyFont="1" applyBorder="1"/>
    <xf numFmtId="0" fontId="0" fillId="0" borderId="29" xfId="0" applyBorder="1"/>
    <xf numFmtId="0" fontId="0" fillId="0" borderId="27" xfId="0" applyBorder="1"/>
    <xf numFmtId="0" fontId="18" fillId="21" borderId="60" xfId="28" applyFont="1" applyFill="1" applyBorder="1" applyAlignment="1">
      <alignment horizontal="center" vertical="center" wrapText="1"/>
    </xf>
    <xf numFmtId="0" fontId="3" fillId="0" borderId="61" xfId="28" applyFont="1" applyBorder="1" applyAlignment="1" applyProtection="1">
      <alignment horizontal="center" vertical="center"/>
      <protection locked="0"/>
    </xf>
    <xf numFmtId="0" fontId="3" fillId="0" borderId="28" xfId="28" applyFont="1" applyBorder="1" applyAlignment="1" applyProtection="1">
      <alignment horizontal="center" vertical="center"/>
      <protection locked="0"/>
    </xf>
    <xf numFmtId="0" fontId="3" fillId="0" borderId="26" xfId="28" applyFont="1" applyBorder="1" applyAlignment="1" applyProtection="1">
      <alignment horizontal="center" vertical="center"/>
      <protection locked="0"/>
    </xf>
    <xf numFmtId="0" fontId="3" fillId="0" borderId="39" xfId="29" applyBorder="1" applyAlignment="1">
      <alignment horizontal="center" vertical="center"/>
    </xf>
    <xf numFmtId="0" fontId="3" fillId="0" borderId="40" xfId="29" applyBorder="1" applyAlignment="1">
      <alignment horizontal="center" vertical="center"/>
    </xf>
    <xf numFmtId="0" fontId="3" fillId="0" borderId="62" xfId="29" applyFont="1" applyBorder="1" applyAlignment="1">
      <alignment horizontal="center" vertical="center"/>
    </xf>
    <xf numFmtId="0" fontId="3" fillId="0" borderId="63" xfId="29" applyBorder="1" applyAlignment="1">
      <alignment horizontal="center" vertical="center"/>
    </xf>
    <xf numFmtId="0" fontId="3" fillId="0" borderId="64" xfId="29" applyBorder="1" applyAlignment="1">
      <alignment horizontal="center" vertical="center"/>
    </xf>
    <xf numFmtId="0" fontId="3" fillId="0" borderId="19" xfId="28" applyFont="1" applyBorder="1" applyAlignment="1">
      <alignment horizontal="center" vertical="center"/>
    </xf>
    <xf numFmtId="0" fontId="3" fillId="0" borderId="22" xfId="28" applyFont="1" applyBorder="1" applyAlignment="1">
      <alignment horizontal="center" vertical="center"/>
    </xf>
    <xf numFmtId="0" fontId="18" fillId="21" borderId="23" xfId="28" applyFont="1" applyFill="1" applyBorder="1" applyAlignment="1">
      <alignment horizontal="center" vertical="center" wrapText="1"/>
    </xf>
    <xf numFmtId="0" fontId="3" fillId="0" borderId="41" xfId="28" applyFont="1" applyBorder="1" applyAlignment="1">
      <alignment horizontal="center" vertical="center"/>
    </xf>
    <xf numFmtId="0" fontId="3" fillId="0" borderId="44" xfId="28" applyFont="1" applyBorder="1" applyAlignment="1">
      <alignment horizontal="center" vertical="center"/>
    </xf>
    <xf numFmtId="0" fontId="3" fillId="0" borderId="45" xfId="28" applyFont="1" applyBorder="1" applyAlignment="1">
      <alignment horizontal="center" vertical="center"/>
    </xf>
    <xf numFmtId="0" fontId="3" fillId="27" borderId="65" xfId="28" applyFont="1" applyFill="1" applyBorder="1" applyAlignment="1">
      <alignment horizontal="center" vertical="center"/>
    </xf>
    <xf numFmtId="0" fontId="3" fillId="27" borderId="65" xfId="28" applyFill="1" applyBorder="1" applyAlignment="1">
      <alignment horizontal="center" vertical="center"/>
    </xf>
    <xf numFmtId="0" fontId="3" fillId="27" borderId="17" xfId="28" applyFill="1" applyBorder="1" applyAlignment="1">
      <alignment horizontal="center" vertical="center"/>
    </xf>
    <xf numFmtId="0" fontId="3" fillId="0" borderId="20" xfId="29" applyFont="1" applyBorder="1" applyAlignment="1">
      <alignment horizontal="center" vertical="center"/>
    </xf>
    <xf numFmtId="0" fontId="3" fillId="0" borderId="66" xfId="28" applyFont="1" applyBorder="1" applyAlignment="1">
      <alignment horizontal="center" vertical="center"/>
    </xf>
    <xf numFmtId="0" fontId="3" fillId="0" borderId="67" xfId="28" applyFont="1" applyBorder="1" applyAlignment="1">
      <alignment horizontal="center" vertical="center"/>
    </xf>
    <xf numFmtId="0" fontId="3" fillId="0" borderId="63" xfId="28" applyFont="1" applyBorder="1" applyAlignment="1">
      <alignment horizontal="center" vertical="center"/>
    </xf>
    <xf numFmtId="0" fontId="3" fillId="27" borderId="68" xfId="28" applyFill="1" applyBorder="1" applyAlignment="1">
      <alignment horizontal="center" vertical="center"/>
    </xf>
    <xf numFmtId="0" fontId="3" fillId="0" borderId="69" xfId="28" applyFont="1" applyBorder="1" applyAlignment="1">
      <alignment horizontal="center" vertical="center"/>
    </xf>
    <xf numFmtId="0" fontId="3" fillId="0" borderId="64" xfId="28" applyFont="1" applyBorder="1" applyAlignment="1">
      <alignment horizontal="center" vertical="center"/>
    </xf>
    <xf numFmtId="0" fontId="3" fillId="20" borderId="70" xfId="28" applyFont="1" applyFill="1" applyBorder="1" applyAlignment="1" applyProtection="1">
      <alignment horizontal="center" vertical="center"/>
      <protection locked="0"/>
    </xf>
    <xf numFmtId="0" fontId="3" fillId="0" borderId="71" xfId="28" applyFont="1" applyBorder="1" applyAlignment="1" applyProtection="1">
      <alignment horizontal="center" vertical="center"/>
      <protection locked="0"/>
    </xf>
    <xf numFmtId="0" fontId="3" fillId="0" borderId="62" xfId="28" applyFont="1" applyBorder="1" applyAlignment="1" applyProtection="1">
      <alignment horizontal="center" vertical="center"/>
      <protection locked="0"/>
    </xf>
    <xf numFmtId="0" fontId="3" fillId="0" borderId="72" xfId="28" applyFont="1" applyBorder="1" applyAlignment="1">
      <alignment horizontal="center" vertical="center"/>
    </xf>
    <xf numFmtId="0" fontId="3" fillId="0" borderId="73" xfId="28" applyBorder="1" applyAlignment="1">
      <alignment horizontal="center" vertical="center"/>
    </xf>
    <xf numFmtId="0" fontId="3" fillId="0" borderId="34" xfId="28" applyFont="1" applyBorder="1" applyAlignment="1">
      <alignment horizontal="center" vertical="center"/>
    </xf>
    <xf numFmtId="0" fontId="3" fillId="24" borderId="49" xfId="28" applyFill="1" applyBorder="1" applyAlignment="1">
      <alignment horizontal="center" vertical="center"/>
    </xf>
    <xf numFmtId="0" fontId="3" fillId="0" borderId="0" xfId="28" applyNumberFormat="1" applyAlignment="1" applyProtection="1">
      <alignment horizontal="center" vertical="center"/>
    </xf>
    <xf numFmtId="3" fontId="3" fillId="0" borderId="13" xfId="28" applyNumberFormat="1" applyBorder="1" applyAlignment="1">
      <alignment horizontal="center" vertical="center"/>
    </xf>
    <xf numFmtId="3" fontId="3" fillId="0" borderId="20" xfId="28" applyNumberFormat="1" applyBorder="1" applyAlignment="1">
      <alignment horizontal="center" vertical="center"/>
    </xf>
    <xf numFmtId="3" fontId="3" fillId="0" borderId="73" xfId="28" applyNumberFormat="1" applyBorder="1" applyAlignment="1">
      <alignment horizontal="center" vertical="center"/>
    </xf>
    <xf numFmtId="166" fontId="3" fillId="0" borderId="13" xfId="28" applyNumberFormat="1" applyBorder="1" applyAlignment="1">
      <alignment horizontal="center" vertical="center"/>
    </xf>
    <xf numFmtId="166" fontId="3" fillId="0" borderId="73" xfId="28" applyNumberFormat="1" applyBorder="1" applyAlignment="1">
      <alignment horizontal="center" vertical="center"/>
    </xf>
    <xf numFmtId="166" fontId="3" fillId="0" borderId="20" xfId="28" applyNumberFormat="1" applyBorder="1" applyAlignment="1">
      <alignment horizontal="center" vertical="center"/>
    </xf>
    <xf numFmtId="3" fontId="3" fillId="27" borderId="12" xfId="28" applyNumberFormat="1" applyFill="1" applyBorder="1" applyAlignment="1">
      <alignment horizontal="center" vertical="center"/>
    </xf>
    <xf numFmtId="166" fontId="3" fillId="0" borderId="32" xfId="28" applyNumberFormat="1" applyBorder="1" applyAlignment="1">
      <alignment horizontal="center" vertical="center"/>
    </xf>
    <xf numFmtId="0" fontId="3" fillId="28" borderId="0" xfId="28" applyFill="1" applyBorder="1" applyAlignment="1">
      <alignment horizontal="center" vertical="center"/>
    </xf>
    <xf numFmtId="0" fontId="3" fillId="28" borderId="75" xfId="28" applyFont="1" applyFill="1" applyBorder="1" applyAlignment="1">
      <alignment horizontal="center" vertical="center"/>
    </xf>
    <xf numFmtId="0" fontId="3" fillId="28" borderId="75" xfId="28" applyFill="1" applyBorder="1" applyAlignment="1">
      <alignment horizontal="center" vertical="center"/>
    </xf>
    <xf numFmtId="0" fontId="3" fillId="28" borderId="76" xfId="28" applyFill="1" applyBorder="1" applyAlignment="1">
      <alignment horizontal="center" vertical="center"/>
    </xf>
    <xf numFmtId="0" fontId="3" fillId="28" borderId="77" xfId="28" applyFill="1" applyBorder="1" applyAlignment="1">
      <alignment horizontal="center" vertical="center"/>
    </xf>
    <xf numFmtId="0" fontId="18" fillId="28" borderId="78" xfId="28" applyFont="1" applyFill="1" applyBorder="1" applyAlignment="1">
      <alignment horizontal="center" vertical="center"/>
    </xf>
    <xf numFmtId="0" fontId="3" fillId="28" borderId="79" xfId="28" applyFont="1" applyFill="1" applyBorder="1" applyAlignment="1">
      <alignment horizontal="center" vertical="center"/>
    </xf>
    <xf numFmtId="0" fontId="3" fillId="28" borderId="79" xfId="28" applyFill="1" applyBorder="1" applyAlignment="1">
      <alignment horizontal="center" vertical="center"/>
    </xf>
    <xf numFmtId="166" fontId="3" fillId="0" borderId="0" xfId="28" applyNumberFormat="1" applyAlignment="1">
      <alignment horizontal="center" vertical="center"/>
    </xf>
    <xf numFmtId="166" fontId="0" fillId="0" borderId="0" xfId="0" applyNumberFormat="1"/>
    <xf numFmtId="164" fontId="0" fillId="0" borderId="0" xfId="0" applyNumberFormat="1"/>
    <xf numFmtId="0" fontId="18" fillId="29" borderId="0" xfId="28" applyFont="1" applyFill="1" applyBorder="1" applyAlignment="1">
      <alignment horizontal="center" vertical="center"/>
    </xf>
    <xf numFmtId="0" fontId="18" fillId="30" borderId="0" xfId="28" applyFont="1" applyFill="1" applyBorder="1" applyAlignment="1">
      <alignment horizontal="center" vertical="center"/>
    </xf>
    <xf numFmtId="164" fontId="3" fillId="28" borderId="0" xfId="28" applyNumberFormat="1" applyFill="1" applyBorder="1" applyAlignment="1">
      <alignment horizontal="center" vertical="center"/>
    </xf>
    <xf numFmtId="0" fontId="3" fillId="28" borderId="59" xfId="28" applyFill="1" applyBorder="1" applyAlignment="1">
      <alignment horizontal="center" vertical="center"/>
    </xf>
    <xf numFmtId="0" fontId="3" fillId="28" borderId="50" xfId="28" applyFill="1" applyBorder="1" applyAlignment="1">
      <alignment horizontal="center" vertical="center"/>
    </xf>
    <xf numFmtId="3" fontId="3" fillId="0" borderId="12" xfId="28" applyNumberFormat="1" applyBorder="1" applyAlignment="1" applyProtection="1">
      <alignment horizontal="center" vertical="center"/>
      <protection locked="0"/>
    </xf>
    <xf numFmtId="164" fontId="3" fillId="0" borderId="12" xfId="28" applyNumberFormat="1" applyBorder="1" applyAlignment="1" applyProtection="1">
      <alignment horizontal="center" vertical="center"/>
      <protection locked="0"/>
    </xf>
    <xf numFmtId="0" fontId="3" fillId="20" borderId="80" xfId="28" applyFont="1" applyFill="1" applyBorder="1" applyAlignment="1" applyProtection="1">
      <alignment horizontal="center" vertical="center"/>
      <protection locked="0"/>
    </xf>
    <xf numFmtId="0" fontId="3" fillId="0" borderId="81" xfId="28" applyFont="1" applyBorder="1" applyAlignment="1" applyProtection="1">
      <alignment horizontal="center" vertical="center"/>
      <protection locked="0"/>
    </xf>
    <xf numFmtId="0" fontId="3" fillId="0" borderId="20" xfId="28" applyFont="1" applyBorder="1" applyAlignment="1" applyProtection="1">
      <alignment horizontal="center" vertical="center"/>
      <protection locked="0"/>
    </xf>
    <xf numFmtId="0" fontId="3" fillId="0" borderId="59" xfId="28" applyBorder="1" applyAlignment="1">
      <alignment horizontal="center" vertical="center"/>
    </xf>
    <xf numFmtId="0" fontId="3" fillId="0" borderId="32" xfId="28" applyFont="1" applyBorder="1" applyAlignment="1" applyProtection="1">
      <alignment horizontal="center" vertical="center"/>
    </xf>
    <xf numFmtId="166" fontId="3" fillId="0" borderId="32" xfId="28" applyNumberFormat="1" applyFont="1" applyBorder="1" applyAlignment="1" applyProtection="1">
      <alignment horizontal="center" vertical="center"/>
    </xf>
    <xf numFmtId="0" fontId="3" fillId="0" borderId="13" xfId="28" applyFont="1" applyBorder="1" applyAlignment="1" applyProtection="1">
      <alignment horizontal="center" vertical="center"/>
    </xf>
    <xf numFmtId="166" fontId="3" fillId="0" borderId="13" xfId="28" applyNumberFormat="1" applyFont="1" applyBorder="1" applyAlignment="1" applyProtection="1">
      <alignment horizontal="center" vertical="center"/>
    </xf>
    <xf numFmtId="0" fontId="3" fillId="0" borderId="20" xfId="28" applyFont="1" applyBorder="1" applyAlignment="1" applyProtection="1">
      <alignment horizontal="center" vertical="center"/>
    </xf>
    <xf numFmtId="166" fontId="3" fillId="0" borderId="20" xfId="28" applyNumberFormat="1" applyFont="1" applyBorder="1" applyAlignment="1" applyProtection="1">
      <alignment horizontal="center" vertical="center"/>
    </xf>
    <xf numFmtId="0" fontId="3" fillId="0" borderId="82" xfId="28" applyFont="1" applyBorder="1" applyAlignment="1" applyProtection="1">
      <alignment horizontal="center" vertical="center"/>
    </xf>
    <xf numFmtId="0" fontId="3" fillId="0" borderId="83" xfId="28" applyFont="1" applyBorder="1" applyAlignment="1" applyProtection="1">
      <alignment horizontal="center" vertical="center"/>
    </xf>
    <xf numFmtId="0" fontId="3" fillId="0" borderId="84" xfId="28" applyFont="1" applyBorder="1" applyAlignment="1" applyProtection="1">
      <alignment horizontal="center" vertical="center"/>
    </xf>
    <xf numFmtId="0" fontId="0" fillId="0" borderId="41" xfId="0" applyFont="1" applyBorder="1" applyAlignment="1" applyProtection="1">
      <alignment horizontal="center" vertical="center"/>
      <protection locked="0"/>
    </xf>
    <xf numFmtId="0" fontId="0" fillId="0" borderId="42" xfId="0" applyFont="1" applyBorder="1" applyAlignment="1" applyProtection="1">
      <alignment horizontal="center" vertical="center"/>
      <protection locked="0"/>
    </xf>
    <xf numFmtId="0" fontId="0" fillId="0" borderId="43" xfId="0" applyFont="1" applyBorder="1" applyAlignment="1" applyProtection="1">
      <alignment horizontal="center" vertical="center"/>
      <protection locked="0"/>
    </xf>
    <xf numFmtId="0" fontId="0" fillId="0" borderId="44" xfId="0" applyFont="1" applyBorder="1" applyAlignment="1" applyProtection="1">
      <alignment horizontal="center" vertical="center"/>
      <protection locked="0"/>
    </xf>
    <xf numFmtId="0" fontId="0" fillId="0" borderId="18" xfId="0" applyFont="1" applyBorder="1" applyAlignment="1" applyProtection="1">
      <alignment horizontal="center" vertical="center"/>
      <protection locked="0"/>
    </xf>
    <xf numFmtId="0" fontId="0" fillId="0" borderId="37" xfId="0" applyFont="1" applyBorder="1" applyAlignment="1" applyProtection="1">
      <alignment horizontal="center" vertical="center"/>
      <protection locked="0"/>
    </xf>
    <xf numFmtId="0" fontId="0" fillId="0" borderId="18" xfId="0" applyBorder="1" applyAlignment="1" applyProtection="1">
      <alignment horizontal="center" vertical="center"/>
      <protection locked="0"/>
    </xf>
    <xf numFmtId="0" fontId="0" fillId="0" borderId="27" xfId="0" applyFont="1" applyBorder="1" applyAlignment="1" applyProtection="1">
      <alignment horizontal="center" vertical="center"/>
      <protection locked="0"/>
    </xf>
    <xf numFmtId="0" fontId="0" fillId="0" borderId="19" xfId="0" applyFont="1" applyBorder="1" applyAlignment="1" applyProtection="1">
      <alignment horizontal="center" vertical="center"/>
      <protection locked="0"/>
    </xf>
    <xf numFmtId="0" fontId="0" fillId="0" borderId="72" xfId="28" applyFont="1" applyBorder="1" applyAlignment="1" applyProtection="1">
      <alignment horizontal="center" vertical="center"/>
      <protection locked="0"/>
    </xf>
    <xf numFmtId="0" fontId="0" fillId="0" borderId="63" xfId="28" applyFont="1" applyBorder="1" applyAlignment="1" applyProtection="1">
      <alignment horizontal="center" vertical="center"/>
      <protection locked="0"/>
    </xf>
    <xf numFmtId="0" fontId="0" fillId="0" borderId="64" xfId="28" applyFont="1" applyBorder="1" applyAlignment="1" applyProtection="1">
      <alignment horizontal="center" vertical="center"/>
      <protection locked="0"/>
    </xf>
    <xf numFmtId="0" fontId="0" fillId="0" borderId="45" xfId="0" applyFont="1" applyBorder="1" applyAlignment="1" applyProtection="1">
      <alignment horizontal="center" vertical="center"/>
      <protection locked="0"/>
    </xf>
    <xf numFmtId="0" fontId="0" fillId="0" borderId="21" xfId="0" applyFont="1" applyBorder="1" applyAlignment="1" applyProtection="1">
      <alignment horizontal="center" vertical="center"/>
      <protection locked="0"/>
    </xf>
    <xf numFmtId="0" fontId="0" fillId="0" borderId="22" xfId="0" applyFont="1" applyBorder="1" applyAlignment="1" applyProtection="1">
      <alignment horizontal="center" vertical="center"/>
      <protection locked="0"/>
    </xf>
    <xf numFmtId="14" fontId="3" fillId="0" borderId="18" xfId="28" applyNumberFormat="1" applyBorder="1" applyAlignment="1" applyProtection="1">
      <alignment horizontal="center" vertical="center"/>
    </xf>
    <xf numFmtId="14" fontId="3" fillId="0" borderId="37" xfId="28" applyNumberFormat="1" applyBorder="1" applyAlignment="1" applyProtection="1">
      <alignment horizontal="center" vertical="center"/>
    </xf>
    <xf numFmtId="0" fontId="3" fillId="0" borderId="44" xfId="28" applyBorder="1" applyAlignment="1" applyProtection="1">
      <alignment horizontal="center" vertical="center"/>
      <protection locked="0"/>
    </xf>
    <xf numFmtId="0" fontId="3" fillId="0" borderId="41" xfId="28" applyFont="1" applyBorder="1" applyAlignment="1" applyProtection="1">
      <alignment horizontal="center" vertical="center" wrapText="1"/>
    </xf>
    <xf numFmtId="0" fontId="3" fillId="0" borderId="61" xfId="28" applyFont="1" applyBorder="1" applyAlignment="1" applyProtection="1">
      <alignment horizontal="center" vertical="center" wrapText="1"/>
    </xf>
    <xf numFmtId="0" fontId="3" fillId="0" borderId="44" xfId="28" applyFont="1" applyBorder="1" applyAlignment="1" applyProtection="1">
      <alignment horizontal="center" vertical="center" wrapText="1"/>
    </xf>
    <xf numFmtId="0" fontId="3" fillId="0" borderId="28" xfId="28" applyFont="1" applyBorder="1" applyAlignment="1" applyProtection="1">
      <alignment horizontal="center" vertical="center" wrapText="1"/>
    </xf>
    <xf numFmtId="0" fontId="3" fillId="0" borderId="45" xfId="28" applyFont="1" applyBorder="1" applyAlignment="1" applyProtection="1">
      <alignment horizontal="center" vertical="center" wrapText="1"/>
    </xf>
    <xf numFmtId="0" fontId="3" fillId="0" borderId="81" xfId="28" applyFont="1" applyBorder="1" applyAlignment="1" applyProtection="1">
      <alignment horizontal="center" vertical="center" wrapText="1"/>
    </xf>
    <xf numFmtId="14" fontId="3" fillId="0" borderId="44" xfId="28" applyNumberFormat="1" applyBorder="1" applyAlignment="1" applyProtection="1">
      <alignment horizontal="center" vertical="center"/>
    </xf>
    <xf numFmtId="165" fontId="3" fillId="0" borderId="25" xfId="28" applyNumberFormat="1" applyFont="1" applyBorder="1" applyAlignment="1" applyProtection="1">
      <alignment horizontal="center" vertical="center"/>
      <protection locked="0"/>
    </xf>
    <xf numFmtId="0" fontId="3" fillId="0" borderId="25" xfId="28" applyFont="1" applyBorder="1" applyAlignment="1" applyProtection="1">
      <alignment horizontal="center" vertical="center"/>
      <protection locked="0"/>
    </xf>
    <xf numFmtId="0" fontId="3" fillId="0" borderId="70" xfId="28" applyFont="1" applyBorder="1" applyAlignment="1" applyProtection="1">
      <alignment horizontal="center" vertical="center"/>
      <protection locked="0"/>
    </xf>
    <xf numFmtId="0" fontId="3" fillId="0" borderId="85" xfId="28" applyFont="1" applyBorder="1" applyAlignment="1" applyProtection="1">
      <alignment horizontal="center" vertical="center"/>
      <protection locked="0"/>
    </xf>
    <xf numFmtId="0" fontId="3" fillId="0" borderId="29" xfId="28" applyFont="1" applyBorder="1" applyAlignment="1">
      <alignment horizontal="center" vertical="center"/>
    </xf>
    <xf numFmtId="0" fontId="3" fillId="0" borderId="86" xfId="28" applyFont="1" applyBorder="1" applyAlignment="1">
      <alignment horizontal="center" vertical="center"/>
    </xf>
    <xf numFmtId="0" fontId="3" fillId="0" borderId="87" xfId="28" applyFont="1" applyBorder="1" applyAlignment="1">
      <alignment horizontal="center" vertical="center"/>
    </xf>
    <xf numFmtId="0" fontId="3" fillId="0" borderId="63" xfId="28" applyBorder="1" applyAlignment="1">
      <alignment horizontal="center" vertical="center"/>
    </xf>
    <xf numFmtId="0" fontId="3" fillId="0" borderId="87" xfId="28" applyBorder="1" applyAlignment="1">
      <alignment horizontal="center" vertical="center"/>
    </xf>
    <xf numFmtId="0" fontId="3" fillId="0" borderId="88" xfId="28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89" xfId="0" applyFont="1" applyBorder="1" applyAlignment="1" applyProtection="1">
      <alignment horizontal="center" vertical="center"/>
      <protection locked="0"/>
    </xf>
    <xf numFmtId="0" fontId="0" fillId="0" borderId="90" xfId="0" applyFont="1" applyBorder="1" applyAlignment="1" applyProtection="1">
      <alignment horizontal="center" vertical="center"/>
      <protection locked="0"/>
    </xf>
    <xf numFmtId="0" fontId="0" fillId="0" borderId="39" xfId="0" applyFont="1" applyBorder="1" applyAlignment="1" applyProtection="1">
      <alignment horizontal="center" vertical="center"/>
      <protection locked="0"/>
    </xf>
    <xf numFmtId="0" fontId="0" fillId="0" borderId="91" xfId="0" applyFont="1" applyBorder="1" applyAlignment="1" applyProtection="1">
      <alignment horizontal="center" vertical="center"/>
      <protection locked="0"/>
    </xf>
    <xf numFmtId="164" fontId="3" fillId="0" borderId="49" xfId="28" applyNumberFormat="1" applyBorder="1" applyAlignment="1">
      <alignment horizontal="center" vertical="center"/>
    </xf>
    <xf numFmtId="0" fontId="3" fillId="0" borderId="80" xfId="28" applyFont="1" applyBorder="1" applyAlignment="1" applyProtection="1">
      <alignment horizontal="center" vertical="center"/>
      <protection locked="0"/>
    </xf>
    <xf numFmtId="0" fontId="3" fillId="0" borderId="102" xfId="28" applyFont="1" applyBorder="1" applyAlignment="1" applyProtection="1">
      <alignment horizontal="center" vertical="center"/>
      <protection locked="0"/>
    </xf>
    <xf numFmtId="0" fontId="3" fillId="0" borderId="20" xfId="28" applyFont="1" applyBorder="1" applyAlignment="1">
      <alignment horizontal="center" vertical="center"/>
    </xf>
    <xf numFmtId="0" fontId="0" fillId="0" borderId="106" xfId="0" applyBorder="1"/>
    <xf numFmtId="0" fontId="0" fillId="0" borderId="107" xfId="0" applyBorder="1"/>
    <xf numFmtId="0" fontId="0" fillId="0" borderId="108" xfId="0" applyBorder="1"/>
    <xf numFmtId="0" fontId="0" fillId="0" borderId="109" xfId="0" applyBorder="1"/>
    <xf numFmtId="0" fontId="0" fillId="0" borderId="110" xfId="0" applyBorder="1"/>
    <xf numFmtId="0" fontId="0" fillId="0" borderId="103" xfId="0" applyBorder="1" applyAlignment="1">
      <alignment horizontal="center"/>
    </xf>
    <xf numFmtId="0" fontId="0" fillId="0" borderId="105" xfId="0" applyBorder="1" applyAlignment="1">
      <alignment horizontal="center"/>
    </xf>
    <xf numFmtId="0" fontId="0" fillId="0" borderId="0" xfId="0" quotePrefix="1"/>
    <xf numFmtId="0" fontId="0" fillId="0" borderId="110" xfId="0" quotePrefix="1" applyBorder="1"/>
    <xf numFmtId="0" fontId="0" fillId="0" borderId="111" xfId="0" applyBorder="1" applyAlignment="1">
      <alignment horizontal="center"/>
    </xf>
    <xf numFmtId="0" fontId="0" fillId="0" borderId="112" xfId="0" applyBorder="1" applyAlignment="1">
      <alignment horizontal="center"/>
    </xf>
    <xf numFmtId="0" fontId="0" fillId="0" borderId="107" xfId="0" applyBorder="1" applyAlignment="1">
      <alignment horizontal="center"/>
    </xf>
    <xf numFmtId="0" fontId="0" fillId="0" borderId="104" xfId="0" applyBorder="1" applyAlignment="1">
      <alignment horizontal="center"/>
    </xf>
    <xf numFmtId="0" fontId="0" fillId="0" borderId="108" xfId="0" applyBorder="1" applyAlignment="1">
      <alignment horizontal="center"/>
    </xf>
    <xf numFmtId="0" fontId="0" fillId="0" borderId="113" xfId="0" applyBorder="1" applyAlignment="1">
      <alignment horizontal="center"/>
    </xf>
    <xf numFmtId="0" fontId="0" fillId="0" borderId="109" xfId="0" applyBorder="1" applyAlignment="1">
      <alignment horizontal="center"/>
    </xf>
    <xf numFmtId="0" fontId="0" fillId="0" borderId="110" xfId="0" applyBorder="1" applyAlignment="1">
      <alignment horizontal="center"/>
    </xf>
    <xf numFmtId="0" fontId="0" fillId="0" borderId="106" xfId="0" applyBorder="1" applyAlignment="1">
      <alignment horizontal="center"/>
    </xf>
    <xf numFmtId="0" fontId="0" fillId="0" borderId="113" xfId="0" applyBorder="1" applyAlignment="1">
      <alignment horizontal="center" vertical="center"/>
    </xf>
    <xf numFmtId="0" fontId="0" fillId="0" borderId="109" xfId="0" applyBorder="1" applyAlignment="1">
      <alignment horizontal="center" vertical="center"/>
    </xf>
    <xf numFmtId="0" fontId="1" fillId="0" borderId="0" xfId="45"/>
    <xf numFmtId="0" fontId="1" fillId="0" borderId="0" xfId="46"/>
    <xf numFmtId="0" fontId="0" fillId="0" borderId="108" xfId="0" applyBorder="1" applyProtection="1">
      <protection locked="0"/>
    </xf>
    <xf numFmtId="0" fontId="0" fillId="0" borderId="109" xfId="0" applyBorder="1" applyProtection="1">
      <protection locked="0"/>
    </xf>
    <xf numFmtId="0" fontId="0" fillId="0" borderId="109" xfId="0" applyBorder="1" applyAlignment="1" applyProtection="1">
      <alignment horizontal="center"/>
      <protection locked="0"/>
    </xf>
    <xf numFmtId="0" fontId="0" fillId="0" borderId="108" xfId="0" applyBorder="1" applyAlignment="1" applyProtection="1">
      <alignment horizontal="left"/>
      <protection locked="0"/>
    </xf>
    <xf numFmtId="0" fontId="0" fillId="0" borderId="103" xfId="0" applyBorder="1" applyAlignment="1" applyProtection="1">
      <alignment horizontal="center" vertical="center"/>
      <protection locked="0"/>
    </xf>
    <xf numFmtId="0" fontId="0" fillId="0" borderId="104" xfId="0" applyBorder="1" applyAlignment="1" applyProtection="1">
      <alignment horizontal="center" vertical="center"/>
      <protection locked="0"/>
    </xf>
    <xf numFmtId="0" fontId="0" fillId="0" borderId="116" xfId="0" applyBorder="1" applyAlignment="1">
      <alignment horizontal="center"/>
    </xf>
    <xf numFmtId="0" fontId="0" fillId="0" borderId="117" xfId="0" applyBorder="1" applyAlignment="1">
      <alignment horizontal="center"/>
    </xf>
    <xf numFmtId="0" fontId="0" fillId="0" borderId="104" xfId="0" applyBorder="1" applyProtection="1">
      <protection locked="0"/>
    </xf>
    <xf numFmtId="0" fontId="0" fillId="0" borderId="118" xfId="0" applyBorder="1" applyAlignment="1">
      <alignment horizontal="center"/>
    </xf>
    <xf numFmtId="0" fontId="3" fillId="0" borderId="119" xfId="28" applyBorder="1" applyAlignment="1">
      <alignment horizontal="center" vertical="center"/>
    </xf>
    <xf numFmtId="9" fontId="2" fillId="0" borderId="120" xfId="41" applyBorder="1" applyAlignment="1">
      <alignment horizontal="center" vertical="center"/>
    </xf>
    <xf numFmtId="0" fontId="0" fillId="0" borderId="121" xfId="0" applyBorder="1" applyAlignment="1">
      <alignment horizontal="center"/>
    </xf>
    <xf numFmtId="0" fontId="3" fillId="0" borderId="122" xfId="28" applyBorder="1" applyAlignment="1">
      <alignment horizontal="center" vertical="center"/>
    </xf>
    <xf numFmtId="9" fontId="2" fillId="0" borderId="123" xfId="41" applyBorder="1" applyAlignment="1">
      <alignment horizontal="center" vertical="center"/>
    </xf>
    <xf numFmtId="0" fontId="3" fillId="0" borderId="123" xfId="28" applyBorder="1" applyAlignment="1">
      <alignment horizontal="center" vertical="center"/>
    </xf>
    <xf numFmtId="0" fontId="0" fillId="0" borderId="124" xfId="0" applyBorder="1" applyAlignment="1">
      <alignment horizontal="center"/>
    </xf>
    <xf numFmtId="0" fontId="3" fillId="0" borderId="125" xfId="28" applyBorder="1" applyAlignment="1">
      <alignment horizontal="center" vertical="center"/>
    </xf>
    <xf numFmtId="0" fontId="3" fillId="0" borderId="117" xfId="28" applyBorder="1" applyAlignment="1">
      <alignment horizontal="center" vertical="center"/>
    </xf>
    <xf numFmtId="0" fontId="18" fillId="21" borderId="32" xfId="28" applyFont="1" applyFill="1" applyBorder="1" applyAlignment="1" applyProtection="1">
      <alignment horizontal="center" vertical="center" wrapText="1"/>
    </xf>
    <xf numFmtId="0" fontId="3" fillId="0" borderId="0" xfId="28" applyAlignment="1" applyProtection="1">
      <alignment horizontal="center" vertical="center"/>
    </xf>
    <xf numFmtId="0" fontId="0" fillId="0" borderId="143" xfId="0" applyBorder="1" applyAlignment="1">
      <alignment horizontal="center"/>
    </xf>
    <xf numFmtId="0" fontId="0" fillId="0" borderId="137" xfId="0" applyBorder="1" applyAlignment="1">
      <alignment horizontal="center"/>
    </xf>
    <xf numFmtId="0" fontId="0" fillId="0" borderId="138" xfId="0" applyBorder="1" applyAlignment="1">
      <alignment horizontal="center"/>
    </xf>
    <xf numFmtId="0" fontId="0" fillId="0" borderId="144" xfId="0" applyBorder="1" applyAlignment="1">
      <alignment horizontal="center"/>
    </xf>
    <xf numFmtId="0" fontId="0" fillId="0" borderId="91" xfId="0" applyBorder="1" applyAlignment="1">
      <alignment horizontal="center"/>
    </xf>
    <xf numFmtId="0" fontId="0" fillId="0" borderId="140" xfId="0" applyBorder="1" applyAlignment="1">
      <alignment horizontal="center"/>
    </xf>
    <xf numFmtId="0" fontId="0" fillId="0" borderId="145" xfId="0" applyBorder="1" applyAlignment="1">
      <alignment horizontal="center"/>
    </xf>
    <xf numFmtId="0" fontId="0" fillId="0" borderId="142" xfId="0" applyBorder="1" applyAlignment="1">
      <alignment horizontal="center"/>
    </xf>
    <xf numFmtId="0" fontId="0" fillId="0" borderId="136" xfId="0" applyBorder="1" applyAlignment="1">
      <alignment horizontal="left"/>
    </xf>
    <xf numFmtId="0" fontId="0" fillId="0" borderId="137" xfId="0" applyBorder="1" applyAlignment="1">
      <alignment horizontal="left"/>
    </xf>
    <xf numFmtId="0" fontId="0" fillId="0" borderId="146" xfId="0" applyBorder="1" applyAlignment="1">
      <alignment horizontal="left"/>
    </xf>
    <xf numFmtId="0" fontId="0" fillId="0" borderId="139" xfId="0" applyBorder="1" applyAlignment="1">
      <alignment horizontal="left"/>
    </xf>
    <xf numFmtId="0" fontId="0" fillId="0" borderId="91" xfId="0" applyBorder="1" applyAlignment="1">
      <alignment horizontal="left"/>
    </xf>
    <xf numFmtId="0" fontId="0" fillId="0" borderId="147" xfId="0" applyBorder="1" applyAlignment="1">
      <alignment horizontal="left"/>
    </xf>
    <xf numFmtId="0" fontId="0" fillId="0" borderId="141" xfId="0" applyBorder="1" applyAlignment="1">
      <alignment horizontal="left"/>
    </xf>
    <xf numFmtId="0" fontId="0" fillId="0" borderId="142" xfId="0" applyBorder="1" applyAlignment="1">
      <alignment horizontal="left"/>
    </xf>
    <xf numFmtId="0" fontId="0" fillId="0" borderId="148" xfId="0" applyBorder="1" applyAlignment="1">
      <alignment horizontal="left"/>
    </xf>
    <xf numFmtId="0" fontId="24" fillId="0" borderId="129" xfId="0" applyFont="1" applyBorder="1" applyAlignment="1">
      <alignment horizontal="center"/>
    </xf>
    <xf numFmtId="0" fontId="24" fillId="0" borderId="130" xfId="0" applyFont="1" applyBorder="1" applyAlignment="1">
      <alignment horizontal="center"/>
    </xf>
    <xf numFmtId="0" fontId="24" fillId="0" borderId="131" xfId="0" applyFont="1" applyBorder="1" applyAlignment="1">
      <alignment horizontal="center"/>
    </xf>
    <xf numFmtId="0" fontId="24" fillId="0" borderId="134" xfId="0" applyFont="1" applyBorder="1" applyAlignment="1">
      <alignment horizontal="center"/>
    </xf>
    <xf numFmtId="0" fontId="24" fillId="0" borderId="135" xfId="0" applyFont="1" applyBorder="1" applyAlignment="1">
      <alignment horizontal="center"/>
    </xf>
    <xf numFmtId="0" fontId="24" fillId="0" borderId="132" xfId="0" applyFont="1" applyBorder="1" applyAlignment="1">
      <alignment horizontal="center"/>
    </xf>
    <xf numFmtId="0" fontId="3" fillId="0" borderId="149" xfId="28" applyBorder="1" applyAlignment="1">
      <alignment horizontal="center" vertical="center"/>
    </xf>
    <xf numFmtId="0" fontId="3" fillId="0" borderId="91" xfId="28" applyBorder="1" applyAlignment="1">
      <alignment horizontal="center" vertical="center"/>
    </xf>
    <xf numFmtId="0" fontId="3" fillId="0" borderId="147" xfId="28" applyNumberFormat="1" applyBorder="1" applyAlignment="1" applyProtection="1">
      <alignment horizontal="center" vertical="center"/>
    </xf>
    <xf numFmtId="0" fontId="3" fillId="0" borderId="150" xfId="28" applyBorder="1" applyAlignment="1">
      <alignment horizontal="center" vertical="center"/>
    </xf>
    <xf numFmtId="0" fontId="3" fillId="0" borderId="151" xfId="28" applyBorder="1" applyAlignment="1">
      <alignment horizontal="center" vertical="center"/>
    </xf>
    <xf numFmtId="0" fontId="3" fillId="0" borderId="152" xfId="28" applyNumberFormat="1" applyBorder="1" applyAlignment="1" applyProtection="1">
      <alignment horizontal="center" vertical="center"/>
    </xf>
    <xf numFmtId="0" fontId="3" fillId="0" borderId="153" xfId="28" applyBorder="1" applyAlignment="1">
      <alignment horizontal="center" vertical="center"/>
    </xf>
    <xf numFmtId="0" fontId="3" fillId="0" borderId="154" xfId="28" applyBorder="1" applyAlignment="1">
      <alignment horizontal="center" vertical="center"/>
    </xf>
    <xf numFmtId="0" fontId="3" fillId="0" borderId="155" xfId="28" applyNumberFormat="1" applyBorder="1" applyAlignment="1" applyProtection="1">
      <alignment horizontal="center" vertical="center"/>
    </xf>
    <xf numFmtId="0" fontId="3" fillId="0" borderId="157" xfId="28" applyBorder="1" applyAlignment="1">
      <alignment horizontal="center" vertical="center"/>
    </xf>
    <xf numFmtId="0" fontId="3" fillId="0" borderId="158" xfId="28" applyNumberFormat="1" applyBorder="1" applyAlignment="1" applyProtection="1">
      <alignment horizontal="center" vertical="center"/>
    </xf>
    <xf numFmtId="0" fontId="3" fillId="0" borderId="156" xfId="28" applyBorder="1" applyAlignment="1" applyProtection="1">
      <alignment horizontal="center" vertical="center"/>
    </xf>
    <xf numFmtId="0" fontId="0" fillId="0" borderId="108" xfId="0" applyBorder="1" applyAlignment="1" applyProtection="1">
      <alignment horizontal="center"/>
      <protection locked="0"/>
    </xf>
    <xf numFmtId="0" fontId="0" fillId="0" borderId="107" xfId="0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0" borderId="103" xfId="0" applyBorder="1" applyAlignment="1" applyProtection="1">
      <alignment horizontal="center"/>
      <protection locked="0"/>
    </xf>
    <xf numFmtId="0" fontId="0" fillId="0" borderId="104" xfId="0" applyBorder="1" applyAlignment="1" applyProtection="1">
      <alignment horizontal="center"/>
      <protection locked="0"/>
    </xf>
    <xf numFmtId="0" fontId="0" fillId="0" borderId="113" xfId="0" applyBorder="1" applyAlignment="1" applyProtection="1">
      <alignment horizontal="center"/>
      <protection locked="0"/>
    </xf>
    <xf numFmtId="0" fontId="0" fillId="0" borderId="110" xfId="0" applyBorder="1" applyAlignment="1" applyProtection="1">
      <alignment horizontal="center"/>
      <protection locked="0"/>
    </xf>
    <xf numFmtId="0" fontId="0" fillId="0" borderId="105" xfId="0" applyBorder="1" applyAlignment="1" applyProtection="1">
      <alignment horizontal="center"/>
      <protection locked="0"/>
    </xf>
    <xf numFmtId="0" fontId="0" fillId="0" borderId="106" xfId="0" applyBorder="1" applyAlignment="1" applyProtection="1">
      <alignment horizontal="center"/>
      <protection locked="0"/>
    </xf>
    <xf numFmtId="0" fontId="23" fillId="0" borderId="0" xfId="0" applyFont="1" applyAlignment="1" applyProtection="1">
      <alignment vertical="center"/>
      <protection locked="0"/>
    </xf>
    <xf numFmtId="0" fontId="3" fillId="0" borderId="14" xfId="28" applyFont="1" applyBorder="1" applyAlignment="1" applyProtection="1">
      <alignment horizontal="center" vertical="center"/>
    </xf>
    <xf numFmtId="166" fontId="3" fillId="0" borderId="14" xfId="28" applyNumberFormat="1" applyFont="1" applyBorder="1" applyAlignment="1" applyProtection="1">
      <alignment horizontal="center" vertical="center"/>
    </xf>
    <xf numFmtId="0" fontId="3" fillId="0" borderId="73" xfId="28" applyFont="1" applyBorder="1" applyAlignment="1" applyProtection="1">
      <alignment horizontal="center" vertical="center"/>
    </xf>
    <xf numFmtId="166" fontId="3" fillId="0" borderId="73" xfId="28" applyNumberFormat="1" applyFont="1" applyBorder="1" applyAlignment="1" applyProtection="1">
      <alignment horizontal="center" vertical="center"/>
    </xf>
    <xf numFmtId="0" fontId="0" fillId="0" borderId="44" xfId="0" applyBorder="1" applyAlignment="1" applyProtection="1">
      <alignment horizontal="center" vertical="center"/>
      <protection locked="0"/>
    </xf>
    <xf numFmtId="166" fontId="3" fillId="0" borderId="34" xfId="28" applyNumberFormat="1" applyBorder="1" applyAlignment="1">
      <alignment horizontal="center" vertical="center"/>
    </xf>
    <xf numFmtId="166" fontId="3" fillId="0" borderId="35" xfId="28" applyNumberFormat="1" applyBorder="1" applyAlignment="1">
      <alignment horizontal="center" vertical="center"/>
    </xf>
    <xf numFmtId="166" fontId="3" fillId="0" borderId="80" xfId="28" applyNumberFormat="1" applyBorder="1" applyAlignment="1">
      <alignment horizontal="center" vertical="center"/>
    </xf>
    <xf numFmtId="0" fontId="3" fillId="0" borderId="0" xfId="28" applyFont="1" applyFill="1" applyBorder="1" applyAlignment="1" applyProtection="1">
      <alignment horizontal="center" vertical="center"/>
      <protection locked="0"/>
    </xf>
    <xf numFmtId="0" fontId="0" fillId="0" borderId="89" xfId="0" applyBorder="1" applyAlignment="1" applyProtection="1">
      <alignment horizontal="center" vertical="center"/>
      <protection locked="0"/>
    </xf>
    <xf numFmtId="0" fontId="0" fillId="0" borderId="91" xfId="0" applyBorder="1" applyAlignment="1" applyProtection="1">
      <alignment horizontal="center" vertical="center"/>
      <protection locked="0"/>
    </xf>
    <xf numFmtId="0" fontId="24" fillId="0" borderId="133" xfId="0" applyFont="1" applyBorder="1" applyAlignment="1">
      <alignment horizontal="center"/>
    </xf>
    <xf numFmtId="0" fontId="24" fillId="0" borderId="119" xfId="0" applyFont="1" applyBorder="1" applyAlignment="1">
      <alignment horizontal="center"/>
    </xf>
    <xf numFmtId="0" fontId="18" fillId="0" borderId="0" xfId="28" applyFont="1" applyFill="1" applyBorder="1" applyAlignment="1">
      <alignment horizontal="center" vertical="center"/>
    </xf>
    <xf numFmtId="0" fontId="0" fillId="0" borderId="106" xfId="0" applyBorder="1" applyProtection="1">
      <protection locked="0"/>
    </xf>
    <xf numFmtId="0" fontId="0" fillId="0" borderId="160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161" xfId="0" quotePrefix="1" applyBorder="1" applyAlignment="1">
      <alignment horizontal="center"/>
    </xf>
    <xf numFmtId="0" fontId="0" fillId="0" borderId="163" xfId="0" applyBorder="1"/>
    <xf numFmtId="0" fontId="0" fillId="0" borderId="164" xfId="0" applyBorder="1"/>
    <xf numFmtId="0" fontId="0" fillId="0" borderId="162" xfId="0" applyBorder="1"/>
    <xf numFmtId="0" fontId="24" fillId="0" borderId="162" xfId="0" applyFont="1" applyBorder="1" applyAlignment="1">
      <alignment horizontal="center"/>
    </xf>
    <xf numFmtId="0" fontId="0" fillId="0" borderId="163" xfId="0" applyBorder="1" applyAlignment="1">
      <alignment horizontal="center"/>
    </xf>
    <xf numFmtId="0" fontId="0" fillId="0" borderId="164" xfId="0" applyBorder="1" applyAlignment="1">
      <alignment horizontal="center"/>
    </xf>
    <xf numFmtId="0" fontId="0" fillId="0" borderId="165" xfId="0" applyBorder="1" applyProtection="1">
      <protection locked="0"/>
    </xf>
    <xf numFmtId="0" fontId="0" fillId="0" borderId="166" xfId="0" applyBorder="1"/>
    <xf numFmtId="0" fontId="0" fillId="0" borderId="166" xfId="0" applyBorder="1" applyAlignment="1">
      <alignment horizontal="center"/>
    </xf>
    <xf numFmtId="0" fontId="0" fillId="0" borderId="47" xfId="0" applyBorder="1"/>
    <xf numFmtId="0" fontId="0" fillId="0" borderId="137" xfId="0" applyBorder="1"/>
    <xf numFmtId="0" fontId="0" fillId="0" borderId="146" xfId="0" applyBorder="1"/>
    <xf numFmtId="0" fontId="0" fillId="0" borderId="91" xfId="0" applyBorder="1"/>
    <xf numFmtId="0" fontId="0" fillId="0" borderId="168" xfId="0" applyBorder="1"/>
    <xf numFmtId="0" fontId="0" fillId="0" borderId="170" xfId="0" applyBorder="1"/>
    <xf numFmtId="0" fontId="0" fillId="0" borderId="171" xfId="0" applyBorder="1"/>
    <xf numFmtId="0" fontId="0" fillId="0" borderId="167" xfId="0" applyBorder="1" applyAlignment="1">
      <alignment horizontal="center"/>
    </xf>
    <xf numFmtId="0" fontId="0" fillId="0" borderId="169" xfId="0" applyBorder="1" applyAlignment="1">
      <alignment horizontal="center"/>
    </xf>
    <xf numFmtId="0" fontId="0" fillId="0" borderId="170" xfId="0" applyBorder="1" applyAlignment="1">
      <alignment horizontal="center"/>
    </xf>
    <xf numFmtId="0" fontId="24" fillId="0" borderId="167" xfId="0" applyFont="1" applyBorder="1" applyAlignment="1">
      <alignment horizontal="center"/>
    </xf>
    <xf numFmtId="0" fontId="0" fillId="0" borderId="0" xfId="0" applyFill="1" applyBorder="1" applyProtection="1">
      <protection locked="0"/>
    </xf>
    <xf numFmtId="0" fontId="0" fillId="0" borderId="172" xfId="0" applyBorder="1" applyAlignment="1">
      <alignment horizontal="center"/>
    </xf>
    <xf numFmtId="0" fontId="0" fillId="0" borderId="172" xfId="0" applyBorder="1"/>
    <xf numFmtId="0" fontId="0" fillId="0" borderId="172" xfId="0" applyBorder="1" applyProtection="1">
      <protection locked="0"/>
    </xf>
    <xf numFmtId="0" fontId="0" fillId="0" borderId="173" xfId="0" applyBorder="1" applyAlignment="1">
      <alignment horizontal="center"/>
    </xf>
    <xf numFmtId="0" fontId="0" fillId="0" borderId="174" xfId="0" applyBorder="1" applyAlignment="1">
      <alignment horizontal="center"/>
    </xf>
    <xf numFmtId="0" fontId="24" fillId="0" borderId="137" xfId="0" applyFont="1" applyBorder="1" applyAlignment="1">
      <alignment horizontal="center"/>
    </xf>
    <xf numFmtId="0" fontId="18" fillId="21" borderId="65" xfId="28" applyFont="1" applyFill="1" applyBorder="1" applyAlignment="1">
      <alignment horizontal="center" vertical="center"/>
    </xf>
    <xf numFmtId="0" fontId="3" fillId="0" borderId="101" xfId="28" applyFont="1" applyBorder="1" applyAlignment="1" applyProtection="1">
      <alignment horizontal="center" vertical="center" wrapText="1"/>
      <protection locked="0"/>
    </xf>
    <xf numFmtId="0" fontId="3" fillId="0" borderId="0" xfId="28" applyFont="1" applyBorder="1" applyAlignment="1" applyProtection="1">
      <alignment horizontal="center" vertical="center" wrapText="1"/>
      <protection locked="0"/>
    </xf>
    <xf numFmtId="4" fontId="0" fillId="0" borderId="0" xfId="0" applyNumberFormat="1"/>
    <xf numFmtId="164" fontId="23" fillId="0" borderId="177" xfId="0" applyNumberFormat="1" applyFont="1" applyBorder="1" applyAlignment="1" applyProtection="1">
      <alignment vertical="center"/>
      <protection locked="0"/>
    </xf>
    <xf numFmtId="3" fontId="3" fillId="0" borderId="178" xfId="28" applyNumberFormat="1" applyBorder="1" applyAlignment="1" applyProtection="1">
      <alignment horizontal="center" vertical="center"/>
      <protection locked="0"/>
    </xf>
    <xf numFmtId="0" fontId="3" fillId="28" borderId="0" xfId="28" applyFont="1" applyFill="1" applyBorder="1" applyAlignment="1">
      <alignment horizontal="center" vertical="center"/>
    </xf>
    <xf numFmtId="0" fontId="18" fillId="21" borderId="179" xfId="28" applyFont="1" applyFill="1" applyBorder="1" applyAlignment="1">
      <alignment horizontal="center" vertical="center"/>
    </xf>
    <xf numFmtId="0" fontId="18" fillId="21" borderId="180" xfId="28" applyFont="1" applyFill="1" applyBorder="1" applyAlignment="1">
      <alignment horizontal="center" vertical="center"/>
    </xf>
    <xf numFmtId="0" fontId="18" fillId="24" borderId="180" xfId="28" applyFont="1" applyFill="1" applyBorder="1" applyAlignment="1">
      <alignment horizontal="center" vertical="center"/>
    </xf>
    <xf numFmtId="0" fontId="18" fillId="24" borderId="181" xfId="28" applyFont="1" applyFill="1" applyBorder="1" applyAlignment="1">
      <alignment horizontal="center" vertical="center"/>
    </xf>
    <xf numFmtId="0" fontId="18" fillId="20" borderId="182" xfId="28" applyFont="1" applyFill="1" applyBorder="1" applyAlignment="1">
      <alignment horizontal="center" vertical="center"/>
    </xf>
    <xf numFmtId="0" fontId="18" fillId="20" borderId="183" xfId="28" applyFont="1" applyFill="1" applyBorder="1" applyAlignment="1">
      <alignment horizontal="center" vertical="center"/>
    </xf>
    <xf numFmtId="0" fontId="3" fillId="0" borderId="175" xfId="28" applyBorder="1" applyAlignment="1">
      <alignment horizontal="center" vertical="center"/>
    </xf>
    <xf numFmtId="0" fontId="3" fillId="0" borderId="175" xfId="28" applyFont="1" applyBorder="1" applyAlignment="1">
      <alignment horizontal="center" vertical="center"/>
    </xf>
    <xf numFmtId="0" fontId="3" fillId="0" borderId="178" xfId="28" applyFont="1" applyBorder="1" applyAlignment="1">
      <alignment horizontal="center" vertical="center"/>
    </xf>
    <xf numFmtId="0" fontId="18" fillId="20" borderId="184" xfId="28" applyFont="1" applyFill="1" applyBorder="1" applyAlignment="1">
      <alignment horizontal="center" vertical="center"/>
    </xf>
    <xf numFmtId="0" fontId="3" fillId="0" borderId="185" xfId="28" applyBorder="1" applyAlignment="1">
      <alignment horizontal="center" vertical="center"/>
    </xf>
    <xf numFmtId="0" fontId="3" fillId="0" borderId="175" xfId="28" applyBorder="1" applyAlignment="1">
      <alignment horizontal="center" vertical="center" wrapText="1"/>
    </xf>
    <xf numFmtId="0" fontId="3" fillId="0" borderId="177" xfId="28" applyBorder="1" applyAlignment="1">
      <alignment horizontal="center" vertical="center"/>
    </xf>
    <xf numFmtId="0" fontId="3" fillId="0" borderId="186" xfId="28" applyBorder="1" applyAlignment="1">
      <alignment horizontal="center" vertical="center"/>
    </xf>
    <xf numFmtId="0" fontId="3" fillId="0" borderId="187" xfId="28" applyBorder="1" applyAlignment="1">
      <alignment horizontal="center" vertical="center" wrapText="1"/>
    </xf>
    <xf numFmtId="0" fontId="3" fillId="0" borderId="188" xfId="28" applyBorder="1" applyAlignment="1">
      <alignment horizontal="center" vertical="center"/>
    </xf>
    <xf numFmtId="0" fontId="3" fillId="0" borderId="176" xfId="28" applyBorder="1" applyAlignment="1">
      <alignment horizontal="center" vertical="center"/>
    </xf>
    <xf numFmtId="0" fontId="18" fillId="20" borderId="189" xfId="28" applyFont="1" applyFill="1" applyBorder="1" applyAlignment="1">
      <alignment horizontal="center" vertical="center"/>
    </xf>
    <xf numFmtId="0" fontId="18" fillId="20" borderId="190" xfId="28" applyFont="1" applyFill="1" applyBorder="1" applyAlignment="1">
      <alignment horizontal="center" vertical="center"/>
    </xf>
    <xf numFmtId="0" fontId="3" fillId="0" borderId="191" xfId="28" applyBorder="1" applyAlignment="1">
      <alignment horizontal="center" vertical="center"/>
    </xf>
    <xf numFmtId="0" fontId="3" fillId="21" borderId="175" xfId="28" applyFill="1" applyBorder="1" applyAlignment="1">
      <alignment horizontal="center" vertical="center"/>
    </xf>
    <xf numFmtId="0" fontId="18" fillId="20" borderId="192" xfId="28" applyFont="1" applyFill="1" applyBorder="1" applyAlignment="1">
      <alignment horizontal="center" vertical="center"/>
    </xf>
    <xf numFmtId="0" fontId="3" fillId="21" borderId="187" xfId="28" applyFill="1" applyBorder="1" applyAlignment="1">
      <alignment horizontal="center" vertical="center"/>
    </xf>
    <xf numFmtId="0" fontId="3" fillId="0" borderId="187" xfId="28" applyBorder="1" applyAlignment="1">
      <alignment horizontal="center" vertical="center"/>
    </xf>
    <xf numFmtId="164" fontId="3" fillId="0" borderId="175" xfId="28" applyNumberFormat="1" applyBorder="1" applyAlignment="1">
      <alignment horizontal="center" vertical="center"/>
    </xf>
    <xf numFmtId="3" fontId="3" fillId="0" borderId="175" xfId="28" applyNumberFormat="1" applyBorder="1" applyAlignment="1">
      <alignment horizontal="center" vertical="center"/>
    </xf>
    <xf numFmtId="3" fontId="3" fillId="27" borderId="175" xfId="28" applyNumberFormat="1" applyFill="1" applyBorder="1" applyAlignment="1">
      <alignment horizontal="center" vertical="center"/>
    </xf>
    <xf numFmtId="0" fontId="18" fillId="20" borderId="193" xfId="28" applyFont="1" applyFill="1" applyBorder="1" applyAlignment="1">
      <alignment horizontal="center" vertical="center"/>
    </xf>
    <xf numFmtId="164" fontId="3" fillId="0" borderId="187" xfId="28" applyNumberFormat="1" applyBorder="1" applyAlignment="1">
      <alignment horizontal="center" vertical="center"/>
    </xf>
    <xf numFmtId="3" fontId="3" fillId="0" borderId="175" xfId="28" applyNumberFormat="1" applyBorder="1" applyAlignment="1" applyProtection="1">
      <alignment horizontal="center" vertical="center"/>
    </xf>
    <xf numFmtId="3" fontId="3" fillId="0" borderId="187" xfId="28" applyNumberFormat="1" applyBorder="1" applyAlignment="1" applyProtection="1">
      <alignment horizontal="center" vertical="center"/>
      <protection locked="0"/>
    </xf>
    <xf numFmtId="3" fontId="3" fillId="27" borderId="187" xfId="28" applyNumberFormat="1" applyFill="1" applyBorder="1" applyAlignment="1">
      <alignment horizontal="center" vertical="center"/>
    </xf>
    <xf numFmtId="3" fontId="3" fillId="31" borderId="162" xfId="28" applyNumberFormat="1" applyFill="1" applyBorder="1" applyAlignment="1">
      <alignment horizontal="center" vertical="center"/>
    </xf>
    <xf numFmtId="164" fontId="3" fillId="0" borderId="175" xfId="28" applyNumberFormat="1" applyBorder="1" applyAlignment="1" applyProtection="1">
      <alignment horizontal="center" vertical="center"/>
      <protection locked="0"/>
    </xf>
    <xf numFmtId="0" fontId="18" fillId="20" borderId="194" xfId="28" applyFont="1" applyFill="1" applyBorder="1" applyAlignment="1">
      <alignment horizontal="center" vertical="center"/>
    </xf>
    <xf numFmtId="164" fontId="3" fillId="0" borderId="195" xfId="28" applyNumberFormat="1" applyBorder="1" applyAlignment="1" applyProtection="1">
      <alignment horizontal="center" vertical="center"/>
      <protection locked="0"/>
    </xf>
    <xf numFmtId="0" fontId="18" fillId="21" borderId="196" xfId="28" applyFont="1" applyFill="1" applyBorder="1" applyAlignment="1">
      <alignment horizontal="center" vertical="center"/>
    </xf>
    <xf numFmtId="0" fontId="18" fillId="21" borderId="74" xfId="28" applyFont="1" applyFill="1" applyBorder="1" applyAlignment="1">
      <alignment horizontal="center" vertical="center"/>
    </xf>
    <xf numFmtId="0" fontId="18" fillId="21" borderId="198" xfId="28" applyFont="1" applyFill="1" applyBorder="1" applyAlignment="1">
      <alignment horizontal="center" vertical="center"/>
    </xf>
    <xf numFmtId="0" fontId="18" fillId="21" borderId="199" xfId="28" applyFont="1" applyFill="1" applyBorder="1" applyAlignment="1">
      <alignment horizontal="center" vertical="center"/>
    </xf>
    <xf numFmtId="0" fontId="18" fillId="21" borderId="200" xfId="28" applyFont="1" applyFill="1" applyBorder="1" applyAlignment="1">
      <alignment horizontal="center" vertical="center"/>
    </xf>
    <xf numFmtId="0" fontId="18" fillId="28" borderId="201" xfId="28" applyFont="1" applyFill="1" applyBorder="1" applyAlignment="1">
      <alignment horizontal="center" vertical="center"/>
    </xf>
    <xf numFmtId="0" fontId="3" fillId="28" borderId="201" xfId="28" applyFont="1" applyFill="1" applyBorder="1" applyAlignment="1">
      <alignment horizontal="center" vertical="center"/>
    </xf>
    <xf numFmtId="0" fontId="3" fillId="28" borderId="74" xfId="28" applyFont="1" applyFill="1" applyBorder="1" applyAlignment="1">
      <alignment horizontal="center" vertical="center"/>
    </xf>
    <xf numFmtId="0" fontId="18" fillId="20" borderId="202" xfId="28" applyFont="1" applyFill="1" applyBorder="1" applyAlignment="1">
      <alignment horizontal="center" vertical="center"/>
    </xf>
    <xf numFmtId="0" fontId="3" fillId="28" borderId="203" xfId="28" applyFill="1" applyBorder="1" applyAlignment="1">
      <alignment horizontal="center" vertical="center"/>
    </xf>
    <xf numFmtId="0" fontId="18" fillId="21" borderId="202" xfId="28" applyFont="1" applyFill="1" applyBorder="1" applyAlignment="1">
      <alignment horizontal="center" vertical="center"/>
    </xf>
    <xf numFmtId="0" fontId="18" fillId="20" borderId="204" xfId="28" applyFont="1" applyFill="1" applyBorder="1" applyAlignment="1">
      <alignment horizontal="center" vertical="center"/>
    </xf>
    <xf numFmtId="0" fontId="18" fillId="20" borderId="207" xfId="28" applyFont="1" applyFill="1" applyBorder="1" applyAlignment="1">
      <alignment horizontal="center" vertical="center"/>
    </xf>
    <xf numFmtId="0" fontId="3" fillId="28" borderId="208" xfId="28" applyFill="1" applyBorder="1" applyAlignment="1">
      <alignment horizontal="center" vertical="center"/>
    </xf>
    <xf numFmtId="0" fontId="18" fillId="21" borderId="209" xfId="28" applyFont="1" applyFill="1" applyBorder="1" applyAlignment="1">
      <alignment horizontal="center" vertical="center"/>
    </xf>
    <xf numFmtId="0" fontId="3" fillId="28" borderId="76" xfId="28" applyFont="1" applyFill="1" applyBorder="1" applyAlignment="1">
      <alignment horizontal="center" vertical="center"/>
    </xf>
    <xf numFmtId="0" fontId="3" fillId="28" borderId="77" xfId="28" applyFont="1" applyFill="1" applyBorder="1" applyAlignment="1">
      <alignment horizontal="center" vertical="center"/>
    </xf>
    <xf numFmtId="0" fontId="3" fillId="28" borderId="78" xfId="28" applyFill="1" applyBorder="1" applyAlignment="1">
      <alignment horizontal="center" vertical="center"/>
    </xf>
    <xf numFmtId="0" fontId="3" fillId="28" borderId="74" xfId="28" applyFill="1" applyBorder="1" applyAlignment="1">
      <alignment horizontal="center" vertical="center"/>
    </xf>
    <xf numFmtId="0" fontId="3" fillId="28" borderId="210" xfId="28" applyFill="1" applyBorder="1" applyAlignment="1">
      <alignment horizontal="center" vertical="center"/>
    </xf>
    <xf numFmtId="3" fontId="3" fillId="0" borderId="211" xfId="28" applyNumberFormat="1" applyBorder="1" applyAlignment="1" applyProtection="1">
      <alignment horizontal="center" vertical="center"/>
      <protection locked="0"/>
    </xf>
    <xf numFmtId="3" fontId="3" fillId="0" borderId="212" xfId="28" applyNumberFormat="1" applyBorder="1" applyAlignment="1" applyProtection="1">
      <alignment horizontal="center" vertical="center"/>
      <protection locked="0"/>
    </xf>
    <xf numFmtId="0" fontId="0" fillId="0" borderId="122" xfId="0" applyBorder="1" applyAlignment="1">
      <alignment horizontal="center"/>
    </xf>
    <xf numFmtId="0" fontId="0" fillId="0" borderId="144" xfId="0" applyBorder="1" applyProtection="1">
      <protection locked="0"/>
    </xf>
    <xf numFmtId="0" fontId="0" fillId="0" borderId="160" xfId="0" applyBorder="1" applyProtection="1">
      <protection locked="0"/>
    </xf>
    <xf numFmtId="0" fontId="0" fillId="0" borderId="159" xfId="0" applyBorder="1" applyProtection="1">
      <protection locked="0"/>
    </xf>
    <xf numFmtId="0" fontId="3" fillId="32" borderId="178" xfId="28" applyFont="1" applyFill="1" applyBorder="1" applyAlignment="1" applyProtection="1">
      <alignment horizontal="center" vertical="center"/>
      <protection locked="0"/>
    </xf>
    <xf numFmtId="0" fontId="3" fillId="32" borderId="36" xfId="28" applyFont="1" applyFill="1" applyBorder="1" applyAlignment="1" applyProtection="1">
      <alignment horizontal="center" vertical="center"/>
      <protection locked="0"/>
    </xf>
    <xf numFmtId="0" fontId="3" fillId="32" borderId="37" xfId="28" applyFont="1" applyFill="1" applyBorder="1" applyAlignment="1" applyProtection="1">
      <alignment horizontal="center" vertical="center"/>
      <protection locked="0"/>
    </xf>
    <xf numFmtId="0" fontId="3" fillId="32" borderId="214" xfId="28" applyFont="1" applyFill="1" applyBorder="1" applyAlignment="1" applyProtection="1">
      <alignment horizontal="center" vertical="center"/>
      <protection locked="0"/>
    </xf>
    <xf numFmtId="0" fontId="3" fillId="32" borderId="213" xfId="28" applyFont="1" applyFill="1" applyBorder="1" applyAlignment="1" applyProtection="1">
      <alignment horizontal="center" vertical="center"/>
      <protection locked="0"/>
    </xf>
    <xf numFmtId="3" fontId="3" fillId="0" borderId="215" xfId="28" applyNumberFormat="1" applyBorder="1" applyAlignment="1" applyProtection="1">
      <alignment horizontal="center" vertical="center"/>
      <protection locked="0"/>
    </xf>
    <xf numFmtId="3" fontId="3" fillId="0" borderId="216" xfId="28" applyNumberFormat="1" applyBorder="1" applyAlignment="1" applyProtection="1">
      <alignment horizontal="center" vertical="center"/>
      <protection locked="0"/>
    </xf>
    <xf numFmtId="3" fontId="3" fillId="0" borderId="217" xfId="28" applyNumberFormat="1" applyBorder="1" applyAlignment="1" applyProtection="1">
      <alignment horizontal="center" vertical="center"/>
      <protection locked="0"/>
    </xf>
    <xf numFmtId="0" fontId="18" fillId="20" borderId="212" xfId="28" applyFont="1" applyFill="1" applyBorder="1" applyAlignment="1">
      <alignment horizontal="center" vertical="center"/>
    </xf>
    <xf numFmtId="0" fontId="18" fillId="20" borderId="218" xfId="28" applyFont="1" applyFill="1" applyBorder="1" applyAlignment="1">
      <alignment horizontal="center" vertical="center"/>
    </xf>
    <xf numFmtId="3" fontId="3" fillId="0" borderId="89" xfId="28" applyNumberFormat="1" applyBorder="1" applyAlignment="1" applyProtection="1">
      <alignment horizontal="center" vertical="center"/>
      <protection locked="0"/>
    </xf>
    <xf numFmtId="3" fontId="3" fillId="0" borderId="211" xfId="28" applyNumberFormat="1" applyFont="1" applyBorder="1" applyAlignment="1" applyProtection="1">
      <alignment horizontal="center" vertical="center"/>
      <protection locked="0"/>
    </xf>
    <xf numFmtId="0" fontId="3" fillId="0" borderId="219" xfId="28" applyFont="1" applyBorder="1" applyAlignment="1" applyProtection="1">
      <alignment horizontal="center" vertical="center"/>
      <protection locked="0"/>
    </xf>
    <xf numFmtId="0" fontId="3" fillId="0" borderId="191" xfId="28" applyFont="1" applyBorder="1" applyAlignment="1" applyProtection="1">
      <alignment horizontal="center" vertical="center"/>
      <protection locked="0"/>
    </xf>
    <xf numFmtId="0" fontId="3" fillId="0" borderId="216" xfId="28" applyFont="1" applyBorder="1" applyAlignment="1" applyProtection="1">
      <alignment horizontal="center" vertical="center"/>
      <protection locked="0"/>
    </xf>
    <xf numFmtId="0" fontId="3" fillId="0" borderId="220" xfId="28" applyFont="1" applyBorder="1" applyAlignment="1" applyProtection="1">
      <alignment horizontal="center" vertical="center"/>
      <protection locked="0"/>
    </xf>
    <xf numFmtId="0" fontId="3" fillId="0" borderId="217" xfId="28" applyFont="1" applyBorder="1" applyAlignment="1" applyProtection="1">
      <alignment horizontal="center" vertical="center"/>
      <protection locked="0"/>
    </xf>
    <xf numFmtId="0" fontId="18" fillId="21" borderId="221" xfId="28" applyNumberFormat="1" applyFont="1" applyFill="1" applyBorder="1" applyAlignment="1" applyProtection="1">
      <alignment horizontal="center" vertical="center"/>
    </xf>
    <xf numFmtId="0" fontId="3" fillId="0" borderId="196" xfId="28" applyBorder="1" applyAlignment="1" applyProtection="1">
      <alignment horizontal="center" vertical="center"/>
      <protection locked="0"/>
    </xf>
    <xf numFmtId="0" fontId="3" fillId="0" borderId="216" xfId="28" applyBorder="1" applyAlignment="1" applyProtection="1">
      <alignment horizontal="center" vertical="center"/>
      <protection locked="0"/>
    </xf>
    <xf numFmtId="0" fontId="3" fillId="0" borderId="222" xfId="28" applyBorder="1" applyAlignment="1" applyProtection="1">
      <alignment horizontal="center" vertical="center"/>
      <protection locked="0"/>
    </xf>
    <xf numFmtId="0" fontId="3" fillId="0" borderId="223" xfId="28" applyBorder="1" applyAlignment="1" applyProtection="1">
      <alignment horizontal="center" vertical="center"/>
      <protection locked="0"/>
    </xf>
    <xf numFmtId="0" fontId="3" fillId="0" borderId="220" xfId="28" applyBorder="1" applyAlignment="1" applyProtection="1">
      <alignment horizontal="center" vertical="center"/>
      <protection locked="0"/>
    </xf>
    <xf numFmtId="0" fontId="3" fillId="0" borderId="217" xfId="28" applyBorder="1" applyAlignment="1" applyProtection="1">
      <alignment horizontal="center" vertical="center"/>
      <protection locked="0"/>
    </xf>
    <xf numFmtId="0" fontId="18" fillId="21" borderId="224" xfId="28" applyFont="1" applyFill="1" applyBorder="1" applyAlignment="1">
      <alignment horizontal="center" vertical="center" wrapText="1"/>
    </xf>
    <xf numFmtId="0" fontId="18" fillId="21" borderId="225" xfId="28" applyFont="1" applyFill="1" applyBorder="1" applyAlignment="1">
      <alignment horizontal="center" vertical="center" wrapText="1"/>
    </xf>
    <xf numFmtId="0" fontId="3" fillId="0" borderId="222" xfId="28" applyFont="1" applyBorder="1" applyAlignment="1" applyProtection="1">
      <alignment horizontal="center" vertical="center"/>
      <protection locked="0"/>
    </xf>
    <xf numFmtId="0" fontId="3" fillId="0" borderId="0" xfId="28" applyFont="1" applyBorder="1" applyAlignment="1" applyProtection="1">
      <alignment horizontal="center" vertical="center"/>
      <protection locked="0"/>
    </xf>
    <xf numFmtId="0" fontId="18" fillId="21" borderId="226" xfId="28" applyFont="1" applyFill="1" applyBorder="1" applyAlignment="1">
      <alignment horizontal="center" vertical="center" wrapText="1"/>
    </xf>
    <xf numFmtId="0" fontId="3" fillId="0" borderId="227" xfId="28" applyFont="1" applyBorder="1" applyAlignment="1" applyProtection="1">
      <alignment horizontal="center" vertical="center"/>
      <protection locked="0"/>
    </xf>
    <xf numFmtId="0" fontId="3" fillId="0" borderId="229" xfId="28" applyFont="1" applyBorder="1" applyAlignment="1">
      <alignment horizontal="center" vertical="center"/>
    </xf>
    <xf numFmtId="0" fontId="3" fillId="0" borderId="163" xfId="28" applyFont="1" applyBorder="1" applyAlignment="1" applyProtection="1">
      <alignment horizontal="center" vertical="center"/>
      <protection locked="0"/>
    </xf>
    <xf numFmtId="0" fontId="3" fillId="0" borderId="230" xfId="28" applyFont="1" applyBorder="1" applyAlignment="1" applyProtection="1">
      <alignment horizontal="center" vertical="center"/>
      <protection locked="0"/>
    </xf>
    <xf numFmtId="0" fontId="3" fillId="0" borderId="185" xfId="28" applyFont="1" applyBorder="1" applyAlignment="1">
      <alignment horizontal="center" vertical="center"/>
    </xf>
    <xf numFmtId="3" fontId="3" fillId="0" borderId="185" xfId="28" applyNumberFormat="1" applyBorder="1" applyAlignment="1">
      <alignment horizontal="center" vertical="center"/>
    </xf>
    <xf numFmtId="166" fontId="3" fillId="0" borderId="185" xfId="28" applyNumberFormat="1" applyBorder="1" applyAlignment="1">
      <alignment horizontal="center" vertical="center"/>
    </xf>
    <xf numFmtId="0" fontId="3" fillId="0" borderId="73" xfId="28" applyFont="1" applyBorder="1" applyAlignment="1">
      <alignment horizontal="center" vertical="center"/>
    </xf>
    <xf numFmtId="0" fontId="3" fillId="0" borderId="231" xfId="28" applyBorder="1" applyAlignment="1" applyProtection="1">
      <alignment horizontal="center" vertical="center"/>
      <protection locked="0"/>
    </xf>
    <xf numFmtId="0" fontId="3" fillId="0" borderId="232" xfId="28" applyFont="1" applyBorder="1" applyAlignment="1" applyProtection="1">
      <alignment horizontal="center" vertical="center"/>
      <protection locked="0"/>
    </xf>
    <xf numFmtId="0" fontId="3" fillId="0" borderId="231" xfId="28" applyFont="1" applyBorder="1" applyAlignment="1" applyProtection="1">
      <alignment horizontal="center" vertical="center"/>
      <protection locked="0"/>
    </xf>
    <xf numFmtId="0" fontId="3" fillId="0" borderId="228" xfId="28" applyFont="1" applyBorder="1" applyAlignment="1" applyProtection="1">
      <alignment horizontal="center" vertical="center"/>
      <protection locked="0"/>
    </xf>
    <xf numFmtId="10" fontId="0" fillId="0" borderId="0" xfId="0" applyNumberFormat="1"/>
    <xf numFmtId="3" fontId="0" fillId="0" borderId="0" xfId="0" applyNumberFormat="1"/>
    <xf numFmtId="0" fontId="18" fillId="21" borderId="233" xfId="28" applyFont="1" applyFill="1" applyBorder="1" applyAlignment="1">
      <alignment horizontal="center" vertical="center"/>
    </xf>
    <xf numFmtId="0" fontId="18" fillId="21" borderId="17" xfId="28" applyFont="1" applyFill="1" applyBorder="1" applyAlignment="1">
      <alignment horizontal="center" vertical="center"/>
    </xf>
    <xf numFmtId="0" fontId="0" fillId="0" borderId="37" xfId="0" applyBorder="1" applyAlignment="1" applyProtection="1">
      <alignment horizontal="center" vertical="center"/>
      <protection locked="0"/>
    </xf>
    <xf numFmtId="0" fontId="18" fillId="21" borderId="197" xfId="28" applyFont="1" applyFill="1" applyBorder="1" applyAlignment="1">
      <alignment horizontal="center" vertical="center"/>
    </xf>
    <xf numFmtId="49" fontId="23" fillId="0" borderId="177" xfId="0" applyNumberFormat="1" applyFont="1" applyBorder="1" applyAlignment="1" applyProtection="1">
      <alignment vertical="center"/>
      <protection locked="0"/>
    </xf>
    <xf numFmtId="49" fontId="23" fillId="0" borderId="90" xfId="0" applyNumberFormat="1" applyFont="1" applyBorder="1" applyAlignment="1" applyProtection="1">
      <alignment vertical="center"/>
      <protection locked="0"/>
    </xf>
    <xf numFmtId="49" fontId="23" fillId="0" borderId="87" xfId="0" applyNumberFormat="1" applyFont="1" applyBorder="1" applyAlignment="1" applyProtection="1">
      <alignment vertical="center"/>
      <protection locked="0"/>
    </xf>
    <xf numFmtId="0" fontId="18" fillId="21" borderId="205" xfId="28" applyFont="1" applyFill="1" applyBorder="1" applyAlignment="1">
      <alignment horizontal="center" vertical="center"/>
    </xf>
    <xf numFmtId="0" fontId="18" fillId="21" borderId="206" xfId="28" applyFont="1" applyFill="1" applyBorder="1" applyAlignment="1">
      <alignment horizontal="center" vertical="center"/>
    </xf>
    <xf numFmtId="0" fontId="18" fillId="21" borderId="197" xfId="28" applyFont="1" applyFill="1" applyBorder="1" applyAlignment="1">
      <alignment horizontal="center" vertical="center"/>
    </xf>
    <xf numFmtId="0" fontId="0" fillId="0" borderId="114" xfId="0" applyBorder="1" applyAlignment="1">
      <alignment horizontal="left"/>
    </xf>
    <xf numFmtId="0" fontId="0" fillId="0" borderId="115" xfId="0" applyBorder="1" applyAlignment="1">
      <alignment horizontal="left"/>
    </xf>
    <xf numFmtId="0" fontId="24" fillId="0" borderId="0" xfId="0" applyFont="1" applyAlignment="1">
      <alignment horizontal="center"/>
    </xf>
    <xf numFmtId="0" fontId="18" fillId="21" borderId="92" xfId="28" applyFont="1" applyFill="1" applyBorder="1" applyAlignment="1">
      <alignment horizontal="center" vertical="center" wrapText="1"/>
    </xf>
    <xf numFmtId="0" fontId="18" fillId="21" borderId="93" xfId="28" applyFont="1" applyFill="1" applyBorder="1" applyAlignment="1">
      <alignment horizontal="center" vertical="center" wrapText="1"/>
    </xf>
    <xf numFmtId="0" fontId="18" fillId="21" borderId="94" xfId="28" applyFont="1" applyFill="1" applyBorder="1" applyAlignment="1">
      <alignment horizontal="center" vertical="center" wrapText="1"/>
    </xf>
    <xf numFmtId="0" fontId="18" fillId="21" borderId="95" xfId="28" applyFont="1" applyFill="1" applyBorder="1" applyAlignment="1">
      <alignment horizontal="center" vertical="center" wrapText="1"/>
    </xf>
    <xf numFmtId="0" fontId="18" fillId="21" borderId="96" xfId="28" applyFont="1" applyFill="1" applyBorder="1" applyAlignment="1">
      <alignment horizontal="center" vertical="center" wrapText="1"/>
    </xf>
    <xf numFmtId="0" fontId="18" fillId="21" borderId="97" xfId="28" applyFont="1" applyFill="1" applyBorder="1" applyAlignment="1">
      <alignment horizontal="center" vertical="center" wrapText="1"/>
    </xf>
    <xf numFmtId="0" fontId="18" fillId="21" borderId="98" xfId="28" applyFont="1" applyFill="1" applyBorder="1" applyAlignment="1">
      <alignment horizontal="center" vertical="center" wrapText="1"/>
    </xf>
    <xf numFmtId="0" fontId="18" fillId="21" borderId="99" xfId="28" applyFont="1" applyFill="1" applyBorder="1" applyAlignment="1">
      <alignment horizontal="center" vertical="center" wrapText="1"/>
    </xf>
    <xf numFmtId="0" fontId="18" fillId="21" borderId="100" xfId="28" applyFont="1" applyFill="1" applyBorder="1" applyAlignment="1">
      <alignment horizontal="center" vertical="center" wrapText="1"/>
    </xf>
    <xf numFmtId="0" fontId="0" fillId="0" borderId="55" xfId="0" applyFont="1" applyBorder="1" applyAlignment="1">
      <alignment horizontal="center"/>
    </xf>
    <xf numFmtId="0" fontId="0" fillId="0" borderId="52" xfId="0" applyBorder="1" applyAlignment="1" applyProtection="1">
      <alignment horizontal="center"/>
      <protection locked="0"/>
    </xf>
    <xf numFmtId="0" fontId="0" fillId="0" borderId="52" xfId="0" applyFont="1" applyBorder="1" applyAlignment="1" applyProtection="1">
      <alignment horizontal="center"/>
      <protection locked="0"/>
    </xf>
    <xf numFmtId="0" fontId="0" fillId="0" borderId="10" xfId="0" applyFont="1" applyBorder="1" applyAlignment="1">
      <alignment horizontal="center"/>
    </xf>
    <xf numFmtId="0" fontId="24" fillId="27" borderId="114" xfId="0" applyFont="1" applyFill="1" applyBorder="1" applyAlignment="1" applyProtection="1">
      <alignment horizontal="center"/>
    </xf>
    <xf numFmtId="0" fontId="24" fillId="27" borderId="115" xfId="0" applyFont="1" applyFill="1" applyBorder="1" applyAlignment="1" applyProtection="1">
      <alignment horizontal="center"/>
    </xf>
    <xf numFmtId="0" fontId="24" fillId="27" borderId="126" xfId="0" applyFont="1" applyFill="1" applyBorder="1" applyAlignment="1" applyProtection="1">
      <alignment horizontal="center"/>
    </xf>
    <xf numFmtId="0" fontId="24" fillId="27" borderId="127" xfId="0" applyFont="1" applyFill="1" applyBorder="1" applyAlignment="1" applyProtection="1">
      <alignment horizontal="center"/>
    </xf>
    <xf numFmtId="0" fontId="24" fillId="27" borderId="128" xfId="0" applyFont="1" applyFill="1" applyBorder="1" applyAlignment="1" applyProtection="1">
      <alignment horizontal="center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cel Built-in Normal" xfId="28"/>
    <cellStyle name="Excel Built-in Normal 1" xfId="29"/>
    <cellStyle name="Explanatory Text" xfId="30" builtinId="53" customBuiltin="1"/>
    <cellStyle name="Good" xfId="31" builtinId="26" customBuiltin="1"/>
    <cellStyle name="Heading 1" xfId="32" builtinId="16" customBuiltin="1"/>
    <cellStyle name="Heading 2" xfId="33" builtinId="17" customBuiltin="1"/>
    <cellStyle name="Heading 3" xfId="34" builtinId="18" customBuiltin="1"/>
    <cellStyle name="Heading 4" xfId="35" builtinId="19" customBuiltin="1"/>
    <cellStyle name="Input" xfId="36" builtinId="20" customBuiltin="1"/>
    <cellStyle name="Linked Cell" xfId="37" builtinId="24" customBuiltin="1"/>
    <cellStyle name="Neutral" xfId="38" builtinId="28" customBuiltin="1"/>
    <cellStyle name="Normal" xfId="0" builtinId="0"/>
    <cellStyle name="Normal 2" xfId="45"/>
    <cellStyle name="Normal 4" xfId="46"/>
    <cellStyle name="Note" xfId="39" builtinId="10" customBuiltin="1"/>
    <cellStyle name="Output" xfId="40" builtinId="21" customBuiltin="1"/>
    <cellStyle name="Percent" xfId="41" builtinId="5"/>
    <cellStyle name="Title" xfId="42" builtinId="15" customBuiltin="1"/>
    <cellStyle name="Total" xfId="43" builtinId="25" customBuiltin="1"/>
    <cellStyle name="Warning Text" xfId="44" builtinId="11" customBuiltin="1"/>
  </cellStyles>
  <dxfs count="46">
    <dxf>
      <font>
        <b val="0"/>
        <i val="0"/>
        <strike val="0"/>
        <condense val="0"/>
        <extend val="0"/>
        <u val="none"/>
        <sz val="11"/>
        <color indexed="60"/>
      </font>
      <fill>
        <patternFill patternType="solid">
          <fgColor indexed="26"/>
          <bgColor indexed="43"/>
        </patternFill>
      </fill>
    </dxf>
    <dxf>
      <font>
        <b val="0"/>
        <i val="0"/>
        <strike val="0"/>
        <condense val="0"/>
        <extend val="0"/>
        <u val="none"/>
        <sz val="11"/>
        <color indexed="17"/>
      </font>
      <fill>
        <patternFill patternType="solid">
          <fgColor indexed="27"/>
          <bgColor indexed="42"/>
        </patternFill>
      </fill>
    </dxf>
    <dxf>
      <font>
        <b val="0"/>
        <i val="0"/>
        <strike val="0"/>
        <condense val="0"/>
        <extend val="0"/>
        <u val="none"/>
        <sz val="11"/>
        <color indexed="20"/>
      </font>
      <fill>
        <patternFill patternType="solid">
          <fgColor indexed="29"/>
          <bgColor indexed="45"/>
        </patternFill>
      </fill>
    </dxf>
    <dxf>
      <font>
        <b val="0"/>
        <i val="0"/>
        <strike val="0"/>
        <condense val="0"/>
        <extend val="0"/>
        <u val="none"/>
        <sz val="11"/>
        <color indexed="60"/>
      </font>
      <fill>
        <patternFill patternType="solid">
          <fgColor indexed="26"/>
          <bgColor indexed="43"/>
        </patternFill>
      </fill>
    </dxf>
    <dxf>
      <font>
        <b val="0"/>
        <i val="0"/>
        <strike val="0"/>
        <condense val="0"/>
        <extend val="0"/>
        <u val="none"/>
        <sz val="11"/>
        <color indexed="17"/>
      </font>
      <fill>
        <patternFill patternType="solid">
          <fgColor indexed="27"/>
          <bgColor indexed="42"/>
        </patternFill>
      </fill>
    </dxf>
    <dxf>
      <font>
        <b val="0"/>
        <i val="0"/>
        <strike val="0"/>
        <condense val="0"/>
        <extend val="0"/>
        <u val="none"/>
        <sz val="11"/>
        <color indexed="20"/>
      </font>
      <fill>
        <patternFill patternType="solid">
          <fgColor indexed="29"/>
          <bgColor indexed="45"/>
        </patternFill>
      </fill>
    </dxf>
    <dxf>
      <font>
        <b val="0"/>
        <i val="0"/>
        <strike val="0"/>
        <condense val="0"/>
        <extend val="0"/>
        <u val="none"/>
        <sz val="11"/>
        <color indexed="60"/>
      </font>
      <fill>
        <patternFill patternType="solid">
          <fgColor indexed="26"/>
          <bgColor indexed="43"/>
        </patternFill>
      </fill>
    </dxf>
    <dxf>
      <font>
        <b val="0"/>
        <i val="0"/>
        <strike val="0"/>
        <condense val="0"/>
        <extend val="0"/>
        <u val="none"/>
        <sz val="11"/>
        <color indexed="17"/>
      </font>
      <fill>
        <patternFill patternType="solid">
          <fgColor indexed="27"/>
          <bgColor indexed="42"/>
        </patternFill>
      </fill>
    </dxf>
    <dxf>
      <font>
        <b val="0"/>
        <i val="0"/>
        <strike val="0"/>
        <condense val="0"/>
        <extend val="0"/>
        <u val="none"/>
        <sz val="11"/>
        <color indexed="20"/>
      </font>
      <fill>
        <patternFill patternType="solid">
          <fgColor indexed="29"/>
          <bgColor indexed="45"/>
        </patternFill>
      </fill>
    </dxf>
    <dxf>
      <font>
        <b val="0"/>
        <i val="0"/>
        <strike val="0"/>
        <condense val="0"/>
        <extend val="0"/>
        <u val="none"/>
        <sz val="11"/>
        <color indexed="60"/>
      </font>
      <fill>
        <patternFill patternType="solid">
          <fgColor indexed="26"/>
          <bgColor indexed="43"/>
        </patternFill>
      </fill>
    </dxf>
    <dxf>
      <font>
        <b val="0"/>
        <i val="0"/>
        <strike val="0"/>
        <condense val="0"/>
        <extend val="0"/>
        <u val="none"/>
        <sz val="11"/>
        <color indexed="17"/>
      </font>
      <fill>
        <patternFill patternType="solid">
          <fgColor indexed="27"/>
          <bgColor indexed="42"/>
        </patternFill>
      </fill>
    </dxf>
    <dxf>
      <font>
        <b val="0"/>
        <i val="0"/>
        <strike val="0"/>
        <condense val="0"/>
        <extend val="0"/>
        <u val="none"/>
        <sz val="11"/>
        <color indexed="20"/>
      </font>
      <fill>
        <patternFill patternType="solid">
          <fgColor indexed="29"/>
          <bgColor indexed="45"/>
        </patternFill>
      </fill>
    </dxf>
    <dxf>
      <font>
        <b val="0"/>
        <i val="0"/>
        <strike val="0"/>
        <condense val="0"/>
        <extend val="0"/>
        <u val="none"/>
        <sz val="11"/>
        <color indexed="60"/>
      </font>
      <fill>
        <patternFill patternType="solid">
          <fgColor indexed="26"/>
          <bgColor indexed="43"/>
        </patternFill>
      </fill>
    </dxf>
    <dxf>
      <font>
        <b val="0"/>
        <i val="0"/>
        <strike val="0"/>
        <condense val="0"/>
        <extend val="0"/>
        <u val="none"/>
        <sz val="11"/>
        <color indexed="17"/>
      </font>
      <fill>
        <patternFill patternType="solid">
          <fgColor indexed="27"/>
          <bgColor indexed="42"/>
        </patternFill>
      </fill>
    </dxf>
    <dxf>
      <font>
        <b val="0"/>
        <i val="0"/>
        <strike val="0"/>
        <condense val="0"/>
        <extend val="0"/>
        <u val="none"/>
        <sz val="11"/>
        <color indexed="20"/>
      </font>
      <fill>
        <patternFill patternType="solid">
          <fgColor indexed="29"/>
          <bgColor indexed="45"/>
        </patternFill>
      </fill>
    </dxf>
    <dxf>
      <font>
        <b val="0"/>
        <i val="0"/>
        <strike val="0"/>
        <condense val="0"/>
        <extend val="0"/>
        <u val="none"/>
        <sz val="11"/>
        <color indexed="60"/>
      </font>
      <fill>
        <patternFill patternType="solid">
          <fgColor indexed="26"/>
          <bgColor indexed="43"/>
        </patternFill>
      </fill>
    </dxf>
    <dxf>
      <font>
        <b val="0"/>
        <i val="0"/>
        <strike val="0"/>
        <condense val="0"/>
        <extend val="0"/>
        <u val="none"/>
        <sz val="11"/>
        <color indexed="17"/>
      </font>
      <fill>
        <patternFill patternType="solid">
          <fgColor indexed="27"/>
          <bgColor indexed="42"/>
        </patternFill>
      </fill>
    </dxf>
    <dxf>
      <font>
        <b val="0"/>
        <i val="0"/>
        <strike val="0"/>
        <condense val="0"/>
        <extend val="0"/>
        <u val="none"/>
        <sz val="11"/>
        <color indexed="20"/>
      </font>
      <fill>
        <patternFill patternType="solid">
          <fgColor indexed="29"/>
          <bgColor indexed="45"/>
        </patternFill>
      </fill>
    </dxf>
    <dxf>
      <font>
        <b val="0"/>
        <i val="0"/>
        <strike val="0"/>
        <condense val="0"/>
        <extend val="0"/>
        <u val="none"/>
        <sz val="11"/>
        <color indexed="60"/>
      </font>
      <fill>
        <patternFill patternType="solid">
          <fgColor indexed="26"/>
          <bgColor indexed="43"/>
        </patternFill>
      </fill>
    </dxf>
    <dxf>
      <font>
        <b val="0"/>
        <i val="0"/>
        <strike val="0"/>
        <condense val="0"/>
        <extend val="0"/>
        <u val="none"/>
        <sz val="11"/>
        <color indexed="17"/>
      </font>
      <fill>
        <patternFill patternType="solid">
          <fgColor indexed="27"/>
          <bgColor indexed="42"/>
        </patternFill>
      </fill>
    </dxf>
    <dxf>
      <font>
        <b val="0"/>
        <i val="0"/>
        <strike val="0"/>
        <condense val="0"/>
        <extend val="0"/>
        <u val="none"/>
        <sz val="11"/>
        <color indexed="20"/>
      </font>
      <fill>
        <patternFill patternType="solid">
          <fgColor indexed="29"/>
          <bgColor indexed="45"/>
        </patternFill>
      </fill>
    </dxf>
    <dxf>
      <font>
        <b val="0"/>
        <i val="0"/>
        <strike val="0"/>
        <condense val="0"/>
        <extend val="0"/>
        <u val="none"/>
        <sz val="11"/>
        <color indexed="60"/>
      </font>
      <fill>
        <patternFill patternType="solid">
          <fgColor indexed="26"/>
          <bgColor indexed="43"/>
        </patternFill>
      </fill>
    </dxf>
    <dxf>
      <font>
        <b val="0"/>
        <i val="0"/>
        <strike val="0"/>
        <condense val="0"/>
        <extend val="0"/>
        <u val="none"/>
        <sz val="11"/>
        <color indexed="17"/>
      </font>
      <fill>
        <patternFill patternType="solid">
          <fgColor indexed="27"/>
          <bgColor indexed="42"/>
        </patternFill>
      </fill>
    </dxf>
    <dxf>
      <font>
        <b val="0"/>
        <i val="0"/>
        <strike val="0"/>
        <condense val="0"/>
        <extend val="0"/>
        <u val="none"/>
        <sz val="11"/>
        <color indexed="20"/>
      </font>
      <fill>
        <patternFill patternType="solid">
          <fgColor indexed="29"/>
          <bgColor indexed="45"/>
        </patternFill>
      </fill>
    </dxf>
    <dxf>
      <font>
        <b val="0"/>
        <i val="0"/>
        <strike val="0"/>
        <condense val="0"/>
        <extend val="0"/>
        <u val="none"/>
        <sz val="11"/>
        <color indexed="60"/>
      </font>
      <fill>
        <patternFill patternType="solid">
          <fgColor indexed="26"/>
          <bgColor indexed="43"/>
        </patternFill>
      </fill>
    </dxf>
    <dxf>
      <font>
        <b val="0"/>
        <i val="0"/>
        <strike val="0"/>
        <condense val="0"/>
        <extend val="0"/>
        <u val="none"/>
        <sz val="11"/>
        <color indexed="17"/>
      </font>
      <fill>
        <patternFill patternType="solid">
          <fgColor indexed="27"/>
          <bgColor indexed="42"/>
        </patternFill>
      </fill>
    </dxf>
    <dxf>
      <font>
        <b val="0"/>
        <i val="0"/>
        <strike val="0"/>
        <condense val="0"/>
        <extend val="0"/>
        <u val="none"/>
        <sz val="11"/>
        <color indexed="20"/>
      </font>
      <fill>
        <patternFill patternType="solid">
          <fgColor indexed="29"/>
          <bgColor indexed="45"/>
        </patternFill>
      </fill>
    </dxf>
    <dxf>
      <font>
        <b val="0"/>
        <i val="0"/>
        <strike val="0"/>
        <condense val="0"/>
        <extend val="0"/>
        <u val="none"/>
        <sz val="11"/>
        <color indexed="60"/>
      </font>
      <fill>
        <patternFill patternType="solid">
          <fgColor indexed="26"/>
          <bgColor indexed="43"/>
        </patternFill>
      </fill>
    </dxf>
    <dxf>
      <font>
        <b val="0"/>
        <i val="0"/>
        <strike val="0"/>
        <condense val="0"/>
        <extend val="0"/>
        <u val="none"/>
        <sz val="11"/>
        <color indexed="17"/>
      </font>
      <fill>
        <patternFill patternType="solid">
          <fgColor indexed="27"/>
          <bgColor indexed="42"/>
        </patternFill>
      </fill>
    </dxf>
    <dxf>
      <font>
        <b val="0"/>
        <i val="0"/>
        <strike val="0"/>
        <condense val="0"/>
        <extend val="0"/>
        <u val="none"/>
        <sz val="11"/>
        <color indexed="20"/>
      </font>
      <fill>
        <patternFill patternType="solid">
          <fgColor indexed="29"/>
          <bgColor indexed="45"/>
        </patternFill>
      </fill>
    </dxf>
    <dxf>
      <font>
        <b val="0"/>
        <i val="0"/>
        <strike val="0"/>
        <condense val="0"/>
        <extend val="0"/>
        <u val="none"/>
        <sz val="11"/>
        <color indexed="60"/>
      </font>
      <fill>
        <patternFill patternType="solid">
          <fgColor indexed="26"/>
          <bgColor indexed="43"/>
        </patternFill>
      </fill>
    </dxf>
    <dxf>
      <font>
        <b val="0"/>
        <i val="0"/>
        <strike val="0"/>
        <condense val="0"/>
        <extend val="0"/>
        <u val="none"/>
        <sz val="11"/>
        <color indexed="60"/>
      </font>
      <fill>
        <patternFill patternType="solid">
          <fgColor indexed="26"/>
          <bgColor indexed="43"/>
        </patternFill>
      </fill>
    </dxf>
    <dxf>
      <font>
        <b val="0"/>
        <i val="0"/>
        <strike val="0"/>
        <condense val="0"/>
        <extend val="0"/>
        <u val="none"/>
        <sz val="11"/>
        <color indexed="60"/>
      </font>
      <fill>
        <patternFill patternType="solid">
          <fgColor indexed="26"/>
          <bgColor indexed="43"/>
        </patternFill>
      </fill>
    </dxf>
    <dxf>
      <font>
        <b val="0"/>
        <i val="0"/>
        <strike val="0"/>
        <condense val="0"/>
        <extend val="0"/>
        <u val="none"/>
        <sz val="11"/>
        <color indexed="17"/>
      </font>
      <fill>
        <patternFill patternType="solid">
          <fgColor indexed="27"/>
          <bgColor indexed="42"/>
        </patternFill>
      </fill>
    </dxf>
    <dxf>
      <font>
        <b val="0"/>
        <i val="0"/>
        <strike val="0"/>
        <condense val="0"/>
        <extend val="0"/>
        <u val="none"/>
        <sz val="11"/>
        <color indexed="20"/>
      </font>
      <fill>
        <patternFill patternType="solid">
          <fgColor indexed="29"/>
          <bgColor indexed="45"/>
        </patternFill>
      </fill>
    </dxf>
    <dxf>
      <font>
        <b val="0"/>
        <i val="0"/>
        <strike val="0"/>
        <condense val="0"/>
        <extend val="0"/>
        <u val="none"/>
        <sz val="11"/>
        <color indexed="60"/>
      </font>
      <fill>
        <patternFill patternType="solid">
          <fgColor indexed="26"/>
          <bgColor indexed="43"/>
        </patternFill>
      </fill>
    </dxf>
    <dxf>
      <font>
        <b val="0"/>
        <i val="0"/>
        <strike val="0"/>
        <condense val="0"/>
        <extend val="0"/>
        <u val="none"/>
        <sz val="11"/>
        <color indexed="17"/>
      </font>
      <fill>
        <patternFill patternType="solid">
          <fgColor indexed="27"/>
          <bgColor indexed="42"/>
        </patternFill>
      </fill>
    </dxf>
    <dxf>
      <font>
        <b val="0"/>
        <i val="0"/>
        <strike val="0"/>
        <condense val="0"/>
        <extend val="0"/>
        <u val="none"/>
        <sz val="11"/>
        <color indexed="20"/>
      </font>
      <fill>
        <patternFill patternType="solid">
          <fgColor indexed="29"/>
          <bgColor indexed="45"/>
        </patternFill>
      </fill>
    </dxf>
    <dxf>
      <font>
        <b val="0"/>
        <i val="0"/>
        <strike val="0"/>
        <condense val="0"/>
        <extend val="0"/>
        <u val="none"/>
        <sz val="11"/>
        <color indexed="60"/>
      </font>
      <fill>
        <patternFill patternType="solid">
          <fgColor indexed="26"/>
          <bgColor indexed="43"/>
        </patternFill>
      </fill>
    </dxf>
    <dxf>
      <font>
        <b val="0"/>
        <i val="0"/>
        <strike val="0"/>
        <condense val="0"/>
        <extend val="0"/>
        <u val="none"/>
        <sz val="11"/>
        <color indexed="17"/>
      </font>
      <fill>
        <patternFill patternType="solid">
          <fgColor indexed="27"/>
          <bgColor indexed="42"/>
        </patternFill>
      </fill>
    </dxf>
    <dxf>
      <font>
        <b val="0"/>
        <i val="0"/>
        <strike val="0"/>
        <condense val="0"/>
        <extend val="0"/>
        <u val="none"/>
        <sz val="11"/>
        <color indexed="20"/>
      </font>
      <fill>
        <patternFill patternType="solid">
          <fgColor indexed="29"/>
          <bgColor indexed="45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ont>
        <b/>
        <i val="0"/>
        <condense val="0"/>
        <extend val="0"/>
        <color indexed="45"/>
      </font>
      <fill>
        <patternFill patternType="solid">
          <fgColor indexed="26"/>
          <bgColor indexed="9"/>
        </patternFill>
      </fill>
      <border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</dxf>
    <dxf>
      <font>
        <b/>
        <i val="0"/>
        <condense val="0"/>
        <extend val="0"/>
        <color indexed="20"/>
      </font>
      <fill>
        <patternFill patternType="solid">
          <fgColor indexed="26"/>
          <bgColor indexed="9"/>
        </patternFill>
      </fill>
      <border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</dxf>
    <dxf>
      <font>
        <b/>
        <i val="0"/>
        <condense val="0"/>
        <extend val="0"/>
        <color indexed="60"/>
      </font>
      <fill>
        <patternFill patternType="solid">
          <fgColor indexed="26"/>
          <bgColor indexed="9"/>
        </patternFill>
      </fill>
      <border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D9D9D9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99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E6E6E6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BFBFBF"/>
      <rgbColor rgb="00FFCC00"/>
      <rgbColor rgb="00FF9900"/>
      <rgbColor rgb="00FF6600"/>
      <rgbColor rgb="00666666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style val="26"/>
  <c:chart>
    <c:plotArea>
      <c:layout>
        <c:manualLayout>
          <c:layoutTarget val="inner"/>
          <c:xMode val="edge"/>
          <c:yMode val="edge"/>
          <c:x val="1.8880647336480243E-2"/>
          <c:y val="6.5759637188209014E-2"/>
          <c:w val="0.97428441071943162"/>
          <c:h val="0.72335600907029451"/>
        </c:manualLayout>
      </c:layout>
      <c:barChart>
        <c:barDir val="col"/>
        <c:grouping val="stacked"/>
        <c:ser>
          <c:idx val="0"/>
          <c:order val="0"/>
          <c:tx>
            <c:v>Confirmed</c:v>
          </c:tx>
          <c:spPr>
            <a:solidFill>
              <a:srgbClr val="92D050"/>
            </a:solidFill>
          </c:spPr>
          <c:cat>
            <c:strRef>
              <c:f>DCC!$A$2:$A$50</c:f>
              <c:strCache>
                <c:ptCount val="49"/>
                <c:pt idx="0">
                  <c:v>Adanya</c:v>
                </c:pt>
                <c:pt idx="1">
                  <c:v>Ambú</c:v>
                </c:pt>
                <c:pt idx="2">
                  <c:v>Ashenhand</c:v>
                </c:pt>
                <c:pt idx="3">
                  <c:v>Âspect</c:v>
                </c:pt>
                <c:pt idx="4">
                  <c:v>Assap</c:v>
                </c:pt>
                <c:pt idx="5">
                  <c:v>Bonegasmic</c:v>
                </c:pt>
                <c:pt idx="6">
                  <c:v>Brákspak</c:v>
                </c:pt>
                <c:pt idx="7">
                  <c:v>Catena</c:v>
                </c:pt>
                <c:pt idx="8">
                  <c:v>Céléstine</c:v>
                </c:pt>
                <c:pt idx="9">
                  <c:v>Cottman</c:v>
                </c:pt>
                <c:pt idx="10">
                  <c:v>Craving</c:v>
                </c:pt>
                <c:pt idx="11">
                  <c:v>Darshei</c:v>
                </c:pt>
                <c:pt idx="12">
                  <c:v>Difson</c:v>
                </c:pt>
                <c:pt idx="13">
                  <c:v>Grandhoof</c:v>
                </c:pt>
                <c:pt idx="14">
                  <c:v>Harkar</c:v>
                </c:pt>
                <c:pt idx="15">
                  <c:v>Hyperïon</c:v>
                </c:pt>
                <c:pt idx="16">
                  <c:v>Illianá</c:v>
                </c:pt>
                <c:pt idx="17">
                  <c:v>Izzabelle</c:v>
                </c:pt>
                <c:pt idx="18">
                  <c:v>Kátsumi</c:v>
                </c:pt>
                <c:pt idx="19">
                  <c:v>Lychi</c:v>
                </c:pt>
                <c:pt idx="20">
                  <c:v>Méych</c:v>
                </c:pt>
                <c:pt idx="21">
                  <c:v>Muckyfloor</c:v>
                </c:pt>
                <c:pt idx="22">
                  <c:v>Müfti</c:v>
                </c:pt>
                <c:pt idx="23">
                  <c:v>Palorde</c:v>
                </c:pt>
                <c:pt idx="24">
                  <c:v>Páula</c:v>
                </c:pt>
                <c:pt idx="25">
                  <c:v>Quemzar</c:v>
                </c:pt>
                <c:pt idx="26">
                  <c:v>Rahwin</c:v>
                </c:pt>
                <c:pt idx="27">
                  <c:v>Raiyn</c:v>
                </c:pt>
                <c:pt idx="28">
                  <c:v>Rokthrol</c:v>
                </c:pt>
                <c:pt idx="29">
                  <c:v>Sáik</c:v>
                </c:pt>
                <c:pt idx="30">
                  <c:v>Seraphÿm</c:v>
                </c:pt>
                <c:pt idx="31">
                  <c:v>Shinkai</c:v>
                </c:pt>
                <c:pt idx="32">
                  <c:v>Yaodeng</c:v>
                </c:pt>
                <c:pt idx="33">
                  <c:v>Zerobabe</c:v>
                </c:pt>
                <c:pt idx="34">
                  <c:v>Zorrg</c:v>
                </c:pt>
                <c:pt idx="35">
                  <c:v>Volson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</c:strCache>
            </c:strRef>
          </c:cat>
          <c:val>
            <c:numRef>
              <c:f>DCC!$I$2:$I$50</c:f>
              <c:numCache>
                <c:formatCode>General</c:formatCode>
                <c:ptCount val="49"/>
                <c:pt idx="0">
                  <c:v>8</c:v>
                </c:pt>
                <c:pt idx="1">
                  <c:v>8</c:v>
                </c:pt>
                <c:pt idx="2">
                  <c:v>8</c:v>
                </c:pt>
                <c:pt idx="3">
                  <c:v>5</c:v>
                </c:pt>
                <c:pt idx="4">
                  <c:v>5</c:v>
                </c:pt>
                <c:pt idx="5">
                  <c:v>7</c:v>
                </c:pt>
                <c:pt idx="6">
                  <c:v>8</c:v>
                </c:pt>
                <c:pt idx="7">
                  <c:v>1</c:v>
                </c:pt>
                <c:pt idx="8">
                  <c:v>7</c:v>
                </c:pt>
                <c:pt idx="9">
                  <c:v>6</c:v>
                </c:pt>
                <c:pt idx="10">
                  <c:v>8</c:v>
                </c:pt>
                <c:pt idx="11">
                  <c:v>6</c:v>
                </c:pt>
                <c:pt idx="12">
                  <c:v>8</c:v>
                </c:pt>
                <c:pt idx="13">
                  <c:v>8</c:v>
                </c:pt>
                <c:pt idx="14">
                  <c:v>5</c:v>
                </c:pt>
                <c:pt idx="15">
                  <c:v>0</c:v>
                </c:pt>
                <c:pt idx="16">
                  <c:v>4</c:v>
                </c:pt>
                <c:pt idx="17">
                  <c:v>6</c:v>
                </c:pt>
                <c:pt idx="18">
                  <c:v>2</c:v>
                </c:pt>
                <c:pt idx="19">
                  <c:v>7</c:v>
                </c:pt>
                <c:pt idx="20">
                  <c:v>4</c:v>
                </c:pt>
                <c:pt idx="21">
                  <c:v>7</c:v>
                </c:pt>
                <c:pt idx="22">
                  <c:v>6</c:v>
                </c:pt>
                <c:pt idx="23">
                  <c:v>3</c:v>
                </c:pt>
                <c:pt idx="24">
                  <c:v>7</c:v>
                </c:pt>
                <c:pt idx="25">
                  <c:v>5</c:v>
                </c:pt>
                <c:pt idx="26">
                  <c:v>7</c:v>
                </c:pt>
                <c:pt idx="27">
                  <c:v>5</c:v>
                </c:pt>
                <c:pt idx="28">
                  <c:v>2</c:v>
                </c:pt>
                <c:pt idx="29">
                  <c:v>7</c:v>
                </c:pt>
                <c:pt idx="30">
                  <c:v>4</c:v>
                </c:pt>
                <c:pt idx="31">
                  <c:v>5</c:v>
                </c:pt>
                <c:pt idx="32">
                  <c:v>8</c:v>
                </c:pt>
                <c:pt idx="33">
                  <c:v>5</c:v>
                </c:pt>
                <c:pt idx="34">
                  <c:v>6</c:v>
                </c:pt>
                <c:pt idx="35">
                  <c:v>2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</c:numCache>
            </c:numRef>
          </c:val>
        </c:ser>
        <c:ser>
          <c:idx val="1"/>
          <c:order val="1"/>
          <c:tx>
            <c:v>Standby</c:v>
          </c:tx>
          <c:spPr>
            <a:solidFill>
              <a:srgbClr val="00B0F0"/>
            </a:solidFill>
          </c:spPr>
          <c:cat>
            <c:strRef>
              <c:f>DCC!$A$2:$A$50</c:f>
              <c:strCache>
                <c:ptCount val="49"/>
                <c:pt idx="0">
                  <c:v>Adanya</c:v>
                </c:pt>
                <c:pt idx="1">
                  <c:v>Ambú</c:v>
                </c:pt>
                <c:pt idx="2">
                  <c:v>Ashenhand</c:v>
                </c:pt>
                <c:pt idx="3">
                  <c:v>Âspect</c:v>
                </c:pt>
                <c:pt idx="4">
                  <c:v>Assap</c:v>
                </c:pt>
                <c:pt idx="5">
                  <c:v>Bonegasmic</c:v>
                </c:pt>
                <c:pt idx="6">
                  <c:v>Brákspak</c:v>
                </c:pt>
                <c:pt idx="7">
                  <c:v>Catena</c:v>
                </c:pt>
                <c:pt idx="8">
                  <c:v>Céléstine</c:v>
                </c:pt>
                <c:pt idx="9">
                  <c:v>Cottman</c:v>
                </c:pt>
                <c:pt idx="10">
                  <c:v>Craving</c:v>
                </c:pt>
                <c:pt idx="11">
                  <c:v>Darshei</c:v>
                </c:pt>
                <c:pt idx="12">
                  <c:v>Difson</c:v>
                </c:pt>
                <c:pt idx="13">
                  <c:v>Grandhoof</c:v>
                </c:pt>
                <c:pt idx="14">
                  <c:v>Harkar</c:v>
                </c:pt>
                <c:pt idx="15">
                  <c:v>Hyperïon</c:v>
                </c:pt>
                <c:pt idx="16">
                  <c:v>Illianá</c:v>
                </c:pt>
                <c:pt idx="17">
                  <c:v>Izzabelle</c:v>
                </c:pt>
                <c:pt idx="18">
                  <c:v>Kátsumi</c:v>
                </c:pt>
                <c:pt idx="19">
                  <c:v>Lychi</c:v>
                </c:pt>
                <c:pt idx="20">
                  <c:v>Méych</c:v>
                </c:pt>
                <c:pt idx="21">
                  <c:v>Muckyfloor</c:v>
                </c:pt>
                <c:pt idx="22">
                  <c:v>Müfti</c:v>
                </c:pt>
                <c:pt idx="23">
                  <c:v>Palorde</c:v>
                </c:pt>
                <c:pt idx="24">
                  <c:v>Páula</c:v>
                </c:pt>
                <c:pt idx="25">
                  <c:v>Quemzar</c:v>
                </c:pt>
                <c:pt idx="26">
                  <c:v>Rahwin</c:v>
                </c:pt>
                <c:pt idx="27">
                  <c:v>Raiyn</c:v>
                </c:pt>
                <c:pt idx="28">
                  <c:v>Rokthrol</c:v>
                </c:pt>
                <c:pt idx="29">
                  <c:v>Sáik</c:v>
                </c:pt>
                <c:pt idx="30">
                  <c:v>Seraphÿm</c:v>
                </c:pt>
                <c:pt idx="31">
                  <c:v>Shinkai</c:v>
                </c:pt>
                <c:pt idx="32">
                  <c:v>Yaodeng</c:v>
                </c:pt>
                <c:pt idx="33">
                  <c:v>Zerobabe</c:v>
                </c:pt>
                <c:pt idx="34">
                  <c:v>Zorrg</c:v>
                </c:pt>
                <c:pt idx="35">
                  <c:v>Volson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</c:strCache>
            </c:strRef>
          </c:cat>
          <c:val>
            <c:numRef>
              <c:f>DCC!$J$2:$J$47</c:f>
              <c:numCache>
                <c:formatCode>General</c:formatCode>
                <c:ptCount val="4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</c:v>
                </c:pt>
                <c:pt idx="5">
                  <c:v>1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2</c:v>
                </c:pt>
                <c:pt idx="19">
                  <c:v>1</c:v>
                </c:pt>
                <c:pt idx="20">
                  <c:v>2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0</c:v>
                </c:pt>
                <c:pt idx="26">
                  <c:v>1</c:v>
                </c:pt>
                <c:pt idx="27">
                  <c:v>0</c:v>
                </c:pt>
                <c:pt idx="28">
                  <c:v>0</c:v>
                </c:pt>
                <c:pt idx="29">
                  <c:v>1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</c:numCache>
            </c:numRef>
          </c:val>
        </c:ser>
        <c:ser>
          <c:idx val="2"/>
          <c:order val="2"/>
          <c:tx>
            <c:v>Out</c:v>
          </c:tx>
          <c:spPr>
            <a:solidFill>
              <a:srgbClr val="FF0000"/>
            </a:solidFill>
          </c:spPr>
          <c:cat>
            <c:strRef>
              <c:f>DCC!$A$2:$A$50</c:f>
              <c:strCache>
                <c:ptCount val="49"/>
                <c:pt idx="0">
                  <c:v>Adanya</c:v>
                </c:pt>
                <c:pt idx="1">
                  <c:v>Ambú</c:v>
                </c:pt>
                <c:pt idx="2">
                  <c:v>Ashenhand</c:v>
                </c:pt>
                <c:pt idx="3">
                  <c:v>Âspect</c:v>
                </c:pt>
                <c:pt idx="4">
                  <c:v>Assap</c:v>
                </c:pt>
                <c:pt idx="5">
                  <c:v>Bonegasmic</c:v>
                </c:pt>
                <c:pt idx="6">
                  <c:v>Brákspak</c:v>
                </c:pt>
                <c:pt idx="7">
                  <c:v>Catena</c:v>
                </c:pt>
                <c:pt idx="8">
                  <c:v>Céléstine</c:v>
                </c:pt>
                <c:pt idx="9">
                  <c:v>Cottman</c:v>
                </c:pt>
                <c:pt idx="10">
                  <c:v>Craving</c:v>
                </c:pt>
                <c:pt idx="11">
                  <c:v>Darshei</c:v>
                </c:pt>
                <c:pt idx="12">
                  <c:v>Difson</c:v>
                </c:pt>
                <c:pt idx="13">
                  <c:v>Grandhoof</c:v>
                </c:pt>
                <c:pt idx="14">
                  <c:v>Harkar</c:v>
                </c:pt>
                <c:pt idx="15">
                  <c:v>Hyperïon</c:v>
                </c:pt>
                <c:pt idx="16">
                  <c:v>Illianá</c:v>
                </c:pt>
                <c:pt idx="17">
                  <c:v>Izzabelle</c:v>
                </c:pt>
                <c:pt idx="18">
                  <c:v>Kátsumi</c:v>
                </c:pt>
                <c:pt idx="19">
                  <c:v>Lychi</c:v>
                </c:pt>
                <c:pt idx="20">
                  <c:v>Méych</c:v>
                </c:pt>
                <c:pt idx="21">
                  <c:v>Muckyfloor</c:v>
                </c:pt>
                <c:pt idx="22">
                  <c:v>Müfti</c:v>
                </c:pt>
                <c:pt idx="23">
                  <c:v>Palorde</c:v>
                </c:pt>
                <c:pt idx="24">
                  <c:v>Páula</c:v>
                </c:pt>
                <c:pt idx="25">
                  <c:v>Quemzar</c:v>
                </c:pt>
                <c:pt idx="26">
                  <c:v>Rahwin</c:v>
                </c:pt>
                <c:pt idx="27">
                  <c:v>Raiyn</c:v>
                </c:pt>
                <c:pt idx="28">
                  <c:v>Rokthrol</c:v>
                </c:pt>
                <c:pt idx="29">
                  <c:v>Sáik</c:v>
                </c:pt>
                <c:pt idx="30">
                  <c:v>Seraphÿm</c:v>
                </c:pt>
                <c:pt idx="31">
                  <c:v>Shinkai</c:v>
                </c:pt>
                <c:pt idx="32">
                  <c:v>Yaodeng</c:v>
                </c:pt>
                <c:pt idx="33">
                  <c:v>Zerobabe</c:v>
                </c:pt>
                <c:pt idx="34">
                  <c:v>Zorrg</c:v>
                </c:pt>
                <c:pt idx="35">
                  <c:v>Volson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</c:strCache>
            </c:strRef>
          </c:cat>
          <c:val>
            <c:numRef>
              <c:f>DCC!$G$2:$G$50</c:f>
              <c:numCache>
                <c:formatCode>General</c:formatCode>
                <c:ptCount val="4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</c:numCache>
            </c:numRef>
          </c:val>
        </c:ser>
        <c:overlap val="100"/>
        <c:axId val="52394624"/>
        <c:axId val="52408704"/>
      </c:barChart>
      <c:catAx>
        <c:axId val="52394624"/>
        <c:scaling>
          <c:orientation val="minMax"/>
        </c:scaling>
        <c:axPos val="b"/>
        <c:numFmt formatCode="General" sourceLinked="1"/>
        <c:tickLblPos val="nextTo"/>
        <c:spPr>
          <a:ln cmpd="sng"/>
        </c:spPr>
        <c:txPr>
          <a:bodyPr/>
          <a:lstStyle/>
          <a:p>
            <a:pPr>
              <a:defRPr lang="nl-NL"/>
            </a:pPr>
            <a:endParaRPr lang="en-US"/>
          </a:p>
        </c:txPr>
        <c:crossAx val="52408704"/>
        <c:crosses val="autoZero"/>
        <c:auto val="1"/>
        <c:lblAlgn val="ctr"/>
        <c:lblOffset val="100"/>
        <c:tickLblSkip val="1"/>
      </c:catAx>
      <c:valAx>
        <c:axId val="52408704"/>
        <c:scaling>
          <c:orientation val="minMax"/>
        </c:scaling>
        <c:axPos val="l"/>
        <c:majorGridlines/>
        <c:numFmt formatCode="General" sourceLinked="1"/>
        <c:tickLblPos val="nextTo"/>
        <c:txPr>
          <a:bodyPr/>
          <a:lstStyle/>
          <a:p>
            <a:pPr>
              <a:defRPr lang="nl-NL"/>
            </a:pPr>
            <a:endParaRPr lang="en-US"/>
          </a:p>
        </c:txPr>
        <c:crossAx val="52394624"/>
        <c:crosses val="autoZero"/>
        <c:crossBetween val="between"/>
        <c:majorUnit val="1"/>
        <c:minorUnit val="1"/>
      </c:valAx>
    </c:plotArea>
    <c:legend>
      <c:legendPos val="r"/>
      <c:layout>
        <c:manualLayout>
          <c:xMode val="edge"/>
          <c:yMode val="edge"/>
          <c:x val="0"/>
          <c:y val="0.93448437992869937"/>
          <c:w val="0.9926219475730359"/>
          <c:h val="6.394319757649336E-2"/>
        </c:manualLayout>
      </c:layout>
      <c:txPr>
        <a:bodyPr/>
        <a:lstStyle/>
        <a:p>
          <a:pPr>
            <a:defRPr lang="nl-NL"/>
          </a:pPr>
          <a:endParaRPr lang="en-US"/>
        </a:p>
      </c:txPr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plotArea>
      <c:layout>
        <c:manualLayout>
          <c:layoutTarget val="inner"/>
          <c:xMode val="edge"/>
          <c:yMode val="edge"/>
          <c:x val="2.2702702702702752E-2"/>
          <c:y val="2.2670025188918422E-2"/>
          <c:w val="0.91135135135135137"/>
          <c:h val="0.7002518891687658"/>
        </c:manualLayout>
      </c:layout>
      <c:barChart>
        <c:barDir val="col"/>
        <c:grouping val="stacked"/>
        <c:ser>
          <c:idx val="0"/>
          <c:order val="0"/>
          <c:tx>
            <c:v>Confirmed</c:v>
          </c:tx>
          <c:cat>
            <c:strRef>
              <c:f>Pat!$A$28:$A$86</c:f>
              <c:strCache>
                <c:ptCount val="59"/>
                <c:pt idx="0">
                  <c:v>Adanya</c:v>
                </c:pt>
                <c:pt idx="1">
                  <c:v>Ambú</c:v>
                </c:pt>
                <c:pt idx="2">
                  <c:v>Ashenhand</c:v>
                </c:pt>
                <c:pt idx="3">
                  <c:v>Âspect</c:v>
                </c:pt>
                <c:pt idx="4">
                  <c:v>Assap</c:v>
                </c:pt>
                <c:pt idx="5">
                  <c:v>Bonegasmic</c:v>
                </c:pt>
                <c:pt idx="6">
                  <c:v>Brákspak</c:v>
                </c:pt>
                <c:pt idx="7">
                  <c:v>Catena</c:v>
                </c:pt>
                <c:pt idx="8">
                  <c:v>Céléstine</c:v>
                </c:pt>
                <c:pt idx="9">
                  <c:v>Cottman</c:v>
                </c:pt>
                <c:pt idx="10">
                  <c:v>Craving</c:v>
                </c:pt>
                <c:pt idx="11">
                  <c:v>Darshei</c:v>
                </c:pt>
                <c:pt idx="12">
                  <c:v>Difson</c:v>
                </c:pt>
                <c:pt idx="13">
                  <c:v>Grandhoof</c:v>
                </c:pt>
                <c:pt idx="14">
                  <c:v>Harkar</c:v>
                </c:pt>
                <c:pt idx="15">
                  <c:v>Hyperïon</c:v>
                </c:pt>
                <c:pt idx="16">
                  <c:v>Illianá</c:v>
                </c:pt>
                <c:pt idx="17">
                  <c:v>Izzabelle</c:v>
                </c:pt>
                <c:pt idx="18">
                  <c:v>Kátsumi</c:v>
                </c:pt>
                <c:pt idx="19">
                  <c:v>Lychi</c:v>
                </c:pt>
                <c:pt idx="20">
                  <c:v>Méych</c:v>
                </c:pt>
                <c:pt idx="21">
                  <c:v>Muckyfloor</c:v>
                </c:pt>
                <c:pt idx="22">
                  <c:v>Müfti</c:v>
                </c:pt>
                <c:pt idx="23">
                  <c:v>Palorde</c:v>
                </c:pt>
                <c:pt idx="24">
                  <c:v>Páula</c:v>
                </c:pt>
                <c:pt idx="25">
                  <c:v>Quemzar</c:v>
                </c:pt>
                <c:pt idx="26">
                  <c:v>Rahwin</c:v>
                </c:pt>
                <c:pt idx="27">
                  <c:v>Raiyn</c:v>
                </c:pt>
                <c:pt idx="28">
                  <c:v>Rokthrol</c:v>
                </c:pt>
                <c:pt idx="29">
                  <c:v>Sáik</c:v>
                </c:pt>
                <c:pt idx="30">
                  <c:v>Seraphÿm</c:v>
                </c:pt>
                <c:pt idx="31">
                  <c:v>Shinkai</c:v>
                </c:pt>
                <c:pt idx="32">
                  <c:v>Yaodeng</c:v>
                </c:pt>
                <c:pt idx="33">
                  <c:v>Zerobabe</c:v>
                </c:pt>
                <c:pt idx="34">
                  <c:v>Zorrg</c:v>
                </c:pt>
                <c:pt idx="35">
                  <c:v>Volson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</c:strCache>
            </c:strRef>
          </c:cat>
          <c:val>
            <c:numRef>
              <c:f>Pat!$M$28:$M$86</c:f>
              <c:numCache>
                <c:formatCode>General</c:formatCode>
                <c:ptCount val="5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</c:numCache>
            </c:numRef>
          </c:val>
        </c:ser>
        <c:ser>
          <c:idx val="1"/>
          <c:order val="1"/>
          <c:tx>
            <c:v>Standby</c:v>
          </c:tx>
          <c:cat>
            <c:strRef>
              <c:f>Pat!$A$28:$A$86</c:f>
              <c:strCache>
                <c:ptCount val="59"/>
                <c:pt idx="0">
                  <c:v>Adanya</c:v>
                </c:pt>
                <c:pt idx="1">
                  <c:v>Ambú</c:v>
                </c:pt>
                <c:pt idx="2">
                  <c:v>Ashenhand</c:v>
                </c:pt>
                <c:pt idx="3">
                  <c:v>Âspect</c:v>
                </c:pt>
                <c:pt idx="4">
                  <c:v>Assap</c:v>
                </c:pt>
                <c:pt idx="5">
                  <c:v>Bonegasmic</c:v>
                </c:pt>
                <c:pt idx="6">
                  <c:v>Brákspak</c:v>
                </c:pt>
                <c:pt idx="7">
                  <c:v>Catena</c:v>
                </c:pt>
                <c:pt idx="8">
                  <c:v>Céléstine</c:v>
                </c:pt>
                <c:pt idx="9">
                  <c:v>Cottman</c:v>
                </c:pt>
                <c:pt idx="10">
                  <c:v>Craving</c:v>
                </c:pt>
                <c:pt idx="11">
                  <c:v>Darshei</c:v>
                </c:pt>
                <c:pt idx="12">
                  <c:v>Difson</c:v>
                </c:pt>
                <c:pt idx="13">
                  <c:v>Grandhoof</c:v>
                </c:pt>
                <c:pt idx="14">
                  <c:v>Harkar</c:v>
                </c:pt>
                <c:pt idx="15">
                  <c:v>Hyperïon</c:v>
                </c:pt>
                <c:pt idx="16">
                  <c:v>Illianá</c:v>
                </c:pt>
                <c:pt idx="17">
                  <c:v>Izzabelle</c:v>
                </c:pt>
                <c:pt idx="18">
                  <c:v>Kátsumi</c:v>
                </c:pt>
                <c:pt idx="19">
                  <c:v>Lychi</c:v>
                </c:pt>
                <c:pt idx="20">
                  <c:v>Méych</c:v>
                </c:pt>
                <c:pt idx="21">
                  <c:v>Muckyfloor</c:v>
                </c:pt>
                <c:pt idx="22">
                  <c:v>Müfti</c:v>
                </c:pt>
                <c:pt idx="23">
                  <c:v>Palorde</c:v>
                </c:pt>
                <c:pt idx="24">
                  <c:v>Páula</c:v>
                </c:pt>
                <c:pt idx="25">
                  <c:v>Quemzar</c:v>
                </c:pt>
                <c:pt idx="26">
                  <c:v>Rahwin</c:v>
                </c:pt>
                <c:pt idx="27">
                  <c:v>Raiyn</c:v>
                </c:pt>
                <c:pt idx="28">
                  <c:v>Rokthrol</c:v>
                </c:pt>
                <c:pt idx="29">
                  <c:v>Sáik</c:v>
                </c:pt>
                <c:pt idx="30">
                  <c:v>Seraphÿm</c:v>
                </c:pt>
                <c:pt idx="31">
                  <c:v>Shinkai</c:v>
                </c:pt>
                <c:pt idx="32">
                  <c:v>Yaodeng</c:v>
                </c:pt>
                <c:pt idx="33">
                  <c:v>Zerobabe</c:v>
                </c:pt>
                <c:pt idx="34">
                  <c:v>Zorrg</c:v>
                </c:pt>
                <c:pt idx="35">
                  <c:v>Volson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</c:strCache>
            </c:strRef>
          </c:cat>
          <c:val>
            <c:numRef>
              <c:f>Pat!$N$28:$N$86</c:f>
              <c:numCache>
                <c:formatCode>General</c:formatCode>
                <c:ptCount val="5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</c:numCache>
            </c:numRef>
          </c:val>
        </c:ser>
        <c:overlap val="100"/>
        <c:axId val="83817984"/>
        <c:axId val="83819520"/>
      </c:barChart>
      <c:catAx>
        <c:axId val="83817984"/>
        <c:scaling>
          <c:orientation val="minMax"/>
        </c:scaling>
        <c:axPos val="b"/>
        <c:numFmt formatCode="General" sourceLinked="1"/>
        <c:tickLblPos val="nextTo"/>
        <c:spPr>
          <a:ln w="9525" cmpd="dbl"/>
        </c:spPr>
        <c:txPr>
          <a:bodyPr/>
          <a:lstStyle/>
          <a:p>
            <a:pPr>
              <a:defRPr lang="nl-NL" sz="1200" normalizeH="0" baseline="0"/>
            </a:pPr>
            <a:endParaRPr lang="en-US"/>
          </a:p>
        </c:txPr>
        <c:crossAx val="83819520"/>
        <c:crosses val="autoZero"/>
        <c:auto val="1"/>
        <c:lblAlgn val="ctr"/>
        <c:lblOffset val="100"/>
        <c:tickLblSkip val="1"/>
      </c:catAx>
      <c:valAx>
        <c:axId val="83819520"/>
        <c:scaling>
          <c:orientation val="minMax"/>
        </c:scaling>
        <c:axPos val="l"/>
        <c:majorGridlines/>
        <c:numFmt formatCode="General" sourceLinked="1"/>
        <c:tickLblPos val="nextTo"/>
        <c:txPr>
          <a:bodyPr/>
          <a:lstStyle/>
          <a:p>
            <a:pPr>
              <a:defRPr lang="nl-NL"/>
            </a:pPr>
            <a:endParaRPr lang="en-US"/>
          </a:p>
        </c:txPr>
        <c:crossAx val="83817984"/>
        <c:crosses val="autoZero"/>
        <c:crossBetween val="between"/>
        <c:majorUnit val="1"/>
        <c:minorUnit val="1"/>
      </c:valAx>
    </c:plotArea>
    <c:legend>
      <c:legendPos val="r"/>
      <c:layout>
        <c:manualLayout>
          <c:xMode val="edge"/>
          <c:yMode val="edge"/>
          <c:x val="0.94089953890901423"/>
          <c:y val="0.1763099889591887"/>
          <c:w val="5.5400610058877933E-2"/>
          <c:h val="0.43065934138587164"/>
        </c:manualLayout>
      </c:layout>
      <c:txPr>
        <a:bodyPr/>
        <a:lstStyle/>
        <a:p>
          <a:pPr>
            <a:defRPr lang="nl-NL"/>
          </a:pPr>
          <a:endParaRPr lang="en-US"/>
        </a:p>
      </c:txPr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javascript:togglePetRows(9" TargetMode="Externa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84876</xdr:colOff>
      <xdr:row>0</xdr:row>
      <xdr:rowOff>152400</xdr:rowOff>
    </xdr:from>
    <xdr:to>
      <xdr:col>14</xdr:col>
      <xdr:colOff>1</xdr:colOff>
      <xdr:row>22</xdr:row>
      <xdr:rowOff>152400</xdr:rowOff>
    </xdr:to>
    <xdr:graphicFrame macro="">
      <xdr:nvGraphicFramePr>
        <xdr:cNvPr id="126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285750</xdr:colOff>
      <xdr:row>0</xdr:row>
      <xdr:rowOff>0</xdr:rowOff>
    </xdr:from>
    <xdr:to>
      <xdr:col>1</xdr:col>
      <xdr:colOff>428625</xdr:colOff>
      <xdr:row>0</xdr:row>
      <xdr:rowOff>142875</xdr:rowOff>
    </xdr:to>
    <xdr:pic>
      <xdr:nvPicPr>
        <xdr:cNvPr id="6174" name="Picture 7" descr="http://www.worldoflogs.com/media/images/arrows/down-small15-ccc.pn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0"/>
          <a:ext cx="1428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95250</xdr:rowOff>
    </xdr:from>
    <xdr:to>
      <xdr:col>14</xdr:col>
      <xdr:colOff>142875</xdr:colOff>
      <xdr:row>23</xdr:row>
      <xdr:rowOff>152400</xdr:rowOff>
    </xdr:to>
    <xdr:graphicFrame macro="">
      <xdr:nvGraphicFramePr>
        <xdr:cNvPr id="10467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2:T69"/>
  <sheetViews>
    <sheetView tabSelected="1" zoomScale="101" zoomScaleNormal="101" workbookViewId="0">
      <selection activeCell="L42" sqref="L42"/>
    </sheetView>
  </sheetViews>
  <sheetFormatPr defaultColWidth="8.7109375" defaultRowHeight="15" customHeight="1"/>
  <cols>
    <col min="1" max="1" width="1.42578125" style="1" customWidth="1"/>
    <col min="2" max="2" width="14.140625" style="1" customWidth="1"/>
    <col min="3" max="3" width="18.140625" style="1" customWidth="1"/>
    <col min="4" max="7" width="14.7109375" style="1" customWidth="1"/>
    <col min="8" max="8" width="22.5703125" style="1" bestFit="1" customWidth="1"/>
    <col min="9" max="9" width="12.7109375" style="1" bestFit="1" customWidth="1"/>
    <col min="10" max="11" width="9.7109375" style="1" bestFit="1" customWidth="1"/>
    <col min="12" max="13" width="9.140625" style="1" customWidth="1"/>
    <col min="14" max="14" width="8.7109375" style="1" customWidth="1"/>
    <col min="15" max="15" width="9.42578125" style="1" customWidth="1"/>
    <col min="16" max="16" width="10.140625" style="1" bestFit="1" customWidth="1"/>
    <col min="17" max="28" width="8.7109375" style="1" customWidth="1"/>
    <col min="29" max="29" width="9.140625" style="1" customWidth="1"/>
    <col min="30" max="16384" width="8.7109375" style="1"/>
  </cols>
  <sheetData>
    <row r="22" spans="1:16" ht="15.75" customHeight="1"/>
    <row r="23" spans="1:16" ht="15.75" customHeight="1" thickBot="1"/>
    <row r="24" spans="1:16" ht="15.75" customHeight="1" thickBot="1">
      <c r="B24" s="380" t="s">
        <v>0</v>
      </c>
      <c r="C24" s="381" t="str">
        <f>DCC!B1</f>
        <v>Signups this Month</v>
      </c>
      <c r="D24" s="381" t="str">
        <f>DCC!C1</f>
        <v>Confirmed 10</v>
      </c>
      <c r="E24" s="381" t="str">
        <f>DCC!D1</f>
        <v>Confirmed 25</v>
      </c>
      <c r="F24" s="382" t="s">
        <v>1</v>
      </c>
      <c r="G24" s="383" t="s">
        <v>2</v>
      </c>
      <c r="H24" s="170"/>
      <c r="I24" s="421"/>
      <c r="J24" s="422"/>
      <c r="K24" s="423"/>
      <c r="L24" s="3"/>
      <c r="M24" s="433"/>
      <c r="N24" s="434"/>
    </row>
    <row r="25" spans="1:16" ht="15" customHeight="1">
      <c r="B25" s="384" t="s">
        <v>3</v>
      </c>
      <c r="C25" s="4">
        <f t="array" ref="C25">SUM(('Members Data'!D2:D61="Healer")*(DCC!B2:B61))</f>
        <v>53</v>
      </c>
      <c r="D25" s="4">
        <f t="array" ref="D25">SUM(('Members Data'!D2:D61="Healer")*(DCC!C2:C61))</f>
        <v>0</v>
      </c>
      <c r="E25" s="4">
        <f t="array" ref="E25">SUM(('Members Data'!D2:D61="Healer")*(DCC!D2:D61))</f>
        <v>49</v>
      </c>
      <c r="F25" s="5" t="e">
        <f>(100/D28)*D25</f>
        <v>#DIV/0!</v>
      </c>
      <c r="G25" s="154">
        <f>(100/E28)*E25</f>
        <v>24.5</v>
      </c>
      <c r="H25" s="171"/>
      <c r="I25" s="379"/>
      <c r="J25" s="379"/>
      <c r="K25" s="166"/>
      <c r="L25" s="6"/>
      <c r="M25" s="172"/>
      <c r="N25" s="167"/>
    </row>
    <row r="26" spans="1:16" ht="15" customHeight="1">
      <c r="B26" s="385" t="s">
        <v>4</v>
      </c>
      <c r="C26" s="386">
        <f t="array" ref="C26">(SUM(('Members Data'!D2:D61="MDPS")*(DCC!B2:B61)))+(SUM(('Members Data'!D2:D61="RDPS")*(DCC!B2:B61)))</f>
        <v>150</v>
      </c>
      <c r="D26" s="386">
        <f t="array" ref="D26">(SUM(('Members Data'!D2:D61="RDPS")*(DCC!C2:C61)))+(SUM(('Members Data'!D2:D61="MDPS")*(DCC!C2:C61)))</f>
        <v>0</v>
      </c>
      <c r="E26" s="386">
        <f t="array" ref="E26">(SUM(('Members Data'!D2:D61="MDPS")*(DCC!D2:D61)))+(SUM(('Members Data'!D2:D61="RDPS")*(DCC!D2:D61)))</f>
        <v>136</v>
      </c>
      <c r="F26" s="387" t="e">
        <f>(100/D28)*D26</f>
        <v>#DIV/0!</v>
      </c>
      <c r="G26" s="388">
        <f>(100/E28)*E26</f>
        <v>68</v>
      </c>
      <c r="H26" s="172"/>
      <c r="I26" s="165"/>
      <c r="J26" s="379"/>
      <c r="K26" s="166"/>
      <c r="M26" s="172"/>
      <c r="N26" s="167"/>
    </row>
    <row r="27" spans="1:16" ht="15.75" customHeight="1" thickBot="1">
      <c r="B27" s="389" t="s">
        <v>5</v>
      </c>
      <c r="C27" s="390">
        <f t="array" ref="C27">SUM(('Members Data'!D2:D61="Tank")*(DCC!B2:B61))</f>
        <v>15</v>
      </c>
      <c r="D27" s="390">
        <f t="array" ref="D27">SUM(('Members Data'!D2:D61="Tank")*(DCC!C2:C61))</f>
        <v>0</v>
      </c>
      <c r="E27" s="390">
        <f t="array" ref="E27">SUM(('Members Data'!D2:D61="Tank")*(DCC!D2:D61))</f>
        <v>15</v>
      </c>
      <c r="F27" s="387" t="e">
        <f>(100/D28)*D27</f>
        <v>#DIV/0!</v>
      </c>
      <c r="G27" s="388">
        <f>(100/E28)*E27</f>
        <v>7.5</v>
      </c>
      <c r="H27" s="172"/>
      <c r="I27" s="165"/>
      <c r="J27" s="379"/>
      <c r="K27" s="166"/>
      <c r="M27" s="172"/>
      <c r="N27" s="167"/>
    </row>
    <row r="28" spans="1:16" ht="15.75" customHeight="1" thickBot="1">
      <c r="B28" s="424" t="s">
        <v>6</v>
      </c>
      <c r="C28" s="10">
        <f>SUM(C25:C27)</f>
        <v>218</v>
      </c>
      <c r="D28" s="10">
        <f>SUM(D25:D27)</f>
        <v>0</v>
      </c>
      <c r="E28" s="10">
        <f>SUM(E25:E27)</f>
        <v>200</v>
      </c>
      <c r="F28" s="11"/>
      <c r="G28" s="155"/>
      <c r="H28" s="172"/>
      <c r="I28" s="165"/>
      <c r="J28" s="379"/>
      <c r="K28" s="166"/>
      <c r="M28" s="172"/>
      <c r="N28" s="167"/>
    </row>
    <row r="29" spans="1:16" ht="15.75" customHeight="1" thickBot="1">
      <c r="B29" s="425"/>
      <c r="C29" s="165"/>
      <c r="D29" s="165"/>
      <c r="E29" s="165"/>
      <c r="F29" s="165"/>
      <c r="G29" s="165"/>
      <c r="H29" s="165"/>
      <c r="I29" s="165"/>
      <c r="J29" s="165"/>
      <c r="K29" s="167"/>
      <c r="L29" s="47"/>
      <c r="M29" s="172"/>
      <c r="N29" s="167"/>
    </row>
    <row r="30" spans="1:16" ht="15.75" customHeight="1" thickBot="1">
      <c r="B30" s="426" t="s">
        <v>7</v>
      </c>
      <c r="C30" s="12">
        <f>SUM(C31:C33)</f>
        <v>36</v>
      </c>
      <c r="D30" s="13" t="s">
        <v>8</v>
      </c>
      <c r="E30" s="13" t="s">
        <v>9</v>
      </c>
      <c r="F30" s="14" t="s">
        <v>10</v>
      </c>
      <c r="G30" s="165"/>
      <c r="H30" s="418" t="s">
        <v>81</v>
      </c>
      <c r="I30" s="419" t="s">
        <v>82</v>
      </c>
      <c r="J30" s="420" t="s">
        <v>260</v>
      </c>
      <c r="K30" s="488" t="s">
        <v>248</v>
      </c>
      <c r="M30" s="172"/>
      <c r="N30" s="167"/>
    </row>
    <row r="31" spans="1:16" ht="15.75" customHeight="1" thickBot="1">
      <c r="A31" s="47"/>
      <c r="B31" s="427" t="s">
        <v>3</v>
      </c>
      <c r="C31" s="391">
        <f>COUNTIF('Members Data'!D2:D61,"Healer")</f>
        <v>9</v>
      </c>
      <c r="D31" s="392">
        <f>(100/C30)*C31</f>
        <v>25</v>
      </c>
      <c r="E31" s="392">
        <f>(100/25)*6</f>
        <v>24</v>
      </c>
      <c r="F31" s="393">
        <f>(100/10)*3</f>
        <v>30</v>
      </c>
      <c r="G31" s="165"/>
      <c r="H31" s="492" t="s">
        <v>266</v>
      </c>
      <c r="I31" s="493"/>
      <c r="J31" s="493"/>
      <c r="K31" s="494"/>
      <c r="M31" s="416" t="s">
        <v>202</v>
      </c>
      <c r="N31" s="417" t="s">
        <v>201</v>
      </c>
    </row>
    <row r="32" spans="1:16" ht="15.75" customHeight="1" thickBot="1">
      <c r="B32" s="424" t="s">
        <v>5</v>
      </c>
      <c r="C32" s="391">
        <f>COUNTIF('Members Data'!D2:D61,"Tank")</f>
        <v>2</v>
      </c>
      <c r="D32" s="392">
        <f>(100/C30)*C32</f>
        <v>5.5555555555555554</v>
      </c>
      <c r="E32" s="392">
        <f>(100/25)*2</f>
        <v>8</v>
      </c>
      <c r="F32" s="393">
        <f>(100/10)*2</f>
        <v>20</v>
      </c>
      <c r="G32" s="165"/>
      <c r="H32" s="384" t="s">
        <v>83</v>
      </c>
      <c r="I32" s="448">
        <v>271192</v>
      </c>
      <c r="J32" s="378">
        <f>I32/100*$F$68</f>
        <v>135596</v>
      </c>
      <c r="K32" s="447">
        <f>I32/100*$F$69</f>
        <v>216953.60000000001</v>
      </c>
      <c r="M32" s="437"/>
      <c r="N32" s="436">
        <f>I32</f>
        <v>271192</v>
      </c>
      <c r="P32" s="376"/>
    </row>
    <row r="33" spans="2:20" ht="15.75" customHeight="1" thickBot="1">
      <c r="B33" s="424" t="s">
        <v>4</v>
      </c>
      <c r="C33" s="394">
        <f>COUNTIF('Members Data'!D2:D61,"RDPS")+COUNTIF('Members Data'!D2:D61,"MDPS")</f>
        <v>25</v>
      </c>
      <c r="D33" s="395">
        <f>(100/C30)*C33</f>
        <v>69.444444444444443</v>
      </c>
      <c r="E33" s="395">
        <f>(100/25)*17</f>
        <v>68</v>
      </c>
      <c r="F33" s="396">
        <f>(100/10)*5</f>
        <v>50</v>
      </c>
      <c r="G33" s="165"/>
      <c r="H33" s="385" t="s">
        <v>84</v>
      </c>
      <c r="I33" s="448">
        <v>269321</v>
      </c>
      <c r="J33" s="378">
        <f t="shared" ref="J33:J67" si="0">I33/100*$F$68</f>
        <v>134660.5</v>
      </c>
      <c r="K33" s="448">
        <f t="shared" ref="K33:K61" si="1">I33/100*$F$69</f>
        <v>215456.8</v>
      </c>
      <c r="M33" s="437"/>
      <c r="N33" s="436">
        <f t="shared" ref="N33:N54" si="2">I33</f>
        <v>269321</v>
      </c>
      <c r="P33" s="376"/>
    </row>
    <row r="34" spans="2:20" ht="15.75" customHeight="1" thickBot="1">
      <c r="B34" s="425"/>
      <c r="C34" s="165"/>
      <c r="D34" s="165"/>
      <c r="E34" s="165"/>
      <c r="F34" s="165"/>
      <c r="G34" s="165"/>
      <c r="H34" s="385" t="s">
        <v>85</v>
      </c>
      <c r="I34" s="448">
        <v>270078.5</v>
      </c>
      <c r="J34" s="378">
        <f t="shared" si="0"/>
        <v>135039.25</v>
      </c>
      <c r="K34" s="448">
        <f t="shared" si="1"/>
        <v>216062.8</v>
      </c>
      <c r="M34" s="437"/>
      <c r="N34" s="436">
        <f t="shared" si="2"/>
        <v>270078.5</v>
      </c>
      <c r="P34" s="376"/>
    </row>
    <row r="35" spans="2:20" ht="15.75" customHeight="1" thickBot="1">
      <c r="B35" s="426" t="s">
        <v>11</v>
      </c>
      <c r="C35" s="2" t="s">
        <v>12</v>
      </c>
      <c r="D35" s="18" t="s">
        <v>13</v>
      </c>
      <c r="E35" s="18" t="s">
        <v>14</v>
      </c>
      <c r="F35" s="19" t="s">
        <v>4</v>
      </c>
      <c r="G35" s="165"/>
      <c r="H35" s="385" t="s">
        <v>86</v>
      </c>
      <c r="I35" s="448">
        <v>298508</v>
      </c>
      <c r="J35" s="378">
        <f t="shared" si="0"/>
        <v>149254</v>
      </c>
      <c r="K35" s="448">
        <f t="shared" si="1"/>
        <v>238806.39999999999</v>
      </c>
      <c r="L35" s="20"/>
      <c r="M35" s="437"/>
      <c r="N35" s="436">
        <f t="shared" si="2"/>
        <v>298508</v>
      </c>
      <c r="P35" s="376"/>
    </row>
    <row r="36" spans="2:20" ht="15" customHeight="1">
      <c r="B36" s="397" t="s">
        <v>15</v>
      </c>
      <c r="C36" s="21">
        <f>COUNTIF('Members Data'!C2:C61,"Death Knight")</f>
        <v>2</v>
      </c>
      <c r="D36" s="22"/>
      <c r="E36" s="12">
        <f t="array" ref="E36">SUM(('Members Data'!C2:C61="Death Knight")*('Members Data'!D2:D61="Tank"))</f>
        <v>0</v>
      </c>
      <c r="F36" s="23">
        <f>C36-E36</f>
        <v>2</v>
      </c>
      <c r="G36" s="165"/>
      <c r="H36" s="385" t="s">
        <v>88</v>
      </c>
      <c r="I36" s="448">
        <v>296845.5</v>
      </c>
      <c r="J36" s="378">
        <f t="shared" si="0"/>
        <v>148422.75</v>
      </c>
      <c r="K36" s="448">
        <f t="shared" si="1"/>
        <v>237476.4</v>
      </c>
      <c r="M36" s="437"/>
      <c r="N36" s="436">
        <f t="shared" si="2"/>
        <v>296845.5</v>
      </c>
      <c r="P36" s="376"/>
    </row>
    <row r="37" spans="2:20" ht="15" customHeight="1">
      <c r="B37" s="398" t="s">
        <v>16</v>
      </c>
      <c r="C37" s="21">
        <f>COUNTIF('Members Data'!C3:C61,"Druid")</f>
        <v>4</v>
      </c>
      <c r="D37" s="386">
        <f t="array" ref="D37">SUM(('Members Data'!C2:C61="Druid")*('Members Data'!D2:D61="Healer"))</f>
        <v>2</v>
      </c>
      <c r="E37" s="386">
        <f t="array" ref="E37">SUM(('Members Data'!C2:C61="Druid")*('Members Data'!D2:D61="Tank"))</f>
        <v>0</v>
      </c>
      <c r="F37" s="399">
        <f>C37-D37-E37</f>
        <v>2</v>
      </c>
      <c r="G37" s="165"/>
      <c r="H37" s="385" t="s">
        <v>87</v>
      </c>
      <c r="I37" s="448">
        <v>225616.5</v>
      </c>
      <c r="J37" s="378">
        <f t="shared" si="0"/>
        <v>112808.25</v>
      </c>
      <c r="K37" s="448">
        <f t="shared" si="1"/>
        <v>180493.2</v>
      </c>
      <c r="M37" s="437"/>
      <c r="N37" s="436">
        <f t="shared" si="2"/>
        <v>225616.5</v>
      </c>
      <c r="P37" s="376"/>
    </row>
    <row r="38" spans="2:20" ht="15" customHeight="1">
      <c r="B38" s="398" t="s">
        <v>17</v>
      </c>
      <c r="C38" s="21">
        <f>COUNTIF('Members Data'!C2:C61,"Hunter")</f>
        <v>2</v>
      </c>
      <c r="D38" s="400"/>
      <c r="E38" s="400"/>
      <c r="F38" s="399">
        <f>C38</f>
        <v>2</v>
      </c>
      <c r="G38" s="165"/>
      <c r="H38" s="385" t="s">
        <v>89</v>
      </c>
      <c r="I38" s="448">
        <v>262498</v>
      </c>
      <c r="J38" s="378">
        <f t="shared" si="0"/>
        <v>131249</v>
      </c>
      <c r="K38" s="448">
        <f t="shared" si="1"/>
        <v>209998.4</v>
      </c>
      <c r="M38" s="437"/>
      <c r="N38" s="436">
        <f t="shared" si="2"/>
        <v>262498</v>
      </c>
      <c r="P38" s="376"/>
    </row>
    <row r="39" spans="2:20" ht="15" customHeight="1">
      <c r="B39" s="398" t="s">
        <v>18</v>
      </c>
      <c r="C39" s="21">
        <f>COUNTIF('Members Data'!C2:C61,"Mage")</f>
        <v>3</v>
      </c>
      <c r="D39" s="400"/>
      <c r="E39" s="400"/>
      <c r="F39" s="399">
        <f>C39</f>
        <v>3</v>
      </c>
      <c r="G39" s="165"/>
      <c r="H39" s="385" t="s">
        <v>91</v>
      </c>
      <c r="I39" s="448">
        <v>285549</v>
      </c>
      <c r="J39" s="378">
        <f t="shared" si="0"/>
        <v>142774.5</v>
      </c>
      <c r="K39" s="448">
        <f t="shared" si="1"/>
        <v>228439.19999999998</v>
      </c>
      <c r="M39" s="437"/>
      <c r="N39" s="436">
        <f t="shared" si="2"/>
        <v>285549</v>
      </c>
      <c r="P39" s="376"/>
    </row>
    <row r="40" spans="2:20" ht="15" customHeight="1">
      <c r="B40" s="398" t="s">
        <v>182</v>
      </c>
      <c r="C40" s="21">
        <f>COUNTIF('Members Data'!C2:C61,"Monk")</f>
        <v>5</v>
      </c>
      <c r="D40" s="386">
        <f t="array" ref="D40">SUM(('Members Data'!C2:C61="Monk")*('Members Data'!D2:D61="Healer"))</f>
        <v>2</v>
      </c>
      <c r="E40" s="386">
        <f t="array" ref="E40">SUM(('Members Data'!C2:C61="Monk")*('Members Data'!D2:D61="Tank"))</f>
        <v>1</v>
      </c>
      <c r="F40" s="399">
        <f>C40-D40-E40</f>
        <v>2</v>
      </c>
      <c r="G40" s="165"/>
      <c r="H40" s="385" t="s">
        <v>90</v>
      </c>
      <c r="I40" s="448">
        <v>275164.5</v>
      </c>
      <c r="J40" s="378">
        <f t="shared" si="0"/>
        <v>137582.25</v>
      </c>
      <c r="K40" s="448">
        <f t="shared" si="1"/>
        <v>220131.6</v>
      </c>
      <c r="M40" s="437"/>
      <c r="N40" s="436">
        <f t="shared" si="2"/>
        <v>275164.5</v>
      </c>
      <c r="P40" s="376"/>
    </row>
    <row r="41" spans="2:20" ht="15" customHeight="1">
      <c r="B41" s="398" t="s">
        <v>19</v>
      </c>
      <c r="C41" s="21">
        <f>COUNTIF('Members Data'!C2:C61,"Paladin")</f>
        <v>5</v>
      </c>
      <c r="D41" s="386">
        <f t="array" ref="D41">SUM(('Members Data'!C2:C61="Paladin")*('Members Data'!D2:D61="Healer"))</f>
        <v>1</v>
      </c>
      <c r="E41" s="386">
        <f t="array" ref="E41">SUM(('Members Data'!C2:C61="Paladin")*('Members Data'!D2:D61="Tank"))</f>
        <v>1</v>
      </c>
      <c r="F41" s="399">
        <f>C41-D41-E41</f>
        <v>3</v>
      </c>
      <c r="G41" s="165"/>
      <c r="H41" s="385" t="s">
        <v>92</v>
      </c>
      <c r="I41" s="448">
        <v>238489</v>
      </c>
      <c r="J41" s="378">
        <f t="shared" si="0"/>
        <v>119244.5</v>
      </c>
      <c r="K41" s="448">
        <f t="shared" si="1"/>
        <v>190791.19999999998</v>
      </c>
      <c r="M41" s="437"/>
      <c r="N41" s="436">
        <f t="shared" si="2"/>
        <v>238489</v>
      </c>
      <c r="P41" s="376"/>
    </row>
    <row r="42" spans="2:20" ht="15" customHeight="1">
      <c r="B42" s="398" t="s">
        <v>20</v>
      </c>
      <c r="C42" s="21">
        <f>COUNTIF('Members Data'!C2:C61,"Priest")</f>
        <v>5</v>
      </c>
      <c r="D42" s="386">
        <f t="array" ref="D42">SUM(('Members Data'!C2:C61="Priest")*('Members Data'!D2:D61="Healer"))</f>
        <v>3</v>
      </c>
      <c r="E42" s="400"/>
      <c r="F42" s="399">
        <f>C42-D42</f>
        <v>2</v>
      </c>
      <c r="G42" s="165"/>
      <c r="H42" s="385" t="s">
        <v>173</v>
      </c>
      <c r="I42" s="448">
        <v>275017</v>
      </c>
      <c r="J42" s="378">
        <f t="shared" si="0"/>
        <v>137508.5</v>
      </c>
      <c r="K42" s="448">
        <f t="shared" si="1"/>
        <v>220013.6</v>
      </c>
      <c r="M42" s="437"/>
      <c r="N42" s="436">
        <f t="shared" si="2"/>
        <v>275017</v>
      </c>
    </row>
    <row r="43" spans="2:20" ht="15" customHeight="1">
      <c r="B43" s="398" t="s">
        <v>21</v>
      </c>
      <c r="C43" s="21">
        <f>COUNTIF('Members Data'!C2:C61,"Rogue")</f>
        <v>1</v>
      </c>
      <c r="D43" s="400"/>
      <c r="E43" s="400"/>
      <c r="F43" s="399">
        <f>C43</f>
        <v>1</v>
      </c>
      <c r="G43" s="165"/>
      <c r="H43" s="385" t="s">
        <v>93</v>
      </c>
      <c r="I43" s="448">
        <v>274287</v>
      </c>
      <c r="J43" s="378">
        <f t="shared" si="0"/>
        <v>137143.5</v>
      </c>
      <c r="K43" s="448">
        <f t="shared" si="1"/>
        <v>219429.59999999998</v>
      </c>
      <c r="M43" s="437"/>
      <c r="N43" s="436">
        <f t="shared" si="2"/>
        <v>274287</v>
      </c>
      <c r="P43" s="376"/>
    </row>
    <row r="44" spans="2:20" ht="15" customHeight="1">
      <c r="B44" s="398" t="s">
        <v>22</v>
      </c>
      <c r="C44" s="21">
        <f>COUNTIF('Members Data'!C2:C61,"Shaman")</f>
        <v>5</v>
      </c>
      <c r="D44" s="386">
        <f t="array" ref="D44">SUM(('Members Data'!C2:C61="Shaman")*('Members Data'!D2:D61="Healer"))</f>
        <v>1</v>
      </c>
      <c r="E44" s="400"/>
      <c r="F44" s="399">
        <f>C44-D44</f>
        <v>4</v>
      </c>
      <c r="G44" s="165"/>
      <c r="H44" s="385" t="s">
        <v>94</v>
      </c>
      <c r="I44" s="448">
        <v>265735.5</v>
      </c>
      <c r="J44" s="378">
        <f t="shared" si="0"/>
        <v>132867.75</v>
      </c>
      <c r="K44" s="448">
        <f t="shared" si="1"/>
        <v>212588.4</v>
      </c>
      <c r="M44" s="437"/>
      <c r="N44" s="436">
        <f t="shared" si="2"/>
        <v>265735.5</v>
      </c>
      <c r="O44" s="376"/>
      <c r="P44"/>
    </row>
    <row r="45" spans="2:20" ht="15.75" customHeight="1">
      <c r="B45" s="398" t="s">
        <v>30</v>
      </c>
      <c r="C45" s="21">
        <f>COUNTIF('Members Data'!C2:C61,"Warlock")</f>
        <v>2</v>
      </c>
      <c r="D45" s="400"/>
      <c r="E45" s="400"/>
      <c r="F45" s="399">
        <f>C45</f>
        <v>2</v>
      </c>
      <c r="G45" s="165"/>
      <c r="H45" s="385" t="s">
        <v>95</v>
      </c>
      <c r="I45" s="448">
        <v>313617.5</v>
      </c>
      <c r="J45" s="378">
        <f t="shared" si="0"/>
        <v>156808.75</v>
      </c>
      <c r="K45" s="448">
        <f t="shared" si="1"/>
        <v>250894</v>
      </c>
      <c r="M45" s="437"/>
      <c r="N45" s="436">
        <f t="shared" si="2"/>
        <v>313617.5</v>
      </c>
      <c r="P45" s="376"/>
      <c r="T45" s="448"/>
    </row>
    <row r="46" spans="2:20" ht="15" customHeight="1" thickBot="1">
      <c r="B46" s="401" t="s">
        <v>24</v>
      </c>
      <c r="C46" s="24">
        <f>COUNTIF('Members Data'!C2:C61,"Warrior")</f>
        <v>2</v>
      </c>
      <c r="D46" s="402"/>
      <c r="E46" s="403">
        <f t="array" ref="E46">SUM(('Members Data'!C2:C61="Warrior")*('Members Data'!D2:D61="Tank"))</f>
        <v>0</v>
      </c>
      <c r="F46" s="26">
        <f>C46-E46</f>
        <v>2</v>
      </c>
      <c r="G46" s="165"/>
      <c r="H46" s="385" t="s">
        <v>96</v>
      </c>
      <c r="I46" s="448">
        <v>292305.5</v>
      </c>
      <c r="J46" s="378">
        <f t="shared" si="0"/>
        <v>146152.75</v>
      </c>
      <c r="K46" s="448">
        <f t="shared" si="1"/>
        <v>233844.4</v>
      </c>
      <c r="M46" s="437"/>
      <c r="N46" s="436">
        <f t="shared" si="2"/>
        <v>292305.5</v>
      </c>
      <c r="P46" s="376"/>
    </row>
    <row r="47" spans="2:20" ht="15" customHeight="1" thickBot="1">
      <c r="B47" s="429"/>
      <c r="C47" s="165"/>
      <c r="D47" s="165"/>
      <c r="E47" s="165"/>
      <c r="F47" s="165"/>
      <c r="G47" s="165"/>
      <c r="H47" s="385" t="s">
        <v>97</v>
      </c>
      <c r="I47" s="448">
        <v>252458.5</v>
      </c>
      <c r="J47" s="378">
        <f t="shared" si="0"/>
        <v>126229.25</v>
      </c>
      <c r="K47" s="448">
        <f t="shared" si="1"/>
        <v>201966.8</v>
      </c>
      <c r="M47" s="437"/>
      <c r="N47" s="436">
        <f t="shared" si="2"/>
        <v>252458.5</v>
      </c>
      <c r="P47" s="376"/>
    </row>
    <row r="48" spans="2:20" ht="15" customHeight="1" thickBot="1">
      <c r="B48" s="430" t="s">
        <v>78</v>
      </c>
      <c r="C48" s="27" t="s">
        <v>25</v>
      </c>
      <c r="D48" s="165"/>
      <c r="E48" s="27" t="s">
        <v>113</v>
      </c>
      <c r="F48" s="27" t="s">
        <v>80</v>
      </c>
      <c r="G48" s="165"/>
      <c r="H48" s="385" t="s">
        <v>98</v>
      </c>
      <c r="I48" s="448">
        <v>253181.5</v>
      </c>
      <c r="J48" s="378">
        <f t="shared" si="0"/>
        <v>126590.75</v>
      </c>
      <c r="K48" s="448">
        <f t="shared" si="1"/>
        <v>202545.2</v>
      </c>
      <c r="M48" s="437"/>
      <c r="N48" s="436">
        <f t="shared" si="2"/>
        <v>253181.5</v>
      </c>
      <c r="P48" s="376"/>
    </row>
    <row r="49" spans="2:16" ht="15" customHeight="1">
      <c r="B49" s="428" t="s">
        <v>3</v>
      </c>
      <c r="C49" s="29">
        <f>SUMIF('Members Data'!D2:D61,"Healer",'Members Data'!E2:E61)/COUNTIF('Members Data'!D2:D61,"Healer")</f>
        <v>2.3333333333333335</v>
      </c>
      <c r="D49" s="165"/>
      <c r="E49" s="181">
        <v>7500</v>
      </c>
      <c r="F49" s="163">
        <v>0</v>
      </c>
      <c r="G49" s="165"/>
      <c r="H49" s="385" t="s">
        <v>99</v>
      </c>
      <c r="I49" s="448">
        <v>277754.5</v>
      </c>
      <c r="J49" s="378">
        <f t="shared" si="0"/>
        <v>138877.25</v>
      </c>
      <c r="K49" s="448">
        <f t="shared" si="1"/>
        <v>222203.6</v>
      </c>
      <c r="M49" s="437"/>
      <c r="N49" s="436">
        <f t="shared" si="2"/>
        <v>277754.5</v>
      </c>
      <c r="P49" s="376"/>
    </row>
    <row r="50" spans="2:16" ht="15" customHeight="1">
      <c r="B50" s="385" t="s">
        <v>4</v>
      </c>
      <c r="C50" s="404">
        <f>(SUMIF('Members Data'!D2:D61,"MDPS",'Members Data'!E2:E61)+SUMIF('Members Data'!D2:D61,"RDPS",'Members Data'!E2:E61))/(COUNTIF('Members Data'!D2:D61,"MDPS")+COUNTIF('Members Data'!D2:D61,"RDPS"))</f>
        <v>2</v>
      </c>
      <c r="D50" s="165"/>
      <c r="E50" s="405">
        <f t="shared" ref="E50:E57" si="3">((($E$58-$E$49)/9)*F50)+$E$49</f>
        <v>7644.4444444444443</v>
      </c>
      <c r="F50" s="406">
        <v>1</v>
      </c>
      <c r="G50" s="165"/>
      <c r="H50" s="385" t="s">
        <v>101</v>
      </c>
      <c r="I50" s="448">
        <v>297868</v>
      </c>
      <c r="J50" s="378">
        <f t="shared" si="0"/>
        <v>148934</v>
      </c>
      <c r="K50" s="448">
        <f t="shared" si="1"/>
        <v>238294.39999999999</v>
      </c>
      <c r="M50" s="437"/>
      <c r="N50" s="436">
        <f t="shared" si="2"/>
        <v>297868</v>
      </c>
      <c r="P50" s="376"/>
    </row>
    <row r="51" spans="2:16" ht="15" customHeight="1" thickBot="1">
      <c r="B51" s="407" t="s">
        <v>5</v>
      </c>
      <c r="C51" s="408">
        <f>SUMIF('Members Data'!D2:D61,"Tank",'Members Data'!E2:E61)/COUNTIF('Members Data'!D2:D61,"Tank")</f>
        <v>2</v>
      </c>
      <c r="D51" s="165"/>
      <c r="E51" s="405">
        <f t="shared" si="3"/>
        <v>7788.8888888888887</v>
      </c>
      <c r="F51" s="406">
        <v>2</v>
      </c>
      <c r="G51" s="165"/>
      <c r="H51" s="385" t="s">
        <v>102</v>
      </c>
      <c r="I51" s="448">
        <v>274440.5</v>
      </c>
      <c r="J51" s="378">
        <f t="shared" si="0"/>
        <v>137220.25</v>
      </c>
      <c r="K51" s="448">
        <f t="shared" si="1"/>
        <v>219552.40000000002</v>
      </c>
      <c r="M51" s="437"/>
      <c r="N51" s="436">
        <f t="shared" si="2"/>
        <v>274440.5</v>
      </c>
      <c r="P51" s="376"/>
    </row>
    <row r="52" spans="2:16" ht="15" customHeight="1" thickBot="1">
      <c r="B52" s="425"/>
      <c r="C52" s="165"/>
      <c r="D52" s="165"/>
      <c r="E52" s="405">
        <f t="shared" si="3"/>
        <v>7933.333333333333</v>
      </c>
      <c r="F52" s="406">
        <v>3</v>
      </c>
      <c r="G52" s="165"/>
      <c r="H52" s="385" t="s">
        <v>100</v>
      </c>
      <c r="I52" s="448">
        <v>239674.5</v>
      </c>
      <c r="J52" s="378">
        <f t="shared" si="0"/>
        <v>119837.25</v>
      </c>
      <c r="K52" s="448">
        <f t="shared" si="1"/>
        <v>191739.59999999998</v>
      </c>
      <c r="M52" s="437"/>
      <c r="N52" s="436">
        <f t="shared" si="2"/>
        <v>239674.5</v>
      </c>
      <c r="P52" s="376"/>
    </row>
    <row r="53" spans="2:16" ht="15" customHeight="1">
      <c r="B53" s="428" t="s">
        <v>15</v>
      </c>
      <c r="C53" s="29">
        <f>SUMIF('Members Data'!C2:C61,"Death Knight",'Members Data'!E2:E61)/COUNTIF('Members Data'!C2:C61,"Death Knight")</f>
        <v>2.5</v>
      </c>
      <c r="D53" s="165"/>
      <c r="E53" s="405">
        <f t="shared" si="3"/>
        <v>8077.7777777777774</v>
      </c>
      <c r="F53" s="406">
        <v>4</v>
      </c>
      <c r="G53" s="165"/>
      <c r="H53" s="385" t="s">
        <v>103</v>
      </c>
      <c r="I53" s="448">
        <v>251355</v>
      </c>
      <c r="J53" s="378">
        <f t="shared" si="0"/>
        <v>125677.50000000001</v>
      </c>
      <c r="K53" s="448">
        <f t="shared" si="1"/>
        <v>201084</v>
      </c>
      <c r="M53" s="437"/>
      <c r="N53" s="436">
        <f t="shared" si="2"/>
        <v>251355</v>
      </c>
      <c r="P53" s="376"/>
    </row>
    <row r="54" spans="2:16" ht="15" customHeight="1" thickBot="1">
      <c r="B54" s="385" t="s">
        <v>16</v>
      </c>
      <c r="C54" s="404">
        <f>SUMIF('Members Data'!C2:C61,"Druid",'Members Data'!E2:E61)/COUNTIF('Members Data'!C2:C61,"Druid")</f>
        <v>1.75</v>
      </c>
      <c r="D54" s="165"/>
      <c r="E54" s="409">
        <f t="shared" si="3"/>
        <v>8222.2222222222226</v>
      </c>
      <c r="F54" s="406">
        <v>5</v>
      </c>
      <c r="G54" s="165"/>
      <c r="H54" s="385" t="s">
        <v>104</v>
      </c>
      <c r="I54" s="448">
        <v>287359</v>
      </c>
      <c r="J54" s="378">
        <f t="shared" si="0"/>
        <v>143679.5</v>
      </c>
      <c r="K54" s="449">
        <f t="shared" si="1"/>
        <v>229887.2</v>
      </c>
      <c r="M54" s="437"/>
      <c r="N54" s="436">
        <f t="shared" si="2"/>
        <v>287359</v>
      </c>
      <c r="P54" s="376"/>
    </row>
    <row r="55" spans="2:16" ht="15" customHeight="1" thickBot="1">
      <c r="B55" s="385" t="s">
        <v>17</v>
      </c>
      <c r="C55" s="404">
        <f>SUMIF('Members Data'!C2:C61,"Hunter",'Members Data'!E2:E61)/COUNTIF('Members Data'!C2:C61,"Hunter")</f>
        <v>2.5</v>
      </c>
      <c r="D55" s="165"/>
      <c r="E55" s="405">
        <f t="shared" si="3"/>
        <v>8366.6666666666661</v>
      </c>
      <c r="F55" s="406">
        <v>6</v>
      </c>
      <c r="G55" s="165"/>
      <c r="H55" s="492" t="s">
        <v>261</v>
      </c>
      <c r="I55" s="493"/>
      <c r="J55" s="493"/>
      <c r="K55" s="494"/>
      <c r="M55" s="492"/>
      <c r="N55" s="494"/>
    </row>
    <row r="56" spans="2:16" ht="15" customHeight="1">
      <c r="B56" s="385" t="s">
        <v>18</v>
      </c>
      <c r="C56" s="404">
        <f>SUMIF('Members Data'!C2:C61,"Mage",'Members Data'!E2:E61)/COUNTIF('Members Data'!C2:C61,"Mage")</f>
        <v>1.6666666666666667</v>
      </c>
      <c r="D56" s="165"/>
      <c r="E56" s="405">
        <f t="shared" si="3"/>
        <v>8511.1111111111113</v>
      </c>
      <c r="F56" s="406">
        <v>7</v>
      </c>
      <c r="G56" s="165"/>
      <c r="H56" s="450" t="s">
        <v>107</v>
      </c>
      <c r="I56" s="448">
        <v>196066.5</v>
      </c>
      <c r="J56" s="452">
        <f t="shared" si="0"/>
        <v>98033.25</v>
      </c>
      <c r="K56" s="447">
        <f t="shared" si="1"/>
        <v>156853.20000000001</v>
      </c>
      <c r="L56" s="376"/>
      <c r="M56" s="437"/>
      <c r="N56" s="453">
        <f>I56</f>
        <v>196066.5</v>
      </c>
      <c r="P56" s="376"/>
    </row>
    <row r="57" spans="2:16" ht="15" customHeight="1">
      <c r="B57" s="385" t="s">
        <v>19</v>
      </c>
      <c r="C57" s="404">
        <f>SUMIF('Members Data'!C2:C61,"Paladin",'Members Data'!E2:E61)/COUNTIF('Members Data'!C2:C61,"Paladin")</f>
        <v>2</v>
      </c>
      <c r="D57" s="165"/>
      <c r="E57" s="405">
        <f t="shared" si="3"/>
        <v>8655.5555555555547</v>
      </c>
      <c r="F57" s="406">
        <v>8</v>
      </c>
      <c r="G57" s="165"/>
      <c r="H57" s="450" t="s">
        <v>172</v>
      </c>
      <c r="I57" s="448">
        <v>163101</v>
      </c>
      <c r="J57" s="452">
        <f t="shared" si="0"/>
        <v>81550.5</v>
      </c>
      <c r="K57" s="448">
        <f t="shared" si="1"/>
        <v>130480.8</v>
      </c>
      <c r="M57" s="437"/>
      <c r="N57" s="453">
        <f t="shared" ref="N57:N61" si="4">I57</f>
        <v>163101</v>
      </c>
    </row>
    <row r="58" spans="2:16" ht="15" customHeight="1" thickBot="1">
      <c r="B58" s="385" t="s">
        <v>20</v>
      </c>
      <c r="C58" s="404">
        <f>SUMIF('Members Data'!C2:C61,"Priest",'Members Data'!E2:E61)/COUNTIF('Members Data'!C2:C61,"Priest")</f>
        <v>2.6</v>
      </c>
      <c r="D58" s="165"/>
      <c r="E58" s="410">
        <v>8800</v>
      </c>
      <c r="F58" s="411">
        <v>9</v>
      </c>
      <c r="G58" s="165"/>
      <c r="H58" s="450" t="s">
        <v>108</v>
      </c>
      <c r="I58" s="448">
        <v>167775.5</v>
      </c>
      <c r="J58" s="452">
        <f t="shared" si="0"/>
        <v>83887.75</v>
      </c>
      <c r="K58" s="448">
        <f t="shared" si="1"/>
        <v>134220.40000000002</v>
      </c>
      <c r="L58" s="376"/>
      <c r="M58" s="437"/>
      <c r="N58" s="453">
        <f t="shared" si="4"/>
        <v>167775.5</v>
      </c>
      <c r="P58" s="376"/>
    </row>
    <row r="59" spans="2:16" ht="15" customHeight="1">
      <c r="B59" s="385" t="s">
        <v>21</v>
      </c>
      <c r="C59" s="404">
        <f>SUMIF('Members Data'!C2:C61,"Rogue",'Members Data'!E2:E61)/COUNTIF('Members Data'!C2:C61,"Rogue")</f>
        <v>2</v>
      </c>
      <c r="D59" s="165"/>
      <c r="E59" s="165"/>
      <c r="F59" s="165"/>
      <c r="G59" s="165"/>
      <c r="H59" s="450" t="s">
        <v>106</v>
      </c>
      <c r="I59" s="448">
        <v>181160</v>
      </c>
      <c r="J59" s="452">
        <f t="shared" si="0"/>
        <v>90580</v>
      </c>
      <c r="K59" s="448">
        <f t="shared" si="1"/>
        <v>144928</v>
      </c>
      <c r="L59" s="376"/>
      <c r="M59" s="437"/>
      <c r="N59" s="453">
        <f t="shared" si="4"/>
        <v>181160</v>
      </c>
      <c r="P59" s="376"/>
    </row>
    <row r="60" spans="2:16" ht="15" customHeight="1">
      <c r="B60" s="385" t="s">
        <v>22</v>
      </c>
      <c r="C60" s="404">
        <f>SUMIF('Members Data'!C2:C61,"Shaman",'Members Data'!E2:E61)/COUNTIF('Members Data'!C2:C61,"Shaman")</f>
        <v>1</v>
      </c>
      <c r="D60" s="165"/>
      <c r="E60" s="165"/>
      <c r="F60" s="165"/>
      <c r="G60" s="165"/>
      <c r="H60" s="450" t="s">
        <v>105</v>
      </c>
      <c r="I60" s="448">
        <v>163283</v>
      </c>
      <c r="J60" s="452">
        <f t="shared" si="0"/>
        <v>81641.5</v>
      </c>
      <c r="K60" s="448">
        <f t="shared" si="1"/>
        <v>130626.4</v>
      </c>
      <c r="L60" s="376"/>
      <c r="M60" s="437"/>
      <c r="N60" s="453">
        <f t="shared" si="4"/>
        <v>163283</v>
      </c>
      <c r="P60" s="376"/>
    </row>
    <row r="61" spans="2:16" ht="15" customHeight="1" thickBot="1">
      <c r="B61" s="385" t="s">
        <v>23</v>
      </c>
      <c r="C61" s="404">
        <f>SUMIF('Members Data'!C2:C61,"Warlock",'Members Data'!E2:E61)/COUNTIF('Members Data'!C2:C61,"Warlock")</f>
        <v>3.5</v>
      </c>
      <c r="D61" s="165"/>
      <c r="E61" s="176"/>
      <c r="F61" s="176"/>
      <c r="G61" s="165"/>
      <c r="H61" s="450" t="s">
        <v>109</v>
      </c>
      <c r="I61" s="448">
        <v>207164.5</v>
      </c>
      <c r="J61" s="452">
        <f t="shared" si="0"/>
        <v>103582.25</v>
      </c>
      <c r="K61" s="449">
        <f t="shared" si="1"/>
        <v>165731.6</v>
      </c>
      <c r="L61" s="376"/>
      <c r="M61" s="437"/>
      <c r="N61" s="453">
        <f t="shared" si="4"/>
        <v>207164.5</v>
      </c>
      <c r="P61" s="376"/>
    </row>
    <row r="62" spans="2:16" ht="15" customHeight="1" thickBot="1">
      <c r="B62" s="407" t="s">
        <v>24</v>
      </c>
      <c r="C62" s="408">
        <f>SUMIF('Members Data'!C2:C61,"Warrior",'Members Data'!E2:E61)/COUNTIF('Members Data'!C2:C61,"Warrior")</f>
        <v>2</v>
      </c>
      <c r="D62" s="165"/>
      <c r="E62" s="177"/>
      <c r="F62" s="178"/>
      <c r="G62" s="165"/>
      <c r="H62" s="492" t="s">
        <v>265</v>
      </c>
      <c r="I62" s="493"/>
      <c r="J62" s="493"/>
      <c r="K62" s="494"/>
      <c r="M62" s="492"/>
      <c r="N62" s="494"/>
    </row>
    <row r="63" spans="2:16" ht="15" customHeight="1" thickBot="1">
      <c r="B63" s="425"/>
      <c r="C63" s="165"/>
      <c r="D63" s="165"/>
      <c r="E63" s="177"/>
      <c r="F63" s="178"/>
      <c r="G63" s="165"/>
      <c r="H63" s="450" t="s">
        <v>110</v>
      </c>
      <c r="I63" s="447">
        <v>200000</v>
      </c>
      <c r="J63" s="447">
        <f t="shared" si="0"/>
        <v>100000</v>
      </c>
      <c r="K63" s="447">
        <f t="shared" ref="K63:K67" si="5">I63/100*$F$69</f>
        <v>160000</v>
      </c>
      <c r="M63" s="437"/>
      <c r="N63" s="453">
        <f>I63</f>
        <v>200000</v>
      </c>
      <c r="P63" s="376"/>
    </row>
    <row r="64" spans="2:16" ht="15" customHeight="1" thickBot="1">
      <c r="B64" s="426" t="s">
        <v>117</v>
      </c>
      <c r="C64" s="236">
        <f>SUM('Members Data'!E2:E32)/(60-COUNTIF('Members Data'!A2:A61,""))</f>
        <v>1.8611111111111112</v>
      </c>
      <c r="D64" s="412">
        <f>(SUM(Gear!K2:K61))/(60-COUNTIF(Gear!A2:A61,0))</f>
        <v>7670.0277777777774</v>
      </c>
      <c r="E64" s="177"/>
      <c r="F64" s="178"/>
      <c r="G64" s="165"/>
      <c r="H64" s="450" t="s">
        <v>171</v>
      </c>
      <c r="I64" s="448">
        <v>200000</v>
      </c>
      <c r="J64" s="448">
        <f t="shared" si="0"/>
        <v>100000</v>
      </c>
      <c r="K64" s="448">
        <f t="shared" si="5"/>
        <v>160000</v>
      </c>
      <c r="M64" s="437"/>
      <c r="N64" s="453">
        <f t="shared" ref="N64:N67" si="6">I64</f>
        <v>200000</v>
      </c>
      <c r="P64" s="376"/>
    </row>
    <row r="65" spans="2:16" ht="15" customHeight="1" thickBot="1">
      <c r="B65" s="425"/>
      <c r="C65" s="180"/>
      <c r="D65" s="179"/>
      <c r="E65" s="179"/>
      <c r="F65" s="179"/>
      <c r="G65" s="165"/>
      <c r="H65" s="450" t="s">
        <v>170</v>
      </c>
      <c r="I65" s="448">
        <v>200000</v>
      </c>
      <c r="J65" s="448">
        <f t="shared" si="0"/>
        <v>100000</v>
      </c>
      <c r="K65" s="448">
        <f t="shared" si="5"/>
        <v>160000</v>
      </c>
      <c r="M65" s="437"/>
      <c r="N65" s="453">
        <f t="shared" si="6"/>
        <v>200000</v>
      </c>
    </row>
    <row r="66" spans="2:16" ht="15" customHeight="1" thickBot="1">
      <c r="B66" s="430" t="s">
        <v>121</v>
      </c>
      <c r="C66" s="27" t="s">
        <v>129</v>
      </c>
      <c r="D66" s="27" t="s">
        <v>130</v>
      </c>
      <c r="E66" s="27" t="s">
        <v>131</v>
      </c>
      <c r="F66" s="27" t="s">
        <v>119</v>
      </c>
      <c r="G66" s="165"/>
      <c r="H66" s="450" t="s">
        <v>111</v>
      </c>
      <c r="I66" s="448">
        <v>200000</v>
      </c>
      <c r="J66" s="448">
        <f t="shared" si="0"/>
        <v>100000</v>
      </c>
      <c r="K66" s="448">
        <f t="shared" si="5"/>
        <v>160000</v>
      </c>
      <c r="M66" s="437"/>
      <c r="N66" s="453">
        <f t="shared" si="6"/>
        <v>200000</v>
      </c>
      <c r="P66" s="376"/>
    </row>
    <row r="67" spans="2:16" ht="15" customHeight="1" thickBot="1">
      <c r="B67" s="428" t="s">
        <v>33</v>
      </c>
      <c r="C67" s="182">
        <v>0</v>
      </c>
      <c r="D67" s="182">
        <v>0</v>
      </c>
      <c r="E67" s="182">
        <v>19</v>
      </c>
      <c r="F67" s="182">
        <v>0</v>
      </c>
      <c r="G67" s="165"/>
      <c r="H67" s="451" t="s">
        <v>112</v>
      </c>
      <c r="I67" s="449">
        <v>200000</v>
      </c>
      <c r="J67" s="449">
        <f t="shared" si="0"/>
        <v>100000</v>
      </c>
      <c r="K67" s="449">
        <f t="shared" si="5"/>
        <v>160000</v>
      </c>
      <c r="M67" s="437"/>
      <c r="N67" s="453">
        <f t="shared" si="6"/>
        <v>200000</v>
      </c>
      <c r="P67" s="376"/>
    </row>
    <row r="68" spans="2:16" ht="15" customHeight="1">
      <c r="B68" s="385" t="s">
        <v>31</v>
      </c>
      <c r="C68" s="413">
        <v>6</v>
      </c>
      <c r="D68" s="413">
        <v>4</v>
      </c>
      <c r="E68" s="413">
        <v>0.5</v>
      </c>
      <c r="F68" s="413">
        <v>50</v>
      </c>
      <c r="G68" s="165"/>
      <c r="H68" s="165"/>
      <c r="I68" s="165"/>
      <c r="J68" s="379"/>
      <c r="K68" s="166"/>
      <c r="M68" s="172"/>
      <c r="N68" s="167"/>
    </row>
    <row r="69" spans="2:16" ht="15" customHeight="1" thickBot="1">
      <c r="B69" s="414" t="s">
        <v>120</v>
      </c>
      <c r="C69" s="415">
        <v>8</v>
      </c>
      <c r="D69" s="415">
        <v>5</v>
      </c>
      <c r="E69" s="415">
        <v>0</v>
      </c>
      <c r="F69" s="415">
        <v>80</v>
      </c>
      <c r="G69" s="168"/>
      <c r="H69" s="168"/>
      <c r="I69" s="168"/>
      <c r="J69" s="431"/>
      <c r="K69" s="432"/>
      <c r="M69" s="435"/>
      <c r="N69" s="169"/>
    </row>
  </sheetData>
  <sortState ref="H61:I64">
    <sortCondition ref="H61"/>
  </sortState>
  <mergeCells count="5">
    <mergeCell ref="H31:K31"/>
    <mergeCell ref="H62:K62"/>
    <mergeCell ref="H55:K55"/>
    <mergeCell ref="M55:N55"/>
    <mergeCell ref="M62:N62"/>
  </mergeCells>
  <pageMargins left="0.7" right="0.7" top="0.75" bottom="0.75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R108"/>
  <sheetViews>
    <sheetView workbookViewId="0">
      <pane xSplit="1" ySplit="9" topLeftCell="B10" activePane="bottomRight" state="frozen"/>
      <selection activeCell="F51" sqref="F47:F51"/>
      <selection pane="topRight" activeCell="F51" sqref="F47:F51"/>
      <selection pane="bottomLeft" activeCell="F51" sqref="F47:F51"/>
      <selection pane="bottomRight" activeCell="B10" sqref="B10"/>
    </sheetView>
  </sheetViews>
  <sheetFormatPr defaultColWidth="8.7109375" defaultRowHeight="15" customHeight="1"/>
  <cols>
    <col min="1" max="1" width="14" style="1" customWidth="1"/>
    <col min="2" max="8" width="11.140625" style="1" customWidth="1"/>
    <col min="9" max="15" width="10.28515625" style="1" customWidth="1"/>
    <col min="16" max="16384" width="8.7109375" style="1"/>
  </cols>
  <sheetData>
    <row r="1" spans="1:18" ht="33" customHeight="1" thickBot="1">
      <c r="A1" s="54" t="s">
        <v>26</v>
      </c>
      <c r="B1" s="55" t="s">
        <v>190</v>
      </c>
      <c r="C1" s="55" t="s">
        <v>191</v>
      </c>
      <c r="D1" s="55" t="s">
        <v>192</v>
      </c>
      <c r="E1" s="55" t="s">
        <v>193</v>
      </c>
      <c r="F1" s="55" t="s">
        <v>194</v>
      </c>
      <c r="G1" s="55" t="s">
        <v>197</v>
      </c>
      <c r="H1" s="55" t="s">
        <v>40</v>
      </c>
      <c r="I1" s="504" t="s">
        <v>41</v>
      </c>
      <c r="J1" s="498" t="s">
        <v>42</v>
      </c>
      <c r="K1" s="498" t="s">
        <v>43</v>
      </c>
      <c r="L1" s="498" t="s">
        <v>44</v>
      </c>
      <c r="M1" s="498" t="s">
        <v>45</v>
      </c>
      <c r="N1" s="498" t="s">
        <v>46</v>
      </c>
      <c r="O1" s="501" t="s">
        <v>47</v>
      </c>
    </row>
    <row r="2" spans="1:18" ht="15.75" customHeight="1" thickBot="1">
      <c r="A2" s="54" t="s">
        <v>48</v>
      </c>
      <c r="B2" s="220">
        <f>'wk1'!H2+2</f>
        <v>41521</v>
      </c>
      <c r="C2" s="211">
        <f>B2</f>
        <v>41521</v>
      </c>
      <c r="D2" s="211">
        <f t="shared" ref="D2:H2" si="0">C2+1</f>
        <v>41522</v>
      </c>
      <c r="E2" s="211">
        <f>D2</f>
        <v>41522</v>
      </c>
      <c r="F2" s="211">
        <f>E2+3</f>
        <v>41525</v>
      </c>
      <c r="G2" s="211">
        <f>F2</f>
        <v>41525</v>
      </c>
      <c r="H2" s="212">
        <f t="shared" si="0"/>
        <v>41526</v>
      </c>
      <c r="I2" s="505"/>
      <c r="J2" s="499"/>
      <c r="K2" s="499"/>
      <c r="L2" s="499"/>
      <c r="M2" s="499"/>
      <c r="N2" s="499"/>
      <c r="O2" s="502"/>
    </row>
    <row r="3" spans="1:18" ht="15.75" customHeight="1" thickBot="1">
      <c r="A3" s="54" t="s">
        <v>49</v>
      </c>
      <c r="B3" s="60"/>
      <c r="C3" s="61"/>
      <c r="D3" s="61"/>
      <c r="E3" s="61"/>
      <c r="F3" s="61"/>
      <c r="G3" s="61"/>
      <c r="H3" s="62"/>
      <c r="I3" s="505"/>
      <c r="J3" s="499"/>
      <c r="K3" s="499"/>
      <c r="L3" s="499"/>
      <c r="M3" s="499"/>
      <c r="N3" s="499"/>
      <c r="O3" s="502"/>
    </row>
    <row r="4" spans="1:18" ht="15.75" customHeight="1" thickBot="1">
      <c r="A4" s="54" t="s">
        <v>50</v>
      </c>
      <c r="B4" s="213"/>
      <c r="C4" s="61"/>
      <c r="D4" s="61"/>
      <c r="E4" s="61"/>
      <c r="F4" s="61"/>
      <c r="G4" s="61"/>
      <c r="H4" s="62"/>
      <c r="I4" s="505"/>
      <c r="J4" s="499"/>
      <c r="K4" s="499"/>
      <c r="L4" s="499"/>
      <c r="M4" s="499"/>
      <c r="N4" s="499"/>
      <c r="O4" s="502"/>
    </row>
    <row r="5" spans="1:18" ht="30.75" customHeight="1" thickBot="1">
      <c r="A5" s="54" t="s">
        <v>51</v>
      </c>
      <c r="B5" s="64"/>
      <c r="C5" s="65"/>
      <c r="D5" s="65"/>
      <c r="E5" s="65"/>
      <c r="F5" s="65"/>
      <c r="G5" s="65"/>
      <c r="H5" s="66"/>
      <c r="I5" s="505"/>
      <c r="J5" s="499"/>
      <c r="K5" s="499"/>
      <c r="L5" s="499"/>
      <c r="M5" s="499"/>
      <c r="N5" s="499"/>
      <c r="O5" s="502"/>
      <c r="R5" s="71"/>
    </row>
    <row r="6" spans="1:18" ht="30.75" customHeight="1" thickBot="1">
      <c r="A6" s="54" t="s">
        <v>195</v>
      </c>
      <c r="B6" s="374"/>
      <c r="C6" s="374"/>
      <c r="D6" s="374"/>
      <c r="E6" s="374"/>
      <c r="F6" s="374"/>
      <c r="G6" s="374"/>
      <c r="H6" s="375"/>
      <c r="I6" s="505"/>
      <c r="J6" s="499"/>
      <c r="K6" s="499"/>
      <c r="L6" s="499"/>
      <c r="M6" s="499"/>
      <c r="N6" s="499"/>
      <c r="O6" s="502"/>
      <c r="R6" s="71"/>
    </row>
    <row r="7" spans="1:18">
      <c r="A7" s="54" t="s">
        <v>53</v>
      </c>
      <c r="B7" s="214">
        <f t="shared" ref="B7:H7" si="1">COUNTIF(B10:B69,"Confirmed")</f>
        <v>0</v>
      </c>
      <c r="C7" s="214">
        <f t="shared" si="1"/>
        <v>0</v>
      </c>
      <c r="D7" s="214">
        <f t="shared" si="1"/>
        <v>0</v>
      </c>
      <c r="E7" s="214">
        <f t="shared" si="1"/>
        <v>0</v>
      </c>
      <c r="F7" s="214">
        <f t="shared" si="1"/>
        <v>0</v>
      </c>
      <c r="G7" s="214">
        <f t="shared" si="1"/>
        <v>0</v>
      </c>
      <c r="H7" s="215">
        <f t="shared" si="1"/>
        <v>0</v>
      </c>
      <c r="I7" s="505"/>
      <c r="J7" s="499"/>
      <c r="K7" s="499"/>
      <c r="L7" s="499"/>
      <c r="M7" s="499"/>
      <c r="N7" s="499"/>
      <c r="O7" s="502"/>
      <c r="R7" s="71"/>
    </row>
    <row r="8" spans="1:18">
      <c r="A8" s="58" t="s">
        <v>52</v>
      </c>
      <c r="B8" s="216">
        <f t="shared" ref="B8:H8" si="2">COUNTIF(B10:B69,"Standby")</f>
        <v>0</v>
      </c>
      <c r="C8" s="216">
        <f t="shared" si="2"/>
        <v>0</v>
      </c>
      <c r="D8" s="216">
        <f t="shared" si="2"/>
        <v>0</v>
      </c>
      <c r="E8" s="216">
        <f t="shared" si="2"/>
        <v>0</v>
      </c>
      <c r="F8" s="216">
        <f t="shared" si="2"/>
        <v>0</v>
      </c>
      <c r="G8" s="216">
        <f t="shared" si="2"/>
        <v>0</v>
      </c>
      <c r="H8" s="217">
        <f t="shared" si="2"/>
        <v>0</v>
      </c>
      <c r="I8" s="505"/>
      <c r="J8" s="499"/>
      <c r="K8" s="499"/>
      <c r="L8" s="499"/>
      <c r="M8" s="499"/>
      <c r="N8" s="499"/>
      <c r="O8" s="502"/>
      <c r="R8" s="71"/>
    </row>
    <row r="9" spans="1:18" ht="15.75" thickBot="1">
      <c r="A9" s="63" t="s">
        <v>39</v>
      </c>
      <c r="B9" s="218">
        <f t="shared" ref="B9:H9" si="3">COUNTIF(B10:B69,"Out")</f>
        <v>0</v>
      </c>
      <c r="C9" s="218">
        <f t="shared" si="3"/>
        <v>0</v>
      </c>
      <c r="D9" s="218">
        <f t="shared" si="3"/>
        <v>0</v>
      </c>
      <c r="E9" s="218">
        <f t="shared" si="3"/>
        <v>0</v>
      </c>
      <c r="F9" s="218">
        <f t="shared" si="3"/>
        <v>0</v>
      </c>
      <c r="G9" s="218">
        <f t="shared" si="3"/>
        <v>0</v>
      </c>
      <c r="H9" s="219">
        <f t="shared" si="3"/>
        <v>0</v>
      </c>
      <c r="I9" s="506"/>
      <c r="J9" s="500"/>
      <c r="K9" s="500"/>
      <c r="L9" s="500"/>
      <c r="M9" s="500"/>
      <c r="N9" s="500"/>
      <c r="O9" s="503"/>
      <c r="R9" s="71"/>
    </row>
    <row r="10" spans="1:18" ht="15" customHeight="1">
      <c r="A10" s="5" t="str">
        <f>'Members Data'!A2</f>
        <v>Adanya</v>
      </c>
      <c r="B10" s="196"/>
      <c r="C10" s="200"/>
      <c r="D10" s="197"/>
      <c r="E10" s="197"/>
      <c r="F10" s="197"/>
      <c r="G10" s="200"/>
      <c r="H10" s="198"/>
      <c r="I10" s="67">
        <f t="array" ref="I10">SUM(($B10:$H10="confirmed")*($B$4:$H$4=25))</f>
        <v>0</v>
      </c>
      <c r="J10" s="68">
        <f t="array" ref="J10">SUM(($B10:$H10="standby")*($B$4:$H$4=25))</f>
        <v>0</v>
      </c>
      <c r="K10" s="68">
        <f t="array" ref="K10">SUM(($B10:$H10="confirmed")*($B$4:$H$4=10))</f>
        <v>0</v>
      </c>
      <c r="L10" s="68">
        <f t="array" ref="L10">SUM(($B10:$H10="standby")*($B$4:$H$4=10))</f>
        <v>0</v>
      </c>
      <c r="M10" s="68">
        <f t="shared" ref="M10:M41" si="4">COUNTIF(B10:H10,"confirmed")</f>
        <v>0</v>
      </c>
      <c r="N10" s="68">
        <f t="shared" ref="N10:N41" si="5">COUNTIF(B10:H10,"standby")</f>
        <v>0</v>
      </c>
      <c r="O10" s="69">
        <f t="shared" ref="O10:O41" si="6">COUNTIF(B10:H10,"out")</f>
        <v>0</v>
      </c>
      <c r="R10" s="71"/>
    </row>
    <row r="11" spans="1:18" ht="15" customHeight="1">
      <c r="A11" s="9" t="str">
        <f>'Members Data'!A3</f>
        <v>Ambú</v>
      </c>
      <c r="B11" s="199"/>
      <c r="C11" s="200"/>
      <c r="D11" s="200"/>
      <c r="E11" s="200"/>
      <c r="F11" s="200"/>
      <c r="G11" s="200"/>
      <c r="H11" s="201"/>
      <c r="I11" s="70">
        <f t="array" ref="I11">SUM(($B11:$H11="confirmed")*($B$4:$H$4=25))</f>
        <v>0</v>
      </c>
      <c r="J11" s="43">
        <f t="array" ref="J11">SUM(($B11:$H11="standby")*($B$4:$H$4=25))</f>
        <v>0</v>
      </c>
      <c r="K11" s="43">
        <f t="array" ref="K11">SUM(($B11:$H11="confirmed")*($B$4:$H$4=10))</f>
        <v>0</v>
      </c>
      <c r="L11" s="43">
        <f t="array" ref="L11">SUM(($B11:$H11="standby")*($B$4:$H$4=10))</f>
        <v>0</v>
      </c>
      <c r="M11" s="15">
        <f t="shared" si="4"/>
        <v>0</v>
      </c>
      <c r="N11" s="15">
        <f t="shared" si="5"/>
        <v>0</v>
      </c>
      <c r="O11" s="16">
        <f t="shared" si="6"/>
        <v>0</v>
      </c>
      <c r="R11"/>
    </row>
    <row r="12" spans="1:18" ht="15" customHeight="1">
      <c r="A12" s="9" t="str">
        <f>'Members Data'!A4</f>
        <v>Ashenhand</v>
      </c>
      <c r="B12" s="199"/>
      <c r="C12" s="200"/>
      <c r="D12" s="200"/>
      <c r="E12" s="200"/>
      <c r="F12" s="200"/>
      <c r="G12" s="200"/>
      <c r="H12" s="201"/>
      <c r="I12" s="70">
        <f t="array" ref="I12">SUM(($B12:$H12="confirmed")*($B$4:$H$4=25))</f>
        <v>0</v>
      </c>
      <c r="J12" s="43">
        <f t="array" ref="J12">SUM(($B12:$H12="standby")*($B$4:$H$4=25))</f>
        <v>0</v>
      </c>
      <c r="K12" s="43">
        <f t="array" ref="K12">SUM(($B12:$H12="confirmed")*($B$4:$H$4=10))</f>
        <v>0</v>
      </c>
      <c r="L12" s="43">
        <f t="array" ref="L12">SUM(($B12:$H12="standby")*($B$4:$H$4=10))</f>
        <v>0</v>
      </c>
      <c r="M12" s="15">
        <f t="shared" si="4"/>
        <v>0</v>
      </c>
      <c r="N12" s="15">
        <f t="shared" si="5"/>
        <v>0</v>
      </c>
      <c r="O12" s="16">
        <f t="shared" si="6"/>
        <v>0</v>
      </c>
      <c r="R12"/>
    </row>
    <row r="13" spans="1:18" ht="15" customHeight="1">
      <c r="A13" s="9" t="str">
        <f>'Members Data'!A5</f>
        <v>Âspect</v>
      </c>
      <c r="B13" s="199"/>
      <c r="C13" s="202"/>
      <c r="D13" s="200"/>
      <c r="E13" s="200"/>
      <c r="F13" s="200"/>
      <c r="G13" s="200"/>
      <c r="H13" s="487"/>
      <c r="I13" s="70">
        <f t="array" ref="I13">SUM(($B13:$H13="confirmed")*($B$4:$H$4=25))</f>
        <v>0</v>
      </c>
      <c r="J13" s="43">
        <f t="array" ref="J13">SUM(($B13:$H13="standby")*($B$4:$H$4=25))</f>
        <v>0</v>
      </c>
      <c r="K13" s="43">
        <f t="array" ref="K13">SUM(($B13:$H13="confirmed")*($B$4:$H$4=10))</f>
        <v>0</v>
      </c>
      <c r="L13" s="43">
        <f t="array" ref="L13">SUM(($B13:$H13="standby")*($B$4:$H$4=10))</f>
        <v>0</v>
      </c>
      <c r="M13" s="15">
        <f t="shared" si="4"/>
        <v>0</v>
      </c>
      <c r="N13" s="15">
        <f t="shared" si="5"/>
        <v>0</v>
      </c>
      <c r="O13" s="16">
        <f t="shared" si="6"/>
        <v>0</v>
      </c>
      <c r="R13"/>
    </row>
    <row r="14" spans="1:18" ht="15" customHeight="1">
      <c r="A14" s="9" t="str">
        <f>'Members Data'!A6</f>
        <v>Assap</v>
      </c>
      <c r="B14" s="199"/>
      <c r="C14" s="200"/>
      <c r="D14" s="200"/>
      <c r="E14" s="200"/>
      <c r="F14" s="200"/>
      <c r="G14" s="200"/>
      <c r="H14" s="201"/>
      <c r="I14" s="70">
        <f t="array" ref="I14">SUM(($B14:$H14="confirmed")*($B$4:$H$4=25))</f>
        <v>0</v>
      </c>
      <c r="J14" s="43">
        <f t="array" ref="J14">SUM(($B14:$H14="standby")*($B$4:$H$4=25))</f>
        <v>0</v>
      </c>
      <c r="K14" s="43">
        <f t="array" ref="K14">SUM(($B14:$H14="confirmed")*($B$4:$H$4=10))</f>
        <v>0</v>
      </c>
      <c r="L14" s="43">
        <f t="array" ref="L14">SUM(($B14:$H14="standby")*($B$4:$H$4=10))</f>
        <v>0</v>
      </c>
      <c r="M14" s="15">
        <f t="shared" si="4"/>
        <v>0</v>
      </c>
      <c r="N14" s="15">
        <f t="shared" si="5"/>
        <v>0</v>
      </c>
      <c r="O14" s="16">
        <f t="shared" si="6"/>
        <v>0</v>
      </c>
      <c r="R14"/>
    </row>
    <row r="15" spans="1:18" ht="15" customHeight="1">
      <c r="A15" s="9" t="str">
        <f>'Members Data'!A7</f>
        <v>Bonegasmic</v>
      </c>
      <c r="B15" s="199"/>
      <c r="C15" s="200"/>
      <c r="D15" s="200"/>
      <c r="E15" s="200"/>
      <c r="F15" s="200"/>
      <c r="G15" s="200"/>
      <c r="H15" s="201"/>
      <c r="I15" s="70">
        <f t="array" ref="I15">SUM(($B15:$H15="confirmed")*($B$4:$H$4=25))</f>
        <v>0</v>
      </c>
      <c r="J15" s="43">
        <f t="array" ref="J15">SUM(($B15:$H15="standby")*($B$4:$H$4=25))</f>
        <v>0</v>
      </c>
      <c r="K15" s="43">
        <f t="array" ref="K15">SUM(($B15:$H15="confirmed")*($B$4:$H$4=10))</f>
        <v>0</v>
      </c>
      <c r="L15" s="43">
        <f t="array" ref="L15">SUM(($B15:$H15="standby")*($B$4:$H$4=10))</f>
        <v>0</v>
      </c>
      <c r="M15" s="15">
        <f t="shared" si="4"/>
        <v>0</v>
      </c>
      <c r="N15" s="15">
        <f t="shared" si="5"/>
        <v>0</v>
      </c>
      <c r="O15" s="16">
        <f t="shared" si="6"/>
        <v>0</v>
      </c>
      <c r="R15"/>
    </row>
    <row r="16" spans="1:18" ht="15" customHeight="1">
      <c r="A16" s="9" t="str">
        <f>'Members Data'!A8</f>
        <v>Brákspak</v>
      </c>
      <c r="B16" s="199"/>
      <c r="C16" s="200"/>
      <c r="D16" s="200"/>
      <c r="E16" s="200"/>
      <c r="F16" s="200"/>
      <c r="G16" s="200"/>
      <c r="H16" s="201"/>
      <c r="I16" s="70">
        <f t="array" ref="I16">SUM(($B16:$H16="confirmed")*($B$4:$H$4=25))</f>
        <v>0</v>
      </c>
      <c r="J16" s="43">
        <f t="array" ref="J16">SUM(($B16:$H16="standby")*($B$4:$H$4=25))</f>
        <v>0</v>
      </c>
      <c r="K16" s="43">
        <f t="array" ref="K16">SUM(($B16:$H16="confirmed")*($B$4:$H$4=10))</f>
        <v>0</v>
      </c>
      <c r="L16" s="43">
        <f t="array" ref="L16">SUM(($B16:$H16="standby")*($B$4:$H$4=10))</f>
        <v>0</v>
      </c>
      <c r="M16" s="15">
        <f t="shared" si="4"/>
        <v>0</v>
      </c>
      <c r="N16" s="15">
        <f t="shared" si="5"/>
        <v>0</v>
      </c>
      <c r="O16" s="16">
        <f t="shared" si="6"/>
        <v>0</v>
      </c>
      <c r="R16"/>
    </row>
    <row r="17" spans="1:18" ht="15" customHeight="1">
      <c r="A17" s="9" t="str">
        <f>'Members Data'!A9</f>
        <v>Catena</v>
      </c>
      <c r="B17" s="199"/>
      <c r="C17" s="200"/>
      <c r="D17" s="200"/>
      <c r="E17" s="200"/>
      <c r="F17" s="200"/>
      <c r="G17" s="200"/>
      <c r="H17" s="201"/>
      <c r="I17" s="70">
        <f t="array" ref="I17">SUM(($B17:$H17="confirmed")*($B$4:$H$4=25))</f>
        <v>0</v>
      </c>
      <c r="J17" s="43">
        <f t="array" ref="J17">SUM(($B17:$H17="standby")*($B$4:$H$4=25))</f>
        <v>0</v>
      </c>
      <c r="K17" s="43">
        <f t="array" ref="K17">SUM(($B17:$H17="confirmed")*($B$4:$H$4=10))</f>
        <v>0</v>
      </c>
      <c r="L17" s="43">
        <f t="array" ref="L17">SUM(($B17:$H17="standby")*($B$4:$H$4=10))</f>
        <v>0</v>
      </c>
      <c r="M17" s="15">
        <f t="shared" si="4"/>
        <v>0</v>
      </c>
      <c r="N17" s="15">
        <f t="shared" si="5"/>
        <v>0</v>
      </c>
      <c r="O17" s="16">
        <f t="shared" si="6"/>
        <v>0</v>
      </c>
      <c r="R17"/>
    </row>
    <row r="18" spans="1:18" ht="15" customHeight="1">
      <c r="A18" s="9" t="str">
        <f>'Members Data'!A10</f>
        <v>Céléstine</v>
      </c>
      <c r="B18" s="199"/>
      <c r="C18" s="200"/>
      <c r="D18" s="200"/>
      <c r="E18" s="200"/>
      <c r="F18" s="200"/>
      <c r="G18" s="200"/>
      <c r="H18" s="201"/>
      <c r="I18" s="70">
        <f t="array" ref="I18">SUM(($B18:$H18="confirmed")*($B$4:$H$4=25))</f>
        <v>0</v>
      </c>
      <c r="J18" s="43">
        <f t="array" ref="J18">SUM(($B18:$H18="standby")*($B$4:$H$4=25))</f>
        <v>0</v>
      </c>
      <c r="K18" s="43">
        <f t="array" ref="K18">SUM(($B18:$H18="confirmed")*($B$4:$H$4=10))</f>
        <v>0</v>
      </c>
      <c r="L18" s="43">
        <f t="array" ref="L18">SUM(($B18:$H18="standby")*($B$4:$H$4=10))</f>
        <v>0</v>
      </c>
      <c r="M18" s="15">
        <f t="shared" si="4"/>
        <v>0</v>
      </c>
      <c r="N18" s="15">
        <f t="shared" si="5"/>
        <v>0</v>
      </c>
      <c r="O18" s="16">
        <f t="shared" si="6"/>
        <v>0</v>
      </c>
      <c r="R18"/>
    </row>
    <row r="19" spans="1:18" ht="15" customHeight="1">
      <c r="A19" s="9" t="str">
        <f>'Members Data'!A11</f>
        <v>Cottman</v>
      </c>
      <c r="B19" s="199"/>
      <c r="C19" s="200"/>
      <c r="D19" s="200"/>
      <c r="E19" s="200"/>
      <c r="F19" s="200"/>
      <c r="G19" s="200"/>
      <c r="H19" s="201"/>
      <c r="I19" s="70">
        <f t="array" ref="I19">SUM(($B19:$H19="confirmed")*($B$4:$H$4=25))</f>
        <v>0</v>
      </c>
      <c r="J19" s="43">
        <f t="array" ref="J19">SUM(($B19:$H19="standby")*($B$4:$H$4=25))</f>
        <v>0</v>
      </c>
      <c r="K19" s="43">
        <f t="array" ref="K19">SUM(($B19:$H19="confirmed")*($B$4:$H$4=10))</f>
        <v>0</v>
      </c>
      <c r="L19" s="43">
        <f t="array" ref="L19">SUM(($B19:$H19="standby")*($B$4:$H$4=10))</f>
        <v>0</v>
      </c>
      <c r="M19" s="15">
        <f t="shared" si="4"/>
        <v>0</v>
      </c>
      <c r="N19" s="15">
        <f t="shared" si="5"/>
        <v>0</v>
      </c>
      <c r="O19" s="16">
        <f t="shared" si="6"/>
        <v>0</v>
      </c>
      <c r="R19"/>
    </row>
    <row r="20" spans="1:18" ht="15" customHeight="1">
      <c r="A20" s="9" t="str">
        <f>'Members Data'!A12</f>
        <v>Craving</v>
      </c>
      <c r="B20" s="199"/>
      <c r="C20" s="200"/>
      <c r="D20" s="200"/>
      <c r="E20" s="200"/>
      <c r="F20" s="200"/>
      <c r="G20" s="200"/>
      <c r="H20" s="201"/>
      <c r="I20" s="70">
        <f t="array" ref="I20">SUM(($B20:$H20="confirmed")*($B$4:$H$4=25))</f>
        <v>0</v>
      </c>
      <c r="J20" s="43">
        <f t="array" ref="J20">SUM(($B20:$H20="standby")*($B$4:$H$4=25))</f>
        <v>0</v>
      </c>
      <c r="K20" s="43">
        <f t="array" ref="K20">SUM(($B20:$H20="confirmed")*($B$4:$H$4=10))</f>
        <v>0</v>
      </c>
      <c r="L20" s="43">
        <f t="array" ref="L20">SUM(($B20:$H20="standby")*($B$4:$H$4=10))</f>
        <v>0</v>
      </c>
      <c r="M20" s="15">
        <f t="shared" si="4"/>
        <v>0</v>
      </c>
      <c r="N20" s="15">
        <f t="shared" si="5"/>
        <v>0</v>
      </c>
      <c r="O20" s="16">
        <f t="shared" si="6"/>
        <v>0</v>
      </c>
      <c r="R20"/>
    </row>
    <row r="21" spans="1:18" ht="15" customHeight="1">
      <c r="A21" s="9" t="str">
        <f>'Members Data'!A13</f>
        <v>Darshei</v>
      </c>
      <c r="B21" s="199"/>
      <c r="C21" s="200"/>
      <c r="D21" s="200"/>
      <c r="E21" s="200"/>
      <c r="F21" s="200"/>
      <c r="G21" s="200"/>
      <c r="H21" s="201"/>
      <c r="I21" s="70">
        <f t="array" ref="I21">SUM(($B21:$H21="confirmed")*($B$4:$H$4=25))</f>
        <v>0</v>
      </c>
      <c r="J21" s="43">
        <f t="array" ref="J21">SUM(($B21:$H21="standby")*($B$4:$H$4=25))</f>
        <v>0</v>
      </c>
      <c r="K21" s="43">
        <f t="array" ref="K21">SUM(($B21:$H21="confirmed")*($B$4:$H$4=10))</f>
        <v>0</v>
      </c>
      <c r="L21" s="43">
        <f t="array" ref="L21">SUM(($B21:$H21="standby")*($B$4:$H$4=10))</f>
        <v>0</v>
      </c>
      <c r="M21" s="15">
        <f t="shared" si="4"/>
        <v>0</v>
      </c>
      <c r="N21" s="15">
        <f t="shared" si="5"/>
        <v>0</v>
      </c>
      <c r="O21" s="16">
        <f t="shared" si="6"/>
        <v>0</v>
      </c>
    </row>
    <row r="22" spans="1:18" ht="15" customHeight="1">
      <c r="A22" s="9" t="str">
        <f>'Members Data'!A14</f>
        <v>Difson</v>
      </c>
      <c r="B22" s="199"/>
      <c r="C22" s="200"/>
      <c r="D22" s="200"/>
      <c r="E22" s="200"/>
      <c r="F22" s="200"/>
      <c r="G22" s="200"/>
      <c r="H22" s="201"/>
      <c r="I22" s="70">
        <f t="array" ref="I22">SUM(($B22:$H22="confirmed")*($B$4:$H$4=25))</f>
        <v>0</v>
      </c>
      <c r="J22" s="43">
        <f t="array" ref="J22">SUM(($B22:$H22="standby")*($B$4:$H$4=25))</f>
        <v>0</v>
      </c>
      <c r="K22" s="43">
        <f t="array" ref="K22">SUM(($B22:$H22="confirmed")*($B$4:$H$4=10))</f>
        <v>0</v>
      </c>
      <c r="L22" s="43">
        <f t="array" ref="L22">SUM(($B22:$H22="standby")*($B$4:$H$4=10))</f>
        <v>0</v>
      </c>
      <c r="M22" s="15">
        <f t="shared" si="4"/>
        <v>0</v>
      </c>
      <c r="N22" s="15">
        <f t="shared" si="5"/>
        <v>0</v>
      </c>
      <c r="O22" s="16">
        <f t="shared" si="6"/>
        <v>0</v>
      </c>
    </row>
    <row r="23" spans="1:18" ht="15" customHeight="1">
      <c r="A23" s="9" t="str">
        <f>'Members Data'!A15</f>
        <v>Grandhoof</v>
      </c>
      <c r="B23" s="199"/>
      <c r="C23" s="200"/>
      <c r="D23" s="200"/>
      <c r="E23" s="200"/>
      <c r="F23" s="200"/>
      <c r="G23" s="200"/>
      <c r="H23" s="201"/>
      <c r="I23" s="70">
        <f t="array" ref="I23">SUM(($B23:$H23="confirmed")*($B$4:$H$4=25))</f>
        <v>0</v>
      </c>
      <c r="J23" s="43">
        <f t="array" ref="J23">SUM(($B23:$H23="standby")*($B$4:$H$4=25))</f>
        <v>0</v>
      </c>
      <c r="K23" s="43">
        <f t="array" ref="K23">SUM(($B23:$H23="confirmed")*($B$4:$H$4=10))</f>
        <v>0</v>
      </c>
      <c r="L23" s="43">
        <f t="array" ref="L23">SUM(($B23:$H23="standby")*($B$4:$H$4=10))</f>
        <v>0</v>
      </c>
      <c r="M23" s="15">
        <f t="shared" si="4"/>
        <v>0</v>
      </c>
      <c r="N23" s="15">
        <f t="shared" si="5"/>
        <v>0</v>
      </c>
      <c r="O23" s="16">
        <f t="shared" si="6"/>
        <v>0</v>
      </c>
    </row>
    <row r="24" spans="1:18" ht="15" customHeight="1">
      <c r="A24" s="9" t="str">
        <f>'Members Data'!A16</f>
        <v>Harkar</v>
      </c>
      <c r="B24" s="199"/>
      <c r="C24" s="200"/>
      <c r="D24" s="200"/>
      <c r="E24" s="200"/>
      <c r="F24" s="200"/>
      <c r="G24" s="200"/>
      <c r="H24" s="201"/>
      <c r="I24" s="70">
        <f t="array" ref="I24">SUM(($B24:$H24="confirmed")*($B$4:$H$4=25))</f>
        <v>0</v>
      </c>
      <c r="J24" s="43">
        <f t="array" ref="J24">SUM(($B24:$H24="standby")*($B$4:$H$4=25))</f>
        <v>0</v>
      </c>
      <c r="K24" s="43">
        <f t="array" ref="K24">SUM(($B24:$H24="confirmed")*($B$4:$H$4=10))</f>
        <v>0</v>
      </c>
      <c r="L24" s="43">
        <f t="array" ref="L24">SUM(($B24:$H24="standby")*($B$4:$H$4=10))</f>
        <v>0</v>
      </c>
      <c r="M24" s="15">
        <f t="shared" si="4"/>
        <v>0</v>
      </c>
      <c r="N24" s="15">
        <f t="shared" si="5"/>
        <v>0</v>
      </c>
      <c r="O24" s="16">
        <f t="shared" si="6"/>
        <v>0</v>
      </c>
    </row>
    <row r="25" spans="1:18" ht="15" customHeight="1">
      <c r="A25" s="9" t="str">
        <f>'Members Data'!A17</f>
        <v>Hyperïon</v>
      </c>
      <c r="B25" s="199"/>
      <c r="C25" s="200"/>
      <c r="D25" s="200"/>
      <c r="E25" s="200"/>
      <c r="F25" s="200"/>
      <c r="G25" s="200"/>
      <c r="H25" s="201"/>
      <c r="I25" s="70">
        <f t="array" ref="I25">SUM(($B25:$H25="confirmed")*($B$4:$H$4=25))</f>
        <v>0</v>
      </c>
      <c r="J25" s="43">
        <f t="array" ref="J25">SUM(($B25:$H25="standby")*($B$4:$H$4=25))</f>
        <v>0</v>
      </c>
      <c r="K25" s="43">
        <f t="array" ref="K25">SUM(($B25:$H25="confirmed")*($B$4:$H$4=10))</f>
        <v>0</v>
      </c>
      <c r="L25" s="43">
        <f t="array" ref="L25">SUM(($B25:$H25="standby")*($B$4:$H$4=10))</f>
        <v>0</v>
      </c>
      <c r="M25" s="15">
        <f t="shared" si="4"/>
        <v>0</v>
      </c>
      <c r="N25" s="15">
        <f t="shared" si="5"/>
        <v>0</v>
      </c>
      <c r="O25" s="16">
        <f t="shared" si="6"/>
        <v>0</v>
      </c>
    </row>
    <row r="26" spans="1:18" ht="15" customHeight="1">
      <c r="A26" s="9" t="str">
        <f>'Members Data'!A18</f>
        <v>Illianá</v>
      </c>
      <c r="B26" s="199"/>
      <c r="C26" s="200"/>
      <c r="D26" s="200"/>
      <c r="E26" s="200"/>
      <c r="F26" s="200"/>
      <c r="G26" s="200"/>
      <c r="H26" s="201"/>
      <c r="I26" s="70">
        <f t="array" ref="I26">SUM(($B26:$H26="confirmed")*($B$4:$H$4=25))</f>
        <v>0</v>
      </c>
      <c r="J26" s="43">
        <f t="array" ref="J26">SUM(($B26:$H26="standby")*($B$4:$H$4=25))</f>
        <v>0</v>
      </c>
      <c r="K26" s="43">
        <f t="array" ref="K26">SUM(($B26:$H26="confirmed")*($B$4:$H$4=10))</f>
        <v>0</v>
      </c>
      <c r="L26" s="43">
        <f t="array" ref="L26">SUM(($B26:$H26="standby")*($B$4:$H$4=10))</f>
        <v>0</v>
      </c>
      <c r="M26" s="15">
        <f t="shared" si="4"/>
        <v>0</v>
      </c>
      <c r="N26" s="15">
        <f t="shared" si="5"/>
        <v>0</v>
      </c>
      <c r="O26" s="16">
        <f t="shared" si="6"/>
        <v>0</v>
      </c>
    </row>
    <row r="27" spans="1:18" ht="15" customHeight="1">
      <c r="A27" s="9" t="str">
        <f>'Members Data'!A19</f>
        <v>Izzabelle</v>
      </c>
      <c r="B27" s="199"/>
      <c r="C27" s="200"/>
      <c r="D27" s="200"/>
      <c r="E27" s="200"/>
      <c r="F27" s="200"/>
      <c r="G27" s="200"/>
      <c r="H27" s="201"/>
      <c r="I27" s="70">
        <f t="array" ref="I27">SUM(($B27:$H27="confirmed")*($B$4:$H$4=25))</f>
        <v>0</v>
      </c>
      <c r="J27" s="43">
        <f t="array" ref="J27">SUM(($B27:$H27="standby")*($B$4:$H$4=25))</f>
        <v>0</v>
      </c>
      <c r="K27" s="43">
        <f t="array" ref="K27">SUM(($B27:$H27="confirmed")*($B$4:$H$4=10))</f>
        <v>0</v>
      </c>
      <c r="L27" s="43">
        <f t="array" ref="L27">SUM(($B27:$H27="standby")*($B$4:$H$4=10))</f>
        <v>0</v>
      </c>
      <c r="M27" s="15">
        <f t="shared" si="4"/>
        <v>0</v>
      </c>
      <c r="N27" s="15">
        <f t="shared" si="5"/>
        <v>0</v>
      </c>
      <c r="O27" s="16">
        <f t="shared" si="6"/>
        <v>0</v>
      </c>
    </row>
    <row r="28" spans="1:18" ht="15" customHeight="1">
      <c r="A28" s="9" t="str">
        <f>'Members Data'!A20</f>
        <v>Kátsumi</v>
      </c>
      <c r="B28" s="199"/>
      <c r="C28" s="200"/>
      <c r="D28" s="200"/>
      <c r="E28" s="200"/>
      <c r="F28" s="200"/>
      <c r="G28" s="200"/>
      <c r="H28" s="201"/>
      <c r="I28" s="70">
        <f t="array" ref="I28">SUM(($B28:$H28="confirmed")*($B$4:$H$4=25))</f>
        <v>0</v>
      </c>
      <c r="J28" s="43">
        <f t="array" ref="J28">SUM(($B28:$H28="standby")*($B$4:$H$4=25))</f>
        <v>0</v>
      </c>
      <c r="K28" s="43">
        <f t="array" ref="K28">SUM(($B28:$H28="confirmed")*($B$4:$H$4=10))</f>
        <v>0</v>
      </c>
      <c r="L28" s="43">
        <f t="array" ref="L28">SUM(($B28:$H28="standby")*($B$4:$H$4=10))</f>
        <v>0</v>
      </c>
      <c r="M28" s="15">
        <f t="shared" si="4"/>
        <v>0</v>
      </c>
      <c r="N28" s="15">
        <f t="shared" si="5"/>
        <v>0</v>
      </c>
      <c r="O28" s="16">
        <f t="shared" si="6"/>
        <v>0</v>
      </c>
    </row>
    <row r="29" spans="1:18" ht="15" customHeight="1">
      <c r="A29" s="9" t="str">
        <f>'Members Data'!A21</f>
        <v>Lychi</v>
      </c>
      <c r="B29" s="199"/>
      <c r="C29" s="200"/>
      <c r="D29" s="200"/>
      <c r="E29" s="200"/>
      <c r="F29" s="200"/>
      <c r="G29" s="200"/>
      <c r="H29" s="201"/>
      <c r="I29" s="70">
        <f t="array" ref="I29">SUM(($B29:$H29="confirmed")*($B$4:$H$4=25))</f>
        <v>0</v>
      </c>
      <c r="J29" s="43">
        <f t="array" ref="J29">SUM(($B29:$H29="standby")*($B$4:$H$4=25))</f>
        <v>0</v>
      </c>
      <c r="K29" s="43">
        <f t="array" ref="K29">SUM(($B29:$H29="confirmed")*($B$4:$H$4=10))</f>
        <v>0</v>
      </c>
      <c r="L29" s="43">
        <f t="array" ref="L29">SUM(($B29:$H29="standby")*($B$4:$H$4=10))</f>
        <v>0</v>
      </c>
      <c r="M29" s="15">
        <f t="shared" si="4"/>
        <v>0</v>
      </c>
      <c r="N29" s="15">
        <f t="shared" si="5"/>
        <v>0</v>
      </c>
      <c r="O29" s="16">
        <f t="shared" si="6"/>
        <v>0</v>
      </c>
      <c r="Q29"/>
    </row>
    <row r="30" spans="1:18" ht="15" customHeight="1">
      <c r="A30" s="9" t="str">
        <f>'Members Data'!A22</f>
        <v>Méych</v>
      </c>
      <c r="B30" s="199"/>
      <c r="C30" s="200"/>
      <c r="D30" s="200"/>
      <c r="E30" s="200"/>
      <c r="F30" s="200"/>
      <c r="G30" s="200"/>
      <c r="H30" s="201"/>
      <c r="I30" s="70">
        <f t="array" ref="I30">SUM(($B30:$H30="confirmed")*($B$4:$H$4=25))</f>
        <v>0</v>
      </c>
      <c r="J30" s="43">
        <f t="array" ref="J30">SUM(($B30:$H30="standby")*($B$4:$H$4=25))</f>
        <v>0</v>
      </c>
      <c r="K30" s="43">
        <f t="array" ref="K30">SUM(($B30:$H30="confirmed")*($B$4:$H$4=10))</f>
        <v>0</v>
      </c>
      <c r="L30" s="43">
        <f t="array" ref="L30">SUM(($B30:$H30="standby")*($B$4:$H$4=10))</f>
        <v>0</v>
      </c>
      <c r="M30" s="15">
        <f t="shared" si="4"/>
        <v>0</v>
      </c>
      <c r="N30" s="15">
        <f t="shared" si="5"/>
        <v>0</v>
      </c>
      <c r="O30" s="16">
        <f t="shared" si="6"/>
        <v>0</v>
      </c>
      <c r="Q30"/>
    </row>
    <row r="31" spans="1:18" ht="15" customHeight="1">
      <c r="A31" s="9" t="str">
        <f>'Members Data'!A23</f>
        <v>Muckyfloor</v>
      </c>
      <c r="B31" s="199"/>
      <c r="C31" s="200"/>
      <c r="D31" s="200"/>
      <c r="E31" s="200"/>
      <c r="F31" s="200"/>
      <c r="G31" s="200"/>
      <c r="H31" s="201"/>
      <c r="I31" s="70">
        <f t="array" ref="I31">SUM(($B31:$H31="confirmed")*($B$4:$H$4=25))</f>
        <v>0</v>
      </c>
      <c r="J31" s="43">
        <f t="array" ref="J31">SUM(($B31:$H31="standby")*($B$4:$H$4=25))</f>
        <v>0</v>
      </c>
      <c r="K31" s="43">
        <f t="array" ref="K31">SUM(($B31:$H31="confirmed")*($B$4:$H$4=10))</f>
        <v>0</v>
      </c>
      <c r="L31" s="43">
        <f t="array" ref="L31">SUM(($B31:$H31="standby")*($B$4:$H$4=10))</f>
        <v>0</v>
      </c>
      <c r="M31" s="15">
        <f t="shared" si="4"/>
        <v>0</v>
      </c>
      <c r="N31" s="15">
        <f t="shared" si="5"/>
        <v>0</v>
      </c>
      <c r="O31" s="16">
        <f t="shared" si="6"/>
        <v>0</v>
      </c>
      <c r="Q31"/>
    </row>
    <row r="32" spans="1:18" ht="15" customHeight="1">
      <c r="A32" s="9" t="str">
        <f>'Members Data'!A24</f>
        <v>Müfti</v>
      </c>
      <c r="B32" s="199"/>
      <c r="C32" s="200"/>
      <c r="D32" s="200"/>
      <c r="E32" s="200"/>
      <c r="F32" s="200"/>
      <c r="G32" s="200"/>
      <c r="H32" s="201"/>
      <c r="I32" s="70">
        <f t="array" ref="I32">SUM(($B32:$H32="confirmed")*($B$4:$H$4=25))</f>
        <v>0</v>
      </c>
      <c r="J32" s="43">
        <f t="array" ref="J32">SUM(($B32:$H32="standby")*($B$4:$H$4=25))</f>
        <v>0</v>
      </c>
      <c r="K32" s="43">
        <f t="array" ref="K32">SUM(($B32:$H32="confirmed")*($B$4:$H$4=10))</f>
        <v>0</v>
      </c>
      <c r="L32" s="43">
        <f t="array" ref="L32">SUM(($B32:$H32="standby")*($B$4:$H$4=10))</f>
        <v>0</v>
      </c>
      <c r="M32" s="15">
        <f t="shared" si="4"/>
        <v>0</v>
      </c>
      <c r="N32" s="15">
        <f t="shared" si="5"/>
        <v>0</v>
      </c>
      <c r="O32" s="16">
        <f t="shared" si="6"/>
        <v>0</v>
      </c>
      <c r="Q32"/>
    </row>
    <row r="33" spans="1:17" ht="15" customHeight="1">
      <c r="A33" s="9" t="str">
        <f>'Members Data'!A25</f>
        <v>Palorde</v>
      </c>
      <c r="B33" s="199"/>
      <c r="C33" s="202"/>
      <c r="D33" s="200"/>
      <c r="E33" s="200"/>
      <c r="F33" s="200"/>
      <c r="G33" s="200"/>
      <c r="H33" s="201"/>
      <c r="I33" s="70">
        <f t="array" ref="I33">SUM(($B33:$H33="confirmed")*($B$4:$H$4=25))</f>
        <v>0</v>
      </c>
      <c r="J33" s="43">
        <f t="array" ref="J33">SUM(($B33:$H33="standby")*($B$4:$H$4=25))</f>
        <v>0</v>
      </c>
      <c r="K33" s="43">
        <f t="array" ref="K33">SUM(($B33:$H33="confirmed")*($B$4:$H$4=10))</f>
        <v>0</v>
      </c>
      <c r="L33" s="43">
        <f t="array" ref="L33">SUM(($B33:$H33="standby")*($B$4:$H$4=10))</f>
        <v>0</v>
      </c>
      <c r="M33" s="15">
        <f t="shared" si="4"/>
        <v>0</v>
      </c>
      <c r="N33" s="15">
        <f t="shared" si="5"/>
        <v>0</v>
      </c>
      <c r="O33" s="16">
        <f t="shared" si="6"/>
        <v>0</v>
      </c>
      <c r="Q33"/>
    </row>
    <row r="34" spans="1:17" ht="15" customHeight="1">
      <c r="A34" s="9" t="str">
        <f>'Members Data'!A26</f>
        <v>Páula</v>
      </c>
      <c r="B34" s="199"/>
      <c r="C34" s="200"/>
      <c r="D34" s="200"/>
      <c r="E34" s="200"/>
      <c r="F34" s="200"/>
      <c r="G34" s="200"/>
      <c r="H34" s="201"/>
      <c r="I34" s="70">
        <f t="array" ref="I34">SUM(($B34:$H34="confirmed")*($B$4:$H$4=25))</f>
        <v>0</v>
      </c>
      <c r="J34" s="43">
        <f t="array" ref="J34">SUM(($B34:$H34="standby")*($B$4:$H$4=25))</f>
        <v>0</v>
      </c>
      <c r="K34" s="43">
        <f t="array" ref="K34">SUM(($B34:$H34="confirmed")*($B$4:$H$4=10))</f>
        <v>0</v>
      </c>
      <c r="L34" s="43">
        <f t="array" ref="L34">SUM(($B34:$H34="standby")*($B$4:$H$4=10))</f>
        <v>0</v>
      </c>
      <c r="M34" s="15">
        <f t="shared" si="4"/>
        <v>0</v>
      </c>
      <c r="N34" s="15">
        <f t="shared" si="5"/>
        <v>0</v>
      </c>
      <c r="O34" s="16">
        <f t="shared" si="6"/>
        <v>0</v>
      </c>
      <c r="Q34"/>
    </row>
    <row r="35" spans="1:17" ht="15" customHeight="1">
      <c r="A35" s="9" t="str">
        <f>'Members Data'!A27</f>
        <v>Quemzar</v>
      </c>
      <c r="B35" s="199"/>
      <c r="C35" s="200"/>
      <c r="D35" s="200"/>
      <c r="E35" s="200"/>
      <c r="F35" s="200"/>
      <c r="G35" s="200"/>
      <c r="H35" s="201"/>
      <c r="I35" s="70">
        <f t="array" ref="I35">SUM(($B35:$H35="confirmed")*($B$4:$H$4=25))</f>
        <v>0</v>
      </c>
      <c r="J35" s="43">
        <f t="array" ref="J35">SUM(($B35:$H35="standby")*($B$4:$H$4=25))</f>
        <v>0</v>
      </c>
      <c r="K35" s="43">
        <f t="array" ref="K35">SUM(($B35:$H35="confirmed")*($B$4:$H$4=10))</f>
        <v>0</v>
      </c>
      <c r="L35" s="43">
        <f t="array" ref="L35">SUM(($B35:$H35="standby")*($B$4:$H$4=10))</f>
        <v>0</v>
      </c>
      <c r="M35" s="15">
        <f t="shared" si="4"/>
        <v>0</v>
      </c>
      <c r="N35" s="15">
        <f t="shared" si="5"/>
        <v>0</v>
      </c>
      <c r="O35" s="16">
        <f t="shared" si="6"/>
        <v>0</v>
      </c>
      <c r="Q35"/>
    </row>
    <row r="36" spans="1:17" ht="15" customHeight="1">
      <c r="A36" s="9" t="str">
        <f>'Members Data'!A28</f>
        <v>Rahwin</v>
      </c>
      <c r="B36" s="199"/>
      <c r="C36" s="200"/>
      <c r="D36" s="200"/>
      <c r="E36" s="200"/>
      <c r="F36" s="200"/>
      <c r="G36" s="200"/>
      <c r="H36" s="201"/>
      <c r="I36" s="70">
        <f t="array" ref="I36">SUM(($B36:$H36="confirmed")*($B$4:$H$4=25))</f>
        <v>0</v>
      </c>
      <c r="J36" s="43">
        <f t="array" ref="J36">SUM(($B36:$H36="standby")*($B$4:$H$4=25))</f>
        <v>0</v>
      </c>
      <c r="K36" s="43">
        <f t="array" ref="K36">SUM(($B36:$H36="confirmed")*($B$4:$H$4=10))</f>
        <v>0</v>
      </c>
      <c r="L36" s="43">
        <f t="array" ref="L36">SUM(($B36:$H36="standby")*($B$4:$H$4=10))</f>
        <v>0</v>
      </c>
      <c r="M36" s="15">
        <f t="shared" si="4"/>
        <v>0</v>
      </c>
      <c r="N36" s="15">
        <f t="shared" si="5"/>
        <v>0</v>
      </c>
      <c r="O36" s="16">
        <f t="shared" si="6"/>
        <v>0</v>
      </c>
      <c r="Q36"/>
    </row>
    <row r="37" spans="1:17" ht="15" customHeight="1">
      <c r="A37" s="9" t="str">
        <f>'Members Data'!A29</f>
        <v>Raiyn</v>
      </c>
      <c r="B37" s="199"/>
      <c r="C37" s="200"/>
      <c r="D37" s="200"/>
      <c r="E37" s="200"/>
      <c r="F37" s="200"/>
      <c r="G37" s="200"/>
      <c r="H37" s="201"/>
      <c r="I37" s="70">
        <f t="array" ref="I37">SUM(($B37:$H37="confirmed")*($B$4:$H$4=25))</f>
        <v>0</v>
      </c>
      <c r="J37" s="43">
        <f t="array" ref="J37">SUM(($B37:$H37="standby")*($B$4:$H$4=25))</f>
        <v>0</v>
      </c>
      <c r="K37" s="43">
        <f t="array" ref="K37">SUM(($B37:$H37="confirmed")*($B$4:$H$4=10))</f>
        <v>0</v>
      </c>
      <c r="L37" s="43">
        <f t="array" ref="L37">SUM(($B37:$H37="standby")*($B$4:$H$4=10))</f>
        <v>0</v>
      </c>
      <c r="M37" s="15">
        <f t="shared" si="4"/>
        <v>0</v>
      </c>
      <c r="N37" s="15">
        <f t="shared" si="5"/>
        <v>0</v>
      </c>
      <c r="O37" s="16">
        <f t="shared" si="6"/>
        <v>0</v>
      </c>
      <c r="Q37"/>
    </row>
    <row r="38" spans="1:17" ht="15" customHeight="1">
      <c r="A38" s="9" t="str">
        <f>'Members Data'!A30</f>
        <v>Rokthrol</v>
      </c>
      <c r="B38" s="199"/>
      <c r="C38" s="200"/>
      <c r="D38" s="200"/>
      <c r="E38" s="200"/>
      <c r="F38" s="200"/>
      <c r="G38" s="200"/>
      <c r="H38" s="201"/>
      <c r="I38" s="70">
        <f t="array" ref="I38">SUM(($B38:$H38="confirmed")*($B$4:$H$4=25))</f>
        <v>0</v>
      </c>
      <c r="J38" s="43">
        <f t="array" ref="J38">SUM(($B38:$H38="standby")*($B$4:$H$4=25))</f>
        <v>0</v>
      </c>
      <c r="K38" s="43">
        <f t="array" ref="K38">SUM(($B38:$H38="confirmed")*($B$4:$H$4=10))</f>
        <v>0</v>
      </c>
      <c r="L38" s="43">
        <f t="array" ref="L38">SUM(($B38:$H38="standby")*($B$4:$H$4=10))</f>
        <v>0</v>
      </c>
      <c r="M38" s="15">
        <f t="shared" si="4"/>
        <v>0</v>
      </c>
      <c r="N38" s="15">
        <f t="shared" si="5"/>
        <v>0</v>
      </c>
      <c r="O38" s="16">
        <f t="shared" si="6"/>
        <v>0</v>
      </c>
      <c r="Q38"/>
    </row>
    <row r="39" spans="1:17" ht="15" customHeight="1">
      <c r="A39" s="9" t="str">
        <f>'Members Data'!A31</f>
        <v>Sáik</v>
      </c>
      <c r="B39" s="199"/>
      <c r="C39" s="200"/>
      <c r="D39" s="200"/>
      <c r="E39" s="200"/>
      <c r="F39" s="200"/>
      <c r="G39" s="200"/>
      <c r="H39" s="201"/>
      <c r="I39" s="70">
        <f t="array" ref="I39">SUM(($B39:$H39="confirmed")*($B$4:$H$4=25))</f>
        <v>0</v>
      </c>
      <c r="J39" s="43">
        <f t="array" ref="J39">SUM(($B39:$H39="standby")*($B$4:$H$4=25))</f>
        <v>0</v>
      </c>
      <c r="K39" s="43">
        <f t="array" ref="K39">SUM(($B39:$H39="confirmed")*($B$4:$H$4=10))</f>
        <v>0</v>
      </c>
      <c r="L39" s="43">
        <f t="array" ref="L39">SUM(($B39:$H39="standby")*($B$4:$H$4=10))</f>
        <v>0</v>
      </c>
      <c r="M39" s="15">
        <f t="shared" si="4"/>
        <v>0</v>
      </c>
      <c r="N39" s="15">
        <f t="shared" si="5"/>
        <v>0</v>
      </c>
      <c r="O39" s="16">
        <f t="shared" si="6"/>
        <v>0</v>
      </c>
      <c r="Q39"/>
    </row>
    <row r="40" spans="1:17" ht="15" customHeight="1">
      <c r="A40" s="9" t="str">
        <f>'Members Data'!A32</f>
        <v>Seraphÿm</v>
      </c>
      <c r="B40" s="199"/>
      <c r="C40" s="200"/>
      <c r="D40" s="200"/>
      <c r="E40" s="200"/>
      <c r="F40" s="200"/>
      <c r="G40" s="200"/>
      <c r="H40" s="201"/>
      <c r="I40" s="70">
        <f t="array" ref="I40">SUM(($B40:$H40="confirmed")*($B$4:$H$4=25))</f>
        <v>0</v>
      </c>
      <c r="J40" s="43">
        <f t="array" ref="J40">SUM(($B40:$H40="standby")*($B$4:$H$4=25))</f>
        <v>0</v>
      </c>
      <c r="K40" s="43">
        <f t="array" ref="K40">SUM(($B40:$H40="confirmed")*($B$4:$H$4=10))</f>
        <v>0</v>
      </c>
      <c r="L40" s="43">
        <f t="array" ref="L40">SUM(($B40:$H40="standby")*($B$4:$H$4=10))</f>
        <v>0</v>
      </c>
      <c r="M40" s="15">
        <f t="shared" si="4"/>
        <v>0</v>
      </c>
      <c r="N40" s="15">
        <f t="shared" si="5"/>
        <v>0</v>
      </c>
      <c r="O40" s="16">
        <f t="shared" si="6"/>
        <v>0</v>
      </c>
    </row>
    <row r="41" spans="1:17" ht="15" customHeight="1">
      <c r="A41" s="9" t="str">
        <f>'Members Data'!A33</f>
        <v>Shinkai</v>
      </c>
      <c r="B41" s="199"/>
      <c r="C41" s="200"/>
      <c r="D41" s="200"/>
      <c r="E41" s="200"/>
      <c r="F41" s="200"/>
      <c r="G41" s="200"/>
      <c r="H41" s="201"/>
      <c r="I41" s="70">
        <f t="array" ref="I41">SUM(($B41:$H41="confirmed")*($B$4:$H$4=25))</f>
        <v>0</v>
      </c>
      <c r="J41" s="43">
        <f t="array" ref="J41">SUM(($B41:$H41="standby")*($B$4:$H$4=25))</f>
        <v>0</v>
      </c>
      <c r="K41" s="43">
        <f t="array" ref="K41">SUM(($B41:$H41="confirmed")*($B$4:$H$4=10))</f>
        <v>0</v>
      </c>
      <c r="L41" s="43">
        <f t="array" ref="L41">SUM(($B41:$H41="standby")*($B$4:$H$4=10))</f>
        <v>0</v>
      </c>
      <c r="M41" s="15">
        <f t="shared" si="4"/>
        <v>0</v>
      </c>
      <c r="N41" s="15">
        <f t="shared" si="5"/>
        <v>0</v>
      </c>
      <c r="O41" s="16">
        <f t="shared" si="6"/>
        <v>0</v>
      </c>
    </row>
    <row r="42" spans="1:17" ht="15" customHeight="1">
      <c r="A42" s="9" t="str">
        <f>'Members Data'!A34</f>
        <v>Yaodeng</v>
      </c>
      <c r="B42" s="199"/>
      <c r="C42" s="200"/>
      <c r="D42" s="200"/>
      <c r="E42" s="200"/>
      <c r="F42" s="200"/>
      <c r="G42" s="200"/>
      <c r="H42" s="201"/>
      <c r="I42" s="70">
        <f t="array" ref="I42">SUM(($B42:$H42="confirmed")*($B$4:$H$4=25))</f>
        <v>0</v>
      </c>
      <c r="J42" s="43">
        <f t="array" ref="J42">SUM(($B42:$H42="standby")*($B$4:$H$4=25))</f>
        <v>0</v>
      </c>
      <c r="K42" s="43">
        <f t="array" ref="K42">SUM(($B42:$H42="confirmed")*($B$4:$H$4=10))</f>
        <v>0</v>
      </c>
      <c r="L42" s="43">
        <f t="array" ref="L42">SUM(($B42:$H42="standby")*($B$4:$H$4=10))</f>
        <v>0</v>
      </c>
      <c r="M42" s="15">
        <f t="shared" ref="M42:M68" si="7">COUNTIF(B42:H42,"confirmed")</f>
        <v>0</v>
      </c>
      <c r="N42" s="15">
        <f t="shared" ref="N42:N68" si="8">COUNTIF(B42:H42,"standby")</f>
        <v>0</v>
      </c>
      <c r="O42" s="16">
        <f t="shared" ref="O42:O68" si="9">COUNTIF(B42:H42,"out")</f>
        <v>0</v>
      </c>
    </row>
    <row r="43" spans="1:17" ht="15" customHeight="1">
      <c r="A43" s="9" t="str">
        <f>'Members Data'!A35</f>
        <v>Zerobabe</v>
      </c>
      <c r="B43" s="199"/>
      <c r="C43" s="200"/>
      <c r="D43" s="200"/>
      <c r="E43" s="200"/>
      <c r="F43" s="200"/>
      <c r="G43" s="200"/>
      <c r="H43" s="201"/>
      <c r="I43" s="70">
        <f t="array" ref="I43">SUM(($B43:$H43="confirmed")*($B$4:$H$4=25))</f>
        <v>0</v>
      </c>
      <c r="J43" s="43">
        <f t="array" ref="J43">SUM(($B43:$H43="standby")*($B$4:$H$4=25))</f>
        <v>0</v>
      </c>
      <c r="K43" s="43">
        <f t="array" ref="K43">SUM(($B43:$H43="confirmed")*($B$4:$H$4=10))</f>
        <v>0</v>
      </c>
      <c r="L43" s="43">
        <f t="array" ref="L43">SUM(($B43:$H43="standby")*($B$4:$H$4=10))</f>
        <v>0</v>
      </c>
      <c r="M43" s="15">
        <f t="shared" si="7"/>
        <v>0</v>
      </c>
      <c r="N43" s="15">
        <f t="shared" si="8"/>
        <v>0</v>
      </c>
      <c r="O43" s="16">
        <f t="shared" si="9"/>
        <v>0</v>
      </c>
    </row>
    <row r="44" spans="1:17" ht="15" customHeight="1">
      <c r="A44" s="9" t="str">
        <f>'Members Data'!A36</f>
        <v>Zorrg</v>
      </c>
      <c r="B44" s="199"/>
      <c r="C44" s="200"/>
      <c r="D44" s="200"/>
      <c r="E44" s="200"/>
      <c r="F44" s="200"/>
      <c r="G44" s="200"/>
      <c r="H44" s="201"/>
      <c r="I44" s="70">
        <f t="array" ref="I44">SUM(($B44:$H44="confirmed")*($B$4:$H$4=25))</f>
        <v>0</v>
      </c>
      <c r="J44" s="43">
        <f t="array" ref="J44">SUM(($B44:$H44="standby")*($B$4:$H$4=25))</f>
        <v>0</v>
      </c>
      <c r="K44" s="43">
        <f t="array" ref="K44">SUM(($B44:$H44="confirmed")*($B$4:$H$4=10))</f>
        <v>0</v>
      </c>
      <c r="L44" s="43">
        <f t="array" ref="L44">SUM(($B44:$H44="standby")*($B$4:$H$4=10))</f>
        <v>0</v>
      </c>
      <c r="M44" s="15">
        <f t="shared" si="7"/>
        <v>0</v>
      </c>
      <c r="N44" s="15">
        <f t="shared" si="8"/>
        <v>0</v>
      </c>
      <c r="O44" s="16">
        <f t="shared" si="9"/>
        <v>0</v>
      </c>
    </row>
    <row r="45" spans="1:17" ht="15" customHeight="1">
      <c r="A45" s="9" t="str">
        <f>'Members Data'!A37</f>
        <v>Volson</v>
      </c>
      <c r="B45" s="199"/>
      <c r="C45" s="200"/>
      <c r="D45" s="200"/>
      <c r="E45" s="200"/>
      <c r="F45" s="200"/>
      <c r="G45" s="200"/>
      <c r="H45" s="201"/>
      <c r="I45" s="70">
        <f t="array" ref="I45">SUM(($B45:$H45="confirmed")*($B$4:$H$4=25))</f>
        <v>0</v>
      </c>
      <c r="J45" s="43">
        <f t="array" ref="J45">SUM(($B45:$H45="standby")*($B$4:$H$4=25))</f>
        <v>0</v>
      </c>
      <c r="K45" s="43">
        <f t="array" ref="K45">SUM(($B45:$H45="confirmed")*($B$4:$H$4=10))</f>
        <v>0</v>
      </c>
      <c r="L45" s="43">
        <f t="array" ref="L45">SUM(($B45:$H45="standby")*($B$4:$H$4=10))</f>
        <v>0</v>
      </c>
      <c r="M45" s="15">
        <f t="shared" si="7"/>
        <v>0</v>
      </c>
      <c r="N45" s="15">
        <f t="shared" si="8"/>
        <v>0</v>
      </c>
      <c r="O45" s="16">
        <f t="shared" si="9"/>
        <v>0</v>
      </c>
    </row>
    <row r="46" spans="1:17" ht="15" customHeight="1">
      <c r="A46" s="9">
        <f>'Members Data'!A38</f>
        <v>0</v>
      </c>
      <c r="B46" s="199"/>
      <c r="C46" s="200"/>
      <c r="D46" s="200"/>
      <c r="E46" s="200"/>
      <c r="F46" s="200"/>
      <c r="G46" s="200"/>
      <c r="H46" s="201"/>
      <c r="I46" s="70">
        <f t="array" ref="I46">SUM(($B46:$H46="confirmed")*($B$4:$H$4=25))</f>
        <v>0</v>
      </c>
      <c r="J46" s="43">
        <f t="array" ref="J46">SUM(($B46:$H46="standby")*($B$4:$H$4=25))</f>
        <v>0</v>
      </c>
      <c r="K46" s="43">
        <f t="array" ref="K46">SUM(($B46:$H46="confirmed")*($B$4:$H$4=10))</f>
        <v>0</v>
      </c>
      <c r="L46" s="43">
        <f t="array" ref="L46">SUM(($B46:$H46="standby")*($B$4:$H$4=10))</f>
        <v>0</v>
      </c>
      <c r="M46" s="15">
        <f t="shared" si="7"/>
        <v>0</v>
      </c>
      <c r="N46" s="15">
        <f t="shared" si="8"/>
        <v>0</v>
      </c>
      <c r="O46" s="16">
        <f t="shared" si="9"/>
        <v>0</v>
      </c>
    </row>
    <row r="47" spans="1:17" ht="15" customHeight="1">
      <c r="A47" s="9">
        <f>'Members Data'!A39</f>
        <v>0</v>
      </c>
      <c r="B47" s="199"/>
      <c r="C47" s="200"/>
      <c r="D47" s="200"/>
      <c r="E47" s="200"/>
      <c r="F47" s="200"/>
      <c r="G47" s="200"/>
      <c r="H47" s="201"/>
      <c r="I47" s="70">
        <f t="array" ref="I47">SUM(($B47:$H47="confirmed")*($B$4:$H$4=25))</f>
        <v>0</v>
      </c>
      <c r="J47" s="43">
        <f t="array" ref="J47">SUM(($B47:$H47="standby")*($B$4:$H$4=25))</f>
        <v>0</v>
      </c>
      <c r="K47" s="43">
        <f t="array" ref="K47">SUM(($B47:$H47="confirmed")*($B$4:$H$4=10))</f>
        <v>0</v>
      </c>
      <c r="L47" s="43">
        <f t="array" ref="L47">SUM(($B47:$H47="standby")*($B$4:$H$4=10))</f>
        <v>0</v>
      </c>
      <c r="M47" s="15">
        <f t="shared" si="7"/>
        <v>0</v>
      </c>
      <c r="N47" s="15">
        <f t="shared" si="8"/>
        <v>0</v>
      </c>
      <c r="O47" s="16">
        <f t="shared" si="9"/>
        <v>0</v>
      </c>
    </row>
    <row r="48" spans="1:17" ht="15" customHeight="1">
      <c r="A48" s="9">
        <f>'Members Data'!A40</f>
        <v>0</v>
      </c>
      <c r="B48" s="199"/>
      <c r="C48" s="200"/>
      <c r="D48" s="200"/>
      <c r="E48" s="200"/>
      <c r="F48" s="200"/>
      <c r="G48" s="200"/>
      <c r="H48" s="201"/>
      <c r="I48" s="70">
        <f t="array" ref="I48">SUM(($B48:$H48="confirmed")*($B$4:$H$4=25))</f>
        <v>0</v>
      </c>
      <c r="J48" s="43">
        <f t="array" ref="J48">SUM(($B48:$H48="standby")*($B$4:$H$4=25))</f>
        <v>0</v>
      </c>
      <c r="K48" s="43">
        <f t="array" ref="K48">SUM(($B48:$H48="confirmed")*($B$4:$H$4=10))</f>
        <v>0</v>
      </c>
      <c r="L48" s="43">
        <f t="array" ref="L48">SUM(($B48:$H48="standby")*($B$4:$H$4=10))</f>
        <v>0</v>
      </c>
      <c r="M48" s="15">
        <f t="shared" si="7"/>
        <v>0</v>
      </c>
      <c r="N48" s="15">
        <f t="shared" si="8"/>
        <v>0</v>
      </c>
      <c r="O48" s="16">
        <f t="shared" si="9"/>
        <v>0</v>
      </c>
    </row>
    <row r="49" spans="1:15" ht="15" customHeight="1">
      <c r="A49" s="9">
        <f>'Members Data'!A41</f>
        <v>0</v>
      </c>
      <c r="B49" s="199"/>
      <c r="C49" s="200"/>
      <c r="D49" s="200"/>
      <c r="E49" s="200"/>
      <c r="F49" s="200"/>
      <c r="G49" s="200"/>
      <c r="H49" s="201"/>
      <c r="I49" s="70">
        <f t="array" ref="I49">SUM(($B49:$H49="confirmed")*($B$4:$H$4=25))</f>
        <v>0</v>
      </c>
      <c r="J49" s="43">
        <f t="array" ref="J49">SUM(($B49:$H49="standby")*($B$4:$H$4=25))</f>
        <v>0</v>
      </c>
      <c r="K49" s="43">
        <f t="array" ref="K49">SUM(($B49:$H49="confirmed")*($B$4:$H$4=10))</f>
        <v>0</v>
      </c>
      <c r="L49" s="43">
        <f t="array" ref="L49">SUM(($B49:$H49="standby")*($B$4:$H$4=10))</f>
        <v>0</v>
      </c>
      <c r="M49" s="15">
        <f t="shared" si="7"/>
        <v>0</v>
      </c>
      <c r="N49" s="15">
        <f t="shared" si="8"/>
        <v>0</v>
      </c>
      <c r="O49" s="16">
        <f t="shared" si="9"/>
        <v>0</v>
      </c>
    </row>
    <row r="50" spans="1:15" ht="15" customHeight="1">
      <c r="A50" s="9">
        <f>'Members Data'!A42</f>
        <v>0</v>
      </c>
      <c r="B50" s="199"/>
      <c r="C50" s="200"/>
      <c r="D50" s="200"/>
      <c r="E50" s="200"/>
      <c r="F50" s="200"/>
      <c r="G50" s="200"/>
      <c r="H50" s="201"/>
      <c r="I50" s="70">
        <f t="array" ref="I50">SUM(($B50:$H50="confirmed")*($B$4:$H$4=25))</f>
        <v>0</v>
      </c>
      <c r="J50" s="43">
        <f t="array" ref="J50">SUM(($B50:$H50="standby")*($B$4:$H$4=25))</f>
        <v>0</v>
      </c>
      <c r="K50" s="43">
        <f t="array" ref="K50">SUM(($B50:$H50="confirmed")*($B$4:$H$4=10))</f>
        <v>0</v>
      </c>
      <c r="L50" s="43">
        <f t="array" ref="L50">SUM(($B50:$H50="standby")*($B$4:$H$4=10))</f>
        <v>0</v>
      </c>
      <c r="M50" s="15">
        <f t="shared" si="7"/>
        <v>0</v>
      </c>
      <c r="N50" s="15">
        <f t="shared" si="8"/>
        <v>0</v>
      </c>
      <c r="O50" s="16">
        <f t="shared" si="9"/>
        <v>0</v>
      </c>
    </row>
    <row r="51" spans="1:15" ht="15" customHeight="1">
      <c r="A51" s="9">
        <f>'Members Data'!A43</f>
        <v>0</v>
      </c>
      <c r="B51" s="199"/>
      <c r="C51" s="200"/>
      <c r="D51" s="200"/>
      <c r="E51" s="200"/>
      <c r="F51" s="200"/>
      <c r="G51" s="200"/>
      <c r="H51" s="201"/>
      <c r="I51" s="70">
        <f t="array" ref="I51">SUM(($B51:$H51="confirmed")*($B$4:$H$4=25))</f>
        <v>0</v>
      </c>
      <c r="J51" s="43">
        <f t="array" ref="J51">SUM(($B51:$H51="standby")*($B$4:$H$4=25))</f>
        <v>0</v>
      </c>
      <c r="K51" s="43">
        <f t="array" ref="K51">SUM(($B51:$H51="confirmed")*($B$4:$H$4=10))</f>
        <v>0</v>
      </c>
      <c r="L51" s="43">
        <f t="array" ref="L51">SUM(($B51:$H51="standby")*($B$4:$H$4=10))</f>
        <v>0</v>
      </c>
      <c r="M51" s="15">
        <f t="shared" si="7"/>
        <v>0</v>
      </c>
      <c r="N51" s="15">
        <f t="shared" si="8"/>
        <v>0</v>
      </c>
      <c r="O51" s="16">
        <f t="shared" si="9"/>
        <v>0</v>
      </c>
    </row>
    <row r="52" spans="1:15" ht="15" customHeight="1">
      <c r="A52" s="9">
        <f>'Members Data'!A44</f>
        <v>0</v>
      </c>
      <c r="B52" s="199"/>
      <c r="C52" s="200"/>
      <c r="D52" s="200"/>
      <c r="E52" s="200"/>
      <c r="F52" s="200"/>
      <c r="G52" s="200"/>
      <c r="H52" s="201"/>
      <c r="I52" s="70">
        <f t="array" ref="I52">SUM(($B52:$H52="confirmed")*($B$4:$H$4=25))</f>
        <v>0</v>
      </c>
      <c r="J52" s="43">
        <f t="array" ref="J52">SUM(($B52:$H52="standby")*($B$4:$H$4=25))</f>
        <v>0</v>
      </c>
      <c r="K52" s="43">
        <f t="array" ref="K52">SUM(($B52:$H52="confirmed")*($B$4:$H$4=10))</f>
        <v>0</v>
      </c>
      <c r="L52" s="43">
        <f t="array" ref="L52">SUM(($B52:$H52="standby")*($B$4:$H$4=10))</f>
        <v>0</v>
      </c>
      <c r="M52" s="15">
        <f t="shared" si="7"/>
        <v>0</v>
      </c>
      <c r="N52" s="15">
        <f t="shared" si="8"/>
        <v>0</v>
      </c>
      <c r="O52" s="16">
        <f t="shared" si="9"/>
        <v>0</v>
      </c>
    </row>
    <row r="53" spans="1:15" ht="15" customHeight="1">
      <c r="A53" s="9">
        <f>'Members Data'!A45</f>
        <v>0</v>
      </c>
      <c r="B53" s="199"/>
      <c r="C53" s="200"/>
      <c r="D53" s="200"/>
      <c r="E53" s="200"/>
      <c r="F53" s="200"/>
      <c r="G53" s="200"/>
      <c r="H53" s="201"/>
      <c r="I53" s="70">
        <f t="array" ref="I53">SUM(($B53:$H53="confirmed")*($B$4:$H$4=25))</f>
        <v>0</v>
      </c>
      <c r="J53" s="43">
        <f t="array" ref="J53">SUM(($B53:$H53="standby")*($B$4:$H$4=25))</f>
        <v>0</v>
      </c>
      <c r="K53" s="43">
        <f t="array" ref="K53">SUM(($B53:$H53="confirmed")*($B$4:$H$4=10))</f>
        <v>0</v>
      </c>
      <c r="L53" s="43">
        <f t="array" ref="L53">SUM(($B53:$H53="standby")*($B$4:$H$4=10))</f>
        <v>0</v>
      </c>
      <c r="M53" s="15">
        <f t="shared" si="7"/>
        <v>0</v>
      </c>
      <c r="N53" s="15">
        <f t="shared" si="8"/>
        <v>0</v>
      </c>
      <c r="O53" s="16">
        <f t="shared" si="9"/>
        <v>0</v>
      </c>
    </row>
    <row r="54" spans="1:15" ht="15" customHeight="1">
      <c r="A54" s="9">
        <f>'Members Data'!A46</f>
        <v>0</v>
      </c>
      <c r="B54" s="199"/>
      <c r="C54" s="200"/>
      <c r="D54" s="200"/>
      <c r="E54" s="200"/>
      <c r="F54" s="200"/>
      <c r="G54" s="200"/>
      <c r="H54" s="201"/>
      <c r="I54" s="70">
        <f t="array" ref="I54">SUM(($B54:$H54="confirmed")*($B$4:$H$4=25))</f>
        <v>0</v>
      </c>
      <c r="J54" s="43">
        <f t="array" ref="J54">SUM(($B54:$H54="standby")*($B$4:$H$4=25))</f>
        <v>0</v>
      </c>
      <c r="K54" s="43">
        <f t="array" ref="K54">SUM(($B54:$H54="confirmed")*($B$4:$H$4=10))</f>
        <v>0</v>
      </c>
      <c r="L54" s="43">
        <f t="array" ref="L54">SUM(($B54:$H54="standby")*($B$4:$H$4=10))</f>
        <v>0</v>
      </c>
      <c r="M54" s="15">
        <f t="shared" si="7"/>
        <v>0</v>
      </c>
      <c r="N54" s="15">
        <f t="shared" si="8"/>
        <v>0</v>
      </c>
      <c r="O54" s="16">
        <f t="shared" si="9"/>
        <v>0</v>
      </c>
    </row>
    <row r="55" spans="1:15" ht="15" customHeight="1">
      <c r="A55" s="9">
        <f>'Members Data'!A47</f>
        <v>0</v>
      </c>
      <c r="B55" s="199"/>
      <c r="C55" s="200"/>
      <c r="D55" s="200"/>
      <c r="E55" s="200"/>
      <c r="F55" s="200"/>
      <c r="G55" s="200"/>
      <c r="H55" s="201"/>
      <c r="I55" s="70">
        <f t="array" ref="I55">SUM(($B55:$H55="confirmed")*($B$4:$H$4=25))</f>
        <v>0</v>
      </c>
      <c r="J55" s="43">
        <f t="array" ref="J55">SUM(($B55:$H55="standby")*($B$4:$H$4=25))</f>
        <v>0</v>
      </c>
      <c r="K55" s="43">
        <f t="array" ref="K55">SUM(($B55:$H55="confirmed")*($B$4:$H$4=10))</f>
        <v>0</v>
      </c>
      <c r="L55" s="43">
        <f t="array" ref="L55">SUM(($B55:$H55="standby")*($B$4:$H$4=10))</f>
        <v>0</v>
      </c>
      <c r="M55" s="15">
        <f t="shared" si="7"/>
        <v>0</v>
      </c>
      <c r="N55" s="15">
        <f t="shared" si="8"/>
        <v>0</v>
      </c>
      <c r="O55" s="16">
        <f t="shared" si="9"/>
        <v>0</v>
      </c>
    </row>
    <row r="56" spans="1:15" ht="15" customHeight="1">
      <c r="A56" s="9">
        <f>'Members Data'!A48</f>
        <v>0</v>
      </c>
      <c r="B56" s="199"/>
      <c r="C56" s="200"/>
      <c r="D56" s="200"/>
      <c r="E56" s="200"/>
      <c r="F56" s="200"/>
      <c r="G56" s="200"/>
      <c r="H56" s="201"/>
      <c r="I56" s="70">
        <f t="array" ref="I56">SUM(($B56:$H56="confirmed")*($B$4:$H$4=25))</f>
        <v>0</v>
      </c>
      <c r="J56" s="43">
        <f t="array" ref="J56">SUM(($B56:$H56="standby")*($B$4:$H$4=25))</f>
        <v>0</v>
      </c>
      <c r="K56" s="43">
        <f t="array" ref="K56">SUM(($B56:$H56="confirmed")*($B$4:$H$4=10))</f>
        <v>0</v>
      </c>
      <c r="L56" s="43">
        <f t="array" ref="L56">SUM(($B56:$H56="standby")*($B$4:$H$4=10))</f>
        <v>0</v>
      </c>
      <c r="M56" s="15">
        <f t="shared" si="7"/>
        <v>0</v>
      </c>
      <c r="N56" s="15">
        <f t="shared" si="8"/>
        <v>0</v>
      </c>
      <c r="O56" s="16">
        <f t="shared" si="9"/>
        <v>0</v>
      </c>
    </row>
    <row r="57" spans="1:15" ht="15" customHeight="1">
      <c r="A57" s="9">
        <f>'Members Data'!A49</f>
        <v>0</v>
      </c>
      <c r="B57" s="199"/>
      <c r="C57" s="200"/>
      <c r="D57" s="200"/>
      <c r="E57" s="200"/>
      <c r="F57" s="200"/>
      <c r="G57" s="200"/>
      <c r="H57" s="201"/>
      <c r="I57" s="70">
        <f t="array" ref="I57">SUM(($B57:$H57="confirmed")*($B$4:$H$4=25))</f>
        <v>0</v>
      </c>
      <c r="J57" s="43">
        <f t="array" ref="J57">SUM(($B57:$H57="standby")*($B$4:$H$4=25))</f>
        <v>0</v>
      </c>
      <c r="K57" s="43">
        <f t="array" ref="K57">SUM(($B57:$H57="confirmed")*($B$4:$H$4=10))</f>
        <v>0</v>
      </c>
      <c r="L57" s="43">
        <f t="array" ref="L57">SUM(($B57:$H57="standby")*($B$4:$H$4=10))</f>
        <v>0</v>
      </c>
      <c r="M57" s="15">
        <f t="shared" si="7"/>
        <v>0</v>
      </c>
      <c r="N57" s="15">
        <f t="shared" si="8"/>
        <v>0</v>
      </c>
      <c r="O57" s="16">
        <f t="shared" si="9"/>
        <v>0</v>
      </c>
    </row>
    <row r="58" spans="1:15" ht="15" customHeight="1">
      <c r="A58" s="9">
        <f>'Members Data'!A50</f>
        <v>0</v>
      </c>
      <c r="B58" s="199"/>
      <c r="C58" s="200"/>
      <c r="D58" s="200"/>
      <c r="E58" s="200"/>
      <c r="F58" s="200"/>
      <c r="G58" s="200"/>
      <c r="H58" s="201"/>
      <c r="I58" s="70">
        <f t="array" ref="I58">SUM(($B58:$H58="confirmed")*($B$4:$H$4=25))</f>
        <v>0</v>
      </c>
      <c r="J58" s="43">
        <f t="array" ref="J58">SUM(($B58:$H58="standby")*($B$4:$H$4=25))</f>
        <v>0</v>
      </c>
      <c r="K58" s="43">
        <f t="array" ref="K58">SUM(($B58:$H58="confirmed")*($B$4:$H$4=10))</f>
        <v>0</v>
      </c>
      <c r="L58" s="43">
        <f t="array" ref="L58">SUM(($B58:$H58="standby")*($B$4:$H$4=10))</f>
        <v>0</v>
      </c>
      <c r="M58" s="15">
        <f t="shared" si="7"/>
        <v>0</v>
      </c>
      <c r="N58" s="15">
        <f t="shared" si="8"/>
        <v>0</v>
      </c>
      <c r="O58" s="16">
        <f t="shared" si="9"/>
        <v>0</v>
      </c>
    </row>
    <row r="59" spans="1:15" ht="15" customHeight="1">
      <c r="A59" s="9">
        <f>'Members Data'!A51</f>
        <v>0</v>
      </c>
      <c r="B59" s="199"/>
      <c r="C59" s="200"/>
      <c r="D59" s="200"/>
      <c r="E59" s="200"/>
      <c r="F59" s="200"/>
      <c r="G59" s="200"/>
      <c r="H59" s="201"/>
      <c r="I59" s="70">
        <f t="array" ref="I59">SUM(($B59:$H59="confirmed")*($B$4:$H$4=25))</f>
        <v>0</v>
      </c>
      <c r="J59" s="43">
        <f t="array" ref="J59">SUM(($B59:$H59="standby")*($B$4:$H$4=25))</f>
        <v>0</v>
      </c>
      <c r="K59" s="43">
        <f t="array" ref="K59">SUM(($B59:$H59="confirmed")*($B$4:$H$4=10))</f>
        <v>0</v>
      </c>
      <c r="L59" s="43">
        <f t="array" ref="L59">SUM(($B59:$H59="standby")*($B$4:$H$4=10))</f>
        <v>0</v>
      </c>
      <c r="M59" s="15">
        <f t="shared" si="7"/>
        <v>0</v>
      </c>
      <c r="N59" s="15">
        <f t="shared" si="8"/>
        <v>0</v>
      </c>
      <c r="O59" s="16">
        <f t="shared" si="9"/>
        <v>0</v>
      </c>
    </row>
    <row r="60" spans="1:15" ht="15" customHeight="1">
      <c r="A60" s="9">
        <f>'Members Data'!A52</f>
        <v>0</v>
      </c>
      <c r="B60" s="199"/>
      <c r="C60" s="200"/>
      <c r="D60" s="200"/>
      <c r="E60" s="200"/>
      <c r="F60" s="200"/>
      <c r="G60" s="200"/>
      <c r="H60" s="201"/>
      <c r="I60" s="70">
        <f t="array" ref="I60">SUM(($B60:$H60="confirmed")*($B$4:$H$4=25))</f>
        <v>0</v>
      </c>
      <c r="J60" s="43">
        <f t="array" ref="J60">SUM(($B60:$H60="standby")*($B$4:$H$4=25))</f>
        <v>0</v>
      </c>
      <c r="K60" s="43">
        <f t="array" ref="K60">SUM(($B60:$H60="confirmed")*($B$4:$H$4=10))</f>
        <v>0</v>
      </c>
      <c r="L60" s="43">
        <f t="array" ref="L60">SUM(($B60:$H60="standby")*($B$4:$H$4=10))</f>
        <v>0</v>
      </c>
      <c r="M60" s="15">
        <f t="shared" si="7"/>
        <v>0</v>
      </c>
      <c r="N60" s="15">
        <f t="shared" si="8"/>
        <v>0</v>
      </c>
      <c r="O60" s="16">
        <f t="shared" si="9"/>
        <v>0</v>
      </c>
    </row>
    <row r="61" spans="1:15" ht="15" customHeight="1">
      <c r="A61" s="9">
        <f>'Members Data'!A53</f>
        <v>0</v>
      </c>
      <c r="B61" s="199"/>
      <c r="C61" s="200"/>
      <c r="D61" s="200"/>
      <c r="E61" s="200"/>
      <c r="F61" s="200"/>
      <c r="G61" s="200"/>
      <c r="H61" s="201"/>
      <c r="I61" s="70">
        <f t="array" ref="I61">SUM(($B61:$H61="confirmed")*($B$4:$H$4=25))</f>
        <v>0</v>
      </c>
      <c r="J61" s="43">
        <f t="array" ref="J61">SUM(($B61:$H61="standby")*($B$4:$H$4=25))</f>
        <v>0</v>
      </c>
      <c r="K61" s="43">
        <f t="array" ref="K61">SUM(($B61:$H61="confirmed")*($B$4:$H$4=10))</f>
        <v>0</v>
      </c>
      <c r="L61" s="43">
        <f t="array" ref="L61">SUM(($B61:$H61="standby")*($B$4:$H$4=10))</f>
        <v>0</v>
      </c>
      <c r="M61" s="15">
        <f t="shared" si="7"/>
        <v>0</v>
      </c>
      <c r="N61" s="15">
        <f t="shared" si="8"/>
        <v>0</v>
      </c>
      <c r="O61" s="16">
        <f t="shared" si="9"/>
        <v>0</v>
      </c>
    </row>
    <row r="62" spans="1:15" ht="15" customHeight="1">
      <c r="A62" s="9">
        <f>'Members Data'!A54</f>
        <v>0</v>
      </c>
      <c r="B62" s="199"/>
      <c r="C62" s="200"/>
      <c r="D62" s="200"/>
      <c r="E62" s="200"/>
      <c r="F62" s="200"/>
      <c r="G62" s="200"/>
      <c r="H62" s="201"/>
      <c r="I62" s="70">
        <f t="array" ref="I62">SUM(($B62:$H62="confirmed")*($B$4:$H$4=25))</f>
        <v>0</v>
      </c>
      <c r="J62" s="43">
        <f t="array" ref="J62">SUM(($B62:$H62="standby")*($B$4:$H$4=25))</f>
        <v>0</v>
      </c>
      <c r="K62" s="43">
        <f t="array" ref="K62">SUM(($B62:$H62="confirmed")*($B$4:$H$4=10))</f>
        <v>0</v>
      </c>
      <c r="L62" s="43">
        <f t="array" ref="L62">SUM(($B62:$H62="standby")*($B$4:$H$4=10))</f>
        <v>0</v>
      </c>
      <c r="M62" s="15">
        <f t="shared" si="7"/>
        <v>0</v>
      </c>
      <c r="N62" s="15">
        <f t="shared" si="8"/>
        <v>0</v>
      </c>
      <c r="O62" s="16">
        <f t="shared" si="9"/>
        <v>0</v>
      </c>
    </row>
    <row r="63" spans="1:15" ht="15" customHeight="1">
      <c r="A63" s="9">
        <f>'Members Data'!A55</f>
        <v>0</v>
      </c>
      <c r="B63" s="199"/>
      <c r="C63" s="200"/>
      <c r="D63" s="200"/>
      <c r="E63" s="200"/>
      <c r="F63" s="200"/>
      <c r="G63" s="200"/>
      <c r="H63" s="201"/>
      <c r="I63" s="70">
        <f t="array" ref="I63">SUM(($B63:$H63="confirmed")*($B$4:$H$4=25))</f>
        <v>0</v>
      </c>
      <c r="J63" s="43">
        <f t="array" ref="J63">SUM(($B63:$H63="standby")*($B$4:$H$4=25))</f>
        <v>0</v>
      </c>
      <c r="K63" s="43">
        <f t="array" ref="K63">SUM(($B63:$H63="confirmed")*($B$4:$H$4=10))</f>
        <v>0</v>
      </c>
      <c r="L63" s="43">
        <f t="array" ref="L63">SUM(($B63:$H63="standby")*($B$4:$H$4=10))</f>
        <v>0</v>
      </c>
      <c r="M63" s="15">
        <f t="shared" si="7"/>
        <v>0</v>
      </c>
      <c r="N63" s="15">
        <f t="shared" si="8"/>
        <v>0</v>
      </c>
      <c r="O63" s="16">
        <f t="shared" si="9"/>
        <v>0</v>
      </c>
    </row>
    <row r="64" spans="1:15" ht="15" customHeight="1">
      <c r="A64" s="9">
        <f>'Members Data'!A56</f>
        <v>0</v>
      </c>
      <c r="B64" s="199"/>
      <c r="C64" s="200"/>
      <c r="D64" s="200"/>
      <c r="E64" s="200"/>
      <c r="F64" s="200"/>
      <c r="G64" s="200"/>
      <c r="H64" s="201"/>
      <c r="I64" s="70">
        <f t="array" ref="I64">SUM(($B64:$H64="confirmed")*($B$4:$H$4=25))</f>
        <v>0</v>
      </c>
      <c r="J64" s="43">
        <f t="array" ref="J64">SUM(($B64:$H64="standby")*($B$4:$H$4=25))</f>
        <v>0</v>
      </c>
      <c r="K64" s="43">
        <f t="array" ref="K64">SUM(($B64:$H64="confirmed")*($B$4:$H$4=10))</f>
        <v>0</v>
      </c>
      <c r="L64" s="43">
        <f t="array" ref="L64">SUM(($B64:$H64="standby")*($B$4:$H$4=10))</f>
        <v>0</v>
      </c>
      <c r="M64" s="15">
        <f t="shared" si="7"/>
        <v>0</v>
      </c>
      <c r="N64" s="15">
        <f t="shared" si="8"/>
        <v>0</v>
      </c>
      <c r="O64" s="16">
        <f t="shared" si="9"/>
        <v>0</v>
      </c>
    </row>
    <row r="65" spans="1:15" ht="15" customHeight="1">
      <c r="A65" s="9">
        <f>'Members Data'!A57</f>
        <v>0</v>
      </c>
      <c r="B65" s="203"/>
      <c r="C65" s="200"/>
      <c r="D65" s="200"/>
      <c r="E65" s="200"/>
      <c r="F65" s="200"/>
      <c r="G65" s="200"/>
      <c r="H65" s="201"/>
      <c r="I65" s="70">
        <f t="array" ref="I65">SUM(($B65:$H65="confirmed")*($B$4:$H$4=25))</f>
        <v>0</v>
      </c>
      <c r="J65" s="43">
        <f t="array" ref="J65">SUM(($B65:$H65="standby")*($B$4:$H$4=25))</f>
        <v>0</v>
      </c>
      <c r="K65" s="43">
        <f t="array" ref="K65">SUM(($B65:$H65="confirmed")*($B$4:$H$4=10))</f>
        <v>0</v>
      </c>
      <c r="L65" s="43">
        <f t="array" ref="L65">SUM(($B65:$H65="standby")*($B$4:$H$4=10))</f>
        <v>0</v>
      </c>
      <c r="M65" s="15">
        <f t="shared" si="7"/>
        <v>0</v>
      </c>
      <c r="N65" s="15">
        <f t="shared" si="8"/>
        <v>0</v>
      </c>
      <c r="O65" s="16">
        <f t="shared" si="9"/>
        <v>0</v>
      </c>
    </row>
    <row r="66" spans="1:15" ht="15" customHeight="1">
      <c r="A66" s="75">
        <f>'Members Data'!A58</f>
        <v>0</v>
      </c>
      <c r="B66" s="203"/>
      <c r="C66" s="200"/>
      <c r="D66" s="200"/>
      <c r="E66" s="200"/>
      <c r="F66" s="200"/>
      <c r="G66" s="200"/>
      <c r="H66" s="201"/>
      <c r="I66" s="70">
        <f t="array" ref="I66">SUM(($B66:$H66="confirmed")*($B$4:$H$4=25))</f>
        <v>0</v>
      </c>
      <c r="J66" s="43">
        <f t="array" ref="J66">SUM(($B66:$H66="standby")*($B$4:$H$4=25))</f>
        <v>0</v>
      </c>
      <c r="K66" s="43">
        <f t="array" ref="K66">SUM(($B66:$H66="confirmed")*($B$4:$H$4=10))</f>
        <v>0</v>
      </c>
      <c r="L66" s="43">
        <f t="array" ref="L66">SUM(($B66:$H66="standby")*($B$4:$H$4=10))</f>
        <v>0</v>
      </c>
      <c r="M66" s="15">
        <f>COUNTIF(B66:H66,"confirmed")</f>
        <v>0</v>
      </c>
      <c r="N66" s="15">
        <f>COUNTIF(B66:H66,"standby")</f>
        <v>0</v>
      </c>
      <c r="O66" s="16">
        <f>COUNTIF(B66:H66,"out")</f>
        <v>0</v>
      </c>
    </row>
    <row r="67" spans="1:15" ht="15" customHeight="1">
      <c r="A67" s="75">
        <f>'Members Data'!A59</f>
        <v>0</v>
      </c>
      <c r="B67" s="203"/>
      <c r="C67" s="200"/>
      <c r="D67" s="200"/>
      <c r="E67" s="200"/>
      <c r="F67" s="200"/>
      <c r="G67" s="200"/>
      <c r="H67" s="204"/>
      <c r="I67" s="70">
        <f t="array" ref="I67">SUM(($B67:$H67="confirmed")*($B$4:$H$4=25))</f>
        <v>0</v>
      </c>
      <c r="J67" s="43">
        <f t="array" ref="J67">SUM(($B67:$H67="standby")*($B$4:$H$4=25))</f>
        <v>0</v>
      </c>
      <c r="K67" s="43">
        <f t="array" ref="K67">SUM(($B67:$H67="confirmed")*($B$4:$H$4=10))</f>
        <v>0</v>
      </c>
      <c r="L67" s="43">
        <f t="array" ref="L67">SUM(($B67:$H67="standby")*($B$4:$H$4=10))</f>
        <v>0</v>
      </c>
      <c r="M67" s="72">
        <f t="shared" si="7"/>
        <v>0</v>
      </c>
      <c r="N67" s="72">
        <f t="shared" si="8"/>
        <v>0</v>
      </c>
      <c r="O67" s="73">
        <f t="shared" si="9"/>
        <v>0</v>
      </c>
    </row>
    <row r="68" spans="1:15" ht="15" customHeight="1">
      <c r="A68" s="75">
        <f>'Members Data'!A60</f>
        <v>0</v>
      </c>
      <c r="B68" s="199"/>
      <c r="C68" s="200"/>
      <c r="D68" s="200"/>
      <c r="E68" s="200"/>
      <c r="F68" s="200"/>
      <c r="G68" s="200"/>
      <c r="H68" s="204"/>
      <c r="I68" s="70">
        <f t="array" ref="I68">SUM(($B68:$H68="confirmed")*($B$4:$H$4=25))</f>
        <v>0</v>
      </c>
      <c r="J68" s="43">
        <f t="array" ref="J68">SUM(($B68:$H68="standby")*($B$4:$H$4=25))</f>
        <v>0</v>
      </c>
      <c r="K68" s="43">
        <f t="array" ref="K68">SUM(($B68:$H68="confirmed")*($B$4:$H$4=10))</f>
        <v>0</v>
      </c>
      <c r="L68" s="43">
        <f t="array" ref="L68">SUM(($B68:$H68="standby")*($B$4:$H$4=10))</f>
        <v>0</v>
      </c>
      <c r="M68" s="72">
        <f t="shared" si="7"/>
        <v>0</v>
      </c>
      <c r="N68" s="72">
        <f t="shared" si="8"/>
        <v>0</v>
      </c>
      <c r="O68" s="73">
        <f t="shared" si="9"/>
        <v>0</v>
      </c>
    </row>
    <row r="69" spans="1:15" ht="15" customHeight="1" thickBot="1">
      <c r="A69" s="130">
        <f>'Members Data'!A61</f>
        <v>0</v>
      </c>
      <c r="B69" s="205"/>
      <c r="C69" s="206"/>
      <c r="D69" s="206"/>
      <c r="E69" s="206"/>
      <c r="F69" s="206"/>
      <c r="G69" s="206"/>
      <c r="H69" s="207"/>
      <c r="I69" s="152">
        <f t="array" ref="I69">SUM(($B69:$H69="confirmed")*($B$4:$H$4=25))</f>
        <v>0</v>
      </c>
      <c r="J69" s="145">
        <f t="array" ref="J69">SUM(($B69:$H69="standby")*($B$4:$H$4=25))</f>
        <v>0</v>
      </c>
      <c r="K69" s="145">
        <f t="array" ref="K69">SUM(($B69:$H69="confirmed")*($B$4:$H$4=10))</f>
        <v>0</v>
      </c>
      <c r="L69" s="145">
        <f t="array" ref="L69">SUM(($B69:$H69="standby")*($B$4:$H$4=10))</f>
        <v>0</v>
      </c>
      <c r="M69" s="131">
        <f t="shared" ref="M69:M108" si="10">COUNTIF(B69:H69,"confirmed")</f>
        <v>0</v>
      </c>
      <c r="N69" s="131">
        <f t="shared" ref="N69:N108" si="11">COUNTIF(B69:H69,"standby")</f>
        <v>0</v>
      </c>
      <c r="O69" s="132">
        <f t="shared" ref="O69:O108" si="12">COUNTIF(B69:H69,"out")</f>
        <v>0</v>
      </c>
    </row>
    <row r="70" spans="1:15" ht="15" customHeight="1" thickTop="1">
      <c r="A70" s="74" t="str">
        <f>'Members Data'!A62</f>
        <v>Kristofix</v>
      </c>
      <c r="B70" s="199"/>
      <c r="C70" s="200"/>
      <c r="D70" s="200"/>
      <c r="E70" s="200"/>
      <c r="F70" s="200"/>
      <c r="G70" s="200"/>
      <c r="H70" s="201"/>
      <c r="I70" s="226">
        <f t="array" ref="I70">SUM(($B70:$H70="confirmed")*($B$4:$H$4=25))</f>
        <v>0</v>
      </c>
      <c r="J70" s="227">
        <f t="array" ref="J70">SUM(($B70:$H70="standby")*($B$4:$H$4=25))</f>
        <v>0</v>
      </c>
      <c r="K70" s="227">
        <f t="array" ref="K70">SUM(($B70:$H70="confirmed")*($B$4:$H$4=10))</f>
        <v>0</v>
      </c>
      <c r="L70" s="227">
        <f t="array" ref="L70">SUM(($B70:$H70="standby")*($B$4:$H$4=10))</f>
        <v>0</v>
      </c>
      <c r="M70" s="128">
        <f t="shared" si="10"/>
        <v>0</v>
      </c>
      <c r="N70" s="128">
        <f t="shared" si="11"/>
        <v>0</v>
      </c>
      <c r="O70" s="129">
        <f t="shared" si="12"/>
        <v>0</v>
      </c>
    </row>
    <row r="71" spans="1:15" ht="15" customHeight="1">
      <c r="A71" s="75" t="str">
        <f>'Members Data'!A63</f>
        <v>Nazgol</v>
      </c>
      <c r="B71" s="199"/>
      <c r="C71" s="200"/>
      <c r="D71" s="200"/>
      <c r="E71" s="200"/>
      <c r="F71" s="202"/>
      <c r="G71" s="200"/>
      <c r="H71" s="201"/>
      <c r="I71" s="70">
        <f t="array" ref="I71">SUM(($B71:$H71="confirmed")*($B$4:$H$4=25))</f>
        <v>0</v>
      </c>
      <c r="J71" s="43">
        <f t="array" ref="J71">SUM(($B71:$H71="standby")*($B$4:$H$4=25))</f>
        <v>0</v>
      </c>
      <c r="K71" s="43">
        <f t="array" ref="K71">SUM(($B71:$H71="confirmed")*($B$4:$H$4=10))</f>
        <v>0</v>
      </c>
      <c r="L71" s="43">
        <f t="array" ref="L71">SUM(($B71:$H71="standby")*($B$4:$H$4=10))</f>
        <v>0</v>
      </c>
      <c r="M71" s="72">
        <f t="shared" si="10"/>
        <v>0</v>
      </c>
      <c r="N71" s="72">
        <f t="shared" si="11"/>
        <v>0</v>
      </c>
      <c r="O71" s="73">
        <f t="shared" si="12"/>
        <v>0</v>
      </c>
    </row>
    <row r="72" spans="1:15" ht="15" customHeight="1">
      <c r="A72" s="75" t="str">
        <f>'Members Data'!A64</f>
        <v>Icewinde</v>
      </c>
      <c r="B72" s="199"/>
      <c r="C72" s="200"/>
      <c r="D72" s="200"/>
      <c r="E72" s="200"/>
      <c r="F72" s="200"/>
      <c r="G72" s="200"/>
      <c r="H72" s="201"/>
      <c r="I72" s="70">
        <f t="array" ref="I72">SUM(($B72:$H72="confirmed")*($B$4:$H$4=25))</f>
        <v>0</v>
      </c>
      <c r="J72" s="43">
        <f t="array" ref="J72">SUM(($B72:$H72="standby")*($B$4:$H$4=25))</f>
        <v>0</v>
      </c>
      <c r="K72" s="43">
        <f t="array" ref="K72">SUM(($B72:$H72="confirmed")*($B$4:$H$4=10))</f>
        <v>0</v>
      </c>
      <c r="L72" s="43">
        <f t="array" ref="L72">SUM(($B72:$H72="standby")*($B$4:$H$4=10))</f>
        <v>0</v>
      </c>
      <c r="M72" s="72">
        <f t="shared" si="10"/>
        <v>0</v>
      </c>
      <c r="N72" s="72">
        <f t="shared" si="11"/>
        <v>0</v>
      </c>
      <c r="O72" s="73">
        <f t="shared" si="12"/>
        <v>0</v>
      </c>
    </row>
    <row r="73" spans="1:15" ht="15" customHeight="1">
      <c r="A73" s="75" t="str">
        <f>'Members Data'!A65</f>
        <v>Ambú</v>
      </c>
      <c r="B73" s="199"/>
      <c r="C73" s="200"/>
      <c r="D73" s="200"/>
      <c r="E73" s="200"/>
      <c r="F73" s="200"/>
      <c r="G73" s="200"/>
      <c r="H73" s="201"/>
      <c r="I73" s="70">
        <f t="array" ref="I73">SUM(($B73:$H73="confirmed")*($B$4:$H$4=25))</f>
        <v>0</v>
      </c>
      <c r="J73" s="43">
        <f t="array" ref="J73">SUM(($B73:$H73="standby")*($B$4:$H$4=25))</f>
        <v>0</v>
      </c>
      <c r="K73" s="43">
        <f t="array" ref="K73">SUM(($B73:$H73="confirmed")*($B$4:$H$4=10))</f>
        <v>0</v>
      </c>
      <c r="L73" s="43">
        <f t="array" ref="L73">SUM(($B73:$H73="standby")*($B$4:$H$4=10))</f>
        <v>0</v>
      </c>
      <c r="M73" s="72">
        <f t="shared" si="10"/>
        <v>0</v>
      </c>
      <c r="N73" s="72">
        <f t="shared" si="11"/>
        <v>0</v>
      </c>
      <c r="O73" s="73">
        <f t="shared" si="12"/>
        <v>0</v>
      </c>
    </row>
    <row r="74" spans="1:15" ht="15" customHeight="1">
      <c r="A74" s="75" t="str">
        <f>'Members Data'!A66</f>
        <v>Mortali</v>
      </c>
      <c r="B74" s="199"/>
      <c r="C74" s="200"/>
      <c r="D74" s="200"/>
      <c r="E74" s="200"/>
      <c r="F74" s="200"/>
      <c r="G74" s="200"/>
      <c r="H74" s="201"/>
      <c r="I74" s="70">
        <f t="array" ref="I74">SUM(($B74:$H74="confirmed")*($B$4:$H$4=25))</f>
        <v>0</v>
      </c>
      <c r="J74" s="43">
        <f t="array" ref="J74">SUM(($B74:$H74="standby")*($B$4:$H$4=25))</f>
        <v>0</v>
      </c>
      <c r="K74" s="43">
        <f t="array" ref="K74">SUM(($B74:$H74="confirmed")*($B$4:$H$4=10))</f>
        <v>0</v>
      </c>
      <c r="L74" s="43">
        <f t="array" ref="L74">SUM(($B74:$H74="standby")*($B$4:$H$4=10))</f>
        <v>0</v>
      </c>
      <c r="M74" s="72">
        <f t="shared" si="10"/>
        <v>0</v>
      </c>
      <c r="N74" s="72">
        <f t="shared" si="11"/>
        <v>0</v>
      </c>
      <c r="O74" s="73">
        <f t="shared" si="12"/>
        <v>0</v>
      </c>
    </row>
    <row r="75" spans="1:15" ht="15" customHeight="1">
      <c r="A75" s="75" t="str">
        <f>'Members Data'!A67</f>
        <v>Andreah</v>
      </c>
      <c r="B75" s="199"/>
      <c r="C75" s="200"/>
      <c r="D75" s="200"/>
      <c r="E75" s="200"/>
      <c r="F75" s="200"/>
      <c r="G75" s="200"/>
      <c r="H75" s="201"/>
      <c r="I75" s="70">
        <f t="array" ref="I75">SUM(($B75:$H75="confirmed")*($B$4:$H$4=25))</f>
        <v>0</v>
      </c>
      <c r="J75" s="43">
        <f t="array" ref="J75">SUM(($B75:$H75="standby")*($B$4:$H$4=25))</f>
        <v>0</v>
      </c>
      <c r="K75" s="43">
        <f t="array" ref="K75">SUM(($B75:$H75="confirmed")*($B$4:$H$4=10))</f>
        <v>0</v>
      </c>
      <c r="L75" s="43">
        <f t="array" ref="L75">SUM(($B75:$H75="standby")*($B$4:$H$4=10))</f>
        <v>0</v>
      </c>
      <c r="M75" s="72">
        <f t="shared" si="10"/>
        <v>0</v>
      </c>
      <c r="N75" s="72">
        <f t="shared" si="11"/>
        <v>0</v>
      </c>
      <c r="O75" s="73">
        <f t="shared" si="12"/>
        <v>0</v>
      </c>
    </row>
    <row r="76" spans="1:15" ht="15" customHeight="1">
      <c r="A76" s="75" t="str">
        <f>'Members Data'!A68</f>
        <v>Yardk</v>
      </c>
      <c r="B76" s="199"/>
      <c r="C76" s="200"/>
      <c r="D76" s="200"/>
      <c r="E76" s="200"/>
      <c r="F76" s="200"/>
      <c r="G76" s="200"/>
      <c r="H76" s="201"/>
      <c r="I76" s="70">
        <f t="array" ref="I76">SUM(($B76:$H76="confirmed")*($B$4:$H$4=25))</f>
        <v>0</v>
      </c>
      <c r="J76" s="43">
        <f t="array" ref="J76">SUM(($B76:$H76="standby")*($B$4:$H$4=25))</f>
        <v>0</v>
      </c>
      <c r="K76" s="43">
        <f t="array" ref="K76">SUM(($B76:$H76="confirmed")*($B$4:$H$4=10))</f>
        <v>0</v>
      </c>
      <c r="L76" s="43">
        <f t="array" ref="L76">SUM(($B76:$H76="standby")*($B$4:$H$4=10))</f>
        <v>0</v>
      </c>
      <c r="M76" s="72">
        <f t="shared" si="10"/>
        <v>0</v>
      </c>
      <c r="N76" s="72">
        <f t="shared" si="11"/>
        <v>0</v>
      </c>
      <c r="O76" s="73">
        <f t="shared" si="12"/>
        <v>0</v>
      </c>
    </row>
    <row r="77" spans="1:15" ht="15" customHeight="1">
      <c r="A77" s="75" t="str">
        <f>'Members Data'!A69</f>
        <v>Halfhorns</v>
      </c>
      <c r="B77" s="199"/>
      <c r="C77" s="200"/>
      <c r="D77" s="200"/>
      <c r="E77" s="200"/>
      <c r="F77" s="200"/>
      <c r="G77" s="200"/>
      <c r="H77" s="201"/>
      <c r="I77" s="70">
        <f t="array" ref="I77">SUM(($B77:$H77="confirmed")*($B$4:$H$4=25))</f>
        <v>0</v>
      </c>
      <c r="J77" s="43">
        <f t="array" ref="J77">SUM(($B77:$H77="standby")*($B$4:$H$4=25))</f>
        <v>0</v>
      </c>
      <c r="K77" s="43">
        <f t="array" ref="K77">SUM(($B77:$H77="confirmed")*($B$4:$H$4=10))</f>
        <v>0</v>
      </c>
      <c r="L77" s="43">
        <f t="array" ref="L77">SUM(($B77:$H77="standby")*($B$4:$H$4=10))</f>
        <v>0</v>
      </c>
      <c r="M77" s="72">
        <f t="shared" si="10"/>
        <v>0</v>
      </c>
      <c r="N77" s="72">
        <f t="shared" si="11"/>
        <v>0</v>
      </c>
      <c r="O77" s="73">
        <f t="shared" si="12"/>
        <v>0</v>
      </c>
    </row>
    <row r="78" spans="1:15" ht="15" customHeight="1">
      <c r="A78" s="75" t="str">
        <f>'Members Data'!A70</f>
        <v>Ebullio</v>
      </c>
      <c r="B78" s="199"/>
      <c r="C78" s="200"/>
      <c r="D78" s="200"/>
      <c r="E78" s="200"/>
      <c r="F78" s="200"/>
      <c r="G78" s="200"/>
      <c r="H78" s="201"/>
      <c r="I78" s="70">
        <f t="array" ref="I78">SUM(($B78:$H78="confirmed")*($B$4:$H$4=25))</f>
        <v>0</v>
      </c>
      <c r="J78" s="43">
        <f t="array" ref="J78">SUM(($B78:$H78="standby")*($B$4:$H$4=25))</f>
        <v>0</v>
      </c>
      <c r="K78" s="43">
        <f t="array" ref="K78">SUM(($B78:$H78="confirmed")*($B$4:$H$4=10))</f>
        <v>0</v>
      </c>
      <c r="L78" s="43">
        <f t="array" ref="L78">SUM(($B78:$H78="standby")*($B$4:$H$4=10))</f>
        <v>0</v>
      </c>
      <c r="M78" s="72">
        <f t="shared" si="10"/>
        <v>0</v>
      </c>
      <c r="N78" s="72">
        <f t="shared" si="11"/>
        <v>0</v>
      </c>
      <c r="O78" s="73">
        <f t="shared" si="12"/>
        <v>0</v>
      </c>
    </row>
    <row r="79" spans="1:15" ht="15" customHeight="1">
      <c r="A79" s="75" t="str">
        <f>'Members Data'!A71</f>
        <v>Fireaxe</v>
      </c>
      <c r="B79" s="199"/>
      <c r="C79" s="200"/>
      <c r="D79" s="200"/>
      <c r="E79" s="200"/>
      <c r="F79" s="200"/>
      <c r="G79" s="200"/>
      <c r="H79" s="201"/>
      <c r="I79" s="70">
        <f t="array" ref="I79">SUM(($B79:$H79="confirmed")*($B$4:$H$4=25))</f>
        <v>0</v>
      </c>
      <c r="J79" s="43">
        <f t="array" ref="J79">SUM(($B79:$H79="standby")*($B$4:$H$4=25))</f>
        <v>0</v>
      </c>
      <c r="K79" s="43">
        <f t="array" ref="K79">SUM(($B79:$H79="confirmed")*($B$4:$H$4=10))</f>
        <v>0</v>
      </c>
      <c r="L79" s="43">
        <f t="array" ref="L79">SUM(($B79:$H79="standby")*($B$4:$H$4=10))</f>
        <v>0</v>
      </c>
      <c r="M79" s="72">
        <f t="shared" si="10"/>
        <v>0</v>
      </c>
      <c r="N79" s="72">
        <f t="shared" si="11"/>
        <v>0</v>
      </c>
      <c r="O79" s="73">
        <f t="shared" si="12"/>
        <v>0</v>
      </c>
    </row>
    <row r="80" spans="1:15" ht="15" customHeight="1">
      <c r="A80" s="75" t="str">
        <f>'Members Data'!A72</f>
        <v>Firefoxy</v>
      </c>
      <c r="B80" s="199"/>
      <c r="C80" s="200"/>
      <c r="D80" s="200"/>
      <c r="E80" s="200"/>
      <c r="F80" s="200"/>
      <c r="G80" s="200"/>
      <c r="H80" s="201"/>
      <c r="I80" s="70">
        <f t="array" ref="I80">SUM(($B80:$H80="confirmed")*($B$4:$H$4=25))</f>
        <v>0</v>
      </c>
      <c r="J80" s="43">
        <f t="array" ref="J80">SUM(($B80:$H80="standby")*($B$4:$H$4=25))</f>
        <v>0</v>
      </c>
      <c r="K80" s="43">
        <f t="array" ref="K80">SUM(($B80:$H80="confirmed")*($B$4:$H$4=10))</f>
        <v>0</v>
      </c>
      <c r="L80" s="43">
        <f t="array" ref="L80">SUM(($B80:$H80="standby")*($B$4:$H$4=10))</f>
        <v>0</v>
      </c>
      <c r="M80" s="72">
        <f t="shared" si="10"/>
        <v>0</v>
      </c>
      <c r="N80" s="72">
        <f t="shared" si="11"/>
        <v>0</v>
      </c>
      <c r="O80" s="73">
        <f t="shared" si="12"/>
        <v>0</v>
      </c>
    </row>
    <row r="81" spans="1:15" ht="15" customHeight="1">
      <c r="A81" s="75" t="str">
        <f>'Members Data'!A73</f>
        <v>Boeyah</v>
      </c>
      <c r="B81" s="199"/>
      <c r="C81" s="200"/>
      <c r="D81" s="200"/>
      <c r="E81" s="200"/>
      <c r="F81" s="200"/>
      <c r="G81" s="200"/>
      <c r="H81" s="201"/>
      <c r="I81" s="70">
        <f t="array" ref="I81">SUM(($B81:$H81="confirmed")*($B$4:$H$4=25))</f>
        <v>0</v>
      </c>
      <c r="J81" s="43">
        <f t="array" ref="J81">SUM(($B81:$H81="standby")*($B$4:$H$4=25))</f>
        <v>0</v>
      </c>
      <c r="K81" s="43">
        <f t="array" ref="K81">SUM(($B81:$H81="confirmed")*($B$4:$H$4=10))</f>
        <v>0</v>
      </c>
      <c r="L81" s="43">
        <f t="array" ref="L81">SUM(($B81:$H81="standby")*($B$4:$H$4=10))</f>
        <v>0</v>
      </c>
      <c r="M81" s="72">
        <f t="shared" si="10"/>
        <v>0</v>
      </c>
      <c r="N81" s="72">
        <f t="shared" si="11"/>
        <v>0</v>
      </c>
      <c r="O81" s="73">
        <f t="shared" si="12"/>
        <v>0</v>
      </c>
    </row>
    <row r="82" spans="1:15" ht="15" customHeight="1">
      <c r="A82" s="75" t="str">
        <f>'Members Data'!A74</f>
        <v>Judgementz</v>
      </c>
      <c r="B82" s="199"/>
      <c r="C82" s="200"/>
      <c r="D82" s="200"/>
      <c r="E82" s="200"/>
      <c r="F82" s="200"/>
      <c r="G82" s="200"/>
      <c r="H82" s="201"/>
      <c r="I82" s="70">
        <f t="array" ref="I82">SUM(($B82:$H82="confirmed")*($B$4:$H$4=25))</f>
        <v>0</v>
      </c>
      <c r="J82" s="43">
        <f t="array" ref="J82">SUM(($B82:$H82="standby")*($B$4:$H$4=25))</f>
        <v>0</v>
      </c>
      <c r="K82" s="43">
        <f t="array" ref="K82">SUM(($B82:$H82="confirmed")*($B$4:$H$4=10))</f>
        <v>0</v>
      </c>
      <c r="L82" s="43">
        <f t="array" ref="L82">SUM(($B82:$H82="standby")*($B$4:$H$4=10))</f>
        <v>0</v>
      </c>
      <c r="M82" s="72">
        <f t="shared" si="10"/>
        <v>0</v>
      </c>
      <c r="N82" s="72">
        <f t="shared" si="11"/>
        <v>0</v>
      </c>
      <c r="O82" s="73">
        <f t="shared" si="12"/>
        <v>0</v>
      </c>
    </row>
    <row r="83" spans="1:15" ht="15" customHeight="1">
      <c r="A83" s="75">
        <f>'Members Data'!A75</f>
        <v>0</v>
      </c>
      <c r="B83" s="199"/>
      <c r="C83" s="200"/>
      <c r="D83" s="200"/>
      <c r="E83" s="200"/>
      <c r="F83" s="200"/>
      <c r="G83" s="200"/>
      <c r="H83" s="201"/>
      <c r="I83" s="70">
        <f t="array" ref="I83">SUM(($B83:$H83="confirmed")*($B$4:$H$4=25))</f>
        <v>0</v>
      </c>
      <c r="J83" s="43">
        <f t="array" ref="J83">SUM(($B83:$H83="standby")*($B$4:$H$4=25))</f>
        <v>0</v>
      </c>
      <c r="K83" s="43">
        <f t="array" ref="K83">SUM(($B83:$H83="confirmed")*($B$4:$H$4=10))</f>
        <v>0</v>
      </c>
      <c r="L83" s="43">
        <f t="array" ref="L83">SUM(($B83:$H83="standby")*($B$4:$H$4=10))</f>
        <v>0</v>
      </c>
      <c r="M83" s="72">
        <f t="shared" si="10"/>
        <v>0</v>
      </c>
      <c r="N83" s="72">
        <f t="shared" si="11"/>
        <v>0</v>
      </c>
      <c r="O83" s="73">
        <f t="shared" si="12"/>
        <v>0</v>
      </c>
    </row>
    <row r="84" spans="1:15" ht="15" customHeight="1">
      <c r="A84" s="75">
        <f>'Members Data'!A76</f>
        <v>0</v>
      </c>
      <c r="B84" s="199"/>
      <c r="C84" s="200"/>
      <c r="D84" s="200"/>
      <c r="E84" s="200"/>
      <c r="F84" s="200"/>
      <c r="G84" s="200"/>
      <c r="H84" s="201"/>
      <c r="I84" s="70">
        <f t="array" ref="I84">SUM(($B84:$H84="confirmed")*($B$4:$H$4=25))</f>
        <v>0</v>
      </c>
      <c r="J84" s="43">
        <f t="array" ref="J84">SUM(($B84:$H84="standby")*($B$4:$H$4=25))</f>
        <v>0</v>
      </c>
      <c r="K84" s="43">
        <f t="array" ref="K84">SUM(($B84:$H84="confirmed")*($B$4:$H$4=10))</f>
        <v>0</v>
      </c>
      <c r="L84" s="43">
        <f t="array" ref="L84">SUM(($B84:$H84="standby")*($B$4:$H$4=10))</f>
        <v>0</v>
      </c>
      <c r="M84" s="72">
        <f t="shared" si="10"/>
        <v>0</v>
      </c>
      <c r="N84" s="72">
        <f t="shared" si="11"/>
        <v>0</v>
      </c>
      <c r="O84" s="73">
        <f t="shared" si="12"/>
        <v>0</v>
      </c>
    </row>
    <row r="85" spans="1:15" ht="15" customHeight="1">
      <c r="A85" s="75">
        <f>'Members Data'!A77</f>
        <v>0</v>
      </c>
      <c r="B85" s="199"/>
      <c r="C85" s="200"/>
      <c r="D85" s="200"/>
      <c r="E85" s="200"/>
      <c r="F85" s="200"/>
      <c r="G85" s="200"/>
      <c r="H85" s="201"/>
      <c r="I85" s="70">
        <f t="array" ref="I85">SUM(($B85:$H85="confirmed")*($B$4:$H$4=25))</f>
        <v>0</v>
      </c>
      <c r="J85" s="43">
        <f t="array" ref="J85">SUM(($B85:$H85="standby")*($B$4:$H$4=25))</f>
        <v>0</v>
      </c>
      <c r="K85" s="43">
        <f t="array" ref="K85">SUM(($B85:$H85="confirmed")*($B$4:$H$4=10))</f>
        <v>0</v>
      </c>
      <c r="L85" s="43">
        <f t="array" ref="L85">SUM(($B85:$H85="standby")*($B$4:$H$4=10))</f>
        <v>0</v>
      </c>
      <c r="M85" s="72">
        <f t="shared" si="10"/>
        <v>0</v>
      </c>
      <c r="N85" s="72">
        <f t="shared" si="11"/>
        <v>0</v>
      </c>
      <c r="O85" s="73">
        <f t="shared" si="12"/>
        <v>0</v>
      </c>
    </row>
    <row r="86" spans="1:15" ht="15" customHeight="1">
      <c r="A86" s="75">
        <f>'Members Data'!A78</f>
        <v>0</v>
      </c>
      <c r="B86" s="199"/>
      <c r="C86" s="200"/>
      <c r="D86" s="200"/>
      <c r="E86" s="200"/>
      <c r="F86" s="200"/>
      <c r="G86" s="200"/>
      <c r="H86" s="201"/>
      <c r="I86" s="70">
        <f t="array" ref="I86">SUM(($B86:$H86="confirmed")*($B$4:$H$4=25))</f>
        <v>0</v>
      </c>
      <c r="J86" s="43">
        <f t="array" ref="J86">SUM(($B86:$H86="standby")*($B$4:$H$4=25))</f>
        <v>0</v>
      </c>
      <c r="K86" s="43">
        <f t="array" ref="K86">SUM(($B86:$H86="confirmed")*($B$4:$H$4=10))</f>
        <v>0</v>
      </c>
      <c r="L86" s="43">
        <f t="array" ref="L86">SUM(($B86:$H86="standby")*($B$4:$H$4=10))</f>
        <v>0</v>
      </c>
      <c r="M86" s="72">
        <f t="shared" si="10"/>
        <v>0</v>
      </c>
      <c r="N86" s="72">
        <f t="shared" si="11"/>
        <v>0</v>
      </c>
      <c r="O86" s="73">
        <f t="shared" si="12"/>
        <v>0</v>
      </c>
    </row>
    <row r="87" spans="1:15" ht="15" customHeight="1">
      <c r="A87" s="75">
        <f>'Members Data'!A79</f>
        <v>0</v>
      </c>
      <c r="B87" s="199"/>
      <c r="C87" s="200"/>
      <c r="D87" s="200"/>
      <c r="E87" s="200"/>
      <c r="F87" s="200"/>
      <c r="G87" s="200"/>
      <c r="H87" s="201"/>
      <c r="I87" s="70">
        <f t="array" ref="I87">SUM(($B87:$H87="confirmed")*($B$4:$H$4=25))</f>
        <v>0</v>
      </c>
      <c r="J87" s="43">
        <f t="array" ref="J87">SUM(($B87:$H87="standby")*($B$4:$H$4=25))</f>
        <v>0</v>
      </c>
      <c r="K87" s="43">
        <f t="array" ref="K87">SUM(($B87:$H87="confirmed")*($B$4:$H$4=10))</f>
        <v>0</v>
      </c>
      <c r="L87" s="43">
        <f t="array" ref="L87">SUM(($B87:$H87="standby")*($B$4:$H$4=10))</f>
        <v>0</v>
      </c>
      <c r="M87" s="72">
        <f t="shared" si="10"/>
        <v>0</v>
      </c>
      <c r="N87" s="72">
        <f t="shared" si="11"/>
        <v>0</v>
      </c>
      <c r="O87" s="73">
        <f t="shared" si="12"/>
        <v>0</v>
      </c>
    </row>
    <row r="88" spans="1:15" ht="15" customHeight="1">
      <c r="A88" s="75">
        <f>'Members Data'!A80</f>
        <v>0</v>
      </c>
      <c r="B88" s="199"/>
      <c r="C88" s="200"/>
      <c r="D88" s="200"/>
      <c r="E88" s="200"/>
      <c r="F88" s="200"/>
      <c r="G88" s="200"/>
      <c r="H88" s="201"/>
      <c r="I88" s="70">
        <f t="array" ref="I88">SUM(($B88:$H88="confirmed")*($B$4:$H$4=25))</f>
        <v>0</v>
      </c>
      <c r="J88" s="43">
        <f t="array" ref="J88">SUM(($B88:$H88="standby")*($B$4:$H$4=25))</f>
        <v>0</v>
      </c>
      <c r="K88" s="43">
        <f t="array" ref="K88">SUM(($B88:$H88="confirmed")*($B$4:$H$4=10))</f>
        <v>0</v>
      </c>
      <c r="L88" s="43">
        <f t="array" ref="L88">SUM(($B88:$H88="standby")*($B$4:$H$4=10))</f>
        <v>0</v>
      </c>
      <c r="M88" s="72">
        <f t="shared" si="10"/>
        <v>0</v>
      </c>
      <c r="N88" s="72">
        <f t="shared" si="11"/>
        <v>0</v>
      </c>
      <c r="O88" s="73">
        <f t="shared" si="12"/>
        <v>0</v>
      </c>
    </row>
    <row r="89" spans="1:15" ht="15" customHeight="1">
      <c r="A89" s="75">
        <f>'Members Data'!A81</f>
        <v>0</v>
      </c>
      <c r="B89" s="199"/>
      <c r="C89" s="200"/>
      <c r="D89" s="200"/>
      <c r="E89" s="200"/>
      <c r="F89" s="200"/>
      <c r="G89" s="200"/>
      <c r="H89" s="201"/>
      <c r="I89" s="70">
        <f t="array" ref="I89">SUM(($B89:$H89="confirmed")*($B$4:$H$4=25))</f>
        <v>0</v>
      </c>
      <c r="J89" s="43">
        <f t="array" ref="J89">SUM(($B89:$H89="standby")*($B$4:$H$4=25))</f>
        <v>0</v>
      </c>
      <c r="K89" s="43">
        <f t="array" ref="K89">SUM(($B89:$H89="confirmed")*($B$4:$H$4=10))</f>
        <v>0</v>
      </c>
      <c r="L89" s="43">
        <f t="array" ref="L89">SUM(($B89:$H89="standby")*($B$4:$H$4=10))</f>
        <v>0</v>
      </c>
      <c r="M89" s="72">
        <f t="shared" si="10"/>
        <v>0</v>
      </c>
      <c r="N89" s="72">
        <f t="shared" si="11"/>
        <v>0</v>
      </c>
      <c r="O89" s="73">
        <f t="shared" si="12"/>
        <v>0</v>
      </c>
    </row>
    <row r="90" spans="1:15" ht="15" customHeight="1">
      <c r="A90" s="75">
        <f>'Members Data'!A82</f>
        <v>0</v>
      </c>
      <c r="B90" s="199"/>
      <c r="C90" s="200"/>
      <c r="D90" s="200"/>
      <c r="E90" s="200"/>
      <c r="F90" s="200"/>
      <c r="G90" s="200"/>
      <c r="H90" s="201"/>
      <c r="I90" s="70">
        <f t="array" ref="I90">SUM(($B90:$H90="confirmed")*($B$4:$H$4=25))</f>
        <v>0</v>
      </c>
      <c r="J90" s="43">
        <f t="array" ref="J90">SUM(($B90:$H90="standby")*($B$4:$H$4=25))</f>
        <v>0</v>
      </c>
      <c r="K90" s="43">
        <f t="array" ref="K90">SUM(($B90:$H90="confirmed")*($B$4:$H$4=10))</f>
        <v>0</v>
      </c>
      <c r="L90" s="43">
        <f t="array" ref="L90">SUM(($B90:$H90="standby")*($B$4:$H$4=10))</f>
        <v>0</v>
      </c>
      <c r="M90" s="72">
        <f t="shared" si="10"/>
        <v>0</v>
      </c>
      <c r="N90" s="72">
        <f t="shared" si="11"/>
        <v>0</v>
      </c>
      <c r="O90" s="73">
        <f t="shared" si="12"/>
        <v>0</v>
      </c>
    </row>
    <row r="91" spans="1:15" ht="15" customHeight="1">
      <c r="A91" s="75">
        <f>'Members Data'!A83</f>
        <v>0</v>
      </c>
      <c r="B91" s="199"/>
      <c r="C91" s="200"/>
      <c r="D91" s="200"/>
      <c r="E91" s="200"/>
      <c r="F91" s="200"/>
      <c r="G91" s="200"/>
      <c r="H91" s="201"/>
      <c r="I91" s="70">
        <f t="array" ref="I91">SUM(($B91:$H91="confirmed")*($B$4:$H$4=25))</f>
        <v>0</v>
      </c>
      <c r="J91" s="43">
        <f t="array" ref="J91">SUM(($B91:$H91="standby")*($B$4:$H$4=25))</f>
        <v>0</v>
      </c>
      <c r="K91" s="43">
        <f t="array" ref="K91">SUM(($B91:$H91="confirmed")*($B$4:$H$4=10))</f>
        <v>0</v>
      </c>
      <c r="L91" s="43">
        <f t="array" ref="L91">SUM(($B91:$H91="standby")*($B$4:$H$4=10))</f>
        <v>0</v>
      </c>
      <c r="M91" s="72">
        <f t="shared" si="10"/>
        <v>0</v>
      </c>
      <c r="N91" s="72">
        <f t="shared" si="11"/>
        <v>0</v>
      </c>
      <c r="O91" s="73">
        <f t="shared" si="12"/>
        <v>0</v>
      </c>
    </row>
    <row r="92" spans="1:15" ht="15" customHeight="1">
      <c r="A92" s="75">
        <f>'Members Data'!A84</f>
        <v>0</v>
      </c>
      <c r="B92" s="199"/>
      <c r="C92" s="200"/>
      <c r="D92" s="200"/>
      <c r="E92" s="200"/>
      <c r="F92" s="200"/>
      <c r="G92" s="200"/>
      <c r="H92" s="201"/>
      <c r="I92" s="70">
        <f t="array" ref="I92">SUM(($B92:$H92="confirmed")*($B$4:$H$4=25))</f>
        <v>0</v>
      </c>
      <c r="J92" s="43">
        <f t="array" ref="J92">SUM(($B92:$H92="standby")*($B$4:$H$4=25))</f>
        <v>0</v>
      </c>
      <c r="K92" s="43">
        <f t="array" ref="K92">SUM(($B92:$H92="confirmed")*($B$4:$H$4=10))</f>
        <v>0</v>
      </c>
      <c r="L92" s="43">
        <f t="array" ref="L92">SUM(($B92:$H92="standby")*($B$4:$H$4=10))</f>
        <v>0</v>
      </c>
      <c r="M92" s="72">
        <f t="shared" si="10"/>
        <v>0</v>
      </c>
      <c r="N92" s="72">
        <f t="shared" si="11"/>
        <v>0</v>
      </c>
      <c r="O92" s="73">
        <f t="shared" si="12"/>
        <v>0</v>
      </c>
    </row>
    <row r="93" spans="1:15" ht="15" customHeight="1">
      <c r="A93" s="75">
        <f>'Members Data'!A85</f>
        <v>0</v>
      </c>
      <c r="B93" s="199"/>
      <c r="C93" s="200"/>
      <c r="D93" s="200"/>
      <c r="E93" s="200"/>
      <c r="F93" s="200"/>
      <c r="G93" s="200"/>
      <c r="H93" s="201"/>
      <c r="I93" s="70">
        <f t="array" ref="I93">SUM(($B93:$H93="confirmed")*($B$4:$H$4=25))</f>
        <v>0</v>
      </c>
      <c r="J93" s="43">
        <f t="array" ref="J93">SUM(($B93:$H93="standby")*($B$4:$H$4=25))</f>
        <v>0</v>
      </c>
      <c r="K93" s="43">
        <f t="array" ref="K93">SUM(($B93:$H93="confirmed")*($B$4:$H$4=10))</f>
        <v>0</v>
      </c>
      <c r="L93" s="43">
        <f t="array" ref="L93">SUM(($B93:$H93="standby")*($B$4:$H$4=10))</f>
        <v>0</v>
      </c>
      <c r="M93" s="72">
        <f t="shared" si="10"/>
        <v>0</v>
      </c>
      <c r="N93" s="72">
        <f t="shared" si="11"/>
        <v>0</v>
      </c>
      <c r="O93" s="73">
        <f t="shared" si="12"/>
        <v>0</v>
      </c>
    </row>
    <row r="94" spans="1:15" ht="15" customHeight="1">
      <c r="A94" s="75">
        <f>'Members Data'!A86</f>
        <v>0</v>
      </c>
      <c r="B94" s="199"/>
      <c r="C94" s="200"/>
      <c r="D94" s="200"/>
      <c r="E94" s="200"/>
      <c r="F94" s="200"/>
      <c r="G94" s="200"/>
      <c r="H94" s="201"/>
      <c r="I94" s="70">
        <f t="array" ref="I94">SUM(($B94:$H94="confirmed")*($B$4:$H$4=25))</f>
        <v>0</v>
      </c>
      <c r="J94" s="43">
        <f t="array" ref="J94">SUM(($B94:$H94="standby")*($B$4:$H$4=25))</f>
        <v>0</v>
      </c>
      <c r="K94" s="43">
        <f t="array" ref="K94">SUM(($B94:$H94="confirmed")*($B$4:$H$4=10))</f>
        <v>0</v>
      </c>
      <c r="L94" s="43">
        <f t="array" ref="L94">SUM(($B94:$H94="standby")*($B$4:$H$4=10))</f>
        <v>0</v>
      </c>
      <c r="M94" s="72">
        <f t="shared" si="10"/>
        <v>0</v>
      </c>
      <c r="N94" s="72">
        <f t="shared" si="11"/>
        <v>0</v>
      </c>
      <c r="O94" s="73">
        <f t="shared" si="12"/>
        <v>0</v>
      </c>
    </row>
    <row r="95" spans="1:15" ht="15" customHeight="1">
      <c r="A95" s="75">
        <f>'Members Data'!A87</f>
        <v>0</v>
      </c>
      <c r="B95" s="199"/>
      <c r="C95" s="200"/>
      <c r="D95" s="200"/>
      <c r="E95" s="200"/>
      <c r="F95" s="200"/>
      <c r="G95" s="200"/>
      <c r="H95" s="201"/>
      <c r="I95" s="70">
        <f t="array" ref="I95">SUM(($B95:$H95="confirmed")*($B$4:$H$4=25))</f>
        <v>0</v>
      </c>
      <c r="J95" s="43">
        <f t="array" ref="J95">SUM(($B95:$H95="standby")*($B$4:$H$4=25))</f>
        <v>0</v>
      </c>
      <c r="K95" s="43">
        <f t="array" ref="K95">SUM(($B95:$H95="confirmed")*($B$4:$H$4=10))</f>
        <v>0</v>
      </c>
      <c r="L95" s="43">
        <f t="array" ref="L95">SUM(($B95:$H95="standby")*($B$4:$H$4=10))</f>
        <v>0</v>
      </c>
      <c r="M95" s="72">
        <f t="shared" si="10"/>
        <v>0</v>
      </c>
      <c r="N95" s="72">
        <f t="shared" si="11"/>
        <v>0</v>
      </c>
      <c r="O95" s="73">
        <f t="shared" si="12"/>
        <v>0</v>
      </c>
    </row>
    <row r="96" spans="1:15" ht="15" customHeight="1">
      <c r="A96" s="75">
        <f>'Members Data'!A88</f>
        <v>0</v>
      </c>
      <c r="B96" s="199"/>
      <c r="C96" s="200"/>
      <c r="D96" s="200"/>
      <c r="E96" s="200"/>
      <c r="F96" s="200"/>
      <c r="G96" s="200"/>
      <c r="H96" s="201"/>
      <c r="I96" s="70">
        <f t="array" ref="I96">SUM(($B96:$H96="confirmed")*($B$4:$H$4=25))</f>
        <v>0</v>
      </c>
      <c r="J96" s="43">
        <f t="array" ref="J96">SUM(($B96:$H96="standby")*($B$4:$H$4=25))</f>
        <v>0</v>
      </c>
      <c r="K96" s="43">
        <f t="array" ref="K96">SUM(($B96:$H96="confirmed")*($B$4:$H$4=10))</f>
        <v>0</v>
      </c>
      <c r="L96" s="43">
        <f t="array" ref="L96">SUM(($B96:$H96="standby")*($B$4:$H$4=10))</f>
        <v>0</v>
      </c>
      <c r="M96" s="72">
        <f t="shared" si="10"/>
        <v>0</v>
      </c>
      <c r="N96" s="72">
        <f t="shared" si="11"/>
        <v>0</v>
      </c>
      <c r="O96" s="73">
        <f t="shared" si="12"/>
        <v>0</v>
      </c>
    </row>
    <row r="97" spans="1:15" ht="15" customHeight="1">
      <c r="A97" s="75">
        <f>'Members Data'!A89</f>
        <v>0</v>
      </c>
      <c r="B97" s="199"/>
      <c r="C97" s="200"/>
      <c r="D97" s="200"/>
      <c r="E97" s="200"/>
      <c r="F97" s="200"/>
      <c r="G97" s="200"/>
      <c r="H97" s="201"/>
      <c r="I97" s="70">
        <f t="array" ref="I97">SUM(($B97:$H97="confirmed")*($B$4:$H$4=25))</f>
        <v>0</v>
      </c>
      <c r="J97" s="43">
        <f t="array" ref="J97">SUM(($B97:$H97="standby")*($B$4:$H$4=25))</f>
        <v>0</v>
      </c>
      <c r="K97" s="43">
        <f t="array" ref="K97">SUM(($B97:$H97="confirmed")*($B$4:$H$4=10))</f>
        <v>0</v>
      </c>
      <c r="L97" s="43">
        <f t="array" ref="L97">SUM(($B97:$H97="standby")*($B$4:$H$4=10))</f>
        <v>0</v>
      </c>
      <c r="M97" s="72">
        <f t="shared" si="10"/>
        <v>0</v>
      </c>
      <c r="N97" s="72">
        <f t="shared" si="11"/>
        <v>0</v>
      </c>
      <c r="O97" s="73">
        <f t="shared" si="12"/>
        <v>0</v>
      </c>
    </row>
    <row r="98" spans="1:15" ht="15" customHeight="1">
      <c r="A98" s="75">
        <f>'Members Data'!A90</f>
        <v>0</v>
      </c>
      <c r="B98" s="332"/>
      <c r="C98" s="200"/>
      <c r="D98" s="200"/>
      <c r="E98" s="200"/>
      <c r="F98" s="200"/>
      <c r="G98" s="200"/>
      <c r="H98" s="201"/>
      <c r="I98" s="70">
        <f t="array" ref="I98">SUM(($B98:$H98="confirmed")*($B$4:$H$4=25))</f>
        <v>0</v>
      </c>
      <c r="J98" s="43">
        <f t="array" ref="J98">SUM(($B98:$H98="standby")*($B$4:$H$4=25))</f>
        <v>0</v>
      </c>
      <c r="K98" s="43">
        <f t="array" ref="K98">SUM(($B98:$H98="confirmed")*($B$4:$H$4=10))</f>
        <v>0</v>
      </c>
      <c r="L98" s="43">
        <f t="array" ref="L98">SUM(($B98:$H98="standby")*($B$4:$H$4=10))</f>
        <v>0</v>
      </c>
      <c r="M98" s="72">
        <f t="shared" si="10"/>
        <v>0</v>
      </c>
      <c r="N98" s="72">
        <f t="shared" si="11"/>
        <v>0</v>
      </c>
      <c r="O98" s="73">
        <f t="shared" si="12"/>
        <v>0</v>
      </c>
    </row>
    <row r="99" spans="1:15" ht="15" customHeight="1">
      <c r="A99" s="75">
        <f>'Members Data'!A91</f>
        <v>0</v>
      </c>
      <c r="B99" s="199"/>
      <c r="C99" s="200"/>
      <c r="D99" s="200"/>
      <c r="E99" s="200"/>
      <c r="F99" s="200"/>
      <c r="G99" s="200"/>
      <c r="H99" s="201"/>
      <c r="I99" s="70">
        <f t="array" ref="I99">SUM(($B99:$H99="confirmed")*($B$4:$H$4=25))</f>
        <v>0</v>
      </c>
      <c r="J99" s="43">
        <f t="array" ref="J99">SUM(($B99:$H99="standby")*($B$4:$H$4=25))</f>
        <v>0</v>
      </c>
      <c r="K99" s="43">
        <f t="array" ref="K99">SUM(($B99:$H99="confirmed")*($B$4:$H$4=10))</f>
        <v>0</v>
      </c>
      <c r="L99" s="43">
        <f t="array" ref="L99">SUM(($B99:$H99="standby")*($B$4:$H$4=10))</f>
        <v>0</v>
      </c>
      <c r="M99" s="72">
        <f t="shared" si="10"/>
        <v>0</v>
      </c>
      <c r="N99" s="72">
        <f t="shared" si="11"/>
        <v>0</v>
      </c>
      <c r="O99" s="73">
        <f t="shared" si="12"/>
        <v>0</v>
      </c>
    </row>
    <row r="100" spans="1:15" ht="15" customHeight="1">
      <c r="A100" s="75">
        <f>'Members Data'!A92</f>
        <v>0</v>
      </c>
      <c r="B100" s="199"/>
      <c r="C100" s="200"/>
      <c r="D100" s="200"/>
      <c r="E100" s="200"/>
      <c r="F100" s="200"/>
      <c r="G100" s="200"/>
      <c r="H100" s="201"/>
      <c r="I100" s="70">
        <f t="array" ref="I100">SUM(($B100:$H100="confirmed")*($B$4:$H$4=25))</f>
        <v>0</v>
      </c>
      <c r="J100" s="43">
        <f t="array" ref="J100">SUM(($B100:$H100="standby")*($B$4:$H$4=25))</f>
        <v>0</v>
      </c>
      <c r="K100" s="43">
        <f t="array" ref="K100">SUM(($B100:$H100="confirmed")*($B$4:$H$4=10))</f>
        <v>0</v>
      </c>
      <c r="L100" s="43">
        <f t="array" ref="L100">SUM(($B100:$H100="standby")*($B$4:$H$4=10))</f>
        <v>0</v>
      </c>
      <c r="M100" s="72">
        <f t="shared" si="10"/>
        <v>0</v>
      </c>
      <c r="N100" s="72">
        <f t="shared" si="11"/>
        <v>0</v>
      </c>
      <c r="O100" s="73">
        <f t="shared" si="12"/>
        <v>0</v>
      </c>
    </row>
    <row r="101" spans="1:15" ht="15" customHeight="1">
      <c r="A101" s="75">
        <f>'Members Data'!A93</f>
        <v>0</v>
      </c>
      <c r="B101" s="199"/>
      <c r="C101" s="200"/>
      <c r="D101" s="200"/>
      <c r="E101" s="200"/>
      <c r="F101" s="200"/>
      <c r="G101" s="200"/>
      <c r="H101" s="201"/>
      <c r="I101" s="70">
        <f t="array" ref="I101">SUM(($B101:$H101="confirmed")*($B$4:$H$4=25))</f>
        <v>0</v>
      </c>
      <c r="J101" s="43">
        <f t="array" ref="J101">SUM(($B101:$H101="standby")*($B$4:$H$4=25))</f>
        <v>0</v>
      </c>
      <c r="K101" s="43">
        <f t="array" ref="K101">SUM(($B101:$H101="confirmed")*($B$4:$H$4=10))</f>
        <v>0</v>
      </c>
      <c r="L101" s="43">
        <f t="array" ref="L101">SUM(($B101:$H101="standby")*($B$4:$H$4=10))</f>
        <v>0</v>
      </c>
      <c r="M101" s="72">
        <f t="shared" si="10"/>
        <v>0</v>
      </c>
      <c r="N101" s="72">
        <f t="shared" si="11"/>
        <v>0</v>
      </c>
      <c r="O101" s="73">
        <f t="shared" si="12"/>
        <v>0</v>
      </c>
    </row>
    <row r="102" spans="1:15" ht="15" customHeight="1">
      <c r="A102" s="75">
        <f>'Members Data'!A94</f>
        <v>0</v>
      </c>
      <c r="B102" s="199"/>
      <c r="C102" s="200"/>
      <c r="D102" s="200"/>
      <c r="E102" s="200"/>
      <c r="F102" s="200"/>
      <c r="G102" s="200"/>
      <c r="H102" s="201"/>
      <c r="I102" s="70">
        <f t="array" ref="I102">SUM(($B102:$H102="confirmed")*($B$4:$H$4=25))</f>
        <v>0</v>
      </c>
      <c r="J102" s="43">
        <f t="array" ref="J102">SUM(($B102:$H102="standby")*($B$4:$H$4=25))</f>
        <v>0</v>
      </c>
      <c r="K102" s="43">
        <f t="array" ref="K102">SUM(($B102:$H102="confirmed")*($B$4:$H$4=10))</f>
        <v>0</v>
      </c>
      <c r="L102" s="43">
        <f t="array" ref="L102">SUM(($B102:$H102="standby")*($B$4:$H$4=10))</f>
        <v>0</v>
      </c>
      <c r="M102" s="72">
        <f t="shared" si="10"/>
        <v>0</v>
      </c>
      <c r="N102" s="72">
        <f t="shared" si="11"/>
        <v>0</v>
      </c>
      <c r="O102" s="73">
        <f t="shared" si="12"/>
        <v>0</v>
      </c>
    </row>
    <row r="103" spans="1:15" ht="15" customHeight="1">
      <c r="A103" s="75">
        <f>'Members Data'!A95</f>
        <v>0</v>
      </c>
      <c r="B103" s="199"/>
      <c r="C103" s="200"/>
      <c r="D103" s="200"/>
      <c r="E103" s="200"/>
      <c r="F103" s="200"/>
      <c r="G103" s="200"/>
      <c r="H103" s="201"/>
      <c r="I103" s="70">
        <f t="array" ref="I103">SUM(($B103:$H103="confirmed")*($B$4:$H$4=25))</f>
        <v>0</v>
      </c>
      <c r="J103" s="43">
        <f t="array" ref="J103">SUM(($B103:$H103="standby")*($B$4:$H$4=25))</f>
        <v>0</v>
      </c>
      <c r="K103" s="43">
        <f t="array" ref="K103">SUM(($B103:$H103="confirmed")*($B$4:$H$4=10))</f>
        <v>0</v>
      </c>
      <c r="L103" s="43">
        <f t="array" ref="L103">SUM(($B103:$H103="standby")*($B$4:$H$4=10))</f>
        <v>0</v>
      </c>
      <c r="M103" s="72">
        <f t="shared" si="10"/>
        <v>0</v>
      </c>
      <c r="N103" s="72">
        <f t="shared" si="11"/>
        <v>0</v>
      </c>
      <c r="O103" s="73">
        <f t="shared" si="12"/>
        <v>0</v>
      </c>
    </row>
    <row r="104" spans="1:15" ht="15" customHeight="1">
      <c r="A104" s="75">
        <f>'Members Data'!A96</f>
        <v>0</v>
      </c>
      <c r="B104" s="199"/>
      <c r="C104" s="200"/>
      <c r="D104" s="200"/>
      <c r="E104" s="200"/>
      <c r="F104" s="200"/>
      <c r="G104" s="200"/>
      <c r="H104" s="201"/>
      <c r="I104" s="70">
        <f t="array" ref="I104">SUM(($B104:$H104="confirmed")*($B$4:$H$4=25))</f>
        <v>0</v>
      </c>
      <c r="J104" s="43">
        <f t="array" ref="J104">SUM(($B104:$H104="standby")*($B$4:$H$4=25))</f>
        <v>0</v>
      </c>
      <c r="K104" s="43">
        <f t="array" ref="K104">SUM(($B104:$H104="confirmed")*($B$4:$H$4=10))</f>
        <v>0</v>
      </c>
      <c r="L104" s="43">
        <f t="array" ref="L104">SUM(($B104:$H104="standby")*($B$4:$H$4=10))</f>
        <v>0</v>
      </c>
      <c r="M104" s="72">
        <f t="shared" si="10"/>
        <v>0</v>
      </c>
      <c r="N104" s="72">
        <f t="shared" si="11"/>
        <v>0</v>
      </c>
      <c r="O104" s="73">
        <f t="shared" si="12"/>
        <v>0</v>
      </c>
    </row>
    <row r="105" spans="1:15" ht="15" customHeight="1">
      <c r="A105" s="75">
        <f>'Members Data'!A97</f>
        <v>0</v>
      </c>
      <c r="B105" s="199"/>
      <c r="C105" s="200"/>
      <c r="D105" s="200"/>
      <c r="E105" s="200"/>
      <c r="F105" s="200"/>
      <c r="G105" s="200"/>
      <c r="H105" s="201"/>
      <c r="I105" s="70">
        <f t="array" ref="I105">SUM(($B105:$H105="confirmed")*($B$4:$H$4=25))</f>
        <v>0</v>
      </c>
      <c r="J105" s="43">
        <f t="array" ref="J105">SUM(($B105:$H105="standby")*($B$4:$H$4=25))</f>
        <v>0</v>
      </c>
      <c r="K105" s="43">
        <f t="array" ref="K105">SUM(($B105:$H105="confirmed")*($B$4:$H$4=10))</f>
        <v>0</v>
      </c>
      <c r="L105" s="43">
        <f t="array" ref="L105">SUM(($B105:$H105="standby")*($B$4:$H$4=10))</f>
        <v>0</v>
      </c>
      <c r="M105" s="72">
        <f t="shared" si="10"/>
        <v>0</v>
      </c>
      <c r="N105" s="72">
        <f t="shared" si="11"/>
        <v>0</v>
      </c>
      <c r="O105" s="73">
        <f t="shared" si="12"/>
        <v>0</v>
      </c>
    </row>
    <row r="106" spans="1:15" ht="15" customHeight="1">
      <c r="A106" s="75">
        <f>'Members Data'!A98</f>
        <v>0</v>
      </c>
      <c r="B106" s="199"/>
      <c r="C106" s="200"/>
      <c r="D106" s="200"/>
      <c r="E106" s="200"/>
      <c r="F106" s="200"/>
      <c r="G106" s="200"/>
      <c r="H106" s="201"/>
      <c r="I106" s="70">
        <f t="array" ref="I106">SUM(($B106:$H106="confirmed")*($B$4:$H$4=25))</f>
        <v>0</v>
      </c>
      <c r="J106" s="43">
        <f t="array" ref="J106">SUM(($B106:$H106="standby")*($B$4:$H$4=25))</f>
        <v>0</v>
      </c>
      <c r="K106" s="43">
        <f t="array" ref="K106">SUM(($B106:$H106="confirmed")*($B$4:$H$4=10))</f>
        <v>0</v>
      </c>
      <c r="L106" s="43">
        <f t="array" ref="L106">SUM(($B106:$H106="standby")*($B$4:$H$4=10))</f>
        <v>0</v>
      </c>
      <c r="M106" s="72">
        <f t="shared" si="10"/>
        <v>0</v>
      </c>
      <c r="N106" s="72">
        <f t="shared" si="11"/>
        <v>0</v>
      </c>
      <c r="O106" s="73">
        <f t="shared" si="12"/>
        <v>0</v>
      </c>
    </row>
    <row r="107" spans="1:15" ht="15" customHeight="1">
      <c r="A107" s="75">
        <f>'Members Data'!A99</f>
        <v>0</v>
      </c>
      <c r="B107" s="199"/>
      <c r="C107" s="200"/>
      <c r="D107" s="200"/>
      <c r="E107" s="200"/>
      <c r="F107" s="200"/>
      <c r="G107" s="200"/>
      <c r="H107" s="201"/>
      <c r="I107" s="70">
        <f t="array" ref="I107">SUM(($B107:$H107="confirmed")*($B$4:$H$4=25))</f>
        <v>0</v>
      </c>
      <c r="J107" s="43">
        <f t="array" ref="J107">SUM(($B107:$H107="standby")*($B$4:$H$4=25))</f>
        <v>0</v>
      </c>
      <c r="K107" s="43">
        <f t="array" ref="K107">SUM(($B107:$H107="confirmed")*($B$4:$H$4=10))</f>
        <v>0</v>
      </c>
      <c r="L107" s="43">
        <f t="array" ref="L107">SUM(($B107:$H107="standby")*($B$4:$H$4=10))</f>
        <v>0</v>
      </c>
      <c r="M107" s="72">
        <f t="shared" si="10"/>
        <v>0</v>
      </c>
      <c r="N107" s="72">
        <f t="shared" si="11"/>
        <v>0</v>
      </c>
      <c r="O107" s="73">
        <f t="shared" si="12"/>
        <v>0</v>
      </c>
    </row>
    <row r="108" spans="1:15" ht="15" customHeight="1" thickBot="1">
      <c r="A108" s="142">
        <f>'Members Data'!A100</f>
        <v>0</v>
      </c>
      <c r="B108" s="208"/>
      <c r="C108" s="209"/>
      <c r="D108" s="209"/>
      <c r="E108" s="209"/>
      <c r="F108" s="209"/>
      <c r="G108" s="209"/>
      <c r="H108" s="210"/>
      <c r="I108" s="225">
        <f t="array" ref="I108">SUM(($B108:$H108="confirmed")*($B$4:$H$4=25))</f>
        <v>0</v>
      </c>
      <c r="J108" s="52">
        <f t="array" ref="J108">SUM(($B108:$H108="standby")*($B$4:$H$4=25))</f>
        <v>0</v>
      </c>
      <c r="K108" s="52">
        <f t="array" ref="K108">SUM(($B108:$H108="confirmed")*($B$4:$H$4=10))</f>
        <v>0</v>
      </c>
      <c r="L108" s="52">
        <f t="array" ref="L108">SUM(($B108:$H108="standby")*($B$4:$H$4=10))</f>
        <v>0</v>
      </c>
      <c r="M108" s="77">
        <f t="shared" si="10"/>
        <v>0</v>
      </c>
      <c r="N108" s="77">
        <f t="shared" si="11"/>
        <v>0</v>
      </c>
      <c r="O108" s="78">
        <f t="shared" si="12"/>
        <v>0</v>
      </c>
    </row>
  </sheetData>
  <mergeCells count="7">
    <mergeCell ref="M1:M9"/>
    <mergeCell ref="N1:N9"/>
    <mergeCell ref="O1:O9"/>
    <mergeCell ref="I1:I9"/>
    <mergeCell ref="J1:J9"/>
    <mergeCell ref="K1:K9"/>
    <mergeCell ref="L1:L9"/>
  </mergeCells>
  <conditionalFormatting sqref="A10:A108">
    <cfRule type="expression" dxfId="14" priority="1" stopIfTrue="1">
      <formula>IF(O10&gt;0,TRUE)</formula>
    </cfRule>
    <cfRule type="expression" dxfId="13" priority="2" stopIfTrue="1">
      <formula>IF(SUM(M10:N10)&gt;1,TRUE)</formula>
    </cfRule>
    <cfRule type="expression" dxfId="12" priority="3" stopIfTrue="1">
      <formula>IF(SUM(M10:N10)&lt;2,TRUE)</formula>
    </cfRule>
  </conditionalFormatting>
  <dataValidations count="2">
    <dataValidation type="list" operator="equal" showErrorMessage="1" sqref="R5:R9 B10:H108">
      <formula1>"Invited,Confirmed,Standby,Out"</formula1>
      <formula2>0</formula2>
    </dataValidation>
    <dataValidation type="list" operator="equal" sqref="B4:H4">
      <formula1>"??,10,25"</formula1>
      <formula2>0</formula2>
    </dataValidation>
  </dataValidations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 r:id="rId1"/>
  <headerFooter alignWithMargins="0">
    <oddHeader>&amp;C&amp;"Times New Roman,Regular"&amp;12&amp;A</oddHeader>
    <oddFooter>&amp;C&amp;"Times New Roman,Regular"&amp;12Page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U108"/>
  <sheetViews>
    <sheetView zoomScale="101" zoomScaleNormal="101" workbookViewId="0">
      <pane xSplit="1" ySplit="9" topLeftCell="B10" activePane="bottomRight" state="frozen"/>
      <selection activeCell="F51" sqref="F47:F51"/>
      <selection pane="topRight" activeCell="F51" sqref="F47:F51"/>
      <selection pane="bottomLeft" activeCell="F51" sqref="F47:F51"/>
      <selection pane="bottomRight" activeCell="H13" sqref="H13"/>
    </sheetView>
  </sheetViews>
  <sheetFormatPr defaultColWidth="8.7109375" defaultRowHeight="15" customHeight="1"/>
  <cols>
    <col min="1" max="1" width="14" style="1" customWidth="1"/>
    <col min="2" max="8" width="11.140625" style="1" customWidth="1"/>
    <col min="9" max="15" width="10.28515625" style="1" customWidth="1"/>
    <col min="16" max="16384" width="8.7109375" style="1"/>
  </cols>
  <sheetData>
    <row r="1" spans="1:21" ht="33" customHeight="1" thickBot="1">
      <c r="A1" s="54" t="s">
        <v>26</v>
      </c>
      <c r="B1" s="55" t="s">
        <v>190</v>
      </c>
      <c r="C1" s="55" t="s">
        <v>191</v>
      </c>
      <c r="D1" s="55" t="s">
        <v>192</v>
      </c>
      <c r="E1" s="55" t="s">
        <v>193</v>
      </c>
      <c r="F1" s="55" t="s">
        <v>194</v>
      </c>
      <c r="G1" s="55" t="s">
        <v>197</v>
      </c>
      <c r="H1" s="55" t="s">
        <v>40</v>
      </c>
      <c r="I1" s="504" t="s">
        <v>41</v>
      </c>
      <c r="J1" s="498" t="s">
        <v>42</v>
      </c>
      <c r="K1" s="498" t="s">
        <v>43</v>
      </c>
      <c r="L1" s="498" t="s">
        <v>44</v>
      </c>
      <c r="M1" s="498" t="s">
        <v>45</v>
      </c>
      <c r="N1" s="498" t="s">
        <v>46</v>
      </c>
      <c r="O1" s="501" t="s">
        <v>47</v>
      </c>
    </row>
    <row r="2" spans="1:21" ht="15.75" customHeight="1" thickBot="1">
      <c r="A2" s="54" t="s">
        <v>48</v>
      </c>
      <c r="B2" s="220">
        <f>'wk2'!H2+2</f>
        <v>41528</v>
      </c>
      <c r="C2" s="211">
        <f>B2</f>
        <v>41528</v>
      </c>
      <c r="D2" s="211">
        <f t="shared" ref="D2:H2" si="0">C2+1</f>
        <v>41529</v>
      </c>
      <c r="E2" s="211">
        <f>D2</f>
        <v>41529</v>
      </c>
      <c r="F2" s="211">
        <f>E2+3</f>
        <v>41532</v>
      </c>
      <c r="G2" s="211">
        <f>F2</f>
        <v>41532</v>
      </c>
      <c r="H2" s="212">
        <f t="shared" si="0"/>
        <v>41533</v>
      </c>
      <c r="I2" s="505"/>
      <c r="J2" s="499"/>
      <c r="K2" s="499"/>
      <c r="L2" s="499"/>
      <c r="M2" s="499"/>
      <c r="N2" s="499"/>
      <c r="O2" s="502"/>
    </row>
    <row r="3" spans="1:21" ht="15.75" customHeight="1" thickBot="1">
      <c r="A3" s="54" t="s">
        <v>49</v>
      </c>
      <c r="B3" s="60" t="s">
        <v>259</v>
      </c>
      <c r="C3" s="61"/>
      <c r="D3" s="61" t="s">
        <v>259</v>
      </c>
      <c r="E3" s="61"/>
      <c r="F3" s="61"/>
      <c r="G3" s="61"/>
      <c r="H3" s="62" t="s">
        <v>259</v>
      </c>
      <c r="I3" s="505"/>
      <c r="J3" s="499"/>
      <c r="K3" s="499"/>
      <c r="L3" s="499"/>
      <c r="M3" s="499"/>
      <c r="N3" s="499"/>
      <c r="O3" s="502"/>
    </row>
    <row r="4" spans="1:21" ht="15.75" customHeight="1" thickBot="1">
      <c r="A4" s="54" t="s">
        <v>50</v>
      </c>
      <c r="B4" s="213">
        <v>25</v>
      </c>
      <c r="C4" s="61"/>
      <c r="D4" s="61">
        <v>25</v>
      </c>
      <c r="E4" s="61"/>
      <c r="F4" s="61"/>
      <c r="G4" s="61"/>
      <c r="H4" s="62">
        <v>25</v>
      </c>
      <c r="I4" s="505"/>
      <c r="J4" s="499"/>
      <c r="K4" s="499"/>
      <c r="L4" s="499"/>
      <c r="M4" s="499"/>
      <c r="N4" s="499"/>
      <c r="O4" s="502"/>
    </row>
    <row r="5" spans="1:21" ht="30.75" customHeight="1" thickBot="1">
      <c r="A5" s="54" t="s">
        <v>51</v>
      </c>
      <c r="B5" s="64"/>
      <c r="C5" s="65"/>
      <c r="D5" s="65"/>
      <c r="E5" s="65"/>
      <c r="F5" s="65"/>
      <c r="G5" s="65"/>
      <c r="H5" s="66"/>
      <c r="I5" s="505"/>
      <c r="J5" s="499"/>
      <c r="K5" s="499"/>
      <c r="L5" s="499"/>
      <c r="M5" s="499"/>
      <c r="N5" s="499"/>
      <c r="O5" s="502"/>
      <c r="R5" s="71"/>
    </row>
    <row r="6" spans="1:21" ht="30.75" customHeight="1" thickBot="1">
      <c r="A6" s="54" t="s">
        <v>195</v>
      </c>
      <c r="B6" s="374"/>
      <c r="C6" s="374"/>
      <c r="D6" s="374"/>
      <c r="E6" s="374"/>
      <c r="F6" s="374"/>
      <c r="G6" s="374"/>
      <c r="H6" s="375"/>
      <c r="I6" s="505"/>
      <c r="J6" s="499"/>
      <c r="K6" s="499"/>
      <c r="L6" s="499"/>
      <c r="M6" s="499"/>
      <c r="N6" s="499"/>
      <c r="O6" s="502"/>
      <c r="R6" s="71"/>
    </row>
    <row r="7" spans="1:21">
      <c r="A7" s="54" t="s">
        <v>53</v>
      </c>
      <c r="B7" s="214">
        <f t="shared" ref="B7:H7" si="1">COUNTIF(B10:B69,"Confirmed")</f>
        <v>25</v>
      </c>
      <c r="C7" s="214">
        <f t="shared" si="1"/>
        <v>0</v>
      </c>
      <c r="D7" s="214">
        <f t="shared" si="1"/>
        <v>25</v>
      </c>
      <c r="E7" s="214">
        <f t="shared" si="1"/>
        <v>0</v>
      </c>
      <c r="F7" s="214">
        <f t="shared" si="1"/>
        <v>0</v>
      </c>
      <c r="G7" s="214">
        <f t="shared" si="1"/>
        <v>0</v>
      </c>
      <c r="H7" s="215">
        <f t="shared" si="1"/>
        <v>25</v>
      </c>
      <c r="I7" s="505"/>
      <c r="J7" s="499"/>
      <c r="K7" s="499"/>
      <c r="L7" s="499"/>
      <c r="M7" s="499"/>
      <c r="N7" s="499"/>
      <c r="O7" s="502"/>
      <c r="R7" s="71"/>
    </row>
    <row r="8" spans="1:21">
      <c r="A8" s="58" t="s">
        <v>52</v>
      </c>
      <c r="B8" s="216">
        <f t="shared" ref="B8:H8" si="2">COUNTIF(B10:B69,"Standby")</f>
        <v>3</v>
      </c>
      <c r="C8" s="216">
        <f t="shared" si="2"/>
        <v>0</v>
      </c>
      <c r="D8" s="216">
        <f t="shared" si="2"/>
        <v>2</v>
      </c>
      <c r="E8" s="216">
        <f t="shared" si="2"/>
        <v>0</v>
      </c>
      <c r="F8" s="216">
        <f t="shared" si="2"/>
        <v>0</v>
      </c>
      <c r="G8" s="216">
        <f t="shared" si="2"/>
        <v>0</v>
      </c>
      <c r="H8" s="217">
        <f t="shared" si="2"/>
        <v>4</v>
      </c>
      <c r="I8" s="505"/>
      <c r="J8" s="499"/>
      <c r="K8" s="499"/>
      <c r="L8" s="499"/>
      <c r="M8" s="499"/>
      <c r="N8" s="499"/>
      <c r="O8" s="502"/>
      <c r="R8" s="71"/>
    </row>
    <row r="9" spans="1:21" ht="15.75" thickBot="1">
      <c r="A9" s="63" t="s">
        <v>39</v>
      </c>
      <c r="B9" s="218">
        <f t="shared" ref="B9:H9" si="3">COUNTIF(B10:B69,"Out")</f>
        <v>0</v>
      </c>
      <c r="C9" s="218">
        <f t="shared" si="3"/>
        <v>0</v>
      </c>
      <c r="D9" s="218">
        <f t="shared" si="3"/>
        <v>0</v>
      </c>
      <c r="E9" s="218">
        <f t="shared" si="3"/>
        <v>0</v>
      </c>
      <c r="F9" s="218">
        <f t="shared" si="3"/>
        <v>0</v>
      </c>
      <c r="G9" s="218">
        <f t="shared" si="3"/>
        <v>0</v>
      </c>
      <c r="H9" s="219">
        <f t="shared" si="3"/>
        <v>0</v>
      </c>
      <c r="I9" s="506"/>
      <c r="J9" s="500"/>
      <c r="K9" s="500"/>
      <c r="L9" s="500"/>
      <c r="M9" s="500"/>
      <c r="N9" s="500"/>
      <c r="O9" s="503"/>
      <c r="R9" s="71"/>
    </row>
    <row r="10" spans="1:21" ht="15" customHeight="1">
      <c r="A10" s="5" t="str">
        <f>'Members Data'!A2</f>
        <v>Adanya</v>
      </c>
      <c r="B10" s="196" t="s">
        <v>53</v>
      </c>
      <c r="C10" s="197"/>
      <c r="D10" s="197" t="s">
        <v>53</v>
      </c>
      <c r="E10" s="197"/>
      <c r="F10" s="197"/>
      <c r="G10" s="197"/>
      <c r="H10" s="198" t="s">
        <v>53</v>
      </c>
      <c r="I10" s="67">
        <f t="array" ref="I10">SUM(($B10:$H10="confirmed")*($B$4:$H$4=25))</f>
        <v>3</v>
      </c>
      <c r="J10" s="68">
        <f t="array" ref="J10">SUM(($B10:$H10="standby")*($B$4:$H$4=25))</f>
        <v>0</v>
      </c>
      <c r="K10" s="68">
        <f t="array" ref="K10">SUM(($B10:$H10="confirmed")*($B$4:$H$4=10))</f>
        <v>0</v>
      </c>
      <c r="L10" s="68">
        <f t="array" ref="L10">SUM(($B10:$H10="standby")*($B$4:$H$4=10))</f>
        <v>0</v>
      </c>
      <c r="M10" s="68">
        <f t="shared" ref="M10:M41" si="4">COUNTIF(B10:H10,"confirmed")</f>
        <v>3</v>
      </c>
      <c r="N10" s="68">
        <f t="shared" ref="N10:N41" si="5">COUNTIF(B10:H10,"standby")</f>
        <v>0</v>
      </c>
      <c r="O10" s="69">
        <f t="shared" ref="O10:O41" si="6">COUNTIF(B10:H10,"out")</f>
        <v>0</v>
      </c>
      <c r="R10" s="71"/>
    </row>
    <row r="11" spans="1:21" ht="15" customHeight="1">
      <c r="A11" s="9" t="str">
        <f>'Members Data'!A3</f>
        <v>Ambú</v>
      </c>
      <c r="B11" s="199" t="s">
        <v>53</v>
      </c>
      <c r="C11" s="200"/>
      <c r="D11" s="200" t="s">
        <v>53</v>
      </c>
      <c r="E11" s="200"/>
      <c r="F11" s="200"/>
      <c r="G11" s="200"/>
      <c r="H11" s="201" t="s">
        <v>53</v>
      </c>
      <c r="I11" s="70">
        <f t="array" ref="I11">SUM(($B11:$H11="confirmed")*($B$4:$H$4=25))</f>
        <v>3</v>
      </c>
      <c r="J11" s="43">
        <f t="array" ref="J11">SUM(($B11:$H11="standby")*($B$4:$H$4=25))</f>
        <v>0</v>
      </c>
      <c r="K11" s="43">
        <f t="array" ref="K11">SUM(($B11:$H11="confirmed")*($B$4:$H$4=10))</f>
        <v>0</v>
      </c>
      <c r="L11" s="43">
        <f t="array" ref="L11">SUM(($B11:$H11="standby")*($B$4:$H$4=10))</f>
        <v>0</v>
      </c>
      <c r="M11" s="15">
        <f t="shared" si="4"/>
        <v>3</v>
      </c>
      <c r="N11" s="15">
        <f t="shared" si="5"/>
        <v>0</v>
      </c>
      <c r="O11" s="16">
        <f t="shared" si="6"/>
        <v>0</v>
      </c>
      <c r="Q11"/>
      <c r="U11"/>
    </row>
    <row r="12" spans="1:21" ht="15" customHeight="1">
      <c r="A12" s="9" t="str">
        <f>'Members Data'!A4</f>
        <v>Ashenhand</v>
      </c>
      <c r="B12" s="199" t="s">
        <v>53</v>
      </c>
      <c r="C12" s="200"/>
      <c r="D12" s="200" t="s">
        <v>53</v>
      </c>
      <c r="E12" s="200"/>
      <c r="F12" s="200"/>
      <c r="G12" s="200"/>
      <c r="H12" s="201" t="s">
        <v>53</v>
      </c>
      <c r="I12" s="70">
        <f t="array" ref="I12">SUM(($B12:$H12="confirmed")*($B$4:$H$4=25))</f>
        <v>3</v>
      </c>
      <c r="J12" s="43">
        <f t="array" ref="J12">SUM(($B12:$H12="standby")*($B$4:$H$4=25))</f>
        <v>0</v>
      </c>
      <c r="K12" s="43">
        <f t="array" ref="K12">SUM(($B12:$H12="confirmed")*($B$4:$H$4=10))</f>
        <v>0</v>
      </c>
      <c r="L12" s="43">
        <f t="array" ref="L12">SUM(($B12:$H12="standby")*($B$4:$H$4=10))</f>
        <v>0</v>
      </c>
      <c r="M12" s="15">
        <f t="shared" si="4"/>
        <v>3</v>
      </c>
      <c r="N12" s="15">
        <f t="shared" si="5"/>
        <v>0</v>
      </c>
      <c r="O12" s="16">
        <f t="shared" si="6"/>
        <v>0</v>
      </c>
      <c r="Q12"/>
      <c r="U12"/>
    </row>
    <row r="13" spans="1:21" ht="15" customHeight="1">
      <c r="A13" s="9" t="str">
        <f>'Members Data'!A5</f>
        <v>Âspect</v>
      </c>
      <c r="B13" s="199"/>
      <c r="C13" s="200"/>
      <c r="D13" s="200"/>
      <c r="E13" s="200"/>
      <c r="F13" s="200"/>
      <c r="G13" s="200"/>
      <c r="H13" s="201" t="s">
        <v>53</v>
      </c>
      <c r="I13" s="70">
        <f t="array" ref="I13">SUM(($B13:$H13="confirmed")*($B$4:$H$4=25))</f>
        <v>1</v>
      </c>
      <c r="J13" s="43">
        <f t="array" ref="J13">SUM(($B13:$H13="standby")*($B$4:$H$4=25))</f>
        <v>0</v>
      </c>
      <c r="K13" s="43">
        <f t="array" ref="K13">SUM(($B13:$H13="confirmed")*($B$4:$H$4=10))</f>
        <v>0</v>
      </c>
      <c r="L13" s="43">
        <f t="array" ref="L13">SUM(($B13:$H13="standby")*($B$4:$H$4=10))</f>
        <v>0</v>
      </c>
      <c r="M13" s="15">
        <f t="shared" si="4"/>
        <v>1</v>
      </c>
      <c r="N13" s="15">
        <f t="shared" si="5"/>
        <v>0</v>
      </c>
      <c r="O13" s="16">
        <f t="shared" si="6"/>
        <v>0</v>
      </c>
      <c r="Q13"/>
      <c r="U13"/>
    </row>
    <row r="14" spans="1:21" ht="15" customHeight="1">
      <c r="A14" s="9" t="str">
        <f>'Members Data'!A6</f>
        <v>Assap</v>
      </c>
      <c r="B14" s="199" t="s">
        <v>53</v>
      </c>
      <c r="C14" s="200"/>
      <c r="D14" s="202" t="s">
        <v>53</v>
      </c>
      <c r="E14" s="200"/>
      <c r="F14" s="200"/>
      <c r="G14" s="200"/>
      <c r="H14" s="201" t="s">
        <v>52</v>
      </c>
      <c r="I14" s="70">
        <f t="array" ref="I14">SUM(($B14:$H14="confirmed")*($B$4:$H$4=25))</f>
        <v>2</v>
      </c>
      <c r="J14" s="43">
        <f t="array" ref="J14">SUM(($B14:$H14="standby")*($B$4:$H$4=25))</f>
        <v>1</v>
      </c>
      <c r="K14" s="43">
        <f t="array" ref="K14">SUM(($B14:$H14="confirmed")*($B$4:$H$4=10))</f>
        <v>0</v>
      </c>
      <c r="L14" s="43">
        <f t="array" ref="L14">SUM(($B14:$H14="standby")*($B$4:$H$4=10))</f>
        <v>0</v>
      </c>
      <c r="M14" s="15">
        <f t="shared" si="4"/>
        <v>2</v>
      </c>
      <c r="N14" s="15">
        <f t="shared" si="5"/>
        <v>1</v>
      </c>
      <c r="O14" s="16">
        <f t="shared" si="6"/>
        <v>0</v>
      </c>
      <c r="Q14"/>
      <c r="U14"/>
    </row>
    <row r="15" spans="1:21" ht="15" customHeight="1">
      <c r="A15" s="9" t="str">
        <f>'Members Data'!A7</f>
        <v>Bonegasmic</v>
      </c>
      <c r="B15" s="332" t="s">
        <v>53</v>
      </c>
      <c r="C15" s="200"/>
      <c r="D15" s="202" t="s">
        <v>53</v>
      </c>
      <c r="E15" s="200"/>
      <c r="F15" s="200"/>
      <c r="G15" s="200"/>
      <c r="H15" s="201" t="s">
        <v>53</v>
      </c>
      <c r="I15" s="70">
        <f t="array" ref="I15">SUM(($B15:$H15="confirmed")*($B$4:$H$4=25))</f>
        <v>3</v>
      </c>
      <c r="J15" s="43">
        <f t="array" ref="J15">SUM(($B15:$H15="standby")*($B$4:$H$4=25))</f>
        <v>0</v>
      </c>
      <c r="K15" s="43">
        <f t="array" ref="K15">SUM(($B15:$H15="confirmed")*($B$4:$H$4=10))</f>
        <v>0</v>
      </c>
      <c r="L15" s="43">
        <f t="array" ref="L15">SUM(($B15:$H15="standby")*($B$4:$H$4=10))</f>
        <v>0</v>
      </c>
      <c r="M15" s="15">
        <f t="shared" si="4"/>
        <v>3</v>
      </c>
      <c r="N15" s="15">
        <f t="shared" si="5"/>
        <v>0</v>
      </c>
      <c r="O15" s="16">
        <f t="shared" si="6"/>
        <v>0</v>
      </c>
      <c r="Q15"/>
      <c r="U15"/>
    </row>
    <row r="16" spans="1:21" ht="15" customHeight="1">
      <c r="A16" s="9" t="str">
        <f>'Members Data'!A8</f>
        <v>Brákspak</v>
      </c>
      <c r="B16" s="199" t="s">
        <v>53</v>
      </c>
      <c r="C16" s="200"/>
      <c r="D16" s="200" t="s">
        <v>53</v>
      </c>
      <c r="E16" s="200"/>
      <c r="F16" s="200"/>
      <c r="G16" s="200"/>
      <c r="H16" s="201" t="s">
        <v>53</v>
      </c>
      <c r="I16" s="70">
        <f t="array" ref="I16">SUM(($B16:$H16="confirmed")*($B$4:$H$4=25))</f>
        <v>3</v>
      </c>
      <c r="J16" s="43">
        <f t="array" ref="J16">SUM(($B16:$H16="standby")*($B$4:$H$4=25))</f>
        <v>0</v>
      </c>
      <c r="K16" s="43">
        <f t="array" ref="K16">SUM(($B16:$H16="confirmed")*($B$4:$H$4=10))</f>
        <v>0</v>
      </c>
      <c r="L16" s="43">
        <f t="array" ref="L16">SUM(($B16:$H16="standby")*($B$4:$H$4=10))</f>
        <v>0</v>
      </c>
      <c r="M16" s="15">
        <f t="shared" si="4"/>
        <v>3</v>
      </c>
      <c r="N16" s="15">
        <f t="shared" si="5"/>
        <v>0</v>
      </c>
      <c r="O16" s="16">
        <f t="shared" si="6"/>
        <v>0</v>
      </c>
      <c r="Q16"/>
      <c r="U16"/>
    </row>
    <row r="17" spans="1:21" ht="15" customHeight="1">
      <c r="A17" s="9" t="str">
        <f>'Members Data'!A9</f>
        <v>Catena</v>
      </c>
      <c r="B17" s="199" t="s">
        <v>53</v>
      </c>
      <c r="C17" s="200"/>
      <c r="D17" s="200" t="s">
        <v>52</v>
      </c>
      <c r="E17" s="200"/>
      <c r="F17" s="200"/>
      <c r="G17" s="200"/>
      <c r="H17" s="201"/>
      <c r="I17" s="70">
        <f t="array" ref="I17">SUM(($B17:$H17="confirmed")*($B$4:$H$4=25))</f>
        <v>1</v>
      </c>
      <c r="J17" s="43">
        <f t="array" ref="J17">SUM(($B17:$H17="standby")*($B$4:$H$4=25))</f>
        <v>1</v>
      </c>
      <c r="K17" s="43">
        <f t="array" ref="K17">SUM(($B17:$H17="confirmed")*($B$4:$H$4=10))</f>
        <v>0</v>
      </c>
      <c r="L17" s="43">
        <f t="array" ref="L17">SUM(($B17:$H17="standby")*($B$4:$H$4=10))</f>
        <v>0</v>
      </c>
      <c r="M17" s="15">
        <f t="shared" si="4"/>
        <v>1</v>
      </c>
      <c r="N17" s="15">
        <f t="shared" si="5"/>
        <v>1</v>
      </c>
      <c r="O17" s="16">
        <f t="shared" si="6"/>
        <v>0</v>
      </c>
      <c r="Q17"/>
      <c r="U17"/>
    </row>
    <row r="18" spans="1:21" ht="15" customHeight="1">
      <c r="A18" s="9" t="str">
        <f>'Members Data'!A10</f>
        <v>Céléstine</v>
      </c>
      <c r="B18" s="332"/>
      <c r="C18" s="200"/>
      <c r="D18" s="202" t="s">
        <v>53</v>
      </c>
      <c r="E18" s="200"/>
      <c r="F18" s="200"/>
      <c r="G18" s="200"/>
      <c r="H18" s="201" t="s">
        <v>53</v>
      </c>
      <c r="I18" s="70">
        <f t="array" ref="I18">SUM(($B18:$H18="confirmed")*($B$4:$H$4=25))</f>
        <v>2</v>
      </c>
      <c r="J18" s="43">
        <f t="array" ref="J18">SUM(($B18:$H18="standby")*($B$4:$H$4=25))</f>
        <v>0</v>
      </c>
      <c r="K18" s="43">
        <f t="array" ref="K18">SUM(($B18:$H18="confirmed")*($B$4:$H$4=10))</f>
        <v>0</v>
      </c>
      <c r="L18" s="43">
        <f t="array" ref="L18">SUM(($B18:$H18="standby")*($B$4:$H$4=10))</f>
        <v>0</v>
      </c>
      <c r="M18" s="15">
        <f t="shared" si="4"/>
        <v>2</v>
      </c>
      <c r="N18" s="15">
        <f t="shared" si="5"/>
        <v>0</v>
      </c>
      <c r="O18" s="16">
        <f t="shared" si="6"/>
        <v>0</v>
      </c>
      <c r="Q18"/>
      <c r="U18"/>
    </row>
    <row r="19" spans="1:21" ht="15" customHeight="1">
      <c r="A19" s="9" t="str">
        <f>'Members Data'!A11</f>
        <v>Cottman</v>
      </c>
      <c r="B19" s="199"/>
      <c r="C19" s="200"/>
      <c r="D19" s="200"/>
      <c r="E19" s="200"/>
      <c r="F19" s="200"/>
      <c r="G19" s="200"/>
      <c r="H19" s="201" t="s">
        <v>53</v>
      </c>
      <c r="I19" s="70">
        <f t="array" ref="I19">SUM(($B19:$H19="confirmed")*($B$4:$H$4=25))</f>
        <v>1</v>
      </c>
      <c r="J19" s="43">
        <f t="array" ref="J19">SUM(($B19:$H19="standby")*($B$4:$H$4=25))</f>
        <v>0</v>
      </c>
      <c r="K19" s="43">
        <f t="array" ref="K19">SUM(($B19:$H19="confirmed")*($B$4:$H$4=10))</f>
        <v>0</v>
      </c>
      <c r="L19" s="43">
        <f t="array" ref="L19">SUM(($B19:$H19="standby")*($B$4:$H$4=10))</f>
        <v>0</v>
      </c>
      <c r="M19" s="15">
        <f t="shared" si="4"/>
        <v>1</v>
      </c>
      <c r="N19" s="15">
        <f t="shared" si="5"/>
        <v>0</v>
      </c>
      <c r="O19" s="16">
        <f t="shared" si="6"/>
        <v>0</v>
      </c>
      <c r="Q19"/>
      <c r="U19"/>
    </row>
    <row r="20" spans="1:21" ht="15" customHeight="1">
      <c r="A20" s="9" t="str">
        <f>'Members Data'!A12</f>
        <v>Craving</v>
      </c>
      <c r="B20" s="199" t="s">
        <v>53</v>
      </c>
      <c r="C20" s="200"/>
      <c r="D20" s="200" t="s">
        <v>53</v>
      </c>
      <c r="E20" s="200"/>
      <c r="F20" s="200"/>
      <c r="G20" s="200"/>
      <c r="H20" s="201" t="s">
        <v>53</v>
      </c>
      <c r="I20" s="70">
        <f t="array" ref="I20">SUM(($B20:$H20="confirmed")*($B$4:$H$4=25))</f>
        <v>3</v>
      </c>
      <c r="J20" s="43">
        <f t="array" ref="J20">SUM(($B20:$H20="standby")*($B$4:$H$4=25))</f>
        <v>0</v>
      </c>
      <c r="K20" s="43">
        <f t="array" ref="K20">SUM(($B20:$H20="confirmed")*($B$4:$H$4=10))</f>
        <v>0</v>
      </c>
      <c r="L20" s="43">
        <f t="array" ref="L20">SUM(($B20:$H20="standby")*($B$4:$H$4=10))</f>
        <v>0</v>
      </c>
      <c r="M20" s="15">
        <f t="shared" si="4"/>
        <v>3</v>
      </c>
      <c r="N20" s="15">
        <f t="shared" si="5"/>
        <v>0</v>
      </c>
      <c r="O20" s="16">
        <f t="shared" si="6"/>
        <v>0</v>
      </c>
      <c r="Q20"/>
      <c r="U20"/>
    </row>
    <row r="21" spans="1:21" ht="15" customHeight="1">
      <c r="A21" s="9" t="str">
        <f>'Members Data'!A13</f>
        <v>Darshei</v>
      </c>
      <c r="B21" s="199" t="s">
        <v>52</v>
      </c>
      <c r="C21" s="200"/>
      <c r="D21" s="200" t="s">
        <v>53</v>
      </c>
      <c r="E21" s="200"/>
      <c r="F21" s="200"/>
      <c r="G21" s="200"/>
      <c r="H21" s="201" t="s">
        <v>53</v>
      </c>
      <c r="I21" s="70">
        <f t="array" ref="I21">SUM(($B21:$H21="confirmed")*($B$4:$H$4=25))</f>
        <v>2</v>
      </c>
      <c r="J21" s="43">
        <f t="array" ref="J21">SUM(($B21:$H21="standby")*($B$4:$H$4=25))</f>
        <v>1</v>
      </c>
      <c r="K21" s="43">
        <f t="array" ref="K21">SUM(($B21:$H21="confirmed")*($B$4:$H$4=10))</f>
        <v>0</v>
      </c>
      <c r="L21" s="43">
        <f t="array" ref="L21">SUM(($B21:$H21="standby")*($B$4:$H$4=10))</f>
        <v>0</v>
      </c>
      <c r="M21" s="15">
        <f t="shared" si="4"/>
        <v>2</v>
      </c>
      <c r="N21" s="15">
        <f t="shared" si="5"/>
        <v>1</v>
      </c>
      <c r="O21" s="16">
        <f t="shared" si="6"/>
        <v>0</v>
      </c>
      <c r="Q21"/>
      <c r="R21"/>
      <c r="U21"/>
    </row>
    <row r="22" spans="1:21" ht="15" customHeight="1">
      <c r="A22" s="9" t="str">
        <f>'Members Data'!A14</f>
        <v>Difson</v>
      </c>
      <c r="B22" s="199" t="s">
        <v>53</v>
      </c>
      <c r="C22" s="200"/>
      <c r="D22" s="200" t="s">
        <v>53</v>
      </c>
      <c r="E22" s="200"/>
      <c r="F22" s="200"/>
      <c r="G22" s="200"/>
      <c r="H22" s="201" t="s">
        <v>53</v>
      </c>
      <c r="I22" s="70">
        <f t="array" ref="I22">SUM(($B22:$H22="confirmed")*($B$4:$H$4=25))</f>
        <v>3</v>
      </c>
      <c r="J22" s="43">
        <f t="array" ref="J22">SUM(($B22:$H22="standby")*($B$4:$H$4=25))</f>
        <v>0</v>
      </c>
      <c r="K22" s="43">
        <f t="array" ref="K22">SUM(($B22:$H22="confirmed")*($B$4:$H$4=10))</f>
        <v>0</v>
      </c>
      <c r="L22" s="43">
        <f t="array" ref="L22">SUM(($B22:$H22="standby")*($B$4:$H$4=10))</f>
        <v>0</v>
      </c>
      <c r="M22" s="15">
        <f t="shared" si="4"/>
        <v>3</v>
      </c>
      <c r="N22" s="15">
        <f t="shared" si="5"/>
        <v>0</v>
      </c>
      <c r="O22" s="16">
        <f t="shared" si="6"/>
        <v>0</v>
      </c>
      <c r="Q22"/>
      <c r="R22"/>
      <c r="U22"/>
    </row>
    <row r="23" spans="1:21" ht="15" customHeight="1">
      <c r="A23" s="9" t="str">
        <f>'Members Data'!A15</f>
        <v>Grandhoof</v>
      </c>
      <c r="B23" s="199" t="s">
        <v>53</v>
      </c>
      <c r="C23" s="200"/>
      <c r="D23" s="200" t="s">
        <v>53</v>
      </c>
      <c r="E23" s="200"/>
      <c r="F23" s="200"/>
      <c r="G23" s="200"/>
      <c r="H23" s="201" t="s">
        <v>53</v>
      </c>
      <c r="I23" s="70">
        <f t="array" ref="I23">SUM(($B23:$H23="confirmed")*($B$4:$H$4=25))</f>
        <v>3</v>
      </c>
      <c r="J23" s="43">
        <f t="array" ref="J23">SUM(($B23:$H23="standby")*($B$4:$H$4=25))</f>
        <v>0</v>
      </c>
      <c r="K23" s="43">
        <f t="array" ref="K23">SUM(($B23:$H23="confirmed")*($B$4:$H$4=10))</f>
        <v>0</v>
      </c>
      <c r="L23" s="43">
        <f t="array" ref="L23">SUM(($B23:$H23="standby")*($B$4:$H$4=10))</f>
        <v>0</v>
      </c>
      <c r="M23" s="15">
        <f t="shared" si="4"/>
        <v>3</v>
      </c>
      <c r="N23" s="15">
        <f t="shared" si="5"/>
        <v>0</v>
      </c>
      <c r="O23" s="16">
        <f t="shared" si="6"/>
        <v>0</v>
      </c>
      <c r="Q23"/>
      <c r="U23"/>
    </row>
    <row r="24" spans="1:21" ht="15" customHeight="1">
      <c r="A24" s="9" t="str">
        <f>'Members Data'!A16</f>
        <v>Harkar</v>
      </c>
      <c r="B24" s="199" t="s">
        <v>53</v>
      </c>
      <c r="C24" s="200"/>
      <c r="D24" s="200"/>
      <c r="E24" s="200"/>
      <c r="F24" s="200"/>
      <c r="G24" s="200"/>
      <c r="H24" s="201" t="s">
        <v>53</v>
      </c>
      <c r="I24" s="70">
        <f t="array" ref="I24">SUM(($B24:$H24="confirmed")*($B$4:$H$4=25))</f>
        <v>2</v>
      </c>
      <c r="J24" s="43">
        <f t="array" ref="J24">SUM(($B24:$H24="standby")*($B$4:$H$4=25))</f>
        <v>0</v>
      </c>
      <c r="K24" s="43">
        <f t="array" ref="K24">SUM(($B24:$H24="confirmed")*($B$4:$H$4=10))</f>
        <v>0</v>
      </c>
      <c r="L24" s="43">
        <f t="array" ref="L24">SUM(($B24:$H24="standby")*($B$4:$H$4=10))</f>
        <v>0</v>
      </c>
      <c r="M24" s="15">
        <f t="shared" si="4"/>
        <v>2</v>
      </c>
      <c r="N24" s="15">
        <f t="shared" si="5"/>
        <v>0</v>
      </c>
      <c r="O24" s="16">
        <f t="shared" si="6"/>
        <v>0</v>
      </c>
      <c r="Q24"/>
      <c r="U24"/>
    </row>
    <row r="25" spans="1:21" ht="15" customHeight="1">
      <c r="A25" s="9" t="str">
        <f>'Members Data'!A17</f>
        <v>Hyperïon</v>
      </c>
      <c r="B25" s="199"/>
      <c r="C25" s="200"/>
      <c r="D25" s="200"/>
      <c r="E25" s="200"/>
      <c r="F25" s="200"/>
      <c r="G25" s="200"/>
      <c r="H25" s="201"/>
      <c r="I25" s="70">
        <f t="array" ref="I25">SUM(($B25:$H25="confirmed")*($B$4:$H$4=25))</f>
        <v>0</v>
      </c>
      <c r="J25" s="43">
        <f t="array" ref="J25">SUM(($B25:$H25="standby")*($B$4:$H$4=25))</f>
        <v>0</v>
      </c>
      <c r="K25" s="43">
        <f t="array" ref="K25">SUM(($B25:$H25="confirmed")*($B$4:$H$4=10))</f>
        <v>0</v>
      </c>
      <c r="L25" s="43">
        <f t="array" ref="L25">SUM(($B25:$H25="standby")*($B$4:$H$4=10))</f>
        <v>0</v>
      </c>
      <c r="M25" s="15">
        <f t="shared" si="4"/>
        <v>0</v>
      </c>
      <c r="N25" s="15">
        <f t="shared" si="5"/>
        <v>0</v>
      </c>
      <c r="O25" s="16">
        <f t="shared" si="6"/>
        <v>0</v>
      </c>
      <c r="Q25"/>
      <c r="U25"/>
    </row>
    <row r="26" spans="1:21" ht="15" customHeight="1">
      <c r="A26" s="9" t="str">
        <f>'Members Data'!A18</f>
        <v>Illianá</v>
      </c>
      <c r="B26" s="199" t="s">
        <v>53</v>
      </c>
      <c r="C26" s="200"/>
      <c r="D26" s="200" t="s">
        <v>53</v>
      </c>
      <c r="E26" s="200"/>
      <c r="F26" s="200"/>
      <c r="G26" s="200"/>
      <c r="H26" s="201"/>
      <c r="I26" s="70">
        <f t="array" ref="I26">SUM(($B26:$H26="confirmed")*($B$4:$H$4=25))</f>
        <v>2</v>
      </c>
      <c r="J26" s="43">
        <f t="array" ref="J26">SUM(($B26:$H26="standby")*($B$4:$H$4=25))</f>
        <v>0</v>
      </c>
      <c r="K26" s="43">
        <f t="array" ref="K26">SUM(($B26:$H26="confirmed")*($B$4:$H$4=10))</f>
        <v>0</v>
      </c>
      <c r="L26" s="43">
        <f t="array" ref="L26">SUM(($B26:$H26="standby")*($B$4:$H$4=10))</f>
        <v>0</v>
      </c>
      <c r="M26" s="15">
        <f t="shared" si="4"/>
        <v>2</v>
      </c>
      <c r="N26" s="15">
        <f t="shared" si="5"/>
        <v>0</v>
      </c>
      <c r="O26" s="16">
        <f t="shared" si="6"/>
        <v>0</v>
      </c>
      <c r="Q26"/>
      <c r="U26"/>
    </row>
    <row r="27" spans="1:21" ht="15" customHeight="1">
      <c r="A27" s="9" t="str">
        <f>'Members Data'!A19</f>
        <v>Izzabelle</v>
      </c>
      <c r="B27" s="199" t="s">
        <v>53</v>
      </c>
      <c r="C27" s="200"/>
      <c r="D27" s="200" t="s">
        <v>52</v>
      </c>
      <c r="E27" s="200"/>
      <c r="F27" s="200"/>
      <c r="G27" s="200"/>
      <c r="H27" s="201" t="s">
        <v>53</v>
      </c>
      <c r="I27" s="70">
        <f t="array" ref="I27">SUM(($B27:$H27="confirmed")*($B$4:$H$4=25))</f>
        <v>2</v>
      </c>
      <c r="J27" s="43">
        <f t="array" ref="J27">SUM(($B27:$H27="standby")*($B$4:$H$4=25))</f>
        <v>1</v>
      </c>
      <c r="K27" s="43">
        <f t="array" ref="K27">SUM(($B27:$H27="confirmed")*($B$4:$H$4=10))</f>
        <v>0</v>
      </c>
      <c r="L27" s="43">
        <f t="array" ref="L27">SUM(($B27:$H27="standby")*($B$4:$H$4=10))</f>
        <v>0</v>
      </c>
      <c r="M27" s="15">
        <f t="shared" si="4"/>
        <v>2</v>
      </c>
      <c r="N27" s="15">
        <f t="shared" si="5"/>
        <v>1</v>
      </c>
      <c r="O27" s="16">
        <f t="shared" si="6"/>
        <v>0</v>
      </c>
      <c r="Q27"/>
      <c r="U27"/>
    </row>
    <row r="28" spans="1:21" ht="15" customHeight="1">
      <c r="A28" s="9" t="str">
        <f>'Members Data'!A20</f>
        <v>Kátsumi</v>
      </c>
      <c r="B28" s="199" t="s">
        <v>53</v>
      </c>
      <c r="C28" s="200"/>
      <c r="D28" s="200" t="s">
        <v>53</v>
      </c>
      <c r="E28" s="200"/>
      <c r="F28" s="200"/>
      <c r="G28" s="200"/>
      <c r="H28" s="201"/>
      <c r="I28" s="70">
        <f t="array" ref="I28">SUM(($B28:$H28="confirmed")*($B$4:$H$4=25))</f>
        <v>2</v>
      </c>
      <c r="J28" s="43">
        <f t="array" ref="J28">SUM(($B28:$H28="standby")*($B$4:$H$4=25))</f>
        <v>0</v>
      </c>
      <c r="K28" s="43">
        <f t="array" ref="K28">SUM(($B28:$H28="confirmed")*($B$4:$H$4=10))</f>
        <v>0</v>
      </c>
      <c r="L28" s="43">
        <f t="array" ref="L28">SUM(($B28:$H28="standby")*($B$4:$H$4=10))</f>
        <v>0</v>
      </c>
      <c r="M28" s="15">
        <f t="shared" si="4"/>
        <v>2</v>
      </c>
      <c r="N28" s="15">
        <f t="shared" si="5"/>
        <v>0</v>
      </c>
      <c r="O28" s="16">
        <f t="shared" si="6"/>
        <v>0</v>
      </c>
      <c r="Q28"/>
    </row>
    <row r="29" spans="1:21" ht="15" customHeight="1">
      <c r="A29" s="9" t="str">
        <f>'Members Data'!A21</f>
        <v>Lychi</v>
      </c>
      <c r="B29" s="199" t="s">
        <v>52</v>
      </c>
      <c r="C29" s="200"/>
      <c r="D29" s="200" t="s">
        <v>53</v>
      </c>
      <c r="E29" s="200"/>
      <c r="F29" s="200"/>
      <c r="G29" s="200"/>
      <c r="H29" s="201" t="s">
        <v>53</v>
      </c>
      <c r="I29" s="70">
        <f t="array" ref="I29">SUM(($B29:$H29="confirmed")*($B$4:$H$4=25))</f>
        <v>2</v>
      </c>
      <c r="J29" s="43">
        <f t="array" ref="J29">SUM(($B29:$H29="standby")*($B$4:$H$4=25))</f>
        <v>1</v>
      </c>
      <c r="K29" s="43">
        <f t="array" ref="K29">SUM(($B29:$H29="confirmed")*($B$4:$H$4=10))</f>
        <v>0</v>
      </c>
      <c r="L29" s="43">
        <f t="array" ref="L29">SUM(($B29:$H29="standby")*($B$4:$H$4=10))</f>
        <v>0</v>
      </c>
      <c r="M29" s="15">
        <f t="shared" si="4"/>
        <v>2</v>
      </c>
      <c r="N29" s="15">
        <f t="shared" si="5"/>
        <v>1</v>
      </c>
      <c r="O29" s="16">
        <f t="shared" si="6"/>
        <v>0</v>
      </c>
      <c r="Q29"/>
    </row>
    <row r="30" spans="1:21" ht="15" customHeight="1">
      <c r="A30" s="9" t="str">
        <f>'Members Data'!A22</f>
        <v>Méych</v>
      </c>
      <c r="B30" s="199"/>
      <c r="C30" s="200"/>
      <c r="D30" s="200" t="s">
        <v>53</v>
      </c>
      <c r="E30" s="200"/>
      <c r="F30" s="200"/>
      <c r="G30" s="200"/>
      <c r="H30" s="201" t="s">
        <v>53</v>
      </c>
      <c r="I30" s="70">
        <f t="array" ref="I30">SUM(($B30:$H30="confirmed")*($B$4:$H$4=25))</f>
        <v>2</v>
      </c>
      <c r="J30" s="43">
        <f t="array" ref="J30">SUM(($B30:$H30="standby")*($B$4:$H$4=25))</f>
        <v>0</v>
      </c>
      <c r="K30" s="43">
        <f t="array" ref="K30">SUM(($B30:$H30="confirmed")*($B$4:$H$4=10))</f>
        <v>0</v>
      </c>
      <c r="L30" s="43">
        <f t="array" ref="L30">SUM(($B30:$H30="standby")*($B$4:$H$4=10))</f>
        <v>0</v>
      </c>
      <c r="M30" s="15">
        <f t="shared" si="4"/>
        <v>2</v>
      </c>
      <c r="N30" s="15">
        <f t="shared" si="5"/>
        <v>0</v>
      </c>
      <c r="O30" s="16">
        <f t="shared" si="6"/>
        <v>0</v>
      </c>
      <c r="Q30"/>
    </row>
    <row r="31" spans="1:21" ht="15" customHeight="1">
      <c r="A31" s="9" t="str">
        <f>'Members Data'!A23</f>
        <v>Muckyfloor</v>
      </c>
      <c r="B31" s="199" t="s">
        <v>53</v>
      </c>
      <c r="C31" s="200"/>
      <c r="D31" s="200" t="s">
        <v>53</v>
      </c>
      <c r="E31" s="200"/>
      <c r="F31" s="200"/>
      <c r="G31" s="200"/>
      <c r="H31" s="201" t="s">
        <v>53</v>
      </c>
      <c r="I31" s="70">
        <f t="array" ref="I31">SUM(($B31:$H31="confirmed")*($B$4:$H$4=25))</f>
        <v>3</v>
      </c>
      <c r="J31" s="43">
        <f t="array" ref="J31">SUM(($B31:$H31="standby")*($B$4:$H$4=25))</f>
        <v>0</v>
      </c>
      <c r="K31" s="43">
        <f t="array" ref="K31">SUM(($B31:$H31="confirmed")*($B$4:$H$4=10))</f>
        <v>0</v>
      </c>
      <c r="L31" s="43">
        <f t="array" ref="L31">SUM(($B31:$H31="standby")*($B$4:$H$4=10))</f>
        <v>0</v>
      </c>
      <c r="M31" s="15">
        <f t="shared" si="4"/>
        <v>3</v>
      </c>
      <c r="N31" s="15">
        <f t="shared" si="5"/>
        <v>0</v>
      </c>
      <c r="O31" s="16">
        <f t="shared" si="6"/>
        <v>0</v>
      </c>
      <c r="Q31"/>
    </row>
    <row r="32" spans="1:21" ht="15" customHeight="1">
      <c r="A32" s="9" t="str">
        <f>'Members Data'!A24</f>
        <v>Müfti</v>
      </c>
      <c r="B32" s="199" t="s">
        <v>53</v>
      </c>
      <c r="C32" s="200"/>
      <c r="D32" s="200" t="s">
        <v>53</v>
      </c>
      <c r="E32" s="200"/>
      <c r="F32" s="200"/>
      <c r="G32" s="200"/>
      <c r="H32" s="201" t="s">
        <v>52</v>
      </c>
      <c r="I32" s="70">
        <f t="array" ref="I32">SUM(($B32:$H32="confirmed")*($B$4:$H$4=25))</f>
        <v>2</v>
      </c>
      <c r="J32" s="43">
        <f t="array" ref="J32">SUM(($B32:$H32="standby")*($B$4:$H$4=25))</f>
        <v>1</v>
      </c>
      <c r="K32" s="43">
        <f t="array" ref="K32">SUM(($B32:$H32="confirmed")*($B$4:$H$4=10))</f>
        <v>0</v>
      </c>
      <c r="L32" s="43">
        <f t="array" ref="L32">SUM(($B32:$H32="standby")*($B$4:$H$4=10))</f>
        <v>0</v>
      </c>
      <c r="M32" s="15">
        <f t="shared" si="4"/>
        <v>2</v>
      </c>
      <c r="N32" s="15">
        <f t="shared" si="5"/>
        <v>1</v>
      </c>
      <c r="O32" s="16">
        <f t="shared" si="6"/>
        <v>0</v>
      </c>
      <c r="Q32"/>
    </row>
    <row r="33" spans="1:17" ht="15" customHeight="1">
      <c r="A33" s="9" t="str">
        <f>'Members Data'!A25</f>
        <v>Palorde</v>
      </c>
      <c r="B33" s="199" t="s">
        <v>53</v>
      </c>
      <c r="C33" s="200"/>
      <c r="D33" s="200"/>
      <c r="E33" s="200"/>
      <c r="F33" s="200"/>
      <c r="G33" s="200"/>
      <c r="H33" s="201" t="s">
        <v>52</v>
      </c>
      <c r="I33" s="70">
        <f t="array" ref="I33">SUM(($B33:$H33="confirmed")*($B$4:$H$4=25))</f>
        <v>1</v>
      </c>
      <c r="J33" s="43">
        <f t="array" ref="J33">SUM(($B33:$H33="standby")*($B$4:$H$4=25))</f>
        <v>1</v>
      </c>
      <c r="K33" s="43">
        <f t="array" ref="K33">SUM(($B33:$H33="confirmed")*($B$4:$H$4=10))</f>
        <v>0</v>
      </c>
      <c r="L33" s="43">
        <f t="array" ref="L33">SUM(($B33:$H33="standby")*($B$4:$H$4=10))</f>
        <v>0</v>
      </c>
      <c r="M33" s="15">
        <f t="shared" si="4"/>
        <v>1</v>
      </c>
      <c r="N33" s="15">
        <f t="shared" si="5"/>
        <v>1</v>
      </c>
      <c r="O33" s="16">
        <f t="shared" si="6"/>
        <v>0</v>
      </c>
      <c r="Q33"/>
    </row>
    <row r="34" spans="1:17" ht="15" customHeight="1">
      <c r="A34" s="9" t="str">
        <f>'Members Data'!A26</f>
        <v>Páula</v>
      </c>
      <c r="B34" s="199" t="s">
        <v>52</v>
      </c>
      <c r="C34" s="200"/>
      <c r="D34" s="200" t="s">
        <v>53</v>
      </c>
      <c r="E34" s="200"/>
      <c r="F34" s="200"/>
      <c r="G34" s="200"/>
      <c r="H34" s="201" t="s">
        <v>53</v>
      </c>
      <c r="I34" s="70">
        <f t="array" ref="I34">SUM(($B34:$H34="confirmed")*($B$4:$H$4=25))</f>
        <v>2</v>
      </c>
      <c r="J34" s="43">
        <f t="array" ref="J34">SUM(($B34:$H34="standby")*($B$4:$H$4=25))</f>
        <v>1</v>
      </c>
      <c r="K34" s="43">
        <f t="array" ref="K34">SUM(($B34:$H34="confirmed")*($B$4:$H$4=10))</f>
        <v>0</v>
      </c>
      <c r="L34" s="43">
        <f t="array" ref="L34">SUM(($B34:$H34="standby")*($B$4:$H$4=10))</f>
        <v>0</v>
      </c>
      <c r="M34" s="15">
        <f t="shared" si="4"/>
        <v>2</v>
      </c>
      <c r="N34" s="15">
        <f t="shared" si="5"/>
        <v>1</v>
      </c>
      <c r="O34" s="16">
        <f t="shared" si="6"/>
        <v>0</v>
      </c>
      <c r="Q34"/>
    </row>
    <row r="35" spans="1:17" ht="15" customHeight="1">
      <c r="A35" s="9" t="str">
        <f>'Members Data'!A27</f>
        <v>Quemzar</v>
      </c>
      <c r="B35" s="199"/>
      <c r="C35" s="200"/>
      <c r="D35" s="200"/>
      <c r="E35" s="200"/>
      <c r="F35" s="200"/>
      <c r="G35" s="200"/>
      <c r="H35" s="201" t="s">
        <v>53</v>
      </c>
      <c r="I35" s="70">
        <f t="array" ref="I35">SUM(($B35:$H35="confirmed")*($B$4:$H$4=25))</f>
        <v>1</v>
      </c>
      <c r="J35" s="43">
        <f t="array" ref="J35">SUM(($B35:$H35="standby")*($B$4:$H$4=25))</f>
        <v>0</v>
      </c>
      <c r="K35" s="43">
        <f t="array" ref="K35">SUM(($B35:$H35="confirmed")*($B$4:$H$4=10))</f>
        <v>0</v>
      </c>
      <c r="L35" s="43">
        <f t="array" ref="L35">SUM(($B35:$H35="standby")*($B$4:$H$4=10))</f>
        <v>0</v>
      </c>
      <c r="M35" s="15">
        <f t="shared" si="4"/>
        <v>1</v>
      </c>
      <c r="N35" s="15">
        <f t="shared" si="5"/>
        <v>0</v>
      </c>
      <c r="O35" s="16">
        <f t="shared" si="6"/>
        <v>0</v>
      </c>
      <c r="Q35"/>
    </row>
    <row r="36" spans="1:17" ht="15" customHeight="1">
      <c r="A36" s="9" t="str">
        <f>'Members Data'!A28</f>
        <v>Rahwin</v>
      </c>
      <c r="B36" s="199" t="s">
        <v>53</v>
      </c>
      <c r="C36" s="200"/>
      <c r="D36" s="200" t="s">
        <v>53</v>
      </c>
      <c r="E36" s="200"/>
      <c r="F36" s="200"/>
      <c r="G36" s="200"/>
      <c r="H36" s="201" t="s">
        <v>52</v>
      </c>
      <c r="I36" s="70">
        <f t="array" ref="I36">SUM(($B36:$H36="confirmed")*($B$4:$H$4=25))</f>
        <v>2</v>
      </c>
      <c r="J36" s="43">
        <f t="array" ref="J36">SUM(($B36:$H36="standby")*($B$4:$H$4=25))</f>
        <v>1</v>
      </c>
      <c r="K36" s="43">
        <f t="array" ref="K36">SUM(($B36:$H36="confirmed")*($B$4:$H$4=10))</f>
        <v>0</v>
      </c>
      <c r="L36" s="43">
        <f t="array" ref="L36">SUM(($B36:$H36="standby")*($B$4:$H$4=10))</f>
        <v>0</v>
      </c>
      <c r="M36" s="15">
        <f t="shared" si="4"/>
        <v>2</v>
      </c>
      <c r="N36" s="15">
        <f t="shared" si="5"/>
        <v>1</v>
      </c>
      <c r="O36" s="16">
        <f t="shared" si="6"/>
        <v>0</v>
      </c>
    </row>
    <row r="37" spans="1:17" ht="15" customHeight="1">
      <c r="A37" s="9" t="str">
        <f>'Members Data'!A29</f>
        <v>Raiyn</v>
      </c>
      <c r="B37" s="199" t="s">
        <v>53</v>
      </c>
      <c r="C37" s="200"/>
      <c r="D37" s="200" t="s">
        <v>53</v>
      </c>
      <c r="E37" s="200"/>
      <c r="F37" s="200"/>
      <c r="G37" s="200"/>
      <c r="H37" s="201"/>
      <c r="I37" s="70">
        <f t="array" ref="I37">SUM(($B37:$H37="confirmed")*($B$4:$H$4=25))</f>
        <v>2</v>
      </c>
      <c r="J37" s="43">
        <f t="array" ref="J37">SUM(($B37:$H37="standby")*($B$4:$H$4=25))</f>
        <v>0</v>
      </c>
      <c r="K37" s="43">
        <f t="array" ref="K37">SUM(($B37:$H37="confirmed")*($B$4:$H$4=10))</f>
        <v>0</v>
      </c>
      <c r="L37" s="43">
        <f t="array" ref="L37">SUM(($B37:$H37="standby")*($B$4:$H$4=10))</f>
        <v>0</v>
      </c>
      <c r="M37" s="15">
        <f t="shared" si="4"/>
        <v>2</v>
      </c>
      <c r="N37" s="15">
        <f t="shared" si="5"/>
        <v>0</v>
      </c>
      <c r="O37" s="16">
        <f t="shared" si="6"/>
        <v>0</v>
      </c>
    </row>
    <row r="38" spans="1:17" ht="15" customHeight="1">
      <c r="A38" s="9" t="str">
        <f>'Members Data'!A30</f>
        <v>Rokthrol</v>
      </c>
      <c r="B38" s="199" t="s">
        <v>53</v>
      </c>
      <c r="C38" s="200"/>
      <c r="D38" s="200" t="s">
        <v>53</v>
      </c>
      <c r="E38" s="200"/>
      <c r="F38" s="200"/>
      <c r="G38" s="200"/>
      <c r="H38" s="201"/>
      <c r="I38" s="70">
        <f t="array" ref="I38">SUM(($B38:$H38="confirmed")*($B$4:$H$4=25))</f>
        <v>2</v>
      </c>
      <c r="J38" s="43">
        <f t="array" ref="J38">SUM(($B38:$H38="standby")*($B$4:$H$4=25))</f>
        <v>0</v>
      </c>
      <c r="K38" s="43">
        <f t="array" ref="K38">SUM(($B38:$H38="confirmed")*($B$4:$H$4=10))</f>
        <v>0</v>
      </c>
      <c r="L38" s="43">
        <f t="array" ref="L38">SUM(($B38:$H38="standby")*($B$4:$H$4=10))</f>
        <v>0</v>
      </c>
      <c r="M38" s="15">
        <f t="shared" si="4"/>
        <v>2</v>
      </c>
      <c r="N38" s="15">
        <f t="shared" si="5"/>
        <v>0</v>
      </c>
      <c r="O38" s="16">
        <f t="shared" si="6"/>
        <v>0</v>
      </c>
    </row>
    <row r="39" spans="1:17" ht="15" customHeight="1">
      <c r="A39" s="9" t="str">
        <f>'Members Data'!A31</f>
        <v>Sáik</v>
      </c>
      <c r="B39" s="199" t="s">
        <v>53</v>
      </c>
      <c r="C39" s="200"/>
      <c r="D39" s="200" t="s">
        <v>53</v>
      </c>
      <c r="E39" s="200"/>
      <c r="F39" s="200"/>
      <c r="G39" s="200"/>
      <c r="H39" s="201" t="s">
        <v>53</v>
      </c>
      <c r="I39" s="70">
        <f t="array" ref="I39">SUM(($B39:$H39="confirmed")*($B$4:$H$4=25))</f>
        <v>3</v>
      </c>
      <c r="J39" s="43">
        <f t="array" ref="J39">SUM(($B39:$H39="standby")*($B$4:$H$4=25))</f>
        <v>0</v>
      </c>
      <c r="K39" s="43">
        <f t="array" ref="K39">SUM(($B39:$H39="confirmed")*($B$4:$H$4=10))</f>
        <v>0</v>
      </c>
      <c r="L39" s="43">
        <f t="array" ref="L39">SUM(($B39:$H39="standby")*($B$4:$H$4=10))</f>
        <v>0</v>
      </c>
      <c r="M39" s="15">
        <f t="shared" si="4"/>
        <v>3</v>
      </c>
      <c r="N39" s="15">
        <f t="shared" si="5"/>
        <v>0</v>
      </c>
      <c r="O39" s="16">
        <f t="shared" si="6"/>
        <v>0</v>
      </c>
    </row>
    <row r="40" spans="1:17" ht="15" customHeight="1">
      <c r="A40" s="9" t="str">
        <f>'Members Data'!A32</f>
        <v>Seraphÿm</v>
      </c>
      <c r="B40" s="199" t="s">
        <v>53</v>
      </c>
      <c r="C40" s="200"/>
      <c r="D40" s="200" t="s">
        <v>53</v>
      </c>
      <c r="E40" s="200"/>
      <c r="F40" s="200"/>
      <c r="G40" s="200"/>
      <c r="H40" s="201" t="s">
        <v>53</v>
      </c>
      <c r="I40" s="70">
        <f t="array" ref="I40">SUM(($B40:$H40="confirmed")*($B$4:$H$4=25))</f>
        <v>3</v>
      </c>
      <c r="J40" s="43">
        <f t="array" ref="J40">SUM(($B40:$H40="standby")*($B$4:$H$4=25))</f>
        <v>0</v>
      </c>
      <c r="K40" s="43">
        <f t="array" ref="K40">SUM(($B40:$H40="confirmed")*($B$4:$H$4=10))</f>
        <v>0</v>
      </c>
      <c r="L40" s="43">
        <f t="array" ref="L40">SUM(($B40:$H40="standby")*($B$4:$H$4=10))</f>
        <v>0</v>
      </c>
      <c r="M40" s="15">
        <f t="shared" si="4"/>
        <v>3</v>
      </c>
      <c r="N40" s="15">
        <f t="shared" si="5"/>
        <v>0</v>
      </c>
      <c r="O40" s="16">
        <f t="shared" si="6"/>
        <v>0</v>
      </c>
    </row>
    <row r="41" spans="1:17" ht="15" customHeight="1">
      <c r="A41" s="9" t="str">
        <f>'Members Data'!A33</f>
        <v>Shinkai</v>
      </c>
      <c r="B41" s="332" t="s">
        <v>53</v>
      </c>
      <c r="C41" s="200"/>
      <c r="D41" s="200"/>
      <c r="E41" s="200"/>
      <c r="F41" s="200"/>
      <c r="G41" s="200"/>
      <c r="H41" s="201" t="s">
        <v>53</v>
      </c>
      <c r="I41" s="70">
        <f t="array" ref="I41">SUM(($B41:$H41="confirmed")*($B$4:$H$4=25))</f>
        <v>2</v>
      </c>
      <c r="J41" s="43">
        <f t="array" ref="J41">SUM(($B41:$H41="standby")*($B$4:$H$4=25))</f>
        <v>0</v>
      </c>
      <c r="K41" s="43">
        <f t="array" ref="K41">SUM(($B41:$H41="confirmed")*($B$4:$H$4=10))</f>
        <v>0</v>
      </c>
      <c r="L41" s="43">
        <f t="array" ref="L41">SUM(($B41:$H41="standby")*($B$4:$H$4=10))</f>
        <v>0</v>
      </c>
      <c r="M41" s="15">
        <f t="shared" si="4"/>
        <v>2</v>
      </c>
      <c r="N41" s="15">
        <f t="shared" si="5"/>
        <v>0</v>
      </c>
      <c r="O41" s="16">
        <f t="shared" si="6"/>
        <v>0</v>
      </c>
    </row>
    <row r="42" spans="1:17" ht="15" customHeight="1">
      <c r="A42" s="9" t="str">
        <f>'Members Data'!A34</f>
        <v>Yaodeng</v>
      </c>
      <c r="B42" s="332" t="s">
        <v>53</v>
      </c>
      <c r="C42" s="200"/>
      <c r="D42" s="200" t="s">
        <v>53</v>
      </c>
      <c r="E42" s="200"/>
      <c r="F42" s="200"/>
      <c r="G42" s="200"/>
      <c r="H42" s="201" t="s">
        <v>53</v>
      </c>
      <c r="I42" s="70">
        <f t="array" ref="I42">SUM(($B42:$H42="confirmed")*($B$4:$H$4=25))</f>
        <v>3</v>
      </c>
      <c r="J42" s="43">
        <f t="array" ref="J42">SUM(($B42:$H42="standby")*($B$4:$H$4=25))</f>
        <v>0</v>
      </c>
      <c r="K42" s="43">
        <f t="array" ref="K42">SUM(($B42:$H42="confirmed")*($B$4:$H$4=10))</f>
        <v>0</v>
      </c>
      <c r="L42" s="43">
        <f t="array" ref="L42">SUM(($B42:$H42="standby")*($B$4:$H$4=10))</f>
        <v>0</v>
      </c>
      <c r="M42" s="15">
        <f t="shared" ref="M42:M68" si="7">COUNTIF(B42:H42,"confirmed")</f>
        <v>3</v>
      </c>
      <c r="N42" s="15">
        <f t="shared" ref="N42:N68" si="8">COUNTIF(B42:H42,"standby")</f>
        <v>0</v>
      </c>
      <c r="O42" s="16">
        <f t="shared" ref="O42:O68" si="9">COUNTIF(B42:H42,"out")</f>
        <v>0</v>
      </c>
    </row>
    <row r="43" spans="1:17" ht="15" customHeight="1">
      <c r="A43" s="9" t="str">
        <f>'Members Data'!A35</f>
        <v>Zerobabe</v>
      </c>
      <c r="B43" s="332" t="s">
        <v>53</v>
      </c>
      <c r="C43" s="200"/>
      <c r="D43" s="200" t="s">
        <v>53</v>
      </c>
      <c r="E43" s="200"/>
      <c r="F43" s="200"/>
      <c r="G43" s="200"/>
      <c r="H43" s="201" t="s">
        <v>53</v>
      </c>
      <c r="I43" s="70">
        <f t="array" ref="I43">SUM(($B43:$H43="confirmed")*($B$4:$H$4=25))</f>
        <v>3</v>
      </c>
      <c r="J43" s="43">
        <f t="array" ref="J43">SUM(($B43:$H43="standby")*($B$4:$H$4=25))</f>
        <v>0</v>
      </c>
      <c r="K43" s="43">
        <f t="array" ref="K43">SUM(($B43:$H43="confirmed")*($B$4:$H$4=10))</f>
        <v>0</v>
      </c>
      <c r="L43" s="43">
        <f t="array" ref="L43">SUM(($B43:$H43="standby")*($B$4:$H$4=10))</f>
        <v>0</v>
      </c>
      <c r="M43" s="15">
        <f t="shared" si="7"/>
        <v>3</v>
      </c>
      <c r="N43" s="15">
        <f t="shared" si="8"/>
        <v>0</v>
      </c>
      <c r="O43" s="16">
        <f t="shared" si="9"/>
        <v>0</v>
      </c>
    </row>
    <row r="44" spans="1:17" ht="15" customHeight="1">
      <c r="A44" s="9" t="str">
        <f>'Members Data'!A36</f>
        <v>Zorrg</v>
      </c>
      <c r="B44" s="332"/>
      <c r="C44" s="200"/>
      <c r="D44" s="200"/>
      <c r="E44" s="200"/>
      <c r="F44" s="200"/>
      <c r="G44" s="200"/>
      <c r="H44" s="201" t="s">
        <v>53</v>
      </c>
      <c r="I44" s="70">
        <f t="array" ref="I44">SUM(($B44:$H44="confirmed")*($B$4:$H$4=25))</f>
        <v>1</v>
      </c>
      <c r="J44" s="43">
        <f t="array" ref="J44">SUM(($B44:$H44="standby")*($B$4:$H$4=25))</f>
        <v>0</v>
      </c>
      <c r="K44" s="43">
        <f t="array" ref="K44">SUM(($B44:$H44="confirmed")*($B$4:$H$4=10))</f>
        <v>0</v>
      </c>
      <c r="L44" s="43">
        <f t="array" ref="L44">SUM(($B44:$H44="standby")*($B$4:$H$4=10))</f>
        <v>0</v>
      </c>
      <c r="M44" s="15">
        <f t="shared" si="7"/>
        <v>1</v>
      </c>
      <c r="N44" s="15">
        <f t="shared" si="8"/>
        <v>0</v>
      </c>
      <c r="O44" s="16">
        <f t="shared" si="9"/>
        <v>0</v>
      </c>
    </row>
    <row r="45" spans="1:17" ht="15" customHeight="1">
      <c r="A45" s="9" t="str">
        <f>'Members Data'!A37</f>
        <v>Volson</v>
      </c>
      <c r="B45" s="199"/>
      <c r="C45" s="200"/>
      <c r="D45" s="200"/>
      <c r="E45" s="200"/>
      <c r="F45" s="200"/>
      <c r="G45" s="200"/>
      <c r="H45" s="201"/>
      <c r="I45" s="70">
        <f t="array" ref="I45">SUM(($B45:$H45="confirmed")*($B$4:$H$4=25))</f>
        <v>0</v>
      </c>
      <c r="J45" s="43">
        <f t="array" ref="J45">SUM(($B45:$H45="standby")*($B$4:$H$4=25))</f>
        <v>0</v>
      </c>
      <c r="K45" s="43">
        <f t="array" ref="K45">SUM(($B45:$H45="confirmed")*($B$4:$H$4=10))</f>
        <v>0</v>
      </c>
      <c r="L45" s="43">
        <f t="array" ref="L45">SUM(($B45:$H45="standby")*($B$4:$H$4=10))</f>
        <v>0</v>
      </c>
      <c r="M45" s="15">
        <f t="shared" si="7"/>
        <v>0</v>
      </c>
      <c r="N45" s="15">
        <f t="shared" si="8"/>
        <v>0</v>
      </c>
      <c r="O45" s="16">
        <f t="shared" si="9"/>
        <v>0</v>
      </c>
    </row>
    <row r="46" spans="1:17" ht="15" customHeight="1">
      <c r="A46" s="9">
        <f>'Members Data'!A38</f>
        <v>0</v>
      </c>
      <c r="B46" s="199"/>
      <c r="C46" s="200"/>
      <c r="D46" s="200"/>
      <c r="E46" s="200"/>
      <c r="F46" s="200"/>
      <c r="G46" s="200"/>
      <c r="H46" s="201"/>
      <c r="I46" s="70">
        <f t="array" ref="I46">SUM(($B46:$H46="confirmed")*($B$4:$H$4=25))</f>
        <v>0</v>
      </c>
      <c r="J46" s="43">
        <f t="array" ref="J46">SUM(($B46:$H46="standby")*($B$4:$H$4=25))</f>
        <v>0</v>
      </c>
      <c r="K46" s="43">
        <f t="array" ref="K46">SUM(($B46:$H46="confirmed")*($B$4:$H$4=10))</f>
        <v>0</v>
      </c>
      <c r="L46" s="43">
        <f t="array" ref="L46">SUM(($B46:$H46="standby")*($B$4:$H$4=10))</f>
        <v>0</v>
      </c>
      <c r="M46" s="15">
        <f t="shared" si="7"/>
        <v>0</v>
      </c>
      <c r="N46" s="15">
        <f t="shared" si="8"/>
        <v>0</v>
      </c>
      <c r="O46" s="16">
        <f t="shared" si="9"/>
        <v>0</v>
      </c>
    </row>
    <row r="47" spans="1:17" ht="15" customHeight="1">
      <c r="A47" s="9">
        <f>'Members Data'!A39</f>
        <v>0</v>
      </c>
      <c r="B47" s="199"/>
      <c r="C47" s="200"/>
      <c r="D47" s="200"/>
      <c r="E47" s="200"/>
      <c r="F47" s="200"/>
      <c r="G47" s="200"/>
      <c r="H47" s="201"/>
      <c r="I47" s="70">
        <f t="array" ref="I47">SUM(($B47:$H47="confirmed")*($B$4:$H$4=25))</f>
        <v>0</v>
      </c>
      <c r="J47" s="43">
        <f t="array" ref="J47">SUM(($B47:$H47="standby")*($B$4:$H$4=25))</f>
        <v>0</v>
      </c>
      <c r="K47" s="43">
        <f t="array" ref="K47">SUM(($B47:$H47="confirmed")*($B$4:$H$4=10))</f>
        <v>0</v>
      </c>
      <c r="L47" s="43">
        <f t="array" ref="L47">SUM(($B47:$H47="standby")*($B$4:$H$4=10))</f>
        <v>0</v>
      </c>
      <c r="M47" s="15">
        <f t="shared" si="7"/>
        <v>0</v>
      </c>
      <c r="N47" s="15">
        <f t="shared" si="8"/>
        <v>0</v>
      </c>
      <c r="O47" s="16">
        <f t="shared" si="9"/>
        <v>0</v>
      </c>
    </row>
    <row r="48" spans="1:17" ht="15" customHeight="1">
      <c r="A48" s="9">
        <f>'Members Data'!A40</f>
        <v>0</v>
      </c>
      <c r="B48" s="199"/>
      <c r="C48" s="200"/>
      <c r="D48" s="200"/>
      <c r="E48" s="200"/>
      <c r="F48" s="200"/>
      <c r="G48" s="200"/>
      <c r="H48" s="201"/>
      <c r="I48" s="70">
        <f t="array" ref="I48">SUM(($B48:$H48="confirmed")*($B$4:$H$4=25))</f>
        <v>0</v>
      </c>
      <c r="J48" s="43">
        <f t="array" ref="J48">SUM(($B48:$H48="standby")*($B$4:$H$4=25))</f>
        <v>0</v>
      </c>
      <c r="K48" s="43">
        <f t="array" ref="K48">SUM(($B48:$H48="confirmed")*($B$4:$H$4=10))</f>
        <v>0</v>
      </c>
      <c r="L48" s="43">
        <f t="array" ref="L48">SUM(($B48:$H48="standby")*($B$4:$H$4=10))</f>
        <v>0</v>
      </c>
      <c r="M48" s="15">
        <f t="shared" si="7"/>
        <v>0</v>
      </c>
      <c r="N48" s="15">
        <f t="shared" si="8"/>
        <v>0</v>
      </c>
      <c r="O48" s="16">
        <f t="shared" si="9"/>
        <v>0</v>
      </c>
    </row>
    <row r="49" spans="1:15" ht="15" customHeight="1">
      <c r="A49" s="9">
        <f>'Members Data'!A41</f>
        <v>0</v>
      </c>
      <c r="B49" s="199"/>
      <c r="C49" s="200"/>
      <c r="D49" s="200"/>
      <c r="E49" s="200"/>
      <c r="F49" s="200"/>
      <c r="G49" s="200"/>
      <c r="H49" s="201"/>
      <c r="I49" s="70">
        <f t="array" ref="I49">SUM(($B49:$H49="confirmed")*($B$4:$H$4=25))</f>
        <v>0</v>
      </c>
      <c r="J49" s="43">
        <f t="array" ref="J49">SUM(($B49:$H49="standby")*($B$4:$H$4=25))</f>
        <v>0</v>
      </c>
      <c r="K49" s="43">
        <f t="array" ref="K49">SUM(($B49:$H49="confirmed")*($B$4:$H$4=10))</f>
        <v>0</v>
      </c>
      <c r="L49" s="43">
        <f t="array" ref="L49">SUM(($B49:$H49="standby")*($B$4:$H$4=10))</f>
        <v>0</v>
      </c>
      <c r="M49" s="15">
        <f t="shared" si="7"/>
        <v>0</v>
      </c>
      <c r="N49" s="15">
        <f t="shared" si="8"/>
        <v>0</v>
      </c>
      <c r="O49" s="16">
        <f t="shared" si="9"/>
        <v>0</v>
      </c>
    </row>
    <row r="50" spans="1:15" ht="15" customHeight="1">
      <c r="A50" s="9">
        <f>'Members Data'!A42</f>
        <v>0</v>
      </c>
      <c r="B50" s="199"/>
      <c r="C50" s="200"/>
      <c r="D50" s="200"/>
      <c r="E50" s="200"/>
      <c r="F50" s="200"/>
      <c r="G50" s="200"/>
      <c r="H50" s="201"/>
      <c r="I50" s="70">
        <f t="array" ref="I50">SUM(($B50:$H50="confirmed")*($B$4:$H$4=25))</f>
        <v>0</v>
      </c>
      <c r="J50" s="43">
        <f t="array" ref="J50">SUM(($B50:$H50="standby")*($B$4:$H$4=25))</f>
        <v>0</v>
      </c>
      <c r="K50" s="43">
        <f t="array" ref="K50">SUM(($B50:$H50="confirmed")*($B$4:$H$4=10))</f>
        <v>0</v>
      </c>
      <c r="L50" s="43">
        <f t="array" ref="L50">SUM(($B50:$H50="standby")*($B$4:$H$4=10))</f>
        <v>0</v>
      </c>
      <c r="M50" s="15">
        <f t="shared" si="7"/>
        <v>0</v>
      </c>
      <c r="N50" s="15">
        <f t="shared" si="8"/>
        <v>0</v>
      </c>
      <c r="O50" s="16">
        <f t="shared" si="9"/>
        <v>0</v>
      </c>
    </row>
    <row r="51" spans="1:15" ht="15" customHeight="1">
      <c r="A51" s="9">
        <f>'Members Data'!A43</f>
        <v>0</v>
      </c>
      <c r="B51" s="199"/>
      <c r="C51" s="200"/>
      <c r="D51" s="200"/>
      <c r="E51" s="200"/>
      <c r="F51" s="200"/>
      <c r="G51" s="200"/>
      <c r="H51" s="201"/>
      <c r="I51" s="70">
        <f t="array" ref="I51">SUM(($B51:$H51="confirmed")*($B$4:$H$4=25))</f>
        <v>0</v>
      </c>
      <c r="J51" s="43">
        <f t="array" ref="J51">SUM(($B51:$H51="standby")*($B$4:$H$4=25))</f>
        <v>0</v>
      </c>
      <c r="K51" s="43">
        <f t="array" ref="K51">SUM(($B51:$H51="confirmed")*($B$4:$H$4=10))</f>
        <v>0</v>
      </c>
      <c r="L51" s="43">
        <f t="array" ref="L51">SUM(($B51:$H51="standby")*($B$4:$H$4=10))</f>
        <v>0</v>
      </c>
      <c r="M51" s="15">
        <f t="shared" si="7"/>
        <v>0</v>
      </c>
      <c r="N51" s="15">
        <f t="shared" si="8"/>
        <v>0</v>
      </c>
      <c r="O51" s="16">
        <f t="shared" si="9"/>
        <v>0</v>
      </c>
    </row>
    <row r="52" spans="1:15" ht="15" customHeight="1">
      <c r="A52" s="9">
        <f>'Members Data'!A44</f>
        <v>0</v>
      </c>
      <c r="B52" s="199"/>
      <c r="C52" s="200"/>
      <c r="D52" s="200"/>
      <c r="E52" s="200"/>
      <c r="F52" s="200"/>
      <c r="G52" s="200"/>
      <c r="H52" s="201"/>
      <c r="I52" s="70">
        <f t="array" ref="I52">SUM(($B52:$H52="confirmed")*($B$4:$H$4=25))</f>
        <v>0</v>
      </c>
      <c r="J52" s="43">
        <f t="array" ref="J52">SUM(($B52:$H52="standby")*($B$4:$H$4=25))</f>
        <v>0</v>
      </c>
      <c r="K52" s="43">
        <f t="array" ref="K52">SUM(($B52:$H52="confirmed")*($B$4:$H$4=10))</f>
        <v>0</v>
      </c>
      <c r="L52" s="43">
        <f t="array" ref="L52">SUM(($B52:$H52="standby")*($B$4:$H$4=10))</f>
        <v>0</v>
      </c>
      <c r="M52" s="15">
        <f t="shared" si="7"/>
        <v>0</v>
      </c>
      <c r="N52" s="15">
        <f t="shared" si="8"/>
        <v>0</v>
      </c>
      <c r="O52" s="16">
        <f t="shared" si="9"/>
        <v>0</v>
      </c>
    </row>
    <row r="53" spans="1:15" ht="15" customHeight="1">
      <c r="A53" s="9">
        <f>'Members Data'!A45</f>
        <v>0</v>
      </c>
      <c r="B53" s="199"/>
      <c r="C53" s="200"/>
      <c r="D53" s="200"/>
      <c r="E53" s="200"/>
      <c r="F53" s="200"/>
      <c r="G53" s="200"/>
      <c r="H53" s="201"/>
      <c r="I53" s="70">
        <f t="array" ref="I53">SUM(($B53:$H53="confirmed")*($B$4:$H$4=25))</f>
        <v>0</v>
      </c>
      <c r="J53" s="43">
        <f t="array" ref="J53">SUM(($B53:$H53="standby")*($B$4:$H$4=25))</f>
        <v>0</v>
      </c>
      <c r="K53" s="43">
        <f t="array" ref="K53">SUM(($B53:$H53="confirmed")*($B$4:$H$4=10))</f>
        <v>0</v>
      </c>
      <c r="L53" s="43">
        <f t="array" ref="L53">SUM(($B53:$H53="standby")*($B$4:$H$4=10))</f>
        <v>0</v>
      </c>
      <c r="M53" s="15">
        <f t="shared" si="7"/>
        <v>0</v>
      </c>
      <c r="N53" s="15">
        <f t="shared" si="8"/>
        <v>0</v>
      </c>
      <c r="O53" s="16">
        <f t="shared" si="9"/>
        <v>0</v>
      </c>
    </row>
    <row r="54" spans="1:15" ht="15" customHeight="1">
      <c r="A54" s="9">
        <f>'Members Data'!A46</f>
        <v>0</v>
      </c>
      <c r="B54" s="199"/>
      <c r="C54" s="200"/>
      <c r="D54" s="200"/>
      <c r="E54" s="200"/>
      <c r="F54" s="200"/>
      <c r="G54" s="200"/>
      <c r="H54" s="201"/>
      <c r="I54" s="70">
        <f t="array" ref="I54">SUM(($B54:$H54="confirmed")*($B$4:$H$4=25))</f>
        <v>0</v>
      </c>
      <c r="J54" s="43">
        <f t="array" ref="J54">SUM(($B54:$H54="standby")*($B$4:$H$4=25))</f>
        <v>0</v>
      </c>
      <c r="K54" s="43">
        <f t="array" ref="K54">SUM(($B54:$H54="confirmed")*($B$4:$H$4=10))</f>
        <v>0</v>
      </c>
      <c r="L54" s="43">
        <f t="array" ref="L54">SUM(($B54:$H54="standby")*($B$4:$H$4=10))</f>
        <v>0</v>
      </c>
      <c r="M54" s="15">
        <f t="shared" si="7"/>
        <v>0</v>
      </c>
      <c r="N54" s="15">
        <f t="shared" si="8"/>
        <v>0</v>
      </c>
      <c r="O54" s="16">
        <f t="shared" si="9"/>
        <v>0</v>
      </c>
    </row>
    <row r="55" spans="1:15" ht="15" customHeight="1">
      <c r="A55" s="9">
        <f>'Members Data'!A47</f>
        <v>0</v>
      </c>
      <c r="B55" s="199"/>
      <c r="C55" s="200"/>
      <c r="D55" s="200"/>
      <c r="E55" s="200"/>
      <c r="F55" s="200"/>
      <c r="G55" s="200"/>
      <c r="H55" s="201"/>
      <c r="I55" s="70">
        <f t="array" ref="I55">SUM(($B55:$H55="confirmed")*($B$4:$H$4=25))</f>
        <v>0</v>
      </c>
      <c r="J55" s="43">
        <f t="array" ref="J55">SUM(($B55:$H55="standby")*($B$4:$H$4=25))</f>
        <v>0</v>
      </c>
      <c r="K55" s="43">
        <f t="array" ref="K55">SUM(($B55:$H55="confirmed")*($B$4:$H$4=10))</f>
        <v>0</v>
      </c>
      <c r="L55" s="43">
        <f t="array" ref="L55">SUM(($B55:$H55="standby")*($B$4:$H$4=10))</f>
        <v>0</v>
      </c>
      <c r="M55" s="15">
        <f t="shared" si="7"/>
        <v>0</v>
      </c>
      <c r="N55" s="15">
        <f t="shared" si="8"/>
        <v>0</v>
      </c>
      <c r="O55" s="16">
        <f t="shared" si="9"/>
        <v>0</v>
      </c>
    </row>
    <row r="56" spans="1:15" ht="15" customHeight="1">
      <c r="A56" s="9">
        <f>'Members Data'!A48</f>
        <v>0</v>
      </c>
      <c r="B56" s="199"/>
      <c r="C56" s="200"/>
      <c r="D56" s="200"/>
      <c r="E56" s="200"/>
      <c r="F56" s="200"/>
      <c r="G56" s="200"/>
      <c r="H56" s="201"/>
      <c r="I56" s="70">
        <f t="array" ref="I56">SUM(($B56:$H56="confirmed")*($B$4:$H$4=25))</f>
        <v>0</v>
      </c>
      <c r="J56" s="43">
        <f t="array" ref="J56">SUM(($B56:$H56="standby")*($B$4:$H$4=25))</f>
        <v>0</v>
      </c>
      <c r="K56" s="43">
        <f t="array" ref="K56">SUM(($B56:$H56="confirmed")*($B$4:$H$4=10))</f>
        <v>0</v>
      </c>
      <c r="L56" s="43">
        <f t="array" ref="L56">SUM(($B56:$H56="standby")*($B$4:$H$4=10))</f>
        <v>0</v>
      </c>
      <c r="M56" s="15">
        <f t="shared" si="7"/>
        <v>0</v>
      </c>
      <c r="N56" s="15">
        <f t="shared" si="8"/>
        <v>0</v>
      </c>
      <c r="O56" s="16">
        <f t="shared" si="9"/>
        <v>0</v>
      </c>
    </row>
    <row r="57" spans="1:15" ht="15" customHeight="1">
      <c r="A57" s="9">
        <f>'Members Data'!A49</f>
        <v>0</v>
      </c>
      <c r="B57" s="199"/>
      <c r="C57" s="200"/>
      <c r="D57" s="200"/>
      <c r="E57" s="200"/>
      <c r="F57" s="200"/>
      <c r="G57" s="200"/>
      <c r="H57" s="201"/>
      <c r="I57" s="70">
        <f t="array" ref="I57">SUM(($B57:$H57="confirmed")*($B$4:$H$4=25))</f>
        <v>0</v>
      </c>
      <c r="J57" s="43">
        <f t="array" ref="J57">SUM(($B57:$H57="standby")*($B$4:$H$4=25))</f>
        <v>0</v>
      </c>
      <c r="K57" s="43">
        <f t="array" ref="K57">SUM(($B57:$H57="confirmed")*($B$4:$H$4=10))</f>
        <v>0</v>
      </c>
      <c r="L57" s="43">
        <f t="array" ref="L57">SUM(($B57:$H57="standby")*($B$4:$H$4=10))</f>
        <v>0</v>
      </c>
      <c r="M57" s="15">
        <f t="shared" si="7"/>
        <v>0</v>
      </c>
      <c r="N57" s="15">
        <f t="shared" si="8"/>
        <v>0</v>
      </c>
      <c r="O57" s="16">
        <f t="shared" si="9"/>
        <v>0</v>
      </c>
    </row>
    <row r="58" spans="1:15" ht="15" customHeight="1">
      <c r="A58" s="9">
        <f>'Members Data'!A50</f>
        <v>0</v>
      </c>
      <c r="B58" s="199"/>
      <c r="C58" s="200"/>
      <c r="D58" s="200"/>
      <c r="E58" s="200"/>
      <c r="F58" s="200"/>
      <c r="G58" s="200"/>
      <c r="H58" s="201"/>
      <c r="I58" s="70">
        <f t="array" ref="I58">SUM(($B58:$H58="confirmed")*($B$4:$H$4=25))</f>
        <v>0</v>
      </c>
      <c r="J58" s="43">
        <f t="array" ref="J58">SUM(($B58:$H58="standby")*($B$4:$H$4=25))</f>
        <v>0</v>
      </c>
      <c r="K58" s="43">
        <f t="array" ref="K58">SUM(($B58:$H58="confirmed")*($B$4:$H$4=10))</f>
        <v>0</v>
      </c>
      <c r="L58" s="43">
        <f t="array" ref="L58">SUM(($B58:$H58="standby")*($B$4:$H$4=10))</f>
        <v>0</v>
      </c>
      <c r="M58" s="15">
        <f t="shared" si="7"/>
        <v>0</v>
      </c>
      <c r="N58" s="15">
        <f t="shared" si="8"/>
        <v>0</v>
      </c>
      <c r="O58" s="16">
        <f t="shared" si="9"/>
        <v>0</v>
      </c>
    </row>
    <row r="59" spans="1:15" ht="15" customHeight="1">
      <c r="A59" s="9">
        <f>'Members Data'!A51</f>
        <v>0</v>
      </c>
      <c r="B59" s="199"/>
      <c r="C59" s="200"/>
      <c r="D59" s="200"/>
      <c r="E59" s="200"/>
      <c r="F59" s="200"/>
      <c r="G59" s="200"/>
      <c r="H59" s="201"/>
      <c r="I59" s="70">
        <f t="array" ref="I59">SUM(($B59:$H59="confirmed")*($B$4:$H$4=25))</f>
        <v>0</v>
      </c>
      <c r="J59" s="43">
        <f t="array" ref="J59">SUM(($B59:$H59="standby")*($B$4:$H$4=25))</f>
        <v>0</v>
      </c>
      <c r="K59" s="43">
        <f t="array" ref="K59">SUM(($B59:$H59="confirmed")*($B$4:$H$4=10))</f>
        <v>0</v>
      </c>
      <c r="L59" s="43">
        <f t="array" ref="L59">SUM(($B59:$H59="standby")*($B$4:$H$4=10))</f>
        <v>0</v>
      </c>
      <c r="M59" s="15">
        <f t="shared" si="7"/>
        <v>0</v>
      </c>
      <c r="N59" s="15">
        <f t="shared" si="8"/>
        <v>0</v>
      </c>
      <c r="O59" s="16">
        <f t="shared" si="9"/>
        <v>0</v>
      </c>
    </row>
    <row r="60" spans="1:15" ht="15" customHeight="1">
      <c r="A60" s="9">
        <f>'Members Data'!A52</f>
        <v>0</v>
      </c>
      <c r="B60" s="199"/>
      <c r="C60" s="200"/>
      <c r="D60" s="200"/>
      <c r="E60" s="200"/>
      <c r="F60" s="200"/>
      <c r="G60" s="200"/>
      <c r="H60" s="201"/>
      <c r="I60" s="70">
        <f t="array" ref="I60">SUM(($B60:$H60="confirmed")*($B$4:$H$4=25))</f>
        <v>0</v>
      </c>
      <c r="J60" s="43">
        <f t="array" ref="J60">SUM(($B60:$H60="standby")*($B$4:$H$4=25))</f>
        <v>0</v>
      </c>
      <c r="K60" s="43">
        <f t="array" ref="K60">SUM(($B60:$H60="confirmed")*($B$4:$H$4=10))</f>
        <v>0</v>
      </c>
      <c r="L60" s="43">
        <f t="array" ref="L60">SUM(($B60:$H60="standby")*($B$4:$H$4=10))</f>
        <v>0</v>
      </c>
      <c r="M60" s="15">
        <f t="shared" si="7"/>
        <v>0</v>
      </c>
      <c r="N60" s="15">
        <f t="shared" si="8"/>
        <v>0</v>
      </c>
      <c r="O60" s="16">
        <f t="shared" si="9"/>
        <v>0</v>
      </c>
    </row>
    <row r="61" spans="1:15" ht="15" customHeight="1">
      <c r="A61" s="9">
        <f>'Members Data'!A53</f>
        <v>0</v>
      </c>
      <c r="B61" s="199"/>
      <c r="C61" s="200"/>
      <c r="D61" s="200"/>
      <c r="E61" s="200"/>
      <c r="F61" s="200"/>
      <c r="G61" s="200"/>
      <c r="H61" s="201"/>
      <c r="I61" s="70">
        <f t="array" ref="I61">SUM(($B61:$H61="confirmed")*($B$4:$H$4=25))</f>
        <v>0</v>
      </c>
      <c r="J61" s="43">
        <f t="array" ref="J61">SUM(($B61:$H61="standby")*($B$4:$H$4=25))</f>
        <v>0</v>
      </c>
      <c r="K61" s="43">
        <f t="array" ref="K61">SUM(($B61:$H61="confirmed")*($B$4:$H$4=10))</f>
        <v>0</v>
      </c>
      <c r="L61" s="43">
        <f t="array" ref="L61">SUM(($B61:$H61="standby")*($B$4:$H$4=10))</f>
        <v>0</v>
      </c>
      <c r="M61" s="15">
        <f t="shared" si="7"/>
        <v>0</v>
      </c>
      <c r="N61" s="15">
        <f t="shared" si="8"/>
        <v>0</v>
      </c>
      <c r="O61" s="16">
        <f t="shared" si="9"/>
        <v>0</v>
      </c>
    </row>
    <row r="62" spans="1:15" ht="15" customHeight="1">
      <c r="A62" s="9">
        <f>'Members Data'!A54</f>
        <v>0</v>
      </c>
      <c r="B62" s="199"/>
      <c r="C62" s="200"/>
      <c r="D62" s="200"/>
      <c r="E62" s="200"/>
      <c r="F62" s="200"/>
      <c r="G62" s="200"/>
      <c r="H62" s="201"/>
      <c r="I62" s="70">
        <f t="array" ref="I62">SUM(($B62:$H62="confirmed")*($B$4:$H$4=25))</f>
        <v>0</v>
      </c>
      <c r="J62" s="43">
        <f t="array" ref="J62">SUM(($B62:$H62="standby")*($B$4:$H$4=25))</f>
        <v>0</v>
      </c>
      <c r="K62" s="43">
        <f t="array" ref="K62">SUM(($B62:$H62="confirmed")*($B$4:$H$4=10))</f>
        <v>0</v>
      </c>
      <c r="L62" s="43">
        <f t="array" ref="L62">SUM(($B62:$H62="standby")*($B$4:$H$4=10))</f>
        <v>0</v>
      </c>
      <c r="M62" s="15">
        <f t="shared" si="7"/>
        <v>0</v>
      </c>
      <c r="N62" s="15">
        <f t="shared" si="8"/>
        <v>0</v>
      </c>
      <c r="O62" s="16">
        <f t="shared" si="9"/>
        <v>0</v>
      </c>
    </row>
    <row r="63" spans="1:15" ht="15" customHeight="1">
      <c r="A63" s="9">
        <f>'Members Data'!A55</f>
        <v>0</v>
      </c>
      <c r="B63" s="199"/>
      <c r="C63" s="200"/>
      <c r="D63" s="200"/>
      <c r="E63" s="200"/>
      <c r="F63" s="200"/>
      <c r="G63" s="200"/>
      <c r="H63" s="201"/>
      <c r="I63" s="70">
        <f t="array" ref="I63">SUM(($B63:$H63="confirmed")*($B$4:$H$4=25))</f>
        <v>0</v>
      </c>
      <c r="J63" s="43">
        <f t="array" ref="J63">SUM(($B63:$H63="standby")*($B$4:$H$4=25))</f>
        <v>0</v>
      </c>
      <c r="K63" s="43">
        <f t="array" ref="K63">SUM(($B63:$H63="confirmed")*($B$4:$H$4=10))</f>
        <v>0</v>
      </c>
      <c r="L63" s="43">
        <f t="array" ref="L63">SUM(($B63:$H63="standby")*($B$4:$H$4=10))</f>
        <v>0</v>
      </c>
      <c r="M63" s="15">
        <f t="shared" si="7"/>
        <v>0</v>
      </c>
      <c r="N63" s="15">
        <f t="shared" si="8"/>
        <v>0</v>
      </c>
      <c r="O63" s="16">
        <f t="shared" si="9"/>
        <v>0</v>
      </c>
    </row>
    <row r="64" spans="1:15" ht="15" customHeight="1">
      <c r="A64" s="9">
        <f>'Members Data'!A56</f>
        <v>0</v>
      </c>
      <c r="B64" s="199"/>
      <c r="C64" s="200"/>
      <c r="D64" s="200"/>
      <c r="E64" s="200"/>
      <c r="F64" s="200"/>
      <c r="G64" s="200"/>
      <c r="H64" s="201"/>
      <c r="I64" s="70">
        <f t="array" ref="I64">SUM(($B64:$H64="confirmed")*($B$4:$H$4=25))</f>
        <v>0</v>
      </c>
      <c r="J64" s="43">
        <f t="array" ref="J64">SUM(($B64:$H64="standby")*($B$4:$H$4=25))</f>
        <v>0</v>
      </c>
      <c r="K64" s="43">
        <f t="array" ref="K64">SUM(($B64:$H64="confirmed")*($B$4:$H$4=10))</f>
        <v>0</v>
      </c>
      <c r="L64" s="43">
        <f t="array" ref="L64">SUM(($B64:$H64="standby")*($B$4:$H$4=10))</f>
        <v>0</v>
      </c>
      <c r="M64" s="15">
        <f t="shared" si="7"/>
        <v>0</v>
      </c>
      <c r="N64" s="15">
        <f t="shared" si="8"/>
        <v>0</v>
      </c>
      <c r="O64" s="16">
        <f t="shared" si="9"/>
        <v>0</v>
      </c>
    </row>
    <row r="65" spans="1:15" ht="15" customHeight="1">
      <c r="A65" s="9">
        <f>'Members Data'!A57</f>
        <v>0</v>
      </c>
      <c r="B65" s="203"/>
      <c r="C65" s="200"/>
      <c r="D65" s="200"/>
      <c r="E65" s="200"/>
      <c r="F65" s="200"/>
      <c r="G65" s="200"/>
      <c r="H65" s="201"/>
      <c r="I65" s="70">
        <f t="array" ref="I65">SUM(($B65:$H65="confirmed")*($B$4:$H$4=25))</f>
        <v>0</v>
      </c>
      <c r="J65" s="43">
        <f t="array" ref="J65">SUM(($B65:$H65="standby")*($B$4:$H$4=25))</f>
        <v>0</v>
      </c>
      <c r="K65" s="43">
        <f t="array" ref="K65">SUM(($B65:$H65="confirmed")*($B$4:$H$4=10))</f>
        <v>0</v>
      </c>
      <c r="L65" s="43">
        <f t="array" ref="L65">SUM(($B65:$H65="standby")*($B$4:$H$4=10))</f>
        <v>0</v>
      </c>
      <c r="M65" s="15">
        <f t="shared" si="7"/>
        <v>0</v>
      </c>
      <c r="N65" s="15">
        <f t="shared" si="8"/>
        <v>0</v>
      </c>
      <c r="O65" s="16">
        <f t="shared" si="9"/>
        <v>0</v>
      </c>
    </row>
    <row r="66" spans="1:15" ht="15" customHeight="1">
      <c r="A66" s="75">
        <f>'Members Data'!A58</f>
        <v>0</v>
      </c>
      <c r="B66" s="203"/>
      <c r="C66" s="200"/>
      <c r="D66" s="200"/>
      <c r="E66" s="200"/>
      <c r="F66" s="200"/>
      <c r="G66" s="200"/>
      <c r="H66" s="201"/>
      <c r="I66" s="70">
        <f t="array" ref="I66">SUM(($B66:$H66="confirmed")*($B$4:$H$4=25))</f>
        <v>0</v>
      </c>
      <c r="J66" s="43">
        <f t="array" ref="J66">SUM(($B66:$H66="standby")*($B$4:$H$4=25))</f>
        <v>0</v>
      </c>
      <c r="K66" s="43">
        <f t="array" ref="K66">SUM(($B66:$H66="confirmed")*($B$4:$H$4=10))</f>
        <v>0</v>
      </c>
      <c r="L66" s="43">
        <f t="array" ref="L66">SUM(($B66:$H66="standby")*($B$4:$H$4=10))</f>
        <v>0</v>
      </c>
      <c r="M66" s="15">
        <f>COUNTIF(B66:H66,"confirmed")</f>
        <v>0</v>
      </c>
      <c r="N66" s="15">
        <f>COUNTIF(B66:H66,"standby")</f>
        <v>0</v>
      </c>
      <c r="O66" s="16">
        <f>COUNTIF(B66:H66,"out")</f>
        <v>0</v>
      </c>
    </row>
    <row r="67" spans="1:15" ht="15" customHeight="1">
      <c r="A67" s="75">
        <f>'Members Data'!A59</f>
        <v>0</v>
      </c>
      <c r="B67" s="203"/>
      <c r="C67" s="200"/>
      <c r="D67" s="200"/>
      <c r="E67" s="200"/>
      <c r="F67" s="200"/>
      <c r="G67" s="200"/>
      <c r="H67" s="204"/>
      <c r="I67" s="70">
        <f t="array" ref="I67">SUM(($B67:$H67="confirmed")*($B$4:$H$4=25))</f>
        <v>0</v>
      </c>
      <c r="J67" s="43">
        <f t="array" ref="J67">SUM(($B67:$H67="standby")*($B$4:$H$4=25))</f>
        <v>0</v>
      </c>
      <c r="K67" s="43">
        <f t="array" ref="K67">SUM(($B67:$H67="confirmed")*($B$4:$H$4=10))</f>
        <v>0</v>
      </c>
      <c r="L67" s="43">
        <f t="array" ref="L67">SUM(($B67:$H67="standby")*($B$4:$H$4=10))</f>
        <v>0</v>
      </c>
      <c r="M67" s="72">
        <f t="shared" si="7"/>
        <v>0</v>
      </c>
      <c r="N67" s="72">
        <f t="shared" si="8"/>
        <v>0</v>
      </c>
      <c r="O67" s="73">
        <f t="shared" si="9"/>
        <v>0</v>
      </c>
    </row>
    <row r="68" spans="1:15" ht="15" customHeight="1">
      <c r="A68" s="75">
        <f>'Members Data'!A60</f>
        <v>0</v>
      </c>
      <c r="B68" s="199"/>
      <c r="C68" s="200"/>
      <c r="D68" s="200"/>
      <c r="E68" s="200"/>
      <c r="F68" s="200"/>
      <c r="G68" s="200"/>
      <c r="H68" s="204"/>
      <c r="I68" s="70">
        <f t="array" ref="I68">SUM(($B68:$H68="confirmed")*($B$4:$H$4=25))</f>
        <v>0</v>
      </c>
      <c r="J68" s="43">
        <f t="array" ref="J68">SUM(($B68:$H68="standby")*($B$4:$H$4=25))</f>
        <v>0</v>
      </c>
      <c r="K68" s="43">
        <f t="array" ref="K68">SUM(($B68:$H68="confirmed")*($B$4:$H$4=10))</f>
        <v>0</v>
      </c>
      <c r="L68" s="43">
        <f t="array" ref="L68">SUM(($B68:$H68="standby")*($B$4:$H$4=10))</f>
        <v>0</v>
      </c>
      <c r="M68" s="72">
        <f t="shared" si="7"/>
        <v>0</v>
      </c>
      <c r="N68" s="72">
        <f t="shared" si="8"/>
        <v>0</v>
      </c>
      <c r="O68" s="73">
        <f t="shared" si="9"/>
        <v>0</v>
      </c>
    </row>
    <row r="69" spans="1:15" ht="15" customHeight="1" thickBot="1">
      <c r="A69" s="130">
        <f>'Members Data'!A61</f>
        <v>0</v>
      </c>
      <c r="B69" s="205"/>
      <c r="C69" s="206"/>
      <c r="D69" s="206"/>
      <c r="E69" s="206"/>
      <c r="F69" s="206"/>
      <c r="G69" s="206"/>
      <c r="H69" s="207"/>
      <c r="I69" s="152">
        <f t="array" ref="I69">SUM(($B69:$H69="confirmed")*($B$4:$H$4=25))</f>
        <v>0</v>
      </c>
      <c r="J69" s="145">
        <f t="array" ref="J69">SUM(($B69:$H69="standby")*($B$4:$H$4=25))</f>
        <v>0</v>
      </c>
      <c r="K69" s="145">
        <f t="array" ref="K69">SUM(($B69:$H69="confirmed")*($B$4:$H$4=10))</f>
        <v>0</v>
      </c>
      <c r="L69" s="145">
        <f t="array" ref="L69">SUM(($B69:$H69="standby")*($B$4:$H$4=10))</f>
        <v>0</v>
      </c>
      <c r="M69" s="131">
        <f t="shared" ref="M69:M108" si="10">COUNTIF(B69:H69,"confirmed")</f>
        <v>0</v>
      </c>
      <c r="N69" s="131">
        <f t="shared" ref="N69:N108" si="11">COUNTIF(B69:H69,"standby")</f>
        <v>0</v>
      </c>
      <c r="O69" s="132">
        <f t="shared" ref="O69:O108" si="12">COUNTIF(B69:H69,"out")</f>
        <v>0</v>
      </c>
    </row>
    <row r="70" spans="1:15" ht="15" customHeight="1" thickTop="1">
      <c r="A70" s="74" t="str">
        <f>'Members Data'!A62</f>
        <v>Kristofix</v>
      </c>
      <c r="B70" s="199"/>
      <c r="C70" s="200"/>
      <c r="D70" s="200"/>
      <c r="E70" s="200"/>
      <c r="F70" s="200"/>
      <c r="G70" s="200"/>
      <c r="H70" s="201"/>
      <c r="I70" s="226">
        <f t="array" ref="I70">SUM(($B70:$H70="confirmed")*($B$4:$H$4=25))</f>
        <v>0</v>
      </c>
      <c r="J70" s="227">
        <f t="array" ref="J70">SUM(($B70:$H70="standby")*($B$4:$H$4=25))</f>
        <v>0</v>
      </c>
      <c r="K70" s="227">
        <f t="array" ref="K70">SUM(($B70:$H70="confirmed")*($B$4:$H$4=10))</f>
        <v>0</v>
      </c>
      <c r="L70" s="227">
        <f t="array" ref="L70">SUM(($B70:$H70="standby")*($B$4:$H$4=10))</f>
        <v>0</v>
      </c>
      <c r="M70" s="128">
        <f t="shared" si="10"/>
        <v>0</v>
      </c>
      <c r="N70" s="128">
        <f t="shared" si="11"/>
        <v>0</v>
      </c>
      <c r="O70" s="129">
        <f t="shared" si="12"/>
        <v>0</v>
      </c>
    </row>
    <row r="71" spans="1:15" ht="15" customHeight="1">
      <c r="A71" s="75" t="str">
        <f>'Members Data'!A63</f>
        <v>Nazgol</v>
      </c>
      <c r="B71" s="199"/>
      <c r="C71" s="200"/>
      <c r="D71" s="200"/>
      <c r="E71" s="200"/>
      <c r="F71" s="200"/>
      <c r="G71" s="200"/>
      <c r="H71" s="201"/>
      <c r="I71" s="70">
        <f t="array" ref="I71">SUM(($B71:$H71="confirmed")*($B$4:$H$4=25))</f>
        <v>0</v>
      </c>
      <c r="J71" s="43">
        <f t="array" ref="J71">SUM(($B71:$H71="standby")*($B$4:$H$4=25))</f>
        <v>0</v>
      </c>
      <c r="K71" s="43">
        <f t="array" ref="K71">SUM(($B71:$H71="confirmed")*($B$4:$H$4=10))</f>
        <v>0</v>
      </c>
      <c r="L71" s="43">
        <f t="array" ref="L71">SUM(($B71:$H71="standby")*($B$4:$H$4=10))</f>
        <v>0</v>
      </c>
      <c r="M71" s="72">
        <f t="shared" si="10"/>
        <v>0</v>
      </c>
      <c r="N71" s="72">
        <f t="shared" si="11"/>
        <v>0</v>
      </c>
      <c r="O71" s="73">
        <f t="shared" si="12"/>
        <v>0</v>
      </c>
    </row>
    <row r="72" spans="1:15" ht="15" customHeight="1">
      <c r="A72" s="75" t="str">
        <f>'Members Data'!A64</f>
        <v>Icewinde</v>
      </c>
      <c r="B72" s="199"/>
      <c r="C72" s="200"/>
      <c r="D72" s="200"/>
      <c r="E72" s="200"/>
      <c r="F72" s="200"/>
      <c r="G72" s="200"/>
      <c r="H72" s="201"/>
      <c r="I72" s="70">
        <f t="array" ref="I72">SUM(($B72:$H72="confirmed")*($B$4:$H$4=25))</f>
        <v>0</v>
      </c>
      <c r="J72" s="43">
        <f t="array" ref="J72">SUM(($B72:$H72="standby")*($B$4:$H$4=25))</f>
        <v>0</v>
      </c>
      <c r="K72" s="43">
        <f t="array" ref="K72">SUM(($B72:$H72="confirmed")*($B$4:$H$4=10))</f>
        <v>0</v>
      </c>
      <c r="L72" s="43">
        <f t="array" ref="L72">SUM(($B72:$H72="standby")*($B$4:$H$4=10))</f>
        <v>0</v>
      </c>
      <c r="M72" s="72">
        <f t="shared" si="10"/>
        <v>0</v>
      </c>
      <c r="N72" s="72">
        <f t="shared" si="11"/>
        <v>0</v>
      </c>
      <c r="O72" s="73">
        <f t="shared" si="12"/>
        <v>0</v>
      </c>
    </row>
    <row r="73" spans="1:15" ht="15" customHeight="1">
      <c r="A73" s="75" t="str">
        <f>'Members Data'!A65</f>
        <v>Ambú</v>
      </c>
      <c r="B73" s="199"/>
      <c r="C73" s="200"/>
      <c r="D73" s="200"/>
      <c r="E73" s="200"/>
      <c r="F73" s="200"/>
      <c r="G73" s="200"/>
      <c r="H73" s="201"/>
      <c r="I73" s="70">
        <f t="array" ref="I73">SUM(($B73:$H73="confirmed")*($B$4:$H$4=25))</f>
        <v>0</v>
      </c>
      <c r="J73" s="43">
        <f t="array" ref="J73">SUM(($B73:$H73="standby")*($B$4:$H$4=25))</f>
        <v>0</v>
      </c>
      <c r="K73" s="43">
        <f t="array" ref="K73">SUM(($B73:$H73="confirmed")*($B$4:$H$4=10))</f>
        <v>0</v>
      </c>
      <c r="L73" s="43">
        <f t="array" ref="L73">SUM(($B73:$H73="standby")*($B$4:$H$4=10))</f>
        <v>0</v>
      </c>
      <c r="M73" s="72">
        <f t="shared" si="10"/>
        <v>0</v>
      </c>
      <c r="N73" s="72">
        <f t="shared" si="11"/>
        <v>0</v>
      </c>
      <c r="O73" s="73">
        <f t="shared" si="12"/>
        <v>0</v>
      </c>
    </row>
    <row r="74" spans="1:15" ht="15" customHeight="1">
      <c r="A74" s="75" t="str">
        <f>'Members Data'!A66</f>
        <v>Mortali</v>
      </c>
      <c r="B74" s="199"/>
      <c r="C74" s="200"/>
      <c r="D74" s="200"/>
      <c r="E74" s="200"/>
      <c r="F74" s="200"/>
      <c r="G74" s="200"/>
      <c r="H74" s="201"/>
      <c r="I74" s="70">
        <f t="array" ref="I74">SUM(($B74:$H74="confirmed")*($B$4:$H$4=25))</f>
        <v>0</v>
      </c>
      <c r="J74" s="43">
        <f t="array" ref="J74">SUM(($B74:$H74="standby")*($B$4:$H$4=25))</f>
        <v>0</v>
      </c>
      <c r="K74" s="43">
        <f t="array" ref="K74">SUM(($B74:$H74="confirmed")*($B$4:$H$4=10))</f>
        <v>0</v>
      </c>
      <c r="L74" s="43">
        <f t="array" ref="L74">SUM(($B74:$H74="standby")*($B$4:$H$4=10))</f>
        <v>0</v>
      </c>
      <c r="M74" s="72">
        <f t="shared" si="10"/>
        <v>0</v>
      </c>
      <c r="N74" s="72">
        <f t="shared" si="11"/>
        <v>0</v>
      </c>
      <c r="O74" s="73">
        <f t="shared" si="12"/>
        <v>0</v>
      </c>
    </row>
    <row r="75" spans="1:15" ht="15" customHeight="1">
      <c r="A75" s="75" t="str">
        <f>'Members Data'!A67</f>
        <v>Andreah</v>
      </c>
      <c r="B75" s="199"/>
      <c r="C75" s="200"/>
      <c r="D75" s="200"/>
      <c r="E75" s="200"/>
      <c r="F75" s="200"/>
      <c r="G75" s="200"/>
      <c r="H75" s="201"/>
      <c r="I75" s="70">
        <f t="array" ref="I75">SUM(($B75:$H75="confirmed")*($B$4:$H$4=25))</f>
        <v>0</v>
      </c>
      <c r="J75" s="43">
        <f t="array" ref="J75">SUM(($B75:$H75="standby")*($B$4:$H$4=25))</f>
        <v>0</v>
      </c>
      <c r="K75" s="43">
        <f t="array" ref="K75">SUM(($B75:$H75="confirmed")*($B$4:$H$4=10))</f>
        <v>0</v>
      </c>
      <c r="L75" s="43">
        <f t="array" ref="L75">SUM(($B75:$H75="standby")*($B$4:$H$4=10))</f>
        <v>0</v>
      </c>
      <c r="M75" s="72">
        <f t="shared" si="10"/>
        <v>0</v>
      </c>
      <c r="N75" s="72">
        <f t="shared" si="11"/>
        <v>0</v>
      </c>
      <c r="O75" s="73">
        <f t="shared" si="12"/>
        <v>0</v>
      </c>
    </row>
    <row r="76" spans="1:15" ht="15" customHeight="1">
      <c r="A76" s="75" t="str">
        <f>'Members Data'!A68</f>
        <v>Yardk</v>
      </c>
      <c r="B76" s="199"/>
      <c r="C76" s="200"/>
      <c r="D76" s="200"/>
      <c r="E76" s="200"/>
      <c r="F76" s="200"/>
      <c r="G76" s="200"/>
      <c r="H76" s="201"/>
      <c r="I76" s="70">
        <f t="array" ref="I76">SUM(($B76:$H76="confirmed")*($B$4:$H$4=25))</f>
        <v>0</v>
      </c>
      <c r="J76" s="43">
        <f t="array" ref="J76">SUM(($B76:$H76="standby")*($B$4:$H$4=25))</f>
        <v>0</v>
      </c>
      <c r="K76" s="43">
        <f t="array" ref="K76">SUM(($B76:$H76="confirmed")*($B$4:$H$4=10))</f>
        <v>0</v>
      </c>
      <c r="L76" s="43">
        <f t="array" ref="L76">SUM(($B76:$H76="standby")*($B$4:$H$4=10))</f>
        <v>0</v>
      </c>
      <c r="M76" s="72">
        <f t="shared" si="10"/>
        <v>0</v>
      </c>
      <c r="N76" s="72">
        <f t="shared" si="11"/>
        <v>0</v>
      </c>
      <c r="O76" s="73">
        <f t="shared" si="12"/>
        <v>0</v>
      </c>
    </row>
    <row r="77" spans="1:15" ht="15" customHeight="1">
      <c r="A77" s="75" t="str">
        <f>'Members Data'!A69</f>
        <v>Halfhorns</v>
      </c>
      <c r="B77" s="332"/>
      <c r="C77" s="200"/>
      <c r="D77" s="200"/>
      <c r="E77" s="200"/>
      <c r="F77" s="200"/>
      <c r="G77" s="200"/>
      <c r="H77" s="201"/>
      <c r="I77" s="70">
        <f t="array" ref="I77">SUM(($B77:$H77="confirmed")*($B$4:$H$4=25))</f>
        <v>0</v>
      </c>
      <c r="J77" s="43">
        <f t="array" ref="J77">SUM(($B77:$H77="standby")*($B$4:$H$4=25))</f>
        <v>0</v>
      </c>
      <c r="K77" s="43">
        <f t="array" ref="K77">SUM(($B77:$H77="confirmed")*($B$4:$H$4=10))</f>
        <v>0</v>
      </c>
      <c r="L77" s="43">
        <f t="array" ref="L77">SUM(($B77:$H77="standby")*($B$4:$H$4=10))</f>
        <v>0</v>
      </c>
      <c r="M77" s="72">
        <f t="shared" si="10"/>
        <v>0</v>
      </c>
      <c r="N77" s="72">
        <f t="shared" si="11"/>
        <v>0</v>
      </c>
      <c r="O77" s="73">
        <f t="shared" si="12"/>
        <v>0</v>
      </c>
    </row>
    <row r="78" spans="1:15" ht="15" customHeight="1">
      <c r="A78" s="75" t="str">
        <f>'Members Data'!A70</f>
        <v>Ebullio</v>
      </c>
      <c r="B78" s="199"/>
      <c r="C78" s="200"/>
      <c r="D78" s="200"/>
      <c r="E78" s="200"/>
      <c r="F78" s="200"/>
      <c r="G78" s="200"/>
      <c r="H78" s="201"/>
      <c r="I78" s="70">
        <f t="array" ref="I78">SUM(($B78:$H78="confirmed")*($B$4:$H$4=25))</f>
        <v>0</v>
      </c>
      <c r="J78" s="43">
        <f t="array" ref="J78">SUM(($B78:$H78="standby")*($B$4:$H$4=25))</f>
        <v>0</v>
      </c>
      <c r="K78" s="43">
        <f t="array" ref="K78">SUM(($B78:$H78="confirmed")*($B$4:$H$4=10))</f>
        <v>0</v>
      </c>
      <c r="L78" s="43">
        <f t="array" ref="L78">SUM(($B78:$H78="standby")*($B$4:$H$4=10))</f>
        <v>0</v>
      </c>
      <c r="M78" s="72">
        <f t="shared" si="10"/>
        <v>0</v>
      </c>
      <c r="N78" s="72">
        <f t="shared" si="11"/>
        <v>0</v>
      </c>
      <c r="O78" s="73">
        <f t="shared" si="12"/>
        <v>0</v>
      </c>
    </row>
    <row r="79" spans="1:15" ht="15" customHeight="1">
      <c r="A79" s="75" t="str">
        <f>'Members Data'!A71</f>
        <v>Fireaxe</v>
      </c>
      <c r="B79" s="199"/>
      <c r="C79" s="200"/>
      <c r="D79" s="200"/>
      <c r="E79" s="200"/>
      <c r="F79" s="200"/>
      <c r="G79" s="200"/>
      <c r="H79" s="201"/>
      <c r="I79" s="70">
        <f t="array" ref="I79">SUM(($B79:$H79="confirmed")*($B$4:$H$4=25))</f>
        <v>0</v>
      </c>
      <c r="J79" s="43">
        <f t="array" ref="J79">SUM(($B79:$H79="standby")*($B$4:$H$4=25))</f>
        <v>0</v>
      </c>
      <c r="K79" s="43">
        <f t="array" ref="K79">SUM(($B79:$H79="confirmed")*($B$4:$H$4=10))</f>
        <v>0</v>
      </c>
      <c r="L79" s="43">
        <f t="array" ref="L79">SUM(($B79:$H79="standby")*($B$4:$H$4=10))</f>
        <v>0</v>
      </c>
      <c r="M79" s="72">
        <f t="shared" si="10"/>
        <v>0</v>
      </c>
      <c r="N79" s="72">
        <f t="shared" si="11"/>
        <v>0</v>
      </c>
      <c r="O79" s="73">
        <f t="shared" si="12"/>
        <v>0</v>
      </c>
    </row>
    <row r="80" spans="1:15" ht="15" customHeight="1">
      <c r="A80" s="75" t="str">
        <f>'Members Data'!A72</f>
        <v>Firefoxy</v>
      </c>
      <c r="B80" s="199"/>
      <c r="C80" s="200"/>
      <c r="D80" s="200"/>
      <c r="E80" s="200"/>
      <c r="F80" s="200"/>
      <c r="G80" s="200"/>
      <c r="H80" s="201"/>
      <c r="I80" s="70">
        <f t="array" ref="I80">SUM(($B80:$H80="confirmed")*($B$4:$H$4=25))</f>
        <v>0</v>
      </c>
      <c r="J80" s="43">
        <f t="array" ref="J80">SUM(($B80:$H80="standby")*($B$4:$H$4=25))</f>
        <v>0</v>
      </c>
      <c r="K80" s="43">
        <f t="array" ref="K80">SUM(($B80:$H80="confirmed")*($B$4:$H$4=10))</f>
        <v>0</v>
      </c>
      <c r="L80" s="43">
        <f t="array" ref="L80">SUM(($B80:$H80="standby")*($B$4:$H$4=10))</f>
        <v>0</v>
      </c>
      <c r="M80" s="72">
        <f t="shared" si="10"/>
        <v>0</v>
      </c>
      <c r="N80" s="72">
        <f t="shared" si="11"/>
        <v>0</v>
      </c>
      <c r="O80" s="73">
        <f t="shared" si="12"/>
        <v>0</v>
      </c>
    </row>
    <row r="81" spans="1:15" ht="15" customHeight="1">
      <c r="A81" s="75" t="str">
        <f>'Members Data'!A73</f>
        <v>Boeyah</v>
      </c>
      <c r="B81" s="199"/>
      <c r="C81" s="200"/>
      <c r="D81" s="200"/>
      <c r="E81" s="200"/>
      <c r="F81" s="200"/>
      <c r="G81" s="200"/>
      <c r="H81" s="201"/>
      <c r="I81" s="70">
        <f t="array" ref="I81">SUM(($B81:$H81="confirmed")*($B$4:$H$4=25))</f>
        <v>0</v>
      </c>
      <c r="J81" s="43">
        <f t="array" ref="J81">SUM(($B81:$H81="standby")*($B$4:$H$4=25))</f>
        <v>0</v>
      </c>
      <c r="K81" s="43">
        <f t="array" ref="K81">SUM(($B81:$H81="confirmed")*($B$4:$H$4=10))</f>
        <v>0</v>
      </c>
      <c r="L81" s="43">
        <f t="array" ref="L81">SUM(($B81:$H81="standby")*($B$4:$H$4=10))</f>
        <v>0</v>
      </c>
      <c r="M81" s="72">
        <f t="shared" si="10"/>
        <v>0</v>
      </c>
      <c r="N81" s="72">
        <f t="shared" si="11"/>
        <v>0</v>
      </c>
      <c r="O81" s="73">
        <f t="shared" si="12"/>
        <v>0</v>
      </c>
    </row>
    <row r="82" spans="1:15" ht="15" customHeight="1">
      <c r="A82" s="75" t="str">
        <f>'Members Data'!A74</f>
        <v>Judgementz</v>
      </c>
      <c r="B82" s="199"/>
      <c r="C82" s="200"/>
      <c r="D82" s="200"/>
      <c r="E82" s="200"/>
      <c r="F82" s="200"/>
      <c r="G82" s="200"/>
      <c r="H82" s="201"/>
      <c r="I82" s="70">
        <f t="array" ref="I82">SUM(($B82:$H82="confirmed")*($B$4:$H$4=25))</f>
        <v>0</v>
      </c>
      <c r="J82" s="43">
        <f t="array" ref="J82">SUM(($B82:$H82="standby")*($B$4:$H$4=25))</f>
        <v>0</v>
      </c>
      <c r="K82" s="43">
        <f t="array" ref="K82">SUM(($B82:$H82="confirmed")*($B$4:$H$4=10))</f>
        <v>0</v>
      </c>
      <c r="L82" s="43">
        <f t="array" ref="L82">SUM(($B82:$H82="standby")*($B$4:$H$4=10))</f>
        <v>0</v>
      </c>
      <c r="M82" s="72">
        <f t="shared" si="10"/>
        <v>0</v>
      </c>
      <c r="N82" s="72">
        <f t="shared" si="11"/>
        <v>0</v>
      </c>
      <c r="O82" s="73">
        <f t="shared" si="12"/>
        <v>0</v>
      </c>
    </row>
    <row r="83" spans="1:15" ht="15" customHeight="1">
      <c r="A83" s="75">
        <f>'Members Data'!A75</f>
        <v>0</v>
      </c>
      <c r="B83" s="199"/>
      <c r="C83" s="200"/>
      <c r="D83" s="200"/>
      <c r="E83" s="200"/>
      <c r="F83" s="200"/>
      <c r="G83" s="200"/>
      <c r="H83" s="201"/>
      <c r="I83" s="70">
        <f t="array" ref="I83">SUM(($B83:$H83="confirmed")*($B$4:$H$4=25))</f>
        <v>0</v>
      </c>
      <c r="J83" s="43">
        <f t="array" ref="J83">SUM(($B83:$H83="standby")*($B$4:$H$4=25))</f>
        <v>0</v>
      </c>
      <c r="K83" s="43">
        <f t="array" ref="K83">SUM(($B83:$H83="confirmed")*($B$4:$H$4=10))</f>
        <v>0</v>
      </c>
      <c r="L83" s="43">
        <f t="array" ref="L83">SUM(($B83:$H83="standby")*($B$4:$H$4=10))</f>
        <v>0</v>
      </c>
      <c r="M83" s="72">
        <f t="shared" si="10"/>
        <v>0</v>
      </c>
      <c r="N83" s="72">
        <f t="shared" si="11"/>
        <v>0</v>
      </c>
      <c r="O83" s="73">
        <f t="shared" si="12"/>
        <v>0</v>
      </c>
    </row>
    <row r="84" spans="1:15" ht="15" customHeight="1">
      <c r="A84" s="75">
        <f>'Members Data'!A76</f>
        <v>0</v>
      </c>
      <c r="B84" s="199"/>
      <c r="C84" s="200"/>
      <c r="D84" s="200"/>
      <c r="E84" s="200"/>
      <c r="F84" s="200"/>
      <c r="G84" s="200"/>
      <c r="H84" s="201"/>
      <c r="I84" s="70">
        <f t="array" ref="I84">SUM(($B84:$H84="confirmed")*($B$4:$H$4=25))</f>
        <v>0</v>
      </c>
      <c r="J84" s="43">
        <f t="array" ref="J84">SUM(($B84:$H84="standby")*($B$4:$H$4=25))</f>
        <v>0</v>
      </c>
      <c r="K84" s="43">
        <f t="array" ref="K84">SUM(($B84:$H84="confirmed")*($B$4:$H$4=10))</f>
        <v>0</v>
      </c>
      <c r="L84" s="43">
        <f t="array" ref="L84">SUM(($B84:$H84="standby")*($B$4:$H$4=10))</f>
        <v>0</v>
      </c>
      <c r="M84" s="72">
        <f t="shared" si="10"/>
        <v>0</v>
      </c>
      <c r="N84" s="72">
        <f t="shared" si="11"/>
        <v>0</v>
      </c>
      <c r="O84" s="73">
        <f t="shared" si="12"/>
        <v>0</v>
      </c>
    </row>
    <row r="85" spans="1:15" ht="15" customHeight="1">
      <c r="A85" s="75">
        <f>'Members Data'!A77</f>
        <v>0</v>
      </c>
      <c r="B85" s="199"/>
      <c r="C85" s="200"/>
      <c r="D85" s="200"/>
      <c r="E85" s="200"/>
      <c r="F85" s="200"/>
      <c r="G85" s="200"/>
      <c r="H85" s="201"/>
      <c r="I85" s="70">
        <f t="array" ref="I85">SUM(($B85:$H85="confirmed")*($B$4:$H$4=25))</f>
        <v>0</v>
      </c>
      <c r="J85" s="43">
        <f t="array" ref="J85">SUM(($B85:$H85="standby")*($B$4:$H$4=25))</f>
        <v>0</v>
      </c>
      <c r="K85" s="43">
        <f t="array" ref="K85">SUM(($B85:$H85="confirmed")*($B$4:$H$4=10))</f>
        <v>0</v>
      </c>
      <c r="L85" s="43">
        <f t="array" ref="L85">SUM(($B85:$H85="standby")*($B$4:$H$4=10))</f>
        <v>0</v>
      </c>
      <c r="M85" s="72">
        <f t="shared" si="10"/>
        <v>0</v>
      </c>
      <c r="N85" s="72">
        <f t="shared" si="11"/>
        <v>0</v>
      </c>
      <c r="O85" s="73">
        <f t="shared" si="12"/>
        <v>0</v>
      </c>
    </row>
    <row r="86" spans="1:15" ht="15" customHeight="1">
      <c r="A86" s="75">
        <f>'Members Data'!A78</f>
        <v>0</v>
      </c>
      <c r="B86" s="199"/>
      <c r="C86" s="200"/>
      <c r="D86" s="200"/>
      <c r="E86" s="200"/>
      <c r="F86" s="200"/>
      <c r="G86" s="200"/>
      <c r="H86" s="201"/>
      <c r="I86" s="70">
        <f t="array" ref="I86">SUM(($B86:$H86="confirmed")*($B$4:$H$4=25))</f>
        <v>0</v>
      </c>
      <c r="J86" s="43">
        <f t="array" ref="J86">SUM(($B86:$H86="standby")*($B$4:$H$4=25))</f>
        <v>0</v>
      </c>
      <c r="K86" s="43">
        <f t="array" ref="K86">SUM(($B86:$H86="confirmed")*($B$4:$H$4=10))</f>
        <v>0</v>
      </c>
      <c r="L86" s="43">
        <f t="array" ref="L86">SUM(($B86:$H86="standby")*($B$4:$H$4=10))</f>
        <v>0</v>
      </c>
      <c r="M86" s="72">
        <f t="shared" si="10"/>
        <v>0</v>
      </c>
      <c r="N86" s="72">
        <f t="shared" si="11"/>
        <v>0</v>
      </c>
      <c r="O86" s="73">
        <f t="shared" si="12"/>
        <v>0</v>
      </c>
    </row>
    <row r="87" spans="1:15" ht="15" customHeight="1">
      <c r="A87" s="75">
        <f>'Members Data'!A79</f>
        <v>0</v>
      </c>
      <c r="B87" s="199"/>
      <c r="C87" s="200"/>
      <c r="D87" s="200"/>
      <c r="E87" s="200"/>
      <c r="F87" s="200"/>
      <c r="G87" s="200"/>
      <c r="H87" s="201"/>
      <c r="I87" s="70">
        <f t="array" ref="I87">SUM(($B87:$H87="confirmed")*($B$4:$H$4=25))</f>
        <v>0</v>
      </c>
      <c r="J87" s="43">
        <f t="array" ref="J87">SUM(($B87:$H87="standby")*($B$4:$H$4=25))</f>
        <v>0</v>
      </c>
      <c r="K87" s="43">
        <f t="array" ref="K87">SUM(($B87:$H87="confirmed")*($B$4:$H$4=10))</f>
        <v>0</v>
      </c>
      <c r="L87" s="43">
        <f t="array" ref="L87">SUM(($B87:$H87="standby")*($B$4:$H$4=10))</f>
        <v>0</v>
      </c>
      <c r="M87" s="72">
        <f t="shared" si="10"/>
        <v>0</v>
      </c>
      <c r="N87" s="72">
        <f t="shared" si="11"/>
        <v>0</v>
      </c>
      <c r="O87" s="73">
        <f t="shared" si="12"/>
        <v>0</v>
      </c>
    </row>
    <row r="88" spans="1:15" ht="15" customHeight="1">
      <c r="A88" s="75">
        <f>'Members Data'!A80</f>
        <v>0</v>
      </c>
      <c r="B88" s="199"/>
      <c r="C88" s="200"/>
      <c r="D88" s="200"/>
      <c r="E88" s="200"/>
      <c r="F88" s="200"/>
      <c r="G88" s="200"/>
      <c r="H88" s="201"/>
      <c r="I88" s="70">
        <f t="array" ref="I88">SUM(($B88:$H88="confirmed")*($B$4:$H$4=25))</f>
        <v>0</v>
      </c>
      <c r="J88" s="43">
        <f t="array" ref="J88">SUM(($B88:$H88="standby")*($B$4:$H$4=25))</f>
        <v>0</v>
      </c>
      <c r="K88" s="43">
        <f t="array" ref="K88">SUM(($B88:$H88="confirmed")*($B$4:$H$4=10))</f>
        <v>0</v>
      </c>
      <c r="L88" s="43">
        <f t="array" ref="L88">SUM(($B88:$H88="standby")*($B$4:$H$4=10))</f>
        <v>0</v>
      </c>
      <c r="M88" s="72">
        <f t="shared" si="10"/>
        <v>0</v>
      </c>
      <c r="N88" s="72">
        <f t="shared" si="11"/>
        <v>0</v>
      </c>
      <c r="O88" s="73">
        <f t="shared" si="12"/>
        <v>0</v>
      </c>
    </row>
    <row r="89" spans="1:15" ht="15" customHeight="1">
      <c r="A89" s="75">
        <f>'Members Data'!A81</f>
        <v>0</v>
      </c>
      <c r="B89" s="199"/>
      <c r="C89" s="200"/>
      <c r="D89" s="200"/>
      <c r="E89" s="200"/>
      <c r="F89" s="200"/>
      <c r="G89" s="200"/>
      <c r="H89" s="201"/>
      <c r="I89" s="70">
        <f t="array" ref="I89">SUM(($B89:$H89="confirmed")*($B$4:$H$4=25))</f>
        <v>0</v>
      </c>
      <c r="J89" s="43">
        <f t="array" ref="J89">SUM(($B89:$H89="standby")*($B$4:$H$4=25))</f>
        <v>0</v>
      </c>
      <c r="K89" s="43">
        <f t="array" ref="K89">SUM(($B89:$H89="confirmed")*($B$4:$H$4=10))</f>
        <v>0</v>
      </c>
      <c r="L89" s="43">
        <f t="array" ref="L89">SUM(($B89:$H89="standby")*($B$4:$H$4=10))</f>
        <v>0</v>
      </c>
      <c r="M89" s="72">
        <f t="shared" si="10"/>
        <v>0</v>
      </c>
      <c r="N89" s="72">
        <f t="shared" si="11"/>
        <v>0</v>
      </c>
      <c r="O89" s="73">
        <f t="shared" si="12"/>
        <v>0</v>
      </c>
    </row>
    <row r="90" spans="1:15" ht="15" customHeight="1">
      <c r="A90" s="75">
        <f>'Members Data'!A82</f>
        <v>0</v>
      </c>
      <c r="B90" s="199"/>
      <c r="C90" s="200"/>
      <c r="D90" s="200"/>
      <c r="E90" s="200"/>
      <c r="F90" s="200"/>
      <c r="G90" s="200"/>
      <c r="H90" s="201"/>
      <c r="I90" s="70">
        <f t="array" ref="I90">SUM(($B90:$H90="confirmed")*($B$4:$H$4=25))</f>
        <v>0</v>
      </c>
      <c r="J90" s="43">
        <f t="array" ref="J90">SUM(($B90:$H90="standby")*($B$4:$H$4=25))</f>
        <v>0</v>
      </c>
      <c r="K90" s="43">
        <f t="array" ref="K90">SUM(($B90:$H90="confirmed")*($B$4:$H$4=10))</f>
        <v>0</v>
      </c>
      <c r="L90" s="43">
        <f t="array" ref="L90">SUM(($B90:$H90="standby")*($B$4:$H$4=10))</f>
        <v>0</v>
      </c>
      <c r="M90" s="72">
        <f t="shared" si="10"/>
        <v>0</v>
      </c>
      <c r="N90" s="72">
        <f t="shared" si="11"/>
        <v>0</v>
      </c>
      <c r="O90" s="73">
        <f t="shared" si="12"/>
        <v>0</v>
      </c>
    </row>
    <row r="91" spans="1:15" ht="15" customHeight="1">
      <c r="A91" s="75">
        <f>'Members Data'!A83</f>
        <v>0</v>
      </c>
      <c r="B91" s="199"/>
      <c r="C91" s="200"/>
      <c r="D91" s="200"/>
      <c r="E91" s="200"/>
      <c r="F91" s="200"/>
      <c r="G91" s="200"/>
      <c r="H91" s="201"/>
      <c r="I91" s="70">
        <f t="array" ref="I91">SUM(($B91:$H91="confirmed")*($B$4:$H$4=25))</f>
        <v>0</v>
      </c>
      <c r="J91" s="43">
        <f t="array" ref="J91">SUM(($B91:$H91="standby")*($B$4:$H$4=25))</f>
        <v>0</v>
      </c>
      <c r="K91" s="43">
        <f t="array" ref="K91">SUM(($B91:$H91="confirmed")*($B$4:$H$4=10))</f>
        <v>0</v>
      </c>
      <c r="L91" s="43">
        <f t="array" ref="L91">SUM(($B91:$H91="standby")*($B$4:$H$4=10))</f>
        <v>0</v>
      </c>
      <c r="M91" s="72">
        <f t="shared" si="10"/>
        <v>0</v>
      </c>
      <c r="N91" s="72">
        <f t="shared" si="11"/>
        <v>0</v>
      </c>
      <c r="O91" s="73">
        <f t="shared" si="12"/>
        <v>0</v>
      </c>
    </row>
    <row r="92" spans="1:15" ht="15" customHeight="1">
      <c r="A92" s="75">
        <f>'Members Data'!A84</f>
        <v>0</v>
      </c>
      <c r="B92" s="199"/>
      <c r="C92" s="200"/>
      <c r="D92" s="200"/>
      <c r="E92" s="200"/>
      <c r="F92" s="200"/>
      <c r="G92" s="200"/>
      <c r="H92" s="201"/>
      <c r="I92" s="70">
        <f t="array" ref="I92">SUM(($B92:$H92="confirmed")*($B$4:$H$4=25))</f>
        <v>0</v>
      </c>
      <c r="J92" s="43">
        <f t="array" ref="J92">SUM(($B92:$H92="standby")*($B$4:$H$4=25))</f>
        <v>0</v>
      </c>
      <c r="K92" s="43">
        <f t="array" ref="K92">SUM(($B92:$H92="confirmed")*($B$4:$H$4=10))</f>
        <v>0</v>
      </c>
      <c r="L92" s="43">
        <f t="array" ref="L92">SUM(($B92:$H92="standby")*($B$4:$H$4=10))</f>
        <v>0</v>
      </c>
      <c r="M92" s="72">
        <f t="shared" si="10"/>
        <v>0</v>
      </c>
      <c r="N92" s="72">
        <f t="shared" si="11"/>
        <v>0</v>
      </c>
      <c r="O92" s="73">
        <f t="shared" si="12"/>
        <v>0</v>
      </c>
    </row>
    <row r="93" spans="1:15" ht="15" customHeight="1">
      <c r="A93" s="75">
        <f>'Members Data'!A85</f>
        <v>0</v>
      </c>
      <c r="B93" s="199"/>
      <c r="C93" s="200"/>
      <c r="D93" s="200"/>
      <c r="E93" s="200"/>
      <c r="F93" s="200"/>
      <c r="G93" s="200"/>
      <c r="H93" s="201"/>
      <c r="I93" s="70">
        <f t="array" ref="I93">SUM(($B93:$H93="confirmed")*($B$4:$H$4=25))</f>
        <v>0</v>
      </c>
      <c r="J93" s="43">
        <f t="array" ref="J93">SUM(($B93:$H93="standby")*($B$4:$H$4=25))</f>
        <v>0</v>
      </c>
      <c r="K93" s="43">
        <f t="array" ref="K93">SUM(($B93:$H93="confirmed")*($B$4:$H$4=10))</f>
        <v>0</v>
      </c>
      <c r="L93" s="43">
        <f t="array" ref="L93">SUM(($B93:$H93="standby")*($B$4:$H$4=10))</f>
        <v>0</v>
      </c>
      <c r="M93" s="72">
        <f t="shared" si="10"/>
        <v>0</v>
      </c>
      <c r="N93" s="72">
        <f t="shared" si="11"/>
        <v>0</v>
      </c>
      <c r="O93" s="73">
        <f t="shared" si="12"/>
        <v>0</v>
      </c>
    </row>
    <row r="94" spans="1:15" ht="15" customHeight="1">
      <c r="A94" s="75">
        <f>'Members Data'!A86</f>
        <v>0</v>
      </c>
      <c r="B94" s="199"/>
      <c r="C94" s="200"/>
      <c r="D94" s="200"/>
      <c r="E94" s="200"/>
      <c r="F94" s="200"/>
      <c r="G94" s="200"/>
      <c r="H94" s="201"/>
      <c r="I94" s="70">
        <f t="array" ref="I94">SUM(($B94:$H94="confirmed")*($B$4:$H$4=25))</f>
        <v>0</v>
      </c>
      <c r="J94" s="43">
        <f t="array" ref="J94">SUM(($B94:$H94="standby")*($B$4:$H$4=25))</f>
        <v>0</v>
      </c>
      <c r="K94" s="43">
        <f t="array" ref="K94">SUM(($B94:$H94="confirmed")*($B$4:$H$4=10))</f>
        <v>0</v>
      </c>
      <c r="L94" s="43">
        <f t="array" ref="L94">SUM(($B94:$H94="standby")*($B$4:$H$4=10))</f>
        <v>0</v>
      </c>
      <c r="M94" s="72">
        <f t="shared" si="10"/>
        <v>0</v>
      </c>
      <c r="N94" s="72">
        <f t="shared" si="11"/>
        <v>0</v>
      </c>
      <c r="O94" s="73">
        <f t="shared" si="12"/>
        <v>0</v>
      </c>
    </row>
    <row r="95" spans="1:15" ht="15" customHeight="1">
      <c r="A95" s="75">
        <f>'Members Data'!A87</f>
        <v>0</v>
      </c>
      <c r="B95" s="199"/>
      <c r="C95" s="200"/>
      <c r="D95" s="200"/>
      <c r="E95" s="200"/>
      <c r="F95" s="200"/>
      <c r="G95" s="200"/>
      <c r="H95" s="201"/>
      <c r="I95" s="70">
        <f t="array" ref="I95">SUM(($B95:$H95="confirmed")*($B$4:$H$4=25))</f>
        <v>0</v>
      </c>
      <c r="J95" s="43">
        <f t="array" ref="J95">SUM(($B95:$H95="standby")*($B$4:$H$4=25))</f>
        <v>0</v>
      </c>
      <c r="K95" s="43">
        <f t="array" ref="K95">SUM(($B95:$H95="confirmed")*($B$4:$H$4=10))</f>
        <v>0</v>
      </c>
      <c r="L95" s="43">
        <f t="array" ref="L95">SUM(($B95:$H95="standby")*($B$4:$H$4=10))</f>
        <v>0</v>
      </c>
      <c r="M95" s="72">
        <f t="shared" si="10"/>
        <v>0</v>
      </c>
      <c r="N95" s="72">
        <f t="shared" si="11"/>
        <v>0</v>
      </c>
      <c r="O95" s="73">
        <f t="shared" si="12"/>
        <v>0</v>
      </c>
    </row>
    <row r="96" spans="1:15" ht="15" customHeight="1">
      <c r="A96" s="75">
        <f>'Members Data'!A88</f>
        <v>0</v>
      </c>
      <c r="B96" s="199"/>
      <c r="C96" s="200"/>
      <c r="D96" s="200"/>
      <c r="E96" s="200"/>
      <c r="F96" s="200"/>
      <c r="G96" s="200"/>
      <c r="H96" s="201"/>
      <c r="I96" s="70">
        <f t="array" ref="I96">SUM(($B96:$H96="confirmed")*($B$4:$H$4=25))</f>
        <v>0</v>
      </c>
      <c r="J96" s="43">
        <f t="array" ref="J96">SUM(($B96:$H96="standby")*($B$4:$H$4=25))</f>
        <v>0</v>
      </c>
      <c r="K96" s="43">
        <f t="array" ref="K96">SUM(($B96:$H96="confirmed")*($B$4:$H$4=10))</f>
        <v>0</v>
      </c>
      <c r="L96" s="43">
        <f t="array" ref="L96">SUM(($B96:$H96="standby")*($B$4:$H$4=10))</f>
        <v>0</v>
      </c>
      <c r="M96" s="72">
        <f t="shared" si="10"/>
        <v>0</v>
      </c>
      <c r="N96" s="72">
        <f t="shared" si="11"/>
        <v>0</v>
      </c>
      <c r="O96" s="73">
        <f t="shared" si="12"/>
        <v>0</v>
      </c>
    </row>
    <row r="97" spans="1:15" ht="15" customHeight="1">
      <c r="A97" s="75">
        <f>'Members Data'!A89</f>
        <v>0</v>
      </c>
      <c r="B97" s="199"/>
      <c r="C97" s="200"/>
      <c r="D97" s="200"/>
      <c r="E97" s="200"/>
      <c r="F97" s="200"/>
      <c r="G97" s="200"/>
      <c r="H97" s="201"/>
      <c r="I97" s="70">
        <f t="array" ref="I97">SUM(($B97:$H97="confirmed")*($B$4:$H$4=25))</f>
        <v>0</v>
      </c>
      <c r="J97" s="43">
        <f t="array" ref="J97">SUM(($B97:$H97="standby")*($B$4:$H$4=25))</f>
        <v>0</v>
      </c>
      <c r="K97" s="43">
        <f t="array" ref="K97">SUM(($B97:$H97="confirmed")*($B$4:$H$4=10))</f>
        <v>0</v>
      </c>
      <c r="L97" s="43">
        <f t="array" ref="L97">SUM(($B97:$H97="standby")*($B$4:$H$4=10))</f>
        <v>0</v>
      </c>
      <c r="M97" s="72">
        <f t="shared" si="10"/>
        <v>0</v>
      </c>
      <c r="N97" s="72">
        <f t="shared" si="11"/>
        <v>0</v>
      </c>
      <c r="O97" s="73">
        <f t="shared" si="12"/>
        <v>0</v>
      </c>
    </row>
    <row r="98" spans="1:15" ht="15" customHeight="1">
      <c r="A98" s="75">
        <f>'Members Data'!A90</f>
        <v>0</v>
      </c>
      <c r="B98" s="199"/>
      <c r="C98" s="200"/>
      <c r="D98" s="200"/>
      <c r="E98" s="200"/>
      <c r="F98" s="200"/>
      <c r="G98" s="200"/>
      <c r="H98" s="201"/>
      <c r="I98" s="70">
        <f t="array" ref="I98">SUM(($B98:$H98="confirmed")*($B$4:$H$4=25))</f>
        <v>0</v>
      </c>
      <c r="J98" s="43">
        <f t="array" ref="J98">SUM(($B98:$H98="standby")*($B$4:$H$4=25))</f>
        <v>0</v>
      </c>
      <c r="K98" s="43">
        <f t="array" ref="K98">SUM(($B98:$H98="confirmed")*($B$4:$H$4=10))</f>
        <v>0</v>
      </c>
      <c r="L98" s="43">
        <f t="array" ref="L98">SUM(($B98:$H98="standby")*($B$4:$H$4=10))</f>
        <v>0</v>
      </c>
      <c r="M98" s="72">
        <f t="shared" si="10"/>
        <v>0</v>
      </c>
      <c r="N98" s="72">
        <f t="shared" si="11"/>
        <v>0</v>
      </c>
      <c r="O98" s="73">
        <f t="shared" si="12"/>
        <v>0</v>
      </c>
    </row>
    <row r="99" spans="1:15" ht="15" customHeight="1">
      <c r="A99" s="75">
        <f>'Members Data'!A91</f>
        <v>0</v>
      </c>
      <c r="B99" s="199"/>
      <c r="C99" s="200"/>
      <c r="D99" s="200"/>
      <c r="E99" s="200"/>
      <c r="F99" s="200"/>
      <c r="G99" s="200"/>
      <c r="H99" s="201"/>
      <c r="I99" s="70">
        <f t="array" ref="I99">SUM(($B99:$H99="confirmed")*($B$4:$H$4=25))</f>
        <v>0</v>
      </c>
      <c r="J99" s="43">
        <f t="array" ref="J99">SUM(($B99:$H99="standby")*($B$4:$H$4=25))</f>
        <v>0</v>
      </c>
      <c r="K99" s="43">
        <f t="array" ref="K99">SUM(($B99:$H99="confirmed")*($B$4:$H$4=10))</f>
        <v>0</v>
      </c>
      <c r="L99" s="43">
        <f t="array" ref="L99">SUM(($B99:$H99="standby")*($B$4:$H$4=10))</f>
        <v>0</v>
      </c>
      <c r="M99" s="72">
        <f t="shared" si="10"/>
        <v>0</v>
      </c>
      <c r="N99" s="72">
        <f t="shared" si="11"/>
        <v>0</v>
      </c>
      <c r="O99" s="73">
        <f t="shared" si="12"/>
        <v>0</v>
      </c>
    </row>
    <row r="100" spans="1:15" ht="15" customHeight="1">
      <c r="A100" s="75">
        <f>'Members Data'!A92</f>
        <v>0</v>
      </c>
      <c r="B100" s="199"/>
      <c r="C100" s="200"/>
      <c r="D100" s="200"/>
      <c r="E100" s="200"/>
      <c r="F100" s="200"/>
      <c r="G100" s="200"/>
      <c r="H100" s="201"/>
      <c r="I100" s="70">
        <f t="array" ref="I100">SUM(($B100:$H100="confirmed")*($B$4:$H$4=25))</f>
        <v>0</v>
      </c>
      <c r="J100" s="43">
        <f t="array" ref="J100">SUM(($B100:$H100="standby")*($B$4:$H$4=25))</f>
        <v>0</v>
      </c>
      <c r="K100" s="43">
        <f t="array" ref="K100">SUM(($B100:$H100="confirmed")*($B$4:$H$4=10))</f>
        <v>0</v>
      </c>
      <c r="L100" s="43">
        <f t="array" ref="L100">SUM(($B100:$H100="standby")*($B$4:$H$4=10))</f>
        <v>0</v>
      </c>
      <c r="M100" s="72">
        <f t="shared" si="10"/>
        <v>0</v>
      </c>
      <c r="N100" s="72">
        <f t="shared" si="11"/>
        <v>0</v>
      </c>
      <c r="O100" s="73">
        <f t="shared" si="12"/>
        <v>0</v>
      </c>
    </row>
    <row r="101" spans="1:15" ht="15" customHeight="1">
      <c r="A101" s="75">
        <f>'Members Data'!A93</f>
        <v>0</v>
      </c>
      <c r="B101" s="199"/>
      <c r="C101" s="200"/>
      <c r="D101" s="200"/>
      <c r="E101" s="200"/>
      <c r="F101" s="200"/>
      <c r="G101" s="200"/>
      <c r="H101" s="201"/>
      <c r="I101" s="70">
        <f t="array" ref="I101">SUM(($B101:$H101="confirmed")*($B$4:$H$4=25))</f>
        <v>0</v>
      </c>
      <c r="J101" s="43">
        <f t="array" ref="J101">SUM(($B101:$H101="standby")*($B$4:$H$4=25))</f>
        <v>0</v>
      </c>
      <c r="K101" s="43">
        <f t="array" ref="K101">SUM(($B101:$H101="confirmed")*($B$4:$H$4=10))</f>
        <v>0</v>
      </c>
      <c r="L101" s="43">
        <f t="array" ref="L101">SUM(($B101:$H101="standby")*($B$4:$H$4=10))</f>
        <v>0</v>
      </c>
      <c r="M101" s="72">
        <f t="shared" si="10"/>
        <v>0</v>
      </c>
      <c r="N101" s="72">
        <f t="shared" si="11"/>
        <v>0</v>
      </c>
      <c r="O101" s="73">
        <f t="shared" si="12"/>
        <v>0</v>
      </c>
    </row>
    <row r="102" spans="1:15" ht="15" customHeight="1">
      <c r="A102" s="75">
        <f>'Members Data'!A94</f>
        <v>0</v>
      </c>
      <c r="B102" s="199"/>
      <c r="C102" s="200"/>
      <c r="D102" s="200"/>
      <c r="E102" s="200"/>
      <c r="F102" s="200"/>
      <c r="G102" s="200"/>
      <c r="H102" s="201"/>
      <c r="I102" s="70">
        <f t="array" ref="I102">SUM(($B102:$H102="confirmed")*($B$4:$H$4=25))</f>
        <v>0</v>
      </c>
      <c r="J102" s="43">
        <f t="array" ref="J102">SUM(($B102:$H102="standby")*($B$4:$H$4=25))</f>
        <v>0</v>
      </c>
      <c r="K102" s="43">
        <f t="array" ref="K102">SUM(($B102:$H102="confirmed")*($B$4:$H$4=10))</f>
        <v>0</v>
      </c>
      <c r="L102" s="43">
        <f t="array" ref="L102">SUM(($B102:$H102="standby")*($B$4:$H$4=10))</f>
        <v>0</v>
      </c>
      <c r="M102" s="72">
        <f t="shared" si="10"/>
        <v>0</v>
      </c>
      <c r="N102" s="72">
        <f t="shared" si="11"/>
        <v>0</v>
      </c>
      <c r="O102" s="73">
        <f t="shared" si="12"/>
        <v>0</v>
      </c>
    </row>
    <row r="103" spans="1:15" ht="15" customHeight="1">
      <c r="A103" s="75">
        <f>'Members Data'!A95</f>
        <v>0</v>
      </c>
      <c r="B103" s="199"/>
      <c r="C103" s="200"/>
      <c r="D103" s="200"/>
      <c r="E103" s="200"/>
      <c r="F103" s="200"/>
      <c r="G103" s="200"/>
      <c r="H103" s="201"/>
      <c r="I103" s="70">
        <f t="array" ref="I103">SUM(($B103:$H103="confirmed")*($B$4:$H$4=25))</f>
        <v>0</v>
      </c>
      <c r="J103" s="43">
        <f t="array" ref="J103">SUM(($B103:$H103="standby")*($B$4:$H$4=25))</f>
        <v>0</v>
      </c>
      <c r="K103" s="43">
        <f t="array" ref="K103">SUM(($B103:$H103="confirmed")*($B$4:$H$4=10))</f>
        <v>0</v>
      </c>
      <c r="L103" s="43">
        <f t="array" ref="L103">SUM(($B103:$H103="standby")*($B$4:$H$4=10))</f>
        <v>0</v>
      </c>
      <c r="M103" s="72">
        <f t="shared" si="10"/>
        <v>0</v>
      </c>
      <c r="N103" s="72">
        <f t="shared" si="11"/>
        <v>0</v>
      </c>
      <c r="O103" s="73">
        <f t="shared" si="12"/>
        <v>0</v>
      </c>
    </row>
    <row r="104" spans="1:15" ht="15" customHeight="1">
      <c r="A104" s="75">
        <f>'Members Data'!A96</f>
        <v>0</v>
      </c>
      <c r="B104" s="199"/>
      <c r="C104" s="200"/>
      <c r="D104" s="200"/>
      <c r="E104" s="200"/>
      <c r="F104" s="200"/>
      <c r="G104" s="200"/>
      <c r="H104" s="201"/>
      <c r="I104" s="70">
        <f t="array" ref="I104">SUM(($B104:$H104="confirmed")*($B$4:$H$4=25))</f>
        <v>0</v>
      </c>
      <c r="J104" s="43">
        <f t="array" ref="J104">SUM(($B104:$H104="standby")*($B$4:$H$4=25))</f>
        <v>0</v>
      </c>
      <c r="K104" s="43">
        <f t="array" ref="K104">SUM(($B104:$H104="confirmed")*($B$4:$H$4=10))</f>
        <v>0</v>
      </c>
      <c r="L104" s="43">
        <f t="array" ref="L104">SUM(($B104:$H104="standby")*($B$4:$H$4=10))</f>
        <v>0</v>
      </c>
      <c r="M104" s="72">
        <f t="shared" si="10"/>
        <v>0</v>
      </c>
      <c r="N104" s="72">
        <f t="shared" si="11"/>
        <v>0</v>
      </c>
      <c r="O104" s="73">
        <f t="shared" si="12"/>
        <v>0</v>
      </c>
    </row>
    <row r="105" spans="1:15" ht="15" customHeight="1">
      <c r="A105" s="75">
        <f>'Members Data'!A97</f>
        <v>0</v>
      </c>
      <c r="B105" s="199"/>
      <c r="C105" s="200"/>
      <c r="D105" s="200"/>
      <c r="E105" s="200"/>
      <c r="F105" s="200"/>
      <c r="G105" s="200"/>
      <c r="H105" s="201"/>
      <c r="I105" s="70">
        <f t="array" ref="I105">SUM(($B105:$H105="confirmed")*($B$4:$H$4=25))</f>
        <v>0</v>
      </c>
      <c r="J105" s="43">
        <f t="array" ref="J105">SUM(($B105:$H105="standby")*($B$4:$H$4=25))</f>
        <v>0</v>
      </c>
      <c r="K105" s="43">
        <f t="array" ref="K105">SUM(($B105:$H105="confirmed")*($B$4:$H$4=10))</f>
        <v>0</v>
      </c>
      <c r="L105" s="43">
        <f t="array" ref="L105">SUM(($B105:$H105="standby")*($B$4:$H$4=10))</f>
        <v>0</v>
      </c>
      <c r="M105" s="72">
        <f t="shared" si="10"/>
        <v>0</v>
      </c>
      <c r="N105" s="72">
        <f t="shared" si="11"/>
        <v>0</v>
      </c>
      <c r="O105" s="73">
        <f t="shared" si="12"/>
        <v>0</v>
      </c>
    </row>
    <row r="106" spans="1:15" ht="15" customHeight="1">
      <c r="A106" s="75">
        <f>'Members Data'!A98</f>
        <v>0</v>
      </c>
      <c r="B106" s="199"/>
      <c r="C106" s="200"/>
      <c r="D106" s="200"/>
      <c r="E106" s="200"/>
      <c r="F106" s="200"/>
      <c r="G106" s="200"/>
      <c r="H106" s="201"/>
      <c r="I106" s="70">
        <f t="array" ref="I106">SUM(($B106:$H106="confirmed")*($B$4:$H$4=25))</f>
        <v>0</v>
      </c>
      <c r="J106" s="43">
        <f t="array" ref="J106">SUM(($B106:$H106="standby")*($B$4:$H$4=25))</f>
        <v>0</v>
      </c>
      <c r="K106" s="43">
        <f t="array" ref="K106">SUM(($B106:$H106="confirmed")*($B$4:$H$4=10))</f>
        <v>0</v>
      </c>
      <c r="L106" s="43">
        <f t="array" ref="L106">SUM(($B106:$H106="standby")*($B$4:$H$4=10))</f>
        <v>0</v>
      </c>
      <c r="M106" s="72">
        <f t="shared" si="10"/>
        <v>0</v>
      </c>
      <c r="N106" s="72">
        <f t="shared" si="11"/>
        <v>0</v>
      </c>
      <c r="O106" s="73">
        <f t="shared" si="12"/>
        <v>0</v>
      </c>
    </row>
    <row r="107" spans="1:15" ht="15" customHeight="1">
      <c r="A107" s="75">
        <f>'Members Data'!A99</f>
        <v>0</v>
      </c>
      <c r="B107" s="199"/>
      <c r="C107" s="200"/>
      <c r="D107" s="200"/>
      <c r="E107" s="200"/>
      <c r="F107" s="200"/>
      <c r="G107" s="200"/>
      <c r="H107" s="201"/>
      <c r="I107" s="70">
        <f t="array" ref="I107">SUM(($B107:$H107="confirmed")*($B$4:$H$4=25))</f>
        <v>0</v>
      </c>
      <c r="J107" s="43">
        <f t="array" ref="J107">SUM(($B107:$H107="standby")*($B$4:$H$4=25))</f>
        <v>0</v>
      </c>
      <c r="K107" s="43">
        <f t="array" ref="K107">SUM(($B107:$H107="confirmed")*($B$4:$H$4=10))</f>
        <v>0</v>
      </c>
      <c r="L107" s="43">
        <f t="array" ref="L107">SUM(($B107:$H107="standby")*($B$4:$H$4=10))</f>
        <v>0</v>
      </c>
      <c r="M107" s="72">
        <f t="shared" si="10"/>
        <v>0</v>
      </c>
      <c r="N107" s="72">
        <f t="shared" si="11"/>
        <v>0</v>
      </c>
      <c r="O107" s="73">
        <f t="shared" si="12"/>
        <v>0</v>
      </c>
    </row>
    <row r="108" spans="1:15" ht="15" customHeight="1" thickBot="1">
      <c r="A108" s="142">
        <f>'Members Data'!A100</f>
        <v>0</v>
      </c>
      <c r="B108" s="208"/>
      <c r="C108" s="209"/>
      <c r="D108" s="209"/>
      <c r="E108" s="209"/>
      <c r="F108" s="209"/>
      <c r="G108" s="209"/>
      <c r="H108" s="210"/>
      <c r="I108" s="225">
        <f t="array" ref="I108">SUM(($B108:$H108="confirmed")*($B$4:$H$4=25))</f>
        <v>0</v>
      </c>
      <c r="J108" s="52">
        <f t="array" ref="J108">SUM(($B108:$H108="standby")*($B$4:$H$4=25))</f>
        <v>0</v>
      </c>
      <c r="K108" s="52">
        <f t="array" ref="K108">SUM(($B108:$H108="confirmed")*($B$4:$H$4=10))</f>
        <v>0</v>
      </c>
      <c r="L108" s="52">
        <f t="array" ref="L108">SUM(($B108:$H108="standby")*($B$4:$H$4=10))</f>
        <v>0</v>
      </c>
      <c r="M108" s="77">
        <f t="shared" si="10"/>
        <v>0</v>
      </c>
      <c r="N108" s="77">
        <f t="shared" si="11"/>
        <v>0</v>
      </c>
      <c r="O108" s="78">
        <f t="shared" si="12"/>
        <v>0</v>
      </c>
    </row>
  </sheetData>
  <mergeCells count="7">
    <mergeCell ref="M1:M9"/>
    <mergeCell ref="N1:N9"/>
    <mergeCell ref="O1:O9"/>
    <mergeCell ref="I1:I9"/>
    <mergeCell ref="J1:J9"/>
    <mergeCell ref="K1:K9"/>
    <mergeCell ref="L1:L9"/>
  </mergeCells>
  <conditionalFormatting sqref="A10:A108">
    <cfRule type="expression" dxfId="11" priority="4" stopIfTrue="1">
      <formula>IF(O10&gt;0,TRUE)</formula>
    </cfRule>
    <cfRule type="expression" dxfId="10" priority="5" stopIfTrue="1">
      <formula>IF(SUM(M10:N10)&gt;1,TRUE)</formula>
    </cfRule>
    <cfRule type="expression" dxfId="9" priority="6" stopIfTrue="1">
      <formula>IF(SUM(M10:N10)&lt;2,TRUE)</formula>
    </cfRule>
  </conditionalFormatting>
  <conditionalFormatting sqref="A97:A108">
    <cfRule type="expression" dxfId="8" priority="1" stopIfTrue="1">
      <formula>IF(O97&gt;0,TRUE)</formula>
    </cfRule>
    <cfRule type="expression" dxfId="7" priority="2" stopIfTrue="1">
      <formula>IF(SUM(M97:N97)&gt;1,TRUE)</formula>
    </cfRule>
    <cfRule type="expression" dxfId="6" priority="3" stopIfTrue="1">
      <formula>IF(SUM(M97:N97)&lt;2,TRUE)</formula>
    </cfRule>
  </conditionalFormatting>
  <dataValidations count="2">
    <dataValidation type="list" operator="equal" showErrorMessage="1" sqref="R5:R9 B10:H108">
      <formula1>"Invited,Confirmed,Standby,Out"</formula1>
      <formula2>0</formula2>
    </dataValidation>
    <dataValidation type="list" operator="equal" sqref="B4:H4">
      <formula1>"??,10,25"</formula1>
      <formula2>0</formula2>
    </dataValidation>
  </dataValidations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 r:id="rId1"/>
  <headerFooter alignWithMargins="0">
    <oddHeader>&amp;C&amp;"Times New Roman,Regular"&amp;12&amp;A</oddHeader>
    <oddFooter>&amp;C&amp;"Times New Roman,Regular"&amp;12Page &amp;P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>
  <dimension ref="A1:R108"/>
  <sheetViews>
    <sheetView zoomScale="101" zoomScaleNormal="101" workbookViewId="0">
      <pane xSplit="1" ySplit="9" topLeftCell="B10" activePane="bottomRight" state="frozen"/>
      <selection activeCell="F51" sqref="F47:F51"/>
      <selection pane="topRight" activeCell="F51" sqref="F47:F51"/>
      <selection pane="bottomLeft" activeCell="F51" sqref="F47:F51"/>
      <selection pane="bottomRight" activeCell="H82" sqref="H82"/>
    </sheetView>
  </sheetViews>
  <sheetFormatPr defaultColWidth="8.7109375" defaultRowHeight="15" customHeight="1"/>
  <cols>
    <col min="1" max="1" width="14" style="1" customWidth="1"/>
    <col min="2" max="8" width="11.140625" style="1" customWidth="1"/>
    <col min="9" max="15" width="10.28515625" style="1" customWidth="1"/>
    <col min="16" max="16384" width="8.7109375" style="1"/>
  </cols>
  <sheetData>
    <row r="1" spans="1:18" ht="33" customHeight="1" thickBot="1">
      <c r="A1" s="54" t="s">
        <v>26</v>
      </c>
      <c r="B1" s="55" t="s">
        <v>190</v>
      </c>
      <c r="C1" s="55" t="s">
        <v>191</v>
      </c>
      <c r="D1" s="55" t="s">
        <v>192</v>
      </c>
      <c r="E1" s="55" t="s">
        <v>193</v>
      </c>
      <c r="F1" s="55" t="s">
        <v>194</v>
      </c>
      <c r="G1" s="55" t="s">
        <v>197</v>
      </c>
      <c r="H1" s="55" t="s">
        <v>40</v>
      </c>
      <c r="I1" s="504" t="s">
        <v>41</v>
      </c>
      <c r="J1" s="498" t="s">
        <v>42</v>
      </c>
      <c r="K1" s="498" t="s">
        <v>43</v>
      </c>
      <c r="L1" s="498" t="s">
        <v>44</v>
      </c>
      <c r="M1" s="498" t="s">
        <v>45</v>
      </c>
      <c r="N1" s="498" t="s">
        <v>46</v>
      </c>
      <c r="O1" s="501" t="s">
        <v>47</v>
      </c>
    </row>
    <row r="2" spans="1:18" ht="15.75" customHeight="1" thickBot="1">
      <c r="A2" s="54" t="s">
        <v>48</v>
      </c>
      <c r="B2" s="220">
        <f>'wk3'!H2+2</f>
        <v>41535</v>
      </c>
      <c r="C2" s="211">
        <f>B2</f>
        <v>41535</v>
      </c>
      <c r="D2" s="211">
        <f t="shared" ref="D2:H2" si="0">C2+1</f>
        <v>41536</v>
      </c>
      <c r="E2" s="211">
        <f>D2</f>
        <v>41536</v>
      </c>
      <c r="F2" s="211">
        <f>E2+3</f>
        <v>41539</v>
      </c>
      <c r="G2" s="211">
        <f>F2</f>
        <v>41539</v>
      </c>
      <c r="H2" s="212">
        <f t="shared" si="0"/>
        <v>41540</v>
      </c>
      <c r="I2" s="505"/>
      <c r="J2" s="499"/>
      <c r="K2" s="499"/>
      <c r="L2" s="499"/>
      <c r="M2" s="499"/>
      <c r="N2" s="499"/>
      <c r="O2" s="502"/>
    </row>
    <row r="3" spans="1:18" ht="15.75" customHeight="1" thickBot="1">
      <c r="A3" s="54" t="s">
        <v>49</v>
      </c>
      <c r="B3" s="60" t="s">
        <v>262</v>
      </c>
      <c r="C3" s="61"/>
      <c r="D3" s="60" t="s">
        <v>262</v>
      </c>
      <c r="E3" s="61"/>
      <c r="F3" s="61"/>
      <c r="G3" s="61"/>
      <c r="H3" s="60" t="s">
        <v>262</v>
      </c>
      <c r="I3" s="505"/>
      <c r="J3" s="499"/>
      <c r="K3" s="499"/>
      <c r="L3" s="499"/>
      <c r="M3" s="499"/>
      <c r="N3" s="499"/>
      <c r="O3" s="502"/>
    </row>
    <row r="4" spans="1:18" ht="15.75" customHeight="1" thickBot="1">
      <c r="A4" s="54" t="s">
        <v>50</v>
      </c>
      <c r="B4" s="213">
        <v>25</v>
      </c>
      <c r="C4" s="61"/>
      <c r="D4" s="213">
        <v>25</v>
      </c>
      <c r="E4" s="61"/>
      <c r="F4" s="61"/>
      <c r="G4" s="61"/>
      <c r="H4" s="213">
        <v>25</v>
      </c>
      <c r="I4" s="505"/>
      <c r="J4" s="499"/>
      <c r="K4" s="499"/>
      <c r="L4" s="499"/>
      <c r="M4" s="499"/>
      <c r="N4" s="499"/>
      <c r="O4" s="502"/>
    </row>
    <row r="5" spans="1:18" ht="30.75" customHeight="1" thickBot="1">
      <c r="A5" s="54" t="s">
        <v>51</v>
      </c>
      <c r="B5" s="64"/>
      <c r="C5" s="65"/>
      <c r="D5" s="65"/>
      <c r="E5" s="65"/>
      <c r="F5" s="65"/>
      <c r="G5" s="65"/>
      <c r="H5" s="66"/>
      <c r="I5" s="505"/>
      <c r="J5" s="499"/>
      <c r="K5" s="499"/>
      <c r="L5" s="499"/>
      <c r="M5" s="499"/>
      <c r="N5" s="499"/>
      <c r="O5" s="502"/>
      <c r="R5" s="71"/>
    </row>
    <row r="6" spans="1:18" ht="30.75" customHeight="1" thickBot="1">
      <c r="A6" s="54" t="s">
        <v>195</v>
      </c>
      <c r="B6" s="374"/>
      <c r="C6" s="374"/>
      <c r="D6" s="374"/>
      <c r="E6" s="374"/>
      <c r="F6" s="374"/>
      <c r="G6" s="374"/>
      <c r="H6" s="374"/>
      <c r="I6" s="505"/>
      <c r="J6" s="499"/>
      <c r="K6" s="499"/>
      <c r="L6" s="499"/>
      <c r="M6" s="499"/>
      <c r="N6" s="499"/>
      <c r="O6" s="502"/>
      <c r="R6" s="71"/>
    </row>
    <row r="7" spans="1:18">
      <c r="A7" s="54" t="s">
        <v>53</v>
      </c>
      <c r="B7" s="214">
        <f t="shared" ref="B7:H7" si="1">COUNTIF(B10:B69,"Confirmed")</f>
        <v>25</v>
      </c>
      <c r="C7" s="214">
        <f t="shared" si="1"/>
        <v>0</v>
      </c>
      <c r="D7" s="214">
        <f t="shared" si="1"/>
        <v>27</v>
      </c>
      <c r="E7" s="214">
        <f t="shared" si="1"/>
        <v>0</v>
      </c>
      <c r="F7" s="214">
        <f t="shared" si="1"/>
        <v>0</v>
      </c>
      <c r="G7" s="214">
        <f t="shared" si="1"/>
        <v>0</v>
      </c>
      <c r="H7" s="215">
        <f t="shared" si="1"/>
        <v>24</v>
      </c>
      <c r="I7" s="505"/>
      <c r="J7" s="499"/>
      <c r="K7" s="499"/>
      <c r="L7" s="499"/>
      <c r="M7" s="499"/>
      <c r="N7" s="499"/>
      <c r="O7" s="502"/>
      <c r="R7" s="71"/>
    </row>
    <row r="8" spans="1:18">
      <c r="A8" s="58" t="s">
        <v>52</v>
      </c>
      <c r="B8" s="216">
        <f t="shared" ref="B8:H8" si="2">COUNTIF(B10:B69,"Standby")</f>
        <v>4</v>
      </c>
      <c r="C8" s="216">
        <f t="shared" si="2"/>
        <v>0</v>
      </c>
      <c r="D8" s="216">
        <f t="shared" si="2"/>
        <v>1</v>
      </c>
      <c r="E8" s="216">
        <f t="shared" si="2"/>
        <v>0</v>
      </c>
      <c r="F8" s="216">
        <f t="shared" si="2"/>
        <v>0</v>
      </c>
      <c r="G8" s="216">
        <f t="shared" si="2"/>
        <v>0</v>
      </c>
      <c r="H8" s="217">
        <f t="shared" si="2"/>
        <v>0</v>
      </c>
      <c r="I8" s="505"/>
      <c r="J8" s="499"/>
      <c r="K8" s="499"/>
      <c r="L8" s="499"/>
      <c r="M8" s="499"/>
      <c r="N8" s="499"/>
      <c r="O8" s="502"/>
      <c r="R8" s="71"/>
    </row>
    <row r="9" spans="1:18" ht="15.75" thickBot="1">
      <c r="A9" s="63" t="s">
        <v>39</v>
      </c>
      <c r="B9" s="218">
        <f t="shared" ref="B9:H9" si="3">COUNTIF(B10:B69,"Out")</f>
        <v>0</v>
      </c>
      <c r="C9" s="218">
        <f t="shared" si="3"/>
        <v>0</v>
      </c>
      <c r="D9" s="218">
        <f t="shared" si="3"/>
        <v>0</v>
      </c>
      <c r="E9" s="218">
        <f t="shared" si="3"/>
        <v>0</v>
      </c>
      <c r="F9" s="218">
        <f t="shared" si="3"/>
        <v>0</v>
      </c>
      <c r="G9" s="218">
        <f t="shared" si="3"/>
        <v>0</v>
      </c>
      <c r="H9" s="219">
        <f t="shared" si="3"/>
        <v>0</v>
      </c>
      <c r="I9" s="506"/>
      <c r="J9" s="500"/>
      <c r="K9" s="500"/>
      <c r="L9" s="500"/>
      <c r="M9" s="500"/>
      <c r="N9" s="500"/>
      <c r="O9" s="503"/>
      <c r="R9" s="71"/>
    </row>
    <row r="10" spans="1:18" ht="15" customHeight="1">
      <c r="A10" s="5" t="str">
        <f>'Members Data'!A2</f>
        <v>Adanya</v>
      </c>
      <c r="B10" s="196" t="s">
        <v>53</v>
      </c>
      <c r="C10" s="197"/>
      <c r="D10" s="197" t="s">
        <v>53</v>
      </c>
      <c r="E10" s="197"/>
      <c r="F10" s="197"/>
      <c r="G10" s="197"/>
      <c r="H10" s="198" t="s">
        <v>53</v>
      </c>
      <c r="I10" s="67">
        <f t="array" ref="I10">SUM(($B10:$H10="confirmed")*($B$4:$H$4=25))</f>
        <v>3</v>
      </c>
      <c r="J10" s="68">
        <f t="array" ref="J10">SUM(($B10:$H10="standby")*($B$4:$H$4=25))</f>
        <v>0</v>
      </c>
      <c r="K10" s="68">
        <f t="array" ref="K10">SUM(($B10:$H10="confirmed")*($B$4:$H$4=10))</f>
        <v>0</v>
      </c>
      <c r="L10" s="68">
        <f t="array" ref="L10">SUM(($B10:$H10="standby")*($B$4:$H$4=10))</f>
        <v>0</v>
      </c>
      <c r="M10" s="68">
        <f t="shared" ref="M10:M41" si="4">COUNTIF(B10:H10,"confirmed")</f>
        <v>3</v>
      </c>
      <c r="N10" s="68">
        <f t="shared" ref="N10:N41" si="5">COUNTIF(B10:H10,"standby")</f>
        <v>0</v>
      </c>
      <c r="O10" s="69">
        <f t="shared" ref="O10:O41" si="6">COUNTIF(B10:H10,"out")</f>
        <v>0</v>
      </c>
      <c r="R10" s="71"/>
    </row>
    <row r="11" spans="1:18" ht="15" customHeight="1">
      <c r="A11" s="9" t="str">
        <f>'Members Data'!A3</f>
        <v>Ambú</v>
      </c>
      <c r="B11" s="199" t="s">
        <v>53</v>
      </c>
      <c r="C11" s="200"/>
      <c r="D11" s="200" t="s">
        <v>53</v>
      </c>
      <c r="E11" s="200"/>
      <c r="F11" s="200"/>
      <c r="G11" s="200"/>
      <c r="H11" s="201" t="s">
        <v>53</v>
      </c>
      <c r="I11" s="70">
        <f t="array" ref="I11">SUM(($B11:$H11="confirmed")*($B$4:$H$4=25))</f>
        <v>3</v>
      </c>
      <c r="J11" s="43">
        <f t="array" ref="J11">SUM(($B11:$H11="standby")*($B$4:$H$4=25))</f>
        <v>0</v>
      </c>
      <c r="K11" s="43">
        <f t="array" ref="K11">SUM(($B11:$H11="confirmed")*($B$4:$H$4=10))</f>
        <v>0</v>
      </c>
      <c r="L11" s="43">
        <f t="array" ref="L11">SUM(($B11:$H11="standby")*($B$4:$H$4=10))</f>
        <v>0</v>
      </c>
      <c r="M11" s="15">
        <f t="shared" si="4"/>
        <v>3</v>
      </c>
      <c r="N11" s="15">
        <f t="shared" si="5"/>
        <v>0</v>
      </c>
      <c r="O11" s="16">
        <f t="shared" si="6"/>
        <v>0</v>
      </c>
      <c r="Q11"/>
      <c r="R11"/>
    </row>
    <row r="12" spans="1:18" ht="15" customHeight="1">
      <c r="A12" s="9" t="str">
        <f>'Members Data'!A4</f>
        <v>Ashenhand</v>
      </c>
      <c r="B12" s="199" t="s">
        <v>53</v>
      </c>
      <c r="C12" s="200"/>
      <c r="D12" s="200" t="s">
        <v>53</v>
      </c>
      <c r="E12" s="200"/>
      <c r="F12" s="200"/>
      <c r="G12" s="200"/>
      <c r="H12" s="201" t="s">
        <v>53</v>
      </c>
      <c r="I12" s="70">
        <f t="array" ref="I12">SUM(($B12:$H12="confirmed")*($B$4:$H$4=25))</f>
        <v>3</v>
      </c>
      <c r="J12" s="43">
        <f t="array" ref="J12">SUM(($B12:$H12="standby")*($B$4:$H$4=25))</f>
        <v>0</v>
      </c>
      <c r="K12" s="43">
        <f t="array" ref="K12">SUM(($B12:$H12="confirmed")*($B$4:$H$4=10))</f>
        <v>0</v>
      </c>
      <c r="L12" s="43">
        <f t="array" ref="L12">SUM(($B12:$H12="standby")*($B$4:$H$4=10))</f>
        <v>0</v>
      </c>
      <c r="M12" s="15">
        <f t="shared" si="4"/>
        <v>3</v>
      </c>
      <c r="N12" s="15">
        <f t="shared" si="5"/>
        <v>0</v>
      </c>
      <c r="O12" s="16">
        <f t="shared" si="6"/>
        <v>0</v>
      </c>
      <c r="Q12"/>
      <c r="R12"/>
    </row>
    <row r="13" spans="1:18" ht="15" customHeight="1">
      <c r="A13" s="9" t="str">
        <f>'Members Data'!A5</f>
        <v>Âspect</v>
      </c>
      <c r="B13" s="199" t="s">
        <v>53</v>
      </c>
      <c r="C13" s="200"/>
      <c r="D13" s="200" t="s">
        <v>53</v>
      </c>
      <c r="E13" s="200"/>
      <c r="F13" s="200"/>
      <c r="G13" s="200"/>
      <c r="H13" s="201"/>
      <c r="I13" s="70">
        <f t="array" ref="I13">SUM(($B13:$H13="confirmed")*($B$4:$H$4=25))</f>
        <v>2</v>
      </c>
      <c r="J13" s="43">
        <f t="array" ref="J13">SUM(($B13:$H13="standby")*($B$4:$H$4=25))</f>
        <v>0</v>
      </c>
      <c r="K13" s="43">
        <f t="array" ref="K13">SUM(($B13:$H13="confirmed")*($B$4:$H$4=10))</f>
        <v>0</v>
      </c>
      <c r="L13" s="43">
        <f t="array" ref="L13">SUM(($B13:$H13="standby")*($B$4:$H$4=10))</f>
        <v>0</v>
      </c>
      <c r="M13" s="15">
        <f t="shared" si="4"/>
        <v>2</v>
      </c>
      <c r="N13" s="15">
        <f t="shared" si="5"/>
        <v>0</v>
      </c>
      <c r="O13" s="16">
        <f t="shared" si="6"/>
        <v>0</v>
      </c>
      <c r="Q13"/>
      <c r="R13"/>
    </row>
    <row r="14" spans="1:18" ht="15" customHeight="1">
      <c r="A14" s="9" t="str">
        <f>'Members Data'!A6</f>
        <v>Assap</v>
      </c>
      <c r="B14" s="199" t="s">
        <v>53</v>
      </c>
      <c r="C14" s="233"/>
      <c r="D14" s="233" t="s">
        <v>53</v>
      </c>
      <c r="E14" s="200"/>
      <c r="F14" s="200"/>
      <c r="G14" s="200"/>
      <c r="H14" s="201" t="s">
        <v>53</v>
      </c>
      <c r="I14" s="70">
        <f t="array" ref="I14">SUM(($B14:$H14="confirmed")*($B$4:$H$4=25))</f>
        <v>3</v>
      </c>
      <c r="J14" s="43">
        <f t="array" ref="J14">SUM(($B14:$H14="standby")*($B$4:$H$4=25))</f>
        <v>0</v>
      </c>
      <c r="K14" s="43">
        <f t="array" ref="K14">SUM(($B14:$H14="confirmed")*($B$4:$H$4=10))</f>
        <v>0</v>
      </c>
      <c r="L14" s="43">
        <f t="array" ref="L14">SUM(($B14:$H14="standby")*($B$4:$H$4=10))</f>
        <v>0</v>
      </c>
      <c r="M14" s="15">
        <f t="shared" si="4"/>
        <v>3</v>
      </c>
      <c r="N14" s="15">
        <f t="shared" si="5"/>
        <v>0</v>
      </c>
      <c r="O14" s="16">
        <f t="shared" si="6"/>
        <v>0</v>
      </c>
      <c r="Q14"/>
      <c r="R14"/>
    </row>
    <row r="15" spans="1:18" ht="15" customHeight="1">
      <c r="A15" s="9" t="str">
        <f>'Members Data'!A7</f>
        <v>Bonegasmic</v>
      </c>
      <c r="B15" s="199" t="s">
        <v>53</v>
      </c>
      <c r="C15" s="235"/>
      <c r="D15" s="235" t="s">
        <v>53</v>
      </c>
      <c r="E15" s="200"/>
      <c r="F15" s="200"/>
      <c r="G15" s="200"/>
      <c r="H15" s="201" t="s">
        <v>53</v>
      </c>
      <c r="I15" s="70">
        <f t="array" ref="I15">SUM(($B15:$H15="confirmed")*($B$4:$H$4=25))</f>
        <v>3</v>
      </c>
      <c r="J15" s="43">
        <f t="array" ref="J15">SUM(($B15:$H15="standby")*($B$4:$H$4=25))</f>
        <v>0</v>
      </c>
      <c r="K15" s="43">
        <f t="array" ref="K15">SUM(($B15:$H15="confirmed")*($B$4:$H$4=10))</f>
        <v>0</v>
      </c>
      <c r="L15" s="43">
        <f t="array" ref="L15">SUM(($B15:$H15="standby")*($B$4:$H$4=10))</f>
        <v>0</v>
      </c>
      <c r="M15" s="15">
        <f t="shared" si="4"/>
        <v>3</v>
      </c>
      <c r="N15" s="15">
        <f t="shared" si="5"/>
        <v>0</v>
      </c>
      <c r="O15" s="16">
        <f t="shared" si="6"/>
        <v>0</v>
      </c>
      <c r="Q15"/>
      <c r="R15"/>
    </row>
    <row r="16" spans="1:18" ht="15" customHeight="1">
      <c r="A16" s="9" t="str">
        <f>'Members Data'!A8</f>
        <v>Brákspak</v>
      </c>
      <c r="B16" s="232" t="s">
        <v>53</v>
      </c>
      <c r="C16" s="235"/>
      <c r="D16" s="235" t="s">
        <v>53</v>
      </c>
      <c r="E16" s="200"/>
      <c r="F16" s="200"/>
      <c r="G16" s="200"/>
      <c r="H16" s="201" t="s">
        <v>53</v>
      </c>
      <c r="I16" s="70">
        <f t="array" ref="I16">SUM(($B16:$H16="confirmed")*($B$4:$H$4=25))</f>
        <v>3</v>
      </c>
      <c r="J16" s="43">
        <f t="array" ref="J16">SUM(($B16:$H16="standby")*($B$4:$H$4=25))</f>
        <v>0</v>
      </c>
      <c r="K16" s="43">
        <f t="array" ref="K16">SUM(($B16:$H16="confirmed")*($B$4:$H$4=10))</f>
        <v>0</v>
      </c>
      <c r="L16" s="43">
        <f t="array" ref="L16">SUM(($B16:$H16="standby")*($B$4:$H$4=10))</f>
        <v>0</v>
      </c>
      <c r="M16" s="15">
        <f t="shared" si="4"/>
        <v>3</v>
      </c>
      <c r="N16" s="15">
        <f t="shared" si="5"/>
        <v>0</v>
      </c>
      <c r="O16" s="16">
        <f t="shared" si="6"/>
        <v>0</v>
      </c>
      <c r="Q16"/>
      <c r="R16"/>
    </row>
    <row r="17" spans="1:18" ht="15" customHeight="1">
      <c r="A17" s="9" t="str">
        <f>'Members Data'!A9</f>
        <v>Catena</v>
      </c>
      <c r="B17" s="232"/>
      <c r="C17" s="235"/>
      <c r="D17" s="235"/>
      <c r="E17" s="233"/>
      <c r="F17" s="200"/>
      <c r="G17" s="200"/>
      <c r="H17" s="201"/>
      <c r="I17" s="70">
        <f t="array" ref="I17">SUM(($B17:$H17="confirmed")*($B$4:$H$4=25))</f>
        <v>0</v>
      </c>
      <c r="J17" s="43">
        <f t="array" ref="J17">SUM(($B17:$H17="standby")*($B$4:$H$4=25))</f>
        <v>0</v>
      </c>
      <c r="K17" s="43">
        <f t="array" ref="K17">SUM(($B17:$H17="confirmed")*($B$4:$H$4=10))</f>
        <v>0</v>
      </c>
      <c r="L17" s="43">
        <f t="array" ref="L17">SUM(($B17:$H17="standby")*($B$4:$H$4=10))</f>
        <v>0</v>
      </c>
      <c r="M17" s="15">
        <f t="shared" si="4"/>
        <v>0</v>
      </c>
      <c r="N17" s="15">
        <f t="shared" si="5"/>
        <v>0</v>
      </c>
      <c r="O17" s="16">
        <f t="shared" si="6"/>
        <v>0</v>
      </c>
      <c r="Q17"/>
      <c r="R17"/>
    </row>
    <row r="18" spans="1:18" ht="15" customHeight="1">
      <c r="A18" s="9" t="str">
        <f>'Members Data'!A10</f>
        <v>Céléstine</v>
      </c>
      <c r="B18" s="199" t="s">
        <v>53</v>
      </c>
      <c r="C18" s="200"/>
      <c r="D18" s="200" t="s">
        <v>53</v>
      </c>
      <c r="E18" s="235"/>
      <c r="F18" s="199"/>
      <c r="G18" s="200"/>
      <c r="H18" s="201" t="s">
        <v>53</v>
      </c>
      <c r="I18" s="70">
        <f t="array" ref="I18">SUM(($B18:$H18="confirmed")*($B$4:$H$4=25))</f>
        <v>3</v>
      </c>
      <c r="J18" s="43">
        <f t="array" ref="J18">SUM(($B18:$H18="standby")*($B$4:$H$4=25))</f>
        <v>0</v>
      </c>
      <c r="K18" s="43">
        <f t="array" ref="K18">SUM(($B18:$H18="confirmed")*($B$4:$H$4=10))</f>
        <v>0</v>
      </c>
      <c r="L18" s="43">
        <f t="array" ref="L18">SUM(($B18:$H18="standby")*($B$4:$H$4=10))</f>
        <v>0</v>
      </c>
      <c r="M18" s="15">
        <f t="shared" si="4"/>
        <v>3</v>
      </c>
      <c r="N18" s="15">
        <f t="shared" si="5"/>
        <v>0</v>
      </c>
      <c r="O18" s="16">
        <f t="shared" si="6"/>
        <v>0</v>
      </c>
      <c r="Q18"/>
      <c r="R18"/>
    </row>
    <row r="19" spans="1:18" ht="15" customHeight="1">
      <c r="A19" s="9" t="str">
        <f>'Members Data'!A11</f>
        <v>Cottman</v>
      </c>
      <c r="B19" s="199" t="s">
        <v>53</v>
      </c>
      <c r="C19" s="338"/>
      <c r="D19" s="338" t="s">
        <v>53</v>
      </c>
      <c r="E19" s="235"/>
      <c r="F19" s="199"/>
      <c r="G19" s="200"/>
      <c r="H19" s="201" t="s">
        <v>53</v>
      </c>
      <c r="I19" s="70">
        <f t="array" ref="I19">SUM(($B19:$H19="confirmed")*($B$4:$H$4=25))</f>
        <v>3</v>
      </c>
      <c r="J19" s="43">
        <f t="array" ref="J19">SUM(($B19:$H19="standby")*($B$4:$H$4=25))</f>
        <v>0</v>
      </c>
      <c r="K19" s="43">
        <f t="array" ref="K19">SUM(($B19:$H19="confirmed")*($B$4:$H$4=10))</f>
        <v>0</v>
      </c>
      <c r="L19" s="43">
        <f t="array" ref="L19">SUM(($B19:$H19="standby")*($B$4:$H$4=10))</f>
        <v>0</v>
      </c>
      <c r="M19" s="15">
        <f t="shared" si="4"/>
        <v>3</v>
      </c>
      <c r="N19" s="15">
        <f t="shared" si="5"/>
        <v>0</v>
      </c>
      <c r="O19" s="16">
        <f t="shared" si="6"/>
        <v>0</v>
      </c>
      <c r="Q19"/>
      <c r="R19"/>
    </row>
    <row r="20" spans="1:18" ht="15" customHeight="1">
      <c r="A20" s="9" t="str">
        <f>'Members Data'!A12</f>
        <v>Craving</v>
      </c>
      <c r="B20" s="232" t="s">
        <v>53</v>
      </c>
      <c r="C20" s="235"/>
      <c r="D20" s="235" t="s">
        <v>53</v>
      </c>
      <c r="E20" s="235"/>
      <c r="F20" s="199"/>
      <c r="G20" s="200"/>
      <c r="H20" s="201" t="s">
        <v>53</v>
      </c>
      <c r="I20" s="70">
        <f t="array" ref="I20">SUM(($B20:$H20="confirmed")*($B$4:$H$4=25))</f>
        <v>3</v>
      </c>
      <c r="J20" s="43">
        <f t="array" ref="J20">SUM(($B20:$H20="standby")*($B$4:$H$4=25))</f>
        <v>0</v>
      </c>
      <c r="K20" s="43">
        <f t="array" ref="K20">SUM(($B20:$H20="confirmed")*($B$4:$H$4=10))</f>
        <v>0</v>
      </c>
      <c r="L20" s="43">
        <f t="array" ref="L20">SUM(($B20:$H20="standby")*($B$4:$H$4=10))</f>
        <v>0</v>
      </c>
      <c r="M20" s="15">
        <f t="shared" si="4"/>
        <v>3</v>
      </c>
      <c r="N20" s="15">
        <f t="shared" si="5"/>
        <v>0</v>
      </c>
      <c r="O20" s="16">
        <f t="shared" si="6"/>
        <v>0</v>
      </c>
      <c r="Q20"/>
      <c r="R20"/>
    </row>
    <row r="21" spans="1:18" ht="15" customHeight="1">
      <c r="A21" s="9" t="str">
        <f>'Members Data'!A13</f>
        <v>Darshei</v>
      </c>
      <c r="B21" s="199" t="s">
        <v>53</v>
      </c>
      <c r="C21" s="200"/>
      <c r="D21" s="200" t="s">
        <v>53</v>
      </c>
      <c r="E21" s="235"/>
      <c r="F21" s="199"/>
      <c r="G21" s="200"/>
      <c r="H21" s="201" t="s">
        <v>53</v>
      </c>
      <c r="I21" s="70">
        <f t="array" ref="I21">SUM(($B21:$H21="confirmed")*($B$4:$H$4=25))</f>
        <v>3</v>
      </c>
      <c r="J21" s="43">
        <f t="array" ref="J21">SUM(($B21:$H21="standby")*($B$4:$H$4=25))</f>
        <v>0</v>
      </c>
      <c r="K21" s="43">
        <f t="array" ref="K21">SUM(($B21:$H21="confirmed")*($B$4:$H$4=10))</f>
        <v>0</v>
      </c>
      <c r="L21" s="43">
        <f t="array" ref="L21">SUM(($B21:$H21="standby")*($B$4:$H$4=10))</f>
        <v>0</v>
      </c>
      <c r="M21" s="15">
        <f t="shared" si="4"/>
        <v>3</v>
      </c>
      <c r="N21" s="15">
        <f t="shared" si="5"/>
        <v>0</v>
      </c>
      <c r="O21" s="16">
        <f t="shared" si="6"/>
        <v>0</v>
      </c>
      <c r="Q21"/>
      <c r="R21"/>
    </row>
    <row r="22" spans="1:18" ht="15" customHeight="1">
      <c r="A22" s="9" t="str">
        <f>'Members Data'!A14</f>
        <v>Difson</v>
      </c>
      <c r="B22" s="199" t="s">
        <v>53</v>
      </c>
      <c r="C22" s="235"/>
      <c r="D22" s="235" t="s">
        <v>53</v>
      </c>
      <c r="E22" s="235"/>
      <c r="F22" s="199"/>
      <c r="G22" s="200"/>
      <c r="H22" s="201" t="s">
        <v>53</v>
      </c>
      <c r="I22" s="70">
        <f t="array" ref="I22">SUM(($B22:$H22="confirmed")*($B$4:$H$4=25))</f>
        <v>3</v>
      </c>
      <c r="J22" s="43">
        <f t="array" ref="J22">SUM(($B22:$H22="standby")*($B$4:$H$4=25))</f>
        <v>0</v>
      </c>
      <c r="K22" s="43">
        <f t="array" ref="K22">SUM(($B22:$H22="confirmed")*($B$4:$H$4=10))</f>
        <v>0</v>
      </c>
      <c r="L22" s="43">
        <f t="array" ref="L22">SUM(($B22:$H22="standby")*($B$4:$H$4=10))</f>
        <v>0</v>
      </c>
      <c r="M22" s="15">
        <f t="shared" si="4"/>
        <v>3</v>
      </c>
      <c r="N22" s="15">
        <f t="shared" si="5"/>
        <v>0</v>
      </c>
      <c r="O22" s="16">
        <f t="shared" si="6"/>
        <v>0</v>
      </c>
      <c r="Q22"/>
      <c r="R22"/>
    </row>
    <row r="23" spans="1:18" ht="15" customHeight="1">
      <c r="A23" s="9" t="str">
        <f>'Members Data'!A15</f>
        <v>Grandhoof</v>
      </c>
      <c r="B23" s="232" t="s">
        <v>53</v>
      </c>
      <c r="C23" s="200"/>
      <c r="D23" s="200" t="s">
        <v>53</v>
      </c>
      <c r="E23" s="235"/>
      <c r="F23" s="199"/>
      <c r="G23" s="200"/>
      <c r="H23" s="201" t="s">
        <v>53</v>
      </c>
      <c r="I23" s="70">
        <f t="array" ref="I23">SUM(($B23:$H23="confirmed")*($B$4:$H$4=25))</f>
        <v>3</v>
      </c>
      <c r="J23" s="43">
        <f t="array" ref="J23">SUM(($B23:$H23="standby")*($B$4:$H$4=25))</f>
        <v>0</v>
      </c>
      <c r="K23" s="43">
        <f t="array" ref="K23">SUM(($B23:$H23="confirmed")*($B$4:$H$4=10))</f>
        <v>0</v>
      </c>
      <c r="L23" s="43">
        <f t="array" ref="L23">SUM(($B23:$H23="standby")*($B$4:$H$4=10))</f>
        <v>0</v>
      </c>
      <c r="M23" s="15">
        <f t="shared" si="4"/>
        <v>3</v>
      </c>
      <c r="N23" s="15">
        <f t="shared" si="5"/>
        <v>0</v>
      </c>
      <c r="O23" s="16">
        <f t="shared" si="6"/>
        <v>0</v>
      </c>
      <c r="Q23"/>
      <c r="R23"/>
    </row>
    <row r="24" spans="1:18" ht="15" customHeight="1">
      <c r="A24" s="9" t="str">
        <f>'Members Data'!A16</f>
        <v>Harkar</v>
      </c>
      <c r="B24" s="232" t="s">
        <v>52</v>
      </c>
      <c r="C24" s="235"/>
      <c r="D24" s="235" t="s">
        <v>53</v>
      </c>
      <c r="E24" s="235"/>
      <c r="F24" s="200"/>
      <c r="G24" s="200"/>
      <c r="H24" s="201" t="s">
        <v>53</v>
      </c>
      <c r="I24" s="70">
        <f t="array" ref="I24">SUM(($B24:$H24="confirmed")*($B$4:$H$4=25))</f>
        <v>2</v>
      </c>
      <c r="J24" s="43">
        <f t="array" ref="J24">SUM(($B24:$H24="standby")*($B$4:$H$4=25))</f>
        <v>1</v>
      </c>
      <c r="K24" s="43">
        <f t="array" ref="K24">SUM(($B24:$H24="confirmed")*($B$4:$H$4=10))</f>
        <v>0</v>
      </c>
      <c r="L24" s="43">
        <f t="array" ref="L24">SUM(($B24:$H24="standby")*($B$4:$H$4=10))</f>
        <v>0</v>
      </c>
      <c r="M24" s="15">
        <f t="shared" si="4"/>
        <v>2</v>
      </c>
      <c r="N24" s="15">
        <f t="shared" si="5"/>
        <v>1</v>
      </c>
      <c r="O24" s="16">
        <f t="shared" si="6"/>
        <v>0</v>
      </c>
      <c r="Q24"/>
      <c r="R24"/>
    </row>
    <row r="25" spans="1:18" ht="15" customHeight="1">
      <c r="A25" s="9" t="str">
        <f>'Members Data'!A17</f>
        <v>Hyperïon</v>
      </c>
      <c r="B25" s="232"/>
      <c r="C25" s="235"/>
      <c r="D25" s="235"/>
      <c r="E25" s="235"/>
      <c r="F25" s="199"/>
      <c r="G25" s="200"/>
      <c r="H25" s="201"/>
      <c r="I25" s="70">
        <f t="array" ref="I25">SUM(($B25:$H25="confirmed")*($B$4:$H$4=25))</f>
        <v>0</v>
      </c>
      <c r="J25" s="43">
        <f t="array" ref="J25">SUM(($B25:$H25="standby")*($B$4:$H$4=25))</f>
        <v>0</v>
      </c>
      <c r="K25" s="43">
        <f t="array" ref="K25">SUM(($B25:$H25="confirmed")*($B$4:$H$4=10))</f>
        <v>0</v>
      </c>
      <c r="L25" s="43">
        <f t="array" ref="L25">SUM(($B25:$H25="standby")*($B$4:$H$4=10))</f>
        <v>0</v>
      </c>
      <c r="M25" s="15">
        <f t="shared" si="4"/>
        <v>0</v>
      </c>
      <c r="N25" s="15">
        <f t="shared" si="5"/>
        <v>0</v>
      </c>
      <c r="O25" s="16">
        <f t="shared" si="6"/>
        <v>0</v>
      </c>
      <c r="Q25"/>
      <c r="R25"/>
    </row>
    <row r="26" spans="1:18" ht="15" customHeight="1">
      <c r="A26" s="9" t="str">
        <f>'Members Data'!A18</f>
        <v>Illianá</v>
      </c>
      <c r="B26" s="199" t="s">
        <v>53</v>
      </c>
      <c r="C26" s="235"/>
      <c r="D26" s="235" t="s">
        <v>53</v>
      </c>
      <c r="E26" s="235"/>
      <c r="F26" s="199"/>
      <c r="G26" s="200"/>
      <c r="H26" s="201"/>
      <c r="I26" s="70">
        <f t="array" ref="I26">SUM(($B26:$H26="confirmed")*($B$4:$H$4=25))</f>
        <v>2</v>
      </c>
      <c r="J26" s="43">
        <f t="array" ref="J26">SUM(($B26:$H26="standby")*($B$4:$H$4=25))</f>
        <v>0</v>
      </c>
      <c r="K26" s="43">
        <f t="array" ref="K26">SUM(($B26:$H26="confirmed")*($B$4:$H$4=10))</f>
        <v>0</v>
      </c>
      <c r="L26" s="43">
        <f t="array" ref="L26">SUM(($B26:$H26="standby")*($B$4:$H$4=10))</f>
        <v>0</v>
      </c>
      <c r="M26" s="15">
        <f t="shared" si="4"/>
        <v>2</v>
      </c>
      <c r="N26" s="15">
        <f t="shared" si="5"/>
        <v>0</v>
      </c>
      <c r="O26" s="16">
        <f t="shared" si="6"/>
        <v>0</v>
      </c>
      <c r="Q26"/>
      <c r="R26"/>
    </row>
    <row r="27" spans="1:18" ht="15" customHeight="1">
      <c r="A27" s="9" t="str">
        <f>'Members Data'!A19</f>
        <v>Izzabelle</v>
      </c>
      <c r="B27" s="232"/>
      <c r="C27" s="235"/>
      <c r="D27" s="235" t="s">
        <v>53</v>
      </c>
      <c r="E27" s="235"/>
      <c r="F27" s="199"/>
      <c r="G27" s="200"/>
      <c r="H27" s="201" t="s">
        <v>53</v>
      </c>
      <c r="I27" s="70">
        <f t="array" ref="I27">SUM(($B27:$H27="confirmed")*($B$4:$H$4=25))</f>
        <v>2</v>
      </c>
      <c r="J27" s="43">
        <f t="array" ref="J27">SUM(($B27:$H27="standby")*($B$4:$H$4=25))</f>
        <v>0</v>
      </c>
      <c r="K27" s="43">
        <f t="array" ref="K27">SUM(($B27:$H27="confirmed")*($B$4:$H$4=10))</f>
        <v>0</v>
      </c>
      <c r="L27" s="43">
        <f t="array" ref="L27">SUM(($B27:$H27="standby")*($B$4:$H$4=10))</f>
        <v>0</v>
      </c>
      <c r="M27" s="15">
        <f t="shared" si="4"/>
        <v>2</v>
      </c>
      <c r="N27" s="15">
        <f t="shared" si="5"/>
        <v>0</v>
      </c>
      <c r="O27" s="16">
        <f t="shared" si="6"/>
        <v>0</v>
      </c>
      <c r="Q27"/>
      <c r="R27"/>
    </row>
    <row r="28" spans="1:18" ht="15" customHeight="1">
      <c r="A28" s="9" t="str">
        <f>'Members Data'!A20</f>
        <v>Kátsumi</v>
      </c>
      <c r="B28" s="232" t="s">
        <v>52</v>
      </c>
      <c r="C28" s="200"/>
      <c r="D28" s="200"/>
      <c r="E28" s="235"/>
      <c r="F28" s="200"/>
      <c r="G28" s="200"/>
      <c r="H28" s="201"/>
      <c r="I28" s="70">
        <f t="array" ref="I28">SUM(($B28:$H28="confirmed")*($B$4:$H$4=25))</f>
        <v>0</v>
      </c>
      <c r="J28" s="43">
        <f t="array" ref="J28">SUM(($B28:$H28="standby")*($B$4:$H$4=25))</f>
        <v>1</v>
      </c>
      <c r="K28" s="43">
        <f t="array" ref="K28">SUM(($B28:$H28="confirmed")*($B$4:$H$4=10))</f>
        <v>0</v>
      </c>
      <c r="L28" s="43">
        <f t="array" ref="L28">SUM(($B28:$H28="standby")*($B$4:$H$4=10))</f>
        <v>0</v>
      </c>
      <c r="M28" s="15">
        <f t="shared" si="4"/>
        <v>0</v>
      </c>
      <c r="N28" s="15">
        <f t="shared" si="5"/>
        <v>1</v>
      </c>
      <c r="O28" s="16">
        <f t="shared" si="6"/>
        <v>0</v>
      </c>
      <c r="Q28"/>
      <c r="R28"/>
    </row>
    <row r="29" spans="1:18" ht="15" customHeight="1">
      <c r="A29" s="9" t="str">
        <f>'Members Data'!A21</f>
        <v>Lychi</v>
      </c>
      <c r="B29" s="232" t="s">
        <v>53</v>
      </c>
      <c r="C29" s="235"/>
      <c r="D29" s="235" t="s">
        <v>53</v>
      </c>
      <c r="E29" s="235"/>
      <c r="F29" s="200"/>
      <c r="G29" s="200"/>
      <c r="H29" s="201" t="s">
        <v>53</v>
      </c>
      <c r="I29" s="70">
        <f t="array" ref="I29">SUM(($B29:$H29="confirmed")*($B$4:$H$4=25))</f>
        <v>3</v>
      </c>
      <c r="J29" s="43">
        <f t="array" ref="J29">SUM(($B29:$H29="standby")*($B$4:$H$4=25))</f>
        <v>0</v>
      </c>
      <c r="K29" s="43">
        <f t="array" ref="K29">SUM(($B29:$H29="confirmed")*($B$4:$H$4=10))</f>
        <v>0</v>
      </c>
      <c r="L29" s="43">
        <f t="array" ref="L29">SUM(($B29:$H29="standby")*($B$4:$H$4=10))</f>
        <v>0</v>
      </c>
      <c r="M29" s="15">
        <f t="shared" si="4"/>
        <v>3</v>
      </c>
      <c r="N29" s="15">
        <f t="shared" si="5"/>
        <v>0</v>
      </c>
      <c r="O29" s="16">
        <f t="shared" si="6"/>
        <v>0</v>
      </c>
      <c r="Q29"/>
      <c r="R29"/>
    </row>
    <row r="30" spans="1:18" ht="15" customHeight="1">
      <c r="A30" s="9" t="str">
        <f>'Members Data'!A22</f>
        <v>Méych</v>
      </c>
      <c r="B30" s="199" t="s">
        <v>53</v>
      </c>
      <c r="C30" s="200"/>
      <c r="D30" s="200" t="s">
        <v>52</v>
      </c>
      <c r="E30" s="235"/>
      <c r="F30" s="199"/>
      <c r="G30" s="200"/>
      <c r="H30" s="201"/>
      <c r="I30" s="70">
        <f t="array" ref="I30">SUM(($B30:$H30="confirmed")*($B$4:$H$4=25))</f>
        <v>1</v>
      </c>
      <c r="J30" s="43">
        <f t="array" ref="J30">SUM(($B30:$H30="standby")*($B$4:$H$4=25))</f>
        <v>1</v>
      </c>
      <c r="K30" s="43">
        <f t="array" ref="K30">SUM(($B30:$H30="confirmed")*($B$4:$H$4=10))</f>
        <v>0</v>
      </c>
      <c r="L30" s="43">
        <f t="array" ref="L30">SUM(($B30:$H30="standby")*($B$4:$H$4=10))</f>
        <v>0</v>
      </c>
      <c r="M30" s="15">
        <f t="shared" si="4"/>
        <v>1</v>
      </c>
      <c r="N30" s="15">
        <f t="shared" si="5"/>
        <v>1</v>
      </c>
      <c r="O30" s="16">
        <f t="shared" si="6"/>
        <v>0</v>
      </c>
      <c r="Q30"/>
      <c r="R30"/>
    </row>
    <row r="31" spans="1:18" ht="15" customHeight="1">
      <c r="A31" s="9" t="str">
        <f>'Members Data'!A23</f>
        <v>Muckyfloor</v>
      </c>
      <c r="B31" s="232" t="s">
        <v>52</v>
      </c>
      <c r="C31" s="200"/>
      <c r="D31" s="200" t="s">
        <v>53</v>
      </c>
      <c r="E31" s="235"/>
      <c r="F31" s="199"/>
      <c r="G31" s="200"/>
      <c r="H31" s="201" t="s">
        <v>53</v>
      </c>
      <c r="I31" s="70">
        <f t="array" ref="I31">SUM(($B31:$H31="confirmed")*($B$4:$H$4=25))</f>
        <v>2</v>
      </c>
      <c r="J31" s="43">
        <f t="array" ref="J31">SUM(($B31:$H31="standby")*($B$4:$H$4=25))</f>
        <v>1</v>
      </c>
      <c r="K31" s="43">
        <f t="array" ref="K31">SUM(($B31:$H31="confirmed")*($B$4:$H$4=10))</f>
        <v>0</v>
      </c>
      <c r="L31" s="43">
        <f t="array" ref="L31">SUM(($B31:$H31="standby")*($B$4:$H$4=10))</f>
        <v>0</v>
      </c>
      <c r="M31" s="15">
        <f t="shared" si="4"/>
        <v>2</v>
      </c>
      <c r="N31" s="15">
        <f t="shared" si="5"/>
        <v>1</v>
      </c>
      <c r="O31" s="16">
        <f t="shared" si="6"/>
        <v>0</v>
      </c>
      <c r="Q31"/>
      <c r="R31"/>
    </row>
    <row r="32" spans="1:18" ht="15" customHeight="1">
      <c r="A32" s="9" t="str">
        <f>'Members Data'!A24</f>
        <v>Müfti</v>
      </c>
      <c r="B32" s="232" t="s">
        <v>53</v>
      </c>
      <c r="C32" s="235"/>
      <c r="D32" s="235" t="s">
        <v>53</v>
      </c>
      <c r="E32" s="235"/>
      <c r="F32" s="199"/>
      <c r="G32" s="200"/>
      <c r="H32" s="201" t="s">
        <v>53</v>
      </c>
      <c r="I32" s="70">
        <f t="array" ref="I32">SUM(($B32:$H32="confirmed")*($B$4:$H$4=25))</f>
        <v>3</v>
      </c>
      <c r="J32" s="43">
        <f t="array" ref="J32">SUM(($B32:$H32="standby")*($B$4:$H$4=25))</f>
        <v>0</v>
      </c>
      <c r="K32" s="43">
        <f t="array" ref="K32">SUM(($B32:$H32="confirmed")*($B$4:$H$4=10))</f>
        <v>0</v>
      </c>
      <c r="L32" s="43">
        <f t="array" ref="L32">SUM(($B32:$H32="standby")*($B$4:$H$4=10))</f>
        <v>0</v>
      </c>
      <c r="M32" s="15">
        <f t="shared" si="4"/>
        <v>3</v>
      </c>
      <c r="N32" s="15">
        <f t="shared" si="5"/>
        <v>0</v>
      </c>
      <c r="O32" s="16">
        <f t="shared" si="6"/>
        <v>0</v>
      </c>
    </row>
    <row r="33" spans="1:18" ht="15" customHeight="1">
      <c r="A33" s="9" t="str">
        <f>'Members Data'!A25</f>
        <v>Palorde</v>
      </c>
      <c r="B33" s="199" t="s">
        <v>53</v>
      </c>
      <c r="C33" s="235"/>
      <c r="D33" s="235"/>
      <c r="E33" s="235"/>
      <c r="F33" s="200"/>
      <c r="G33" s="200"/>
      <c r="H33" s="201"/>
      <c r="I33" s="70">
        <f t="array" ref="I33">SUM(($B33:$H33="confirmed")*($B$4:$H$4=25))</f>
        <v>1</v>
      </c>
      <c r="J33" s="43">
        <f t="array" ref="J33">SUM(($B33:$H33="standby")*($B$4:$H$4=25))</f>
        <v>0</v>
      </c>
      <c r="K33" s="43">
        <f t="array" ref="K33">SUM(($B33:$H33="confirmed")*($B$4:$H$4=10))</f>
        <v>0</v>
      </c>
      <c r="L33" s="43">
        <f t="array" ref="L33">SUM(($B33:$H33="standby")*($B$4:$H$4=10))</f>
        <v>0</v>
      </c>
      <c r="M33" s="15">
        <f t="shared" si="4"/>
        <v>1</v>
      </c>
      <c r="N33" s="15">
        <f t="shared" si="5"/>
        <v>0</v>
      </c>
      <c r="O33" s="16">
        <f t="shared" si="6"/>
        <v>0</v>
      </c>
    </row>
    <row r="34" spans="1:18" ht="15" customHeight="1">
      <c r="A34" s="9" t="str">
        <f>'Members Data'!A26</f>
        <v>Páula</v>
      </c>
      <c r="B34" s="199" t="s">
        <v>53</v>
      </c>
      <c r="C34" s="235"/>
      <c r="D34" s="235" t="s">
        <v>53</v>
      </c>
      <c r="E34" s="235"/>
      <c r="F34" s="200"/>
      <c r="G34" s="200"/>
      <c r="H34" s="201" t="s">
        <v>53</v>
      </c>
      <c r="I34" s="70">
        <f t="array" ref="I34">SUM(($B34:$H34="confirmed")*($B$4:$H$4=25))</f>
        <v>3</v>
      </c>
      <c r="J34" s="43">
        <f t="array" ref="J34">SUM(($B34:$H34="standby")*($B$4:$H$4=25))</f>
        <v>0</v>
      </c>
      <c r="K34" s="43">
        <f t="array" ref="K34">SUM(($B34:$H34="confirmed")*($B$4:$H$4=10))</f>
        <v>0</v>
      </c>
      <c r="L34" s="43">
        <f t="array" ref="L34">SUM(($B34:$H34="standby")*($B$4:$H$4=10))</f>
        <v>0</v>
      </c>
      <c r="M34" s="15">
        <f t="shared" si="4"/>
        <v>3</v>
      </c>
      <c r="N34" s="15">
        <f t="shared" si="5"/>
        <v>0</v>
      </c>
      <c r="O34" s="16">
        <f t="shared" si="6"/>
        <v>0</v>
      </c>
    </row>
    <row r="35" spans="1:18" ht="15" customHeight="1">
      <c r="A35" s="9" t="str">
        <f>'Members Data'!A27</f>
        <v>Quemzar</v>
      </c>
      <c r="B35" s="232" t="s">
        <v>53</v>
      </c>
      <c r="C35" s="200"/>
      <c r="D35" s="200" t="s">
        <v>53</v>
      </c>
      <c r="E35" s="235"/>
      <c r="F35" s="200"/>
      <c r="G35" s="200"/>
      <c r="H35" s="201"/>
      <c r="I35" s="70">
        <f t="array" ref="I35">SUM(($B35:$H35="confirmed")*($B$4:$H$4=25))</f>
        <v>2</v>
      </c>
      <c r="J35" s="43">
        <f t="array" ref="J35">SUM(($B35:$H35="standby")*($B$4:$H$4=25))</f>
        <v>0</v>
      </c>
      <c r="K35" s="43">
        <f t="array" ref="K35">SUM(($B35:$H35="confirmed")*($B$4:$H$4=10))</f>
        <v>0</v>
      </c>
      <c r="L35" s="43">
        <f t="array" ref="L35">SUM(($B35:$H35="standby")*($B$4:$H$4=10))</f>
        <v>0</v>
      </c>
      <c r="M35" s="15">
        <f t="shared" si="4"/>
        <v>2</v>
      </c>
      <c r="N35" s="15">
        <f t="shared" si="5"/>
        <v>0</v>
      </c>
      <c r="O35" s="16">
        <f t="shared" si="6"/>
        <v>0</v>
      </c>
    </row>
    <row r="36" spans="1:18" ht="15" customHeight="1">
      <c r="A36" s="9" t="str">
        <f>'Members Data'!A28</f>
        <v>Rahwin</v>
      </c>
      <c r="B36" s="337" t="s">
        <v>53</v>
      </c>
      <c r="C36" s="235"/>
      <c r="D36" s="235" t="s">
        <v>53</v>
      </c>
      <c r="E36" s="235"/>
      <c r="F36" s="200"/>
      <c r="G36" s="200"/>
      <c r="H36" s="201" t="s">
        <v>53</v>
      </c>
      <c r="I36" s="70">
        <f t="array" ref="I36">SUM(($B36:$H36="confirmed")*($B$4:$H$4=25))</f>
        <v>3</v>
      </c>
      <c r="J36" s="43">
        <f t="array" ref="J36">SUM(($B36:$H36="standby")*($B$4:$H$4=25))</f>
        <v>0</v>
      </c>
      <c r="K36" s="43">
        <f t="array" ref="K36">SUM(($B36:$H36="confirmed")*($B$4:$H$4=10))</f>
        <v>0</v>
      </c>
      <c r="L36" s="43">
        <f t="array" ref="L36">SUM(($B36:$H36="standby")*($B$4:$H$4=10))</f>
        <v>0</v>
      </c>
      <c r="M36" s="15">
        <f t="shared" si="4"/>
        <v>3</v>
      </c>
      <c r="N36" s="15">
        <f t="shared" si="5"/>
        <v>0</v>
      </c>
      <c r="O36" s="16">
        <f t="shared" si="6"/>
        <v>0</v>
      </c>
    </row>
    <row r="37" spans="1:18" ht="15" customHeight="1">
      <c r="A37" s="9" t="str">
        <f>'Members Data'!A29</f>
        <v>Raiyn</v>
      </c>
      <c r="B37" s="199"/>
      <c r="C37" s="235"/>
      <c r="D37" s="235"/>
      <c r="E37" s="235"/>
      <c r="F37" s="199"/>
      <c r="G37" s="200"/>
      <c r="H37" s="201" t="s">
        <v>53</v>
      </c>
      <c r="I37" s="70">
        <f t="array" ref="I37">SUM(($B37:$H37="confirmed")*($B$4:$H$4=25))</f>
        <v>1</v>
      </c>
      <c r="J37" s="43">
        <f t="array" ref="J37">SUM(($B37:$H37="standby")*($B$4:$H$4=25))</f>
        <v>0</v>
      </c>
      <c r="K37" s="43">
        <f t="array" ref="K37">SUM(($B37:$H37="confirmed")*($B$4:$H$4=10))</f>
        <v>0</v>
      </c>
      <c r="L37" s="43">
        <f t="array" ref="L37">SUM(($B37:$H37="standby")*($B$4:$H$4=10))</f>
        <v>0</v>
      </c>
      <c r="M37" s="15">
        <f t="shared" si="4"/>
        <v>1</v>
      </c>
      <c r="N37" s="15">
        <f t="shared" si="5"/>
        <v>0</v>
      </c>
      <c r="O37" s="16">
        <f t="shared" si="6"/>
        <v>0</v>
      </c>
    </row>
    <row r="38" spans="1:18" ht="15" customHeight="1">
      <c r="A38" s="9" t="str">
        <f>'Members Data'!A30</f>
        <v>Rokthrol</v>
      </c>
      <c r="B38" s="232"/>
      <c r="C38" s="200"/>
      <c r="D38" s="200"/>
      <c r="E38" s="234"/>
      <c r="F38" s="200"/>
      <c r="G38" s="200"/>
      <c r="H38" s="201"/>
      <c r="I38" s="70">
        <f t="array" ref="I38">SUM(($B38:$H38="confirmed")*($B$4:$H$4=25))</f>
        <v>0</v>
      </c>
      <c r="J38" s="43">
        <f t="array" ref="J38">SUM(($B38:$H38="standby")*($B$4:$H$4=25))</f>
        <v>0</v>
      </c>
      <c r="K38" s="43">
        <f t="array" ref="K38">SUM(($B38:$H38="confirmed")*($B$4:$H$4=10))</f>
        <v>0</v>
      </c>
      <c r="L38" s="43">
        <f t="array" ref="L38">SUM(($B38:$H38="standby")*($B$4:$H$4=10))</f>
        <v>0</v>
      </c>
      <c r="M38" s="15">
        <f t="shared" si="4"/>
        <v>0</v>
      </c>
      <c r="N38" s="15">
        <f t="shared" si="5"/>
        <v>0</v>
      </c>
      <c r="O38" s="16">
        <f t="shared" si="6"/>
        <v>0</v>
      </c>
    </row>
    <row r="39" spans="1:18" ht="15" customHeight="1">
      <c r="A39" s="9" t="str">
        <f>'Members Data'!A31</f>
        <v>Sáik</v>
      </c>
      <c r="B39" s="232" t="s">
        <v>52</v>
      </c>
      <c r="C39" s="235"/>
      <c r="D39" s="235" t="s">
        <v>53</v>
      </c>
      <c r="E39" s="200"/>
      <c r="F39" s="200"/>
      <c r="G39" s="200"/>
      <c r="H39" s="201" t="s">
        <v>53</v>
      </c>
      <c r="I39" s="70">
        <f t="array" ref="I39">SUM(($B39:$H39="confirmed")*($B$4:$H$4=25))</f>
        <v>2</v>
      </c>
      <c r="J39" s="43">
        <f t="array" ref="J39">SUM(($B39:$H39="standby")*($B$4:$H$4=25))</f>
        <v>1</v>
      </c>
      <c r="K39" s="43">
        <f t="array" ref="K39">SUM(($B39:$H39="confirmed")*($B$4:$H$4=10))</f>
        <v>0</v>
      </c>
      <c r="L39" s="43">
        <f t="array" ref="L39">SUM(($B39:$H39="standby")*($B$4:$H$4=10))</f>
        <v>0</v>
      </c>
      <c r="M39" s="15">
        <f t="shared" si="4"/>
        <v>2</v>
      </c>
      <c r="N39" s="15">
        <f t="shared" si="5"/>
        <v>1</v>
      </c>
      <c r="O39" s="16">
        <f t="shared" si="6"/>
        <v>0</v>
      </c>
    </row>
    <row r="40" spans="1:18" ht="15" customHeight="1">
      <c r="A40" s="9" t="str">
        <f>'Members Data'!A32</f>
        <v>Seraphÿm</v>
      </c>
      <c r="B40" s="232" t="s">
        <v>53</v>
      </c>
      <c r="C40" s="200"/>
      <c r="D40" s="200"/>
      <c r="E40" s="200"/>
      <c r="F40" s="200"/>
      <c r="G40" s="200"/>
      <c r="H40" s="201"/>
      <c r="I40" s="70">
        <f t="array" ref="I40">SUM(($B40:$H40="confirmed")*($B$4:$H$4=25))</f>
        <v>1</v>
      </c>
      <c r="J40" s="43">
        <f t="array" ref="J40">SUM(($B40:$H40="standby")*($B$4:$H$4=25))</f>
        <v>0</v>
      </c>
      <c r="K40" s="43">
        <f t="array" ref="K40">SUM(($B40:$H40="confirmed")*($B$4:$H$4=10))</f>
        <v>0</v>
      </c>
      <c r="L40" s="43">
        <f t="array" ref="L40">SUM(($B40:$H40="standby")*($B$4:$H$4=10))</f>
        <v>0</v>
      </c>
      <c r="M40" s="15">
        <f t="shared" si="4"/>
        <v>1</v>
      </c>
      <c r="N40" s="15">
        <f t="shared" si="5"/>
        <v>0</v>
      </c>
      <c r="O40" s="16">
        <f t="shared" si="6"/>
        <v>0</v>
      </c>
    </row>
    <row r="41" spans="1:18" ht="15" customHeight="1">
      <c r="A41" s="9" t="str">
        <f>'Members Data'!A33</f>
        <v>Shinkai</v>
      </c>
      <c r="B41" s="199"/>
      <c r="C41" s="235"/>
      <c r="D41" s="200" t="s">
        <v>53</v>
      </c>
      <c r="E41" s="200"/>
      <c r="F41" s="200"/>
      <c r="G41" s="200"/>
      <c r="H41" s="201" t="s">
        <v>53</v>
      </c>
      <c r="I41" s="70">
        <f t="array" ref="I41">SUM(($B41:$H41="confirmed")*($B$4:$H$4=25))</f>
        <v>2</v>
      </c>
      <c r="J41" s="43">
        <f t="array" ref="J41">SUM(($B41:$H41="standby")*($B$4:$H$4=25))</f>
        <v>0</v>
      </c>
      <c r="K41" s="43">
        <f t="array" ref="K41">SUM(($B41:$H41="confirmed")*($B$4:$H$4=10))</f>
        <v>0</v>
      </c>
      <c r="L41" s="43">
        <f t="array" ref="L41">SUM(($B41:$H41="standby")*($B$4:$H$4=10))</f>
        <v>0</v>
      </c>
      <c r="M41" s="15">
        <f t="shared" si="4"/>
        <v>2</v>
      </c>
      <c r="N41" s="15">
        <f t="shared" si="5"/>
        <v>0</v>
      </c>
      <c r="O41" s="16">
        <f t="shared" si="6"/>
        <v>0</v>
      </c>
      <c r="Q41"/>
      <c r="R41"/>
    </row>
    <row r="42" spans="1:18" ht="15" customHeight="1">
      <c r="A42" s="9" t="str">
        <f>'Members Data'!A34</f>
        <v>Yaodeng</v>
      </c>
      <c r="B42" s="232" t="s">
        <v>53</v>
      </c>
      <c r="C42" s="235"/>
      <c r="D42" s="199" t="s">
        <v>53</v>
      </c>
      <c r="E42" s="200"/>
      <c r="F42" s="200"/>
      <c r="G42" s="200"/>
      <c r="H42" s="201" t="s">
        <v>53</v>
      </c>
      <c r="I42" s="70">
        <f t="array" ref="I42">SUM(($B42:$H42="confirmed")*($B$4:$H$4=25))</f>
        <v>3</v>
      </c>
      <c r="J42" s="43">
        <f t="array" ref="J42">SUM(($B42:$H42="standby")*($B$4:$H$4=25))</f>
        <v>0</v>
      </c>
      <c r="K42" s="43">
        <f t="array" ref="K42">SUM(($B42:$H42="confirmed")*($B$4:$H$4=10))</f>
        <v>0</v>
      </c>
      <c r="L42" s="43">
        <f t="array" ref="L42">SUM(($B42:$H42="standby")*($B$4:$H$4=10))</f>
        <v>0</v>
      </c>
      <c r="M42" s="15">
        <f t="shared" ref="M42:M68" si="7">COUNTIF(B42:H42,"confirmed")</f>
        <v>3</v>
      </c>
      <c r="N42" s="15">
        <f t="shared" ref="N42:N68" si="8">COUNTIF(B42:H42,"standby")</f>
        <v>0</v>
      </c>
      <c r="O42" s="16">
        <f t="shared" ref="O42:O68" si="9">COUNTIF(B42:H42,"out")</f>
        <v>0</v>
      </c>
      <c r="Q42"/>
      <c r="R42"/>
    </row>
    <row r="43" spans="1:18" ht="15" customHeight="1">
      <c r="A43" s="9" t="str">
        <f>'Members Data'!A35</f>
        <v>Zerobabe</v>
      </c>
      <c r="B43" s="232" t="s">
        <v>53</v>
      </c>
      <c r="C43" s="235"/>
      <c r="D43" s="200" t="s">
        <v>53</v>
      </c>
      <c r="E43" s="200"/>
      <c r="F43" s="200"/>
      <c r="G43" s="200"/>
      <c r="H43" s="201"/>
      <c r="I43" s="70">
        <f t="array" ref="I43">SUM(($B43:$H43="confirmed")*($B$4:$H$4=25))</f>
        <v>2</v>
      </c>
      <c r="J43" s="43">
        <f t="array" ref="J43">SUM(($B43:$H43="standby")*($B$4:$H$4=25))</f>
        <v>0</v>
      </c>
      <c r="K43" s="43">
        <f t="array" ref="K43">SUM(($B43:$H43="confirmed")*($B$4:$H$4=10))</f>
        <v>0</v>
      </c>
      <c r="L43" s="43">
        <f t="array" ref="L43">SUM(($B43:$H43="standby")*($B$4:$H$4=10))</f>
        <v>0</v>
      </c>
      <c r="M43" s="15">
        <f t="shared" si="7"/>
        <v>2</v>
      </c>
      <c r="N43" s="15">
        <f t="shared" si="8"/>
        <v>0</v>
      </c>
      <c r="O43" s="16">
        <f t="shared" si="9"/>
        <v>0</v>
      </c>
      <c r="Q43"/>
    </row>
    <row r="44" spans="1:18" ht="15" customHeight="1">
      <c r="A44" s="9" t="str">
        <f>'Members Data'!A36</f>
        <v>Zorrg</v>
      </c>
      <c r="B44" s="199" t="s">
        <v>53</v>
      </c>
      <c r="C44" s="235"/>
      <c r="D44" s="199" t="s">
        <v>53</v>
      </c>
      <c r="E44" s="200"/>
      <c r="F44" s="200"/>
      <c r="G44" s="200"/>
      <c r="H44" s="201" t="s">
        <v>53</v>
      </c>
      <c r="I44" s="70">
        <f t="array" ref="I44">SUM(($B44:$H44="confirmed")*($B$4:$H$4=25))</f>
        <v>3</v>
      </c>
      <c r="J44" s="43">
        <f t="array" ref="J44">SUM(($B44:$H44="standby")*($B$4:$H$4=25))</f>
        <v>0</v>
      </c>
      <c r="K44" s="43">
        <f t="array" ref="K44">SUM(($B44:$H44="confirmed")*($B$4:$H$4=10))</f>
        <v>0</v>
      </c>
      <c r="L44" s="43">
        <f t="array" ref="L44">SUM(($B44:$H44="standby")*($B$4:$H$4=10))</f>
        <v>0</v>
      </c>
      <c r="M44" s="15">
        <f t="shared" si="7"/>
        <v>3</v>
      </c>
      <c r="N44" s="15">
        <f t="shared" si="8"/>
        <v>0</v>
      </c>
      <c r="O44" s="16">
        <f t="shared" si="9"/>
        <v>0</v>
      </c>
      <c r="Q44"/>
    </row>
    <row r="45" spans="1:18" ht="15" customHeight="1">
      <c r="A45" s="9" t="str">
        <f>'Members Data'!A37</f>
        <v>Volson</v>
      </c>
      <c r="B45" s="199"/>
      <c r="C45" s="235"/>
      <c r="D45" s="199"/>
      <c r="E45" s="200"/>
      <c r="F45" s="200"/>
      <c r="G45" s="200"/>
      <c r="H45" s="201"/>
      <c r="I45" s="70">
        <f t="array" ref="I45">SUM(($B45:$H45="confirmed")*($B$4:$H$4=25))</f>
        <v>0</v>
      </c>
      <c r="J45" s="43">
        <f t="array" ref="J45">SUM(($B45:$H45="standby")*($B$4:$H$4=25))</f>
        <v>0</v>
      </c>
      <c r="K45" s="43">
        <f t="array" ref="K45">SUM(($B45:$H45="confirmed")*($B$4:$H$4=10))</f>
        <v>0</v>
      </c>
      <c r="L45" s="43">
        <f t="array" ref="L45">SUM(($B45:$H45="standby")*($B$4:$H$4=10))</f>
        <v>0</v>
      </c>
      <c r="M45" s="15">
        <f t="shared" si="7"/>
        <v>0</v>
      </c>
      <c r="N45" s="15">
        <f t="shared" si="8"/>
        <v>0</v>
      </c>
      <c r="O45" s="16">
        <f t="shared" si="9"/>
        <v>0</v>
      </c>
    </row>
    <row r="46" spans="1:18" ht="15" customHeight="1">
      <c r="A46" s="9">
        <f>'Members Data'!A38</f>
        <v>0</v>
      </c>
      <c r="B46" s="232"/>
      <c r="C46" s="235"/>
      <c r="D46" s="199"/>
      <c r="E46" s="200"/>
      <c r="F46" s="200"/>
      <c r="G46" s="200"/>
      <c r="H46" s="201"/>
      <c r="I46" s="70">
        <f t="array" ref="I46">SUM(($B46:$H46="confirmed")*($B$4:$H$4=25))</f>
        <v>0</v>
      </c>
      <c r="J46" s="43">
        <f t="array" ref="J46">SUM(($B46:$H46="standby")*($B$4:$H$4=25))</f>
        <v>0</v>
      </c>
      <c r="K46" s="43">
        <f t="array" ref="K46">SUM(($B46:$H46="confirmed")*($B$4:$H$4=10))</f>
        <v>0</v>
      </c>
      <c r="L46" s="43">
        <f t="array" ref="L46">SUM(($B46:$H46="standby")*($B$4:$H$4=10))</f>
        <v>0</v>
      </c>
      <c r="M46" s="15">
        <f t="shared" si="7"/>
        <v>0</v>
      </c>
      <c r="N46" s="15">
        <f t="shared" si="8"/>
        <v>0</v>
      </c>
      <c r="O46" s="16">
        <f t="shared" si="9"/>
        <v>0</v>
      </c>
    </row>
    <row r="47" spans="1:18" ht="15" customHeight="1">
      <c r="A47" s="9">
        <f>'Members Data'!A39</f>
        <v>0</v>
      </c>
      <c r="B47" s="232"/>
      <c r="C47" s="235"/>
      <c r="D47" s="199"/>
      <c r="E47" s="200"/>
      <c r="F47" s="200"/>
      <c r="G47" s="200"/>
      <c r="H47" s="201"/>
      <c r="I47" s="70">
        <f t="array" ref="I47">SUM(($B47:$H47="confirmed")*($B$4:$H$4=25))</f>
        <v>0</v>
      </c>
      <c r="J47" s="43">
        <f t="array" ref="J47">SUM(($B47:$H47="standby")*($B$4:$H$4=25))</f>
        <v>0</v>
      </c>
      <c r="K47" s="43">
        <f t="array" ref="K47">SUM(($B47:$H47="confirmed")*($B$4:$H$4=10))</f>
        <v>0</v>
      </c>
      <c r="L47" s="43">
        <f t="array" ref="L47">SUM(($B47:$H47="standby")*($B$4:$H$4=10))</f>
        <v>0</v>
      </c>
      <c r="M47" s="15">
        <f t="shared" si="7"/>
        <v>0</v>
      </c>
      <c r="N47" s="15">
        <f t="shared" si="8"/>
        <v>0</v>
      </c>
      <c r="O47" s="16">
        <f t="shared" si="9"/>
        <v>0</v>
      </c>
    </row>
    <row r="48" spans="1:18" ht="15" customHeight="1">
      <c r="A48" s="9">
        <f>'Members Data'!A40</f>
        <v>0</v>
      </c>
      <c r="B48" s="199"/>
      <c r="C48" s="234"/>
      <c r="D48" s="200"/>
      <c r="E48" s="200"/>
      <c r="F48" s="200"/>
      <c r="G48" s="200"/>
      <c r="H48" s="201"/>
      <c r="I48" s="70">
        <f t="array" ref="I48">SUM(($B48:$H48="confirmed")*($B$4:$H$4=25))</f>
        <v>0</v>
      </c>
      <c r="J48" s="43">
        <f t="array" ref="J48">SUM(($B48:$H48="standby")*($B$4:$H$4=25))</f>
        <v>0</v>
      </c>
      <c r="K48" s="43">
        <f t="array" ref="K48">SUM(($B48:$H48="confirmed")*($B$4:$H$4=10))</f>
        <v>0</v>
      </c>
      <c r="L48" s="43">
        <f t="array" ref="L48">SUM(($B48:$H48="standby")*($B$4:$H$4=10))</f>
        <v>0</v>
      </c>
      <c r="M48" s="15">
        <f t="shared" si="7"/>
        <v>0</v>
      </c>
      <c r="N48" s="15">
        <f t="shared" si="8"/>
        <v>0</v>
      </c>
      <c r="O48" s="16">
        <f t="shared" si="9"/>
        <v>0</v>
      </c>
    </row>
    <row r="49" spans="1:15" ht="15" customHeight="1">
      <c r="A49" s="9">
        <f>'Members Data'!A41</f>
        <v>0</v>
      </c>
      <c r="B49" s="199"/>
      <c r="C49" s="200"/>
      <c r="D49" s="200"/>
      <c r="E49" s="200"/>
      <c r="F49" s="200"/>
      <c r="G49" s="200"/>
      <c r="H49" s="201"/>
      <c r="I49" s="70">
        <f t="array" ref="I49">SUM(($B49:$H49="confirmed")*($B$4:$H$4=25))</f>
        <v>0</v>
      </c>
      <c r="J49" s="43">
        <f t="array" ref="J49">SUM(($B49:$H49="standby")*($B$4:$H$4=25))</f>
        <v>0</v>
      </c>
      <c r="K49" s="43">
        <f t="array" ref="K49">SUM(($B49:$H49="confirmed")*($B$4:$H$4=10))</f>
        <v>0</v>
      </c>
      <c r="L49" s="43">
        <f t="array" ref="L49">SUM(($B49:$H49="standby")*($B$4:$H$4=10))</f>
        <v>0</v>
      </c>
      <c r="M49" s="15">
        <f t="shared" si="7"/>
        <v>0</v>
      </c>
      <c r="N49" s="15">
        <f t="shared" si="8"/>
        <v>0</v>
      </c>
      <c r="O49" s="16">
        <f t="shared" si="9"/>
        <v>0</v>
      </c>
    </row>
    <row r="50" spans="1:15" ht="15" customHeight="1">
      <c r="A50" s="9">
        <f>'Members Data'!A42</f>
        <v>0</v>
      </c>
      <c r="B50" s="199"/>
      <c r="C50" s="200"/>
      <c r="D50" s="200"/>
      <c r="E50" s="200"/>
      <c r="F50" s="200"/>
      <c r="G50" s="200"/>
      <c r="H50" s="201"/>
      <c r="I50" s="70">
        <f t="array" ref="I50">SUM(($B50:$H50="confirmed")*($B$4:$H$4=25))</f>
        <v>0</v>
      </c>
      <c r="J50" s="43">
        <f t="array" ref="J50">SUM(($B50:$H50="standby")*($B$4:$H$4=25))</f>
        <v>0</v>
      </c>
      <c r="K50" s="43">
        <f t="array" ref="K50">SUM(($B50:$H50="confirmed")*($B$4:$H$4=10))</f>
        <v>0</v>
      </c>
      <c r="L50" s="43">
        <f t="array" ref="L50">SUM(($B50:$H50="standby")*($B$4:$H$4=10))</f>
        <v>0</v>
      </c>
      <c r="M50" s="15">
        <f t="shared" si="7"/>
        <v>0</v>
      </c>
      <c r="N50" s="15">
        <f t="shared" si="8"/>
        <v>0</v>
      </c>
      <c r="O50" s="16">
        <f t="shared" si="9"/>
        <v>0</v>
      </c>
    </row>
    <row r="51" spans="1:15" ht="15" customHeight="1">
      <c r="A51" s="9">
        <f>'Members Data'!A43</f>
        <v>0</v>
      </c>
      <c r="B51" s="199"/>
      <c r="C51" s="200"/>
      <c r="D51" s="200"/>
      <c r="E51" s="200"/>
      <c r="F51" s="200"/>
      <c r="G51" s="200"/>
      <c r="H51" s="201"/>
      <c r="I51" s="70">
        <f t="array" ref="I51">SUM(($B51:$H51="confirmed")*($B$4:$H$4=25))</f>
        <v>0</v>
      </c>
      <c r="J51" s="43">
        <f t="array" ref="J51">SUM(($B51:$H51="standby")*($B$4:$H$4=25))</f>
        <v>0</v>
      </c>
      <c r="K51" s="43">
        <f t="array" ref="K51">SUM(($B51:$H51="confirmed")*($B$4:$H$4=10))</f>
        <v>0</v>
      </c>
      <c r="L51" s="43">
        <f t="array" ref="L51">SUM(($B51:$H51="standby")*($B$4:$H$4=10))</f>
        <v>0</v>
      </c>
      <c r="M51" s="15">
        <f t="shared" si="7"/>
        <v>0</v>
      </c>
      <c r="N51" s="15">
        <f t="shared" si="8"/>
        <v>0</v>
      </c>
      <c r="O51" s="16">
        <f t="shared" si="9"/>
        <v>0</v>
      </c>
    </row>
    <row r="52" spans="1:15" ht="15" customHeight="1">
      <c r="A52" s="9">
        <f>'Members Data'!A44</f>
        <v>0</v>
      </c>
      <c r="B52" s="199"/>
      <c r="C52" s="200"/>
      <c r="D52" s="200"/>
      <c r="E52" s="200"/>
      <c r="F52" s="200"/>
      <c r="G52" s="200"/>
      <c r="H52" s="201"/>
      <c r="I52" s="70">
        <f t="array" ref="I52">SUM(($B52:$H52="confirmed")*($B$4:$H$4=25))</f>
        <v>0</v>
      </c>
      <c r="J52" s="43">
        <f t="array" ref="J52">SUM(($B52:$H52="standby")*($B$4:$H$4=25))</f>
        <v>0</v>
      </c>
      <c r="K52" s="43">
        <f t="array" ref="K52">SUM(($B52:$H52="confirmed")*($B$4:$H$4=10))</f>
        <v>0</v>
      </c>
      <c r="L52" s="43">
        <f t="array" ref="L52">SUM(($B52:$H52="standby")*($B$4:$H$4=10))</f>
        <v>0</v>
      </c>
      <c r="M52" s="15">
        <f t="shared" si="7"/>
        <v>0</v>
      </c>
      <c r="N52" s="15">
        <f t="shared" si="8"/>
        <v>0</v>
      </c>
      <c r="O52" s="16">
        <f t="shared" si="9"/>
        <v>0</v>
      </c>
    </row>
    <row r="53" spans="1:15" ht="15" customHeight="1">
      <c r="A53" s="9">
        <f>'Members Data'!A45</f>
        <v>0</v>
      </c>
      <c r="B53" s="199"/>
      <c r="C53" s="200"/>
      <c r="D53" s="200"/>
      <c r="E53" s="200"/>
      <c r="F53" s="200"/>
      <c r="G53" s="200"/>
      <c r="H53" s="201"/>
      <c r="I53" s="70">
        <f t="array" ref="I53">SUM(($B53:$H53="confirmed")*($B$4:$H$4=25))</f>
        <v>0</v>
      </c>
      <c r="J53" s="43">
        <f t="array" ref="J53">SUM(($B53:$H53="standby")*($B$4:$H$4=25))</f>
        <v>0</v>
      </c>
      <c r="K53" s="43">
        <f t="array" ref="K53">SUM(($B53:$H53="confirmed")*($B$4:$H$4=10))</f>
        <v>0</v>
      </c>
      <c r="L53" s="43">
        <f t="array" ref="L53">SUM(($B53:$H53="standby")*($B$4:$H$4=10))</f>
        <v>0</v>
      </c>
      <c r="M53" s="15">
        <f t="shared" si="7"/>
        <v>0</v>
      </c>
      <c r="N53" s="15">
        <f t="shared" si="8"/>
        <v>0</v>
      </c>
      <c r="O53" s="16">
        <f t="shared" si="9"/>
        <v>0</v>
      </c>
    </row>
    <row r="54" spans="1:15" ht="15" customHeight="1">
      <c r="A54" s="9">
        <f>'Members Data'!A46</f>
        <v>0</v>
      </c>
      <c r="B54" s="199"/>
      <c r="C54" s="200"/>
      <c r="D54" s="200"/>
      <c r="E54" s="200"/>
      <c r="F54" s="200"/>
      <c r="G54" s="200"/>
      <c r="H54" s="201"/>
      <c r="I54" s="70">
        <f t="array" ref="I54">SUM(($B54:$H54="confirmed")*($B$4:$H$4=25))</f>
        <v>0</v>
      </c>
      <c r="J54" s="43">
        <f t="array" ref="J54">SUM(($B54:$H54="standby")*($B$4:$H$4=25))</f>
        <v>0</v>
      </c>
      <c r="K54" s="43">
        <f t="array" ref="K54">SUM(($B54:$H54="confirmed")*($B$4:$H$4=10))</f>
        <v>0</v>
      </c>
      <c r="L54" s="43">
        <f t="array" ref="L54">SUM(($B54:$H54="standby")*($B$4:$H$4=10))</f>
        <v>0</v>
      </c>
      <c r="M54" s="15">
        <f t="shared" si="7"/>
        <v>0</v>
      </c>
      <c r="N54" s="15">
        <f t="shared" si="8"/>
        <v>0</v>
      </c>
      <c r="O54" s="16">
        <f t="shared" si="9"/>
        <v>0</v>
      </c>
    </row>
    <row r="55" spans="1:15" ht="15" customHeight="1">
      <c r="A55" s="9">
        <f>'Members Data'!A47</f>
        <v>0</v>
      </c>
      <c r="B55" s="199"/>
      <c r="C55" s="200"/>
      <c r="D55" s="200"/>
      <c r="E55" s="200"/>
      <c r="F55" s="200"/>
      <c r="G55" s="200"/>
      <c r="H55" s="201"/>
      <c r="I55" s="70">
        <f t="array" ref="I55">SUM(($B55:$H55="confirmed")*($B$4:$H$4=25))</f>
        <v>0</v>
      </c>
      <c r="J55" s="43">
        <f t="array" ref="J55">SUM(($B55:$H55="standby")*($B$4:$H$4=25))</f>
        <v>0</v>
      </c>
      <c r="K55" s="43">
        <f t="array" ref="K55">SUM(($B55:$H55="confirmed")*($B$4:$H$4=10))</f>
        <v>0</v>
      </c>
      <c r="L55" s="43">
        <f t="array" ref="L55">SUM(($B55:$H55="standby")*($B$4:$H$4=10))</f>
        <v>0</v>
      </c>
      <c r="M55" s="15">
        <f t="shared" si="7"/>
        <v>0</v>
      </c>
      <c r="N55" s="15">
        <f t="shared" si="8"/>
        <v>0</v>
      </c>
      <c r="O55" s="16">
        <f t="shared" si="9"/>
        <v>0</v>
      </c>
    </row>
    <row r="56" spans="1:15" ht="15" customHeight="1">
      <c r="A56" s="9">
        <f>'Members Data'!A48</f>
        <v>0</v>
      </c>
      <c r="B56" s="199"/>
      <c r="C56" s="200"/>
      <c r="D56" s="200"/>
      <c r="E56" s="200"/>
      <c r="F56" s="200"/>
      <c r="G56" s="200"/>
      <c r="H56" s="201"/>
      <c r="I56" s="70">
        <f t="array" ref="I56">SUM(($B56:$H56="confirmed")*($B$4:$H$4=25))</f>
        <v>0</v>
      </c>
      <c r="J56" s="43">
        <f t="array" ref="J56">SUM(($B56:$H56="standby")*($B$4:$H$4=25))</f>
        <v>0</v>
      </c>
      <c r="K56" s="43">
        <f t="array" ref="K56">SUM(($B56:$H56="confirmed")*($B$4:$H$4=10))</f>
        <v>0</v>
      </c>
      <c r="L56" s="43">
        <f t="array" ref="L56">SUM(($B56:$H56="standby")*($B$4:$H$4=10))</f>
        <v>0</v>
      </c>
      <c r="M56" s="15">
        <f t="shared" si="7"/>
        <v>0</v>
      </c>
      <c r="N56" s="15">
        <f t="shared" si="8"/>
        <v>0</v>
      </c>
      <c r="O56" s="16">
        <f t="shared" si="9"/>
        <v>0</v>
      </c>
    </row>
    <row r="57" spans="1:15" ht="15" customHeight="1">
      <c r="A57" s="9">
        <f>'Members Data'!A49</f>
        <v>0</v>
      </c>
      <c r="B57" s="199"/>
      <c r="C57" s="200"/>
      <c r="D57" s="200"/>
      <c r="E57" s="200"/>
      <c r="F57" s="200"/>
      <c r="G57" s="200"/>
      <c r="H57" s="201"/>
      <c r="I57" s="70">
        <f t="array" ref="I57">SUM(($B57:$H57="confirmed")*($B$4:$H$4=25))</f>
        <v>0</v>
      </c>
      <c r="J57" s="43">
        <f t="array" ref="J57">SUM(($B57:$H57="standby")*($B$4:$H$4=25))</f>
        <v>0</v>
      </c>
      <c r="K57" s="43">
        <f t="array" ref="K57">SUM(($B57:$H57="confirmed")*($B$4:$H$4=10))</f>
        <v>0</v>
      </c>
      <c r="L57" s="43">
        <f t="array" ref="L57">SUM(($B57:$H57="standby")*($B$4:$H$4=10))</f>
        <v>0</v>
      </c>
      <c r="M57" s="15">
        <f t="shared" si="7"/>
        <v>0</v>
      </c>
      <c r="N57" s="15">
        <f t="shared" si="8"/>
        <v>0</v>
      </c>
      <c r="O57" s="16">
        <f t="shared" si="9"/>
        <v>0</v>
      </c>
    </row>
    <row r="58" spans="1:15" ht="15" customHeight="1">
      <c r="A58" s="9">
        <f>'Members Data'!A50</f>
        <v>0</v>
      </c>
      <c r="B58" s="199"/>
      <c r="C58" s="200"/>
      <c r="D58" s="200"/>
      <c r="E58" s="200"/>
      <c r="F58" s="200"/>
      <c r="G58" s="200"/>
      <c r="H58" s="201"/>
      <c r="I58" s="70">
        <f t="array" ref="I58">SUM(($B58:$H58="confirmed")*($B$4:$H$4=25))</f>
        <v>0</v>
      </c>
      <c r="J58" s="43">
        <f t="array" ref="J58">SUM(($B58:$H58="standby")*($B$4:$H$4=25))</f>
        <v>0</v>
      </c>
      <c r="K58" s="43">
        <f t="array" ref="K58">SUM(($B58:$H58="confirmed")*($B$4:$H$4=10))</f>
        <v>0</v>
      </c>
      <c r="L58" s="43">
        <f t="array" ref="L58">SUM(($B58:$H58="standby")*($B$4:$H$4=10))</f>
        <v>0</v>
      </c>
      <c r="M58" s="15">
        <f t="shared" si="7"/>
        <v>0</v>
      </c>
      <c r="N58" s="15">
        <f t="shared" si="8"/>
        <v>0</v>
      </c>
      <c r="O58" s="16">
        <f t="shared" si="9"/>
        <v>0</v>
      </c>
    </row>
    <row r="59" spans="1:15" ht="15" customHeight="1">
      <c r="A59" s="9">
        <f>'Members Data'!A51</f>
        <v>0</v>
      </c>
      <c r="B59" s="199"/>
      <c r="C59" s="200"/>
      <c r="D59" s="200"/>
      <c r="E59" s="200"/>
      <c r="F59" s="200"/>
      <c r="G59" s="200"/>
      <c r="H59" s="201"/>
      <c r="I59" s="70">
        <f t="array" ref="I59">SUM(($B59:$H59="confirmed")*($B$4:$H$4=25))</f>
        <v>0</v>
      </c>
      <c r="J59" s="43">
        <f t="array" ref="J59">SUM(($B59:$H59="standby")*($B$4:$H$4=25))</f>
        <v>0</v>
      </c>
      <c r="K59" s="43">
        <f t="array" ref="K59">SUM(($B59:$H59="confirmed")*($B$4:$H$4=10))</f>
        <v>0</v>
      </c>
      <c r="L59" s="43">
        <f t="array" ref="L59">SUM(($B59:$H59="standby")*($B$4:$H$4=10))</f>
        <v>0</v>
      </c>
      <c r="M59" s="15">
        <f t="shared" si="7"/>
        <v>0</v>
      </c>
      <c r="N59" s="15">
        <f t="shared" si="8"/>
        <v>0</v>
      </c>
      <c r="O59" s="16">
        <f t="shared" si="9"/>
        <v>0</v>
      </c>
    </row>
    <row r="60" spans="1:15" ht="15" customHeight="1">
      <c r="A60" s="9">
        <f>'Members Data'!A52</f>
        <v>0</v>
      </c>
      <c r="B60" s="199"/>
      <c r="C60" s="200"/>
      <c r="D60" s="200"/>
      <c r="E60" s="200"/>
      <c r="F60" s="200"/>
      <c r="G60" s="200"/>
      <c r="H60" s="201"/>
      <c r="I60" s="70">
        <f t="array" ref="I60">SUM(($B60:$H60="confirmed")*($B$4:$H$4=25))</f>
        <v>0</v>
      </c>
      <c r="J60" s="43">
        <f t="array" ref="J60">SUM(($B60:$H60="standby")*($B$4:$H$4=25))</f>
        <v>0</v>
      </c>
      <c r="K60" s="43">
        <f t="array" ref="K60">SUM(($B60:$H60="confirmed")*($B$4:$H$4=10))</f>
        <v>0</v>
      </c>
      <c r="L60" s="43">
        <f t="array" ref="L60">SUM(($B60:$H60="standby")*($B$4:$H$4=10))</f>
        <v>0</v>
      </c>
      <c r="M60" s="15">
        <f t="shared" si="7"/>
        <v>0</v>
      </c>
      <c r="N60" s="15">
        <f t="shared" si="8"/>
        <v>0</v>
      </c>
      <c r="O60" s="16">
        <f t="shared" si="9"/>
        <v>0</v>
      </c>
    </row>
    <row r="61" spans="1:15" ht="15" customHeight="1">
      <c r="A61" s="9">
        <f>'Members Data'!A53</f>
        <v>0</v>
      </c>
      <c r="B61" s="199"/>
      <c r="C61" s="200"/>
      <c r="D61" s="200"/>
      <c r="E61" s="200"/>
      <c r="F61" s="200"/>
      <c r="G61" s="200"/>
      <c r="H61" s="201"/>
      <c r="I61" s="70">
        <f t="array" ref="I61">SUM(($B61:$H61="confirmed")*($B$4:$H$4=25))</f>
        <v>0</v>
      </c>
      <c r="J61" s="43">
        <f t="array" ref="J61">SUM(($B61:$H61="standby")*($B$4:$H$4=25))</f>
        <v>0</v>
      </c>
      <c r="K61" s="43">
        <f t="array" ref="K61">SUM(($B61:$H61="confirmed")*($B$4:$H$4=10))</f>
        <v>0</v>
      </c>
      <c r="L61" s="43">
        <f t="array" ref="L61">SUM(($B61:$H61="standby")*($B$4:$H$4=10))</f>
        <v>0</v>
      </c>
      <c r="M61" s="15">
        <f t="shared" si="7"/>
        <v>0</v>
      </c>
      <c r="N61" s="15">
        <f t="shared" si="8"/>
        <v>0</v>
      </c>
      <c r="O61" s="16">
        <f t="shared" si="9"/>
        <v>0</v>
      </c>
    </row>
    <row r="62" spans="1:15" ht="15" customHeight="1">
      <c r="A62" s="9">
        <f>'Members Data'!A54</f>
        <v>0</v>
      </c>
      <c r="B62" s="199"/>
      <c r="C62" s="200"/>
      <c r="D62" s="200"/>
      <c r="E62" s="200"/>
      <c r="F62" s="200"/>
      <c r="G62" s="200"/>
      <c r="H62" s="201"/>
      <c r="I62" s="70">
        <f t="array" ref="I62">SUM(($B62:$H62="confirmed")*($B$4:$H$4=25))</f>
        <v>0</v>
      </c>
      <c r="J62" s="43">
        <f t="array" ref="J62">SUM(($B62:$H62="standby")*($B$4:$H$4=25))</f>
        <v>0</v>
      </c>
      <c r="K62" s="43">
        <f t="array" ref="K62">SUM(($B62:$H62="confirmed")*($B$4:$H$4=10))</f>
        <v>0</v>
      </c>
      <c r="L62" s="43">
        <f t="array" ref="L62">SUM(($B62:$H62="standby")*($B$4:$H$4=10))</f>
        <v>0</v>
      </c>
      <c r="M62" s="15">
        <f t="shared" si="7"/>
        <v>0</v>
      </c>
      <c r="N62" s="15">
        <f t="shared" si="8"/>
        <v>0</v>
      </c>
      <c r="O62" s="16">
        <f t="shared" si="9"/>
        <v>0</v>
      </c>
    </row>
    <row r="63" spans="1:15" ht="15" customHeight="1">
      <c r="A63" s="9">
        <f>'Members Data'!A55</f>
        <v>0</v>
      </c>
      <c r="B63" s="199"/>
      <c r="C63" s="200"/>
      <c r="D63" s="200"/>
      <c r="E63" s="200"/>
      <c r="F63" s="200"/>
      <c r="G63" s="200"/>
      <c r="H63" s="201"/>
      <c r="I63" s="70">
        <f t="array" ref="I63">SUM(($B63:$H63="confirmed")*($B$4:$H$4=25))</f>
        <v>0</v>
      </c>
      <c r="J63" s="43">
        <f t="array" ref="J63">SUM(($B63:$H63="standby")*($B$4:$H$4=25))</f>
        <v>0</v>
      </c>
      <c r="K63" s="43">
        <f t="array" ref="K63">SUM(($B63:$H63="confirmed")*($B$4:$H$4=10))</f>
        <v>0</v>
      </c>
      <c r="L63" s="43">
        <f t="array" ref="L63">SUM(($B63:$H63="standby")*($B$4:$H$4=10))</f>
        <v>0</v>
      </c>
      <c r="M63" s="15">
        <f t="shared" si="7"/>
        <v>0</v>
      </c>
      <c r="N63" s="15">
        <f t="shared" si="8"/>
        <v>0</v>
      </c>
      <c r="O63" s="16">
        <f t="shared" si="9"/>
        <v>0</v>
      </c>
    </row>
    <row r="64" spans="1:15" ht="15" customHeight="1">
      <c r="A64" s="9">
        <f>'Members Data'!A56</f>
        <v>0</v>
      </c>
      <c r="B64" s="199"/>
      <c r="C64" s="200"/>
      <c r="D64" s="200"/>
      <c r="E64" s="200"/>
      <c r="F64" s="200"/>
      <c r="G64" s="200"/>
      <c r="H64" s="201"/>
      <c r="I64" s="70">
        <f t="array" ref="I64">SUM(($B64:$H64="confirmed")*($B$4:$H$4=25))</f>
        <v>0</v>
      </c>
      <c r="J64" s="43">
        <f t="array" ref="J64">SUM(($B64:$H64="standby")*($B$4:$H$4=25))</f>
        <v>0</v>
      </c>
      <c r="K64" s="43">
        <f t="array" ref="K64">SUM(($B64:$H64="confirmed")*($B$4:$H$4=10))</f>
        <v>0</v>
      </c>
      <c r="L64" s="43">
        <f t="array" ref="L64">SUM(($B64:$H64="standby")*($B$4:$H$4=10))</f>
        <v>0</v>
      </c>
      <c r="M64" s="15">
        <f t="shared" si="7"/>
        <v>0</v>
      </c>
      <c r="N64" s="15">
        <f t="shared" si="8"/>
        <v>0</v>
      </c>
      <c r="O64" s="16">
        <f t="shared" si="9"/>
        <v>0</v>
      </c>
    </row>
    <row r="65" spans="1:15" ht="15" customHeight="1">
      <c r="A65" s="9">
        <f>'Members Data'!A57</f>
        <v>0</v>
      </c>
      <c r="B65" s="203"/>
      <c r="C65" s="200"/>
      <c r="D65" s="200"/>
      <c r="E65" s="200"/>
      <c r="F65" s="200"/>
      <c r="G65" s="200"/>
      <c r="H65" s="201"/>
      <c r="I65" s="70">
        <f t="array" ref="I65">SUM(($B65:$H65="confirmed")*($B$4:$H$4=25))</f>
        <v>0</v>
      </c>
      <c r="J65" s="43">
        <f t="array" ref="J65">SUM(($B65:$H65="standby")*($B$4:$H$4=25))</f>
        <v>0</v>
      </c>
      <c r="K65" s="43">
        <f t="array" ref="K65">SUM(($B65:$H65="confirmed")*($B$4:$H$4=10))</f>
        <v>0</v>
      </c>
      <c r="L65" s="43">
        <f t="array" ref="L65">SUM(($B65:$H65="standby")*($B$4:$H$4=10))</f>
        <v>0</v>
      </c>
      <c r="M65" s="15">
        <f t="shared" si="7"/>
        <v>0</v>
      </c>
      <c r="N65" s="15">
        <f t="shared" si="8"/>
        <v>0</v>
      </c>
      <c r="O65" s="16">
        <f t="shared" si="9"/>
        <v>0</v>
      </c>
    </row>
    <row r="66" spans="1:15" ht="15" customHeight="1">
      <c r="A66" s="75">
        <f>'Members Data'!A58</f>
        <v>0</v>
      </c>
      <c r="B66" s="203"/>
      <c r="C66" s="200"/>
      <c r="D66" s="200"/>
      <c r="E66" s="200"/>
      <c r="F66" s="200"/>
      <c r="G66" s="200"/>
      <c r="H66" s="201"/>
      <c r="I66" s="70">
        <f t="array" ref="I66">SUM(($B66:$H66="confirmed")*($B$4:$H$4=25))</f>
        <v>0</v>
      </c>
      <c r="J66" s="43">
        <f t="array" ref="J66">SUM(($B66:$H66="standby")*($B$4:$H$4=25))</f>
        <v>0</v>
      </c>
      <c r="K66" s="43">
        <f t="array" ref="K66">SUM(($B66:$H66="confirmed")*($B$4:$H$4=10))</f>
        <v>0</v>
      </c>
      <c r="L66" s="43">
        <f t="array" ref="L66">SUM(($B66:$H66="standby")*($B$4:$H$4=10))</f>
        <v>0</v>
      </c>
      <c r="M66" s="15">
        <f>COUNTIF(B66:H66,"confirmed")</f>
        <v>0</v>
      </c>
      <c r="N66" s="15">
        <f>COUNTIF(B66:H66,"standby")</f>
        <v>0</v>
      </c>
      <c r="O66" s="16">
        <f>COUNTIF(B66:H66,"out")</f>
        <v>0</v>
      </c>
    </row>
    <row r="67" spans="1:15" ht="15" customHeight="1">
      <c r="A67" s="75">
        <f>'Members Data'!A59</f>
        <v>0</v>
      </c>
      <c r="B67" s="203"/>
      <c r="C67" s="200"/>
      <c r="D67" s="200"/>
      <c r="E67" s="200"/>
      <c r="F67" s="200"/>
      <c r="G67" s="200"/>
      <c r="H67" s="204"/>
      <c r="I67" s="70">
        <f t="array" ref="I67">SUM(($B67:$H67="confirmed")*($B$4:$H$4=25))</f>
        <v>0</v>
      </c>
      <c r="J67" s="43">
        <f t="array" ref="J67">SUM(($B67:$H67="standby")*($B$4:$H$4=25))</f>
        <v>0</v>
      </c>
      <c r="K67" s="43">
        <f t="array" ref="K67">SUM(($B67:$H67="confirmed")*($B$4:$H$4=10))</f>
        <v>0</v>
      </c>
      <c r="L67" s="43">
        <f t="array" ref="L67">SUM(($B67:$H67="standby")*($B$4:$H$4=10))</f>
        <v>0</v>
      </c>
      <c r="M67" s="72">
        <f t="shared" si="7"/>
        <v>0</v>
      </c>
      <c r="N67" s="72">
        <f t="shared" si="8"/>
        <v>0</v>
      </c>
      <c r="O67" s="73">
        <f t="shared" si="9"/>
        <v>0</v>
      </c>
    </row>
    <row r="68" spans="1:15" ht="15" customHeight="1">
      <c r="A68" s="75">
        <f>'Members Data'!A60</f>
        <v>0</v>
      </c>
      <c r="B68" s="199"/>
      <c r="C68" s="200"/>
      <c r="D68" s="200"/>
      <c r="E68" s="200"/>
      <c r="F68" s="200"/>
      <c r="G68" s="200"/>
      <c r="H68" s="204"/>
      <c r="I68" s="70">
        <f t="array" ref="I68">SUM(($B68:$H68="confirmed")*($B$4:$H$4=25))</f>
        <v>0</v>
      </c>
      <c r="J68" s="43">
        <f t="array" ref="J68">SUM(($B68:$H68="standby")*($B$4:$H$4=25))</f>
        <v>0</v>
      </c>
      <c r="K68" s="43">
        <f t="array" ref="K68">SUM(($B68:$H68="confirmed")*($B$4:$H$4=10))</f>
        <v>0</v>
      </c>
      <c r="L68" s="43">
        <f t="array" ref="L68">SUM(($B68:$H68="standby")*($B$4:$H$4=10))</f>
        <v>0</v>
      </c>
      <c r="M68" s="72">
        <f t="shared" si="7"/>
        <v>0</v>
      </c>
      <c r="N68" s="72">
        <f t="shared" si="8"/>
        <v>0</v>
      </c>
      <c r="O68" s="73">
        <f t="shared" si="9"/>
        <v>0</v>
      </c>
    </row>
    <row r="69" spans="1:15" ht="15" customHeight="1" thickBot="1">
      <c r="A69" s="130">
        <f>'Members Data'!A61</f>
        <v>0</v>
      </c>
      <c r="B69" s="205"/>
      <c r="C69" s="206"/>
      <c r="D69" s="206"/>
      <c r="E69" s="206"/>
      <c r="F69" s="206"/>
      <c r="G69" s="206"/>
      <c r="H69" s="207"/>
      <c r="I69" s="152">
        <f t="array" ref="I69">SUM(($B69:$H69="confirmed")*($B$4:$H$4=25))</f>
        <v>0</v>
      </c>
      <c r="J69" s="145">
        <f t="array" ref="J69">SUM(($B69:$H69="standby")*($B$4:$H$4=25))</f>
        <v>0</v>
      </c>
      <c r="K69" s="145">
        <f t="array" ref="K69">SUM(($B69:$H69="confirmed")*($B$4:$H$4=10))</f>
        <v>0</v>
      </c>
      <c r="L69" s="145">
        <f t="array" ref="L69">SUM(($B69:$H69="standby")*($B$4:$H$4=10))</f>
        <v>0</v>
      </c>
      <c r="M69" s="131">
        <f t="shared" ref="M69:M108" si="10">COUNTIF(B69:H69,"confirmed")</f>
        <v>0</v>
      </c>
      <c r="N69" s="131">
        <f t="shared" ref="N69:N108" si="11">COUNTIF(B69:H69,"standby")</f>
        <v>0</v>
      </c>
      <c r="O69" s="132">
        <f t="shared" ref="O69:O108" si="12">COUNTIF(B69:H69,"out")</f>
        <v>0</v>
      </c>
    </row>
    <row r="70" spans="1:15" ht="15" customHeight="1" thickTop="1">
      <c r="A70" s="74" t="str">
        <f>'Members Data'!A62</f>
        <v>Kristofix</v>
      </c>
      <c r="B70" s="199"/>
      <c r="C70" s="233"/>
      <c r="D70" s="200"/>
      <c r="E70" s="200"/>
      <c r="F70" s="200"/>
      <c r="G70" s="200"/>
      <c r="H70" s="201"/>
      <c r="I70" s="226">
        <f t="array" ref="I70">SUM(($B70:$H70="confirmed")*($B$4:$H$4=25))</f>
        <v>0</v>
      </c>
      <c r="J70" s="227">
        <f t="array" ref="J70">SUM(($B70:$H70="standby")*($B$4:$H$4=25))</f>
        <v>0</v>
      </c>
      <c r="K70" s="227">
        <f t="array" ref="K70">SUM(($B70:$H70="confirmed")*($B$4:$H$4=10))</f>
        <v>0</v>
      </c>
      <c r="L70" s="227">
        <f t="array" ref="L70">SUM(($B70:$H70="standby")*($B$4:$H$4=10))</f>
        <v>0</v>
      </c>
      <c r="M70" s="128">
        <f t="shared" si="10"/>
        <v>0</v>
      </c>
      <c r="N70" s="128">
        <f t="shared" si="11"/>
        <v>0</v>
      </c>
      <c r="O70" s="129">
        <f t="shared" si="12"/>
        <v>0</v>
      </c>
    </row>
    <row r="71" spans="1:15" ht="15" customHeight="1">
      <c r="A71" s="75" t="str">
        <f>'Members Data'!A63</f>
        <v>Nazgol</v>
      </c>
      <c r="B71" s="232"/>
      <c r="C71" s="235"/>
      <c r="D71" s="199"/>
      <c r="E71" s="200"/>
      <c r="F71" s="200"/>
      <c r="G71" s="200"/>
      <c r="H71" s="201"/>
      <c r="I71" s="70">
        <f t="array" ref="I71">SUM(($B71:$H71="confirmed")*($B$4:$H$4=25))</f>
        <v>0</v>
      </c>
      <c r="J71" s="43">
        <f t="array" ref="J71">SUM(($B71:$H71="standby")*($B$4:$H$4=25))</f>
        <v>0</v>
      </c>
      <c r="K71" s="43">
        <f t="array" ref="K71">SUM(($B71:$H71="confirmed")*($B$4:$H$4=10))</f>
        <v>0</v>
      </c>
      <c r="L71" s="43">
        <f t="array" ref="L71">SUM(($B71:$H71="standby")*($B$4:$H$4=10))</f>
        <v>0</v>
      </c>
      <c r="M71" s="72">
        <f t="shared" si="10"/>
        <v>0</v>
      </c>
      <c r="N71" s="72">
        <f t="shared" si="11"/>
        <v>0</v>
      </c>
      <c r="O71" s="73">
        <f t="shared" si="12"/>
        <v>0</v>
      </c>
    </row>
    <row r="72" spans="1:15" ht="15" customHeight="1">
      <c r="A72" s="75" t="str">
        <f>'Members Data'!A64</f>
        <v>Icewinde</v>
      </c>
      <c r="B72" s="199"/>
      <c r="C72" s="234"/>
      <c r="D72" s="200"/>
      <c r="E72" s="200"/>
      <c r="F72" s="200"/>
      <c r="G72" s="200"/>
      <c r="H72" s="201"/>
      <c r="I72" s="70">
        <f t="array" ref="I72">SUM(($B72:$H72="confirmed")*($B$4:$H$4=25))</f>
        <v>0</v>
      </c>
      <c r="J72" s="43">
        <f t="array" ref="J72">SUM(($B72:$H72="standby")*($B$4:$H$4=25))</f>
        <v>0</v>
      </c>
      <c r="K72" s="43">
        <f t="array" ref="K72">SUM(($B72:$H72="confirmed")*($B$4:$H$4=10))</f>
        <v>0</v>
      </c>
      <c r="L72" s="43">
        <f t="array" ref="L72">SUM(($B72:$H72="standby")*($B$4:$H$4=10))</f>
        <v>0</v>
      </c>
      <c r="M72" s="72">
        <f t="shared" si="10"/>
        <v>0</v>
      </c>
      <c r="N72" s="72">
        <f t="shared" si="11"/>
        <v>0</v>
      </c>
      <c r="O72" s="73">
        <f t="shared" si="12"/>
        <v>0</v>
      </c>
    </row>
    <row r="73" spans="1:15" ht="15" customHeight="1">
      <c r="A73" s="75" t="str">
        <f>'Members Data'!A65</f>
        <v>Ambú</v>
      </c>
      <c r="B73" s="199"/>
      <c r="C73" s="200"/>
      <c r="D73" s="200"/>
      <c r="E73" s="200"/>
      <c r="F73" s="200"/>
      <c r="G73" s="200"/>
      <c r="H73" s="201"/>
      <c r="I73" s="70">
        <f t="array" ref="I73">SUM(($B73:$H73="confirmed")*($B$4:$H$4=25))</f>
        <v>0</v>
      </c>
      <c r="J73" s="43">
        <f t="array" ref="J73">SUM(($B73:$H73="standby")*($B$4:$H$4=25))</f>
        <v>0</v>
      </c>
      <c r="K73" s="43">
        <f t="array" ref="K73">SUM(($B73:$H73="confirmed")*($B$4:$H$4=10))</f>
        <v>0</v>
      </c>
      <c r="L73" s="43">
        <f t="array" ref="L73">SUM(($B73:$H73="standby")*($B$4:$H$4=10))</f>
        <v>0</v>
      </c>
      <c r="M73" s="72">
        <f t="shared" si="10"/>
        <v>0</v>
      </c>
      <c r="N73" s="72">
        <f t="shared" si="11"/>
        <v>0</v>
      </c>
      <c r="O73" s="73">
        <f t="shared" si="12"/>
        <v>0</v>
      </c>
    </row>
    <row r="74" spans="1:15" ht="15" customHeight="1">
      <c r="A74" s="75" t="str">
        <f>'Members Data'!A66</f>
        <v>Mortali</v>
      </c>
      <c r="B74" s="199"/>
      <c r="C74" s="233"/>
      <c r="D74" s="200"/>
      <c r="E74" s="200"/>
      <c r="F74" s="200"/>
      <c r="G74" s="200"/>
      <c r="H74" s="201"/>
      <c r="I74" s="70">
        <f t="array" ref="I74">SUM(($B74:$H74="confirmed")*($B$4:$H$4=25))</f>
        <v>0</v>
      </c>
      <c r="J74" s="43">
        <f t="array" ref="J74">SUM(($B74:$H74="standby")*($B$4:$H$4=25))</f>
        <v>0</v>
      </c>
      <c r="K74" s="43">
        <f t="array" ref="K74">SUM(($B74:$H74="confirmed")*($B$4:$H$4=10))</f>
        <v>0</v>
      </c>
      <c r="L74" s="43">
        <f t="array" ref="L74">SUM(($B74:$H74="standby")*($B$4:$H$4=10))</f>
        <v>0</v>
      </c>
      <c r="M74" s="72">
        <f t="shared" si="10"/>
        <v>0</v>
      </c>
      <c r="N74" s="72">
        <f t="shared" si="11"/>
        <v>0</v>
      </c>
      <c r="O74" s="73">
        <f t="shared" si="12"/>
        <v>0</v>
      </c>
    </row>
    <row r="75" spans="1:15" ht="15" customHeight="1">
      <c r="A75" s="75" t="str">
        <f>'Members Data'!A67</f>
        <v>Andreah</v>
      </c>
      <c r="B75" s="232"/>
      <c r="C75" s="235"/>
      <c r="D75" s="199"/>
      <c r="E75" s="200"/>
      <c r="F75" s="200"/>
      <c r="G75" s="200"/>
      <c r="H75" s="201"/>
      <c r="I75" s="70">
        <f t="array" ref="I75">SUM(($B75:$H75="confirmed")*($B$4:$H$4=25))</f>
        <v>0</v>
      </c>
      <c r="J75" s="43">
        <f t="array" ref="J75">SUM(($B75:$H75="standby")*($B$4:$H$4=25))</f>
        <v>0</v>
      </c>
      <c r="K75" s="43">
        <f t="array" ref="K75">SUM(($B75:$H75="confirmed")*($B$4:$H$4=10))</f>
        <v>0</v>
      </c>
      <c r="L75" s="43">
        <f t="array" ref="L75">SUM(($B75:$H75="standby")*($B$4:$H$4=10))</f>
        <v>0</v>
      </c>
      <c r="M75" s="72">
        <f t="shared" si="10"/>
        <v>0</v>
      </c>
      <c r="N75" s="72">
        <f t="shared" si="11"/>
        <v>0</v>
      </c>
      <c r="O75" s="73">
        <f t="shared" si="12"/>
        <v>0</v>
      </c>
    </row>
    <row r="76" spans="1:15" ht="15" customHeight="1">
      <c r="A76" s="75" t="str">
        <f>'Members Data'!A68</f>
        <v>Yardk</v>
      </c>
      <c r="B76" s="232"/>
      <c r="C76" s="235"/>
      <c r="D76" s="199"/>
      <c r="E76" s="200"/>
      <c r="F76" s="200"/>
      <c r="G76" s="200"/>
      <c r="H76" s="201"/>
      <c r="I76" s="70">
        <f t="array" ref="I76">SUM(($B76:$H76="confirmed")*($B$4:$H$4=25))</f>
        <v>0</v>
      </c>
      <c r="J76" s="43">
        <f t="array" ref="J76">SUM(($B76:$H76="standby")*($B$4:$H$4=25))</f>
        <v>0</v>
      </c>
      <c r="K76" s="43">
        <f t="array" ref="K76">SUM(($B76:$H76="confirmed")*($B$4:$H$4=10))</f>
        <v>0</v>
      </c>
      <c r="L76" s="43">
        <f t="array" ref="L76">SUM(($B76:$H76="standby")*($B$4:$H$4=10))</f>
        <v>0</v>
      </c>
      <c r="M76" s="72">
        <f t="shared" si="10"/>
        <v>0</v>
      </c>
      <c r="N76" s="72">
        <f t="shared" si="11"/>
        <v>0</v>
      </c>
      <c r="O76" s="73">
        <f t="shared" si="12"/>
        <v>0</v>
      </c>
    </row>
    <row r="77" spans="1:15" ht="15" customHeight="1">
      <c r="A77" s="75" t="str">
        <f>'Members Data'!A69</f>
        <v>Halfhorns</v>
      </c>
      <c r="B77" s="232"/>
      <c r="C77" s="235"/>
      <c r="D77" s="200"/>
      <c r="E77" s="200"/>
      <c r="F77" s="200"/>
      <c r="G77" s="200"/>
      <c r="H77" s="201"/>
      <c r="I77" s="70">
        <f t="array" ref="I77">SUM(($B77:$H77="confirmed")*($B$4:$H$4=25))</f>
        <v>0</v>
      </c>
      <c r="J77" s="43">
        <f t="array" ref="J77">SUM(($B77:$H77="standby")*($B$4:$H$4=25))</f>
        <v>0</v>
      </c>
      <c r="K77" s="43">
        <f t="array" ref="K77">SUM(($B77:$H77="confirmed")*($B$4:$H$4=10))</f>
        <v>0</v>
      </c>
      <c r="L77" s="43">
        <f t="array" ref="L77">SUM(($B77:$H77="standby")*($B$4:$H$4=10))</f>
        <v>0</v>
      </c>
      <c r="M77" s="72">
        <f t="shared" si="10"/>
        <v>0</v>
      </c>
      <c r="N77" s="72">
        <f t="shared" si="11"/>
        <v>0</v>
      </c>
      <c r="O77" s="73">
        <f t="shared" si="12"/>
        <v>0</v>
      </c>
    </row>
    <row r="78" spans="1:15" ht="15" customHeight="1">
      <c r="A78" s="75" t="str">
        <f>'Members Data'!A70</f>
        <v>Ebullio</v>
      </c>
      <c r="B78" s="232"/>
      <c r="C78" s="235"/>
      <c r="D78" s="199"/>
      <c r="E78" s="200"/>
      <c r="F78" s="200"/>
      <c r="G78" s="200"/>
      <c r="H78" s="201"/>
      <c r="I78" s="70">
        <f t="array" ref="I78">SUM(($B78:$H78="confirmed")*($B$4:$H$4=25))</f>
        <v>0</v>
      </c>
      <c r="J78" s="43">
        <f t="array" ref="J78">SUM(($B78:$H78="standby")*($B$4:$H$4=25))</f>
        <v>0</v>
      </c>
      <c r="K78" s="43">
        <f t="array" ref="K78">SUM(($B78:$H78="confirmed")*($B$4:$H$4=10))</f>
        <v>0</v>
      </c>
      <c r="L78" s="43">
        <f t="array" ref="L78">SUM(($B78:$H78="standby")*($B$4:$H$4=10))</f>
        <v>0</v>
      </c>
      <c r="M78" s="72">
        <f t="shared" si="10"/>
        <v>0</v>
      </c>
      <c r="N78" s="72">
        <f t="shared" si="11"/>
        <v>0</v>
      </c>
      <c r="O78" s="73">
        <f t="shared" si="12"/>
        <v>0</v>
      </c>
    </row>
    <row r="79" spans="1:15" ht="15" customHeight="1">
      <c r="A79" s="75" t="str">
        <f>'Members Data'!A71</f>
        <v>Fireaxe</v>
      </c>
      <c r="B79" s="232"/>
      <c r="C79" s="235"/>
      <c r="D79" s="199"/>
      <c r="E79" s="200"/>
      <c r="F79" s="200"/>
      <c r="G79" s="200"/>
      <c r="H79" s="201"/>
      <c r="I79" s="70">
        <f t="array" ref="I79">SUM(($B79:$H79="confirmed")*($B$4:$H$4=25))</f>
        <v>0</v>
      </c>
      <c r="J79" s="43">
        <f t="array" ref="J79">SUM(($B79:$H79="standby")*($B$4:$H$4=25))</f>
        <v>0</v>
      </c>
      <c r="K79" s="43">
        <f t="array" ref="K79">SUM(($B79:$H79="confirmed")*($B$4:$H$4=10))</f>
        <v>0</v>
      </c>
      <c r="L79" s="43">
        <f t="array" ref="L79">SUM(($B79:$H79="standby")*($B$4:$H$4=10))</f>
        <v>0</v>
      </c>
      <c r="M79" s="72">
        <f t="shared" si="10"/>
        <v>0</v>
      </c>
      <c r="N79" s="72">
        <f t="shared" si="11"/>
        <v>0</v>
      </c>
      <c r="O79" s="73">
        <f t="shared" si="12"/>
        <v>0</v>
      </c>
    </row>
    <row r="80" spans="1:15" ht="15" customHeight="1">
      <c r="A80" s="75" t="str">
        <f>'Members Data'!A72</f>
        <v>Firefoxy</v>
      </c>
      <c r="B80" s="199"/>
      <c r="C80" s="234"/>
      <c r="D80" s="200"/>
      <c r="E80" s="200"/>
      <c r="F80" s="200"/>
      <c r="G80" s="200"/>
      <c r="H80" s="201"/>
      <c r="I80" s="70">
        <f t="array" ref="I80">SUM(($B80:$H80="confirmed")*($B$4:$H$4=25))</f>
        <v>0</v>
      </c>
      <c r="J80" s="43">
        <f t="array" ref="J80">SUM(($B80:$H80="standby")*($B$4:$H$4=25))</f>
        <v>0</v>
      </c>
      <c r="K80" s="43">
        <f t="array" ref="K80">SUM(($B80:$H80="confirmed")*($B$4:$H$4=10))</f>
        <v>0</v>
      </c>
      <c r="L80" s="43">
        <f t="array" ref="L80">SUM(($B80:$H80="standby")*($B$4:$H$4=10))</f>
        <v>0</v>
      </c>
      <c r="M80" s="72">
        <f t="shared" si="10"/>
        <v>0</v>
      </c>
      <c r="N80" s="72">
        <f t="shared" si="11"/>
        <v>0</v>
      </c>
      <c r="O80" s="73">
        <f t="shared" si="12"/>
        <v>0</v>
      </c>
    </row>
    <row r="81" spans="1:15" ht="15" customHeight="1">
      <c r="A81" s="75" t="str">
        <f>'Members Data'!A73</f>
        <v>Boeyah</v>
      </c>
      <c r="B81" s="199" t="s">
        <v>52</v>
      </c>
      <c r="C81" s="200"/>
      <c r="D81" s="200"/>
      <c r="E81" s="200"/>
      <c r="F81" s="200"/>
      <c r="G81" s="200"/>
      <c r="H81" s="201"/>
      <c r="I81" s="70">
        <f t="array" ref="I81">SUM(($B81:$H81="confirmed")*($B$4:$H$4=25))</f>
        <v>0</v>
      </c>
      <c r="J81" s="43">
        <f t="array" ref="J81">SUM(($B81:$H81="standby")*($B$4:$H$4=25))</f>
        <v>1</v>
      </c>
      <c r="K81" s="43">
        <f t="array" ref="K81">SUM(($B81:$H81="confirmed")*($B$4:$H$4=10))</f>
        <v>0</v>
      </c>
      <c r="L81" s="43">
        <f t="array" ref="L81">SUM(($B81:$H81="standby")*($B$4:$H$4=10))</f>
        <v>0</v>
      </c>
      <c r="M81" s="72">
        <f t="shared" si="10"/>
        <v>0</v>
      </c>
      <c r="N81" s="72">
        <f t="shared" si="11"/>
        <v>1</v>
      </c>
      <c r="O81" s="73">
        <f t="shared" si="12"/>
        <v>0</v>
      </c>
    </row>
    <row r="82" spans="1:15" ht="15" customHeight="1">
      <c r="A82" s="75" t="str">
        <f>'Members Data'!A74</f>
        <v>Judgementz</v>
      </c>
      <c r="B82" s="199"/>
      <c r="C82" s="200"/>
      <c r="D82" s="200"/>
      <c r="E82" s="200"/>
      <c r="F82" s="200"/>
      <c r="G82" s="200"/>
      <c r="H82" s="201" t="s">
        <v>52</v>
      </c>
      <c r="I82" s="70">
        <f t="array" ref="I82">SUM(($B82:$H82="confirmed")*($B$4:$H$4=25))</f>
        <v>0</v>
      </c>
      <c r="J82" s="43">
        <f t="array" ref="J82">SUM(($B82:$H82="standby")*($B$4:$H$4=25))</f>
        <v>1</v>
      </c>
      <c r="K82" s="43">
        <f t="array" ref="K82">SUM(($B82:$H82="confirmed")*($B$4:$H$4=10))</f>
        <v>0</v>
      </c>
      <c r="L82" s="43">
        <f t="array" ref="L82">SUM(($B82:$H82="standby")*($B$4:$H$4=10))</f>
        <v>0</v>
      </c>
      <c r="M82" s="72">
        <f t="shared" si="10"/>
        <v>0</v>
      </c>
      <c r="N82" s="72">
        <f t="shared" si="11"/>
        <v>1</v>
      </c>
      <c r="O82" s="73">
        <f t="shared" si="12"/>
        <v>0</v>
      </c>
    </row>
    <row r="83" spans="1:15" ht="15" customHeight="1">
      <c r="A83" s="75">
        <f>'Members Data'!A75</f>
        <v>0</v>
      </c>
      <c r="B83" s="199"/>
      <c r="C83" s="200"/>
      <c r="D83" s="200"/>
      <c r="E83" s="200"/>
      <c r="F83" s="200"/>
      <c r="G83" s="200"/>
      <c r="H83" s="201"/>
      <c r="I83" s="70">
        <f t="array" ref="I83">SUM(($B83:$H83="confirmed")*($B$4:$H$4=25))</f>
        <v>0</v>
      </c>
      <c r="J83" s="43">
        <f t="array" ref="J83">SUM(($B83:$H83="standby")*($B$4:$H$4=25))</f>
        <v>0</v>
      </c>
      <c r="K83" s="43">
        <f t="array" ref="K83">SUM(($B83:$H83="confirmed")*($B$4:$H$4=10))</f>
        <v>0</v>
      </c>
      <c r="L83" s="43">
        <f t="array" ref="L83">SUM(($B83:$H83="standby")*($B$4:$H$4=10))</f>
        <v>0</v>
      </c>
      <c r="M83" s="72">
        <f t="shared" si="10"/>
        <v>0</v>
      </c>
      <c r="N83" s="72">
        <f t="shared" si="11"/>
        <v>0</v>
      </c>
      <c r="O83" s="73">
        <f t="shared" si="12"/>
        <v>0</v>
      </c>
    </row>
    <row r="84" spans="1:15" ht="15" customHeight="1">
      <c r="A84" s="75">
        <f>'Members Data'!A76</f>
        <v>0</v>
      </c>
      <c r="B84" s="199"/>
      <c r="C84" s="200"/>
      <c r="D84" s="200"/>
      <c r="E84" s="200"/>
      <c r="F84" s="200"/>
      <c r="G84" s="200"/>
      <c r="H84" s="201"/>
      <c r="I84" s="70">
        <f t="array" ref="I84">SUM(($B84:$H84="confirmed")*($B$4:$H$4=25))</f>
        <v>0</v>
      </c>
      <c r="J84" s="43">
        <f t="array" ref="J84">SUM(($B84:$H84="standby")*($B$4:$H$4=25))</f>
        <v>0</v>
      </c>
      <c r="K84" s="43">
        <f t="array" ref="K84">SUM(($B84:$H84="confirmed")*($B$4:$H$4=10))</f>
        <v>0</v>
      </c>
      <c r="L84" s="43">
        <f t="array" ref="L84">SUM(($B84:$H84="standby")*($B$4:$H$4=10))</f>
        <v>0</v>
      </c>
      <c r="M84" s="72">
        <f t="shared" si="10"/>
        <v>0</v>
      </c>
      <c r="N84" s="72">
        <f t="shared" si="11"/>
        <v>0</v>
      </c>
      <c r="O84" s="73">
        <f t="shared" si="12"/>
        <v>0</v>
      </c>
    </row>
    <row r="85" spans="1:15" ht="15" customHeight="1">
      <c r="A85" s="75">
        <f>'Members Data'!A77</f>
        <v>0</v>
      </c>
      <c r="B85" s="199"/>
      <c r="C85" s="200"/>
      <c r="D85" s="200"/>
      <c r="E85" s="200"/>
      <c r="F85" s="200"/>
      <c r="G85" s="200"/>
      <c r="H85" s="201"/>
      <c r="I85" s="70">
        <f t="array" ref="I85">SUM(($B85:$H85="confirmed")*($B$4:$H$4=25))</f>
        <v>0</v>
      </c>
      <c r="J85" s="43">
        <f t="array" ref="J85">SUM(($B85:$H85="standby")*($B$4:$H$4=25))</f>
        <v>0</v>
      </c>
      <c r="K85" s="43">
        <f t="array" ref="K85">SUM(($B85:$H85="confirmed")*($B$4:$H$4=10))</f>
        <v>0</v>
      </c>
      <c r="L85" s="43">
        <f t="array" ref="L85">SUM(($B85:$H85="standby")*($B$4:$H$4=10))</f>
        <v>0</v>
      </c>
      <c r="M85" s="72">
        <f t="shared" si="10"/>
        <v>0</v>
      </c>
      <c r="N85" s="72">
        <f t="shared" si="11"/>
        <v>0</v>
      </c>
      <c r="O85" s="73">
        <f t="shared" si="12"/>
        <v>0</v>
      </c>
    </row>
    <row r="86" spans="1:15" ht="15" customHeight="1">
      <c r="A86" s="75">
        <f>'Members Data'!A78</f>
        <v>0</v>
      </c>
      <c r="B86" s="199"/>
      <c r="C86" s="200"/>
      <c r="D86" s="200"/>
      <c r="E86" s="200"/>
      <c r="F86" s="200"/>
      <c r="G86" s="200"/>
      <c r="H86" s="201"/>
      <c r="I86" s="70">
        <f t="array" ref="I86">SUM(($B86:$H86="confirmed")*($B$4:$H$4=25))</f>
        <v>0</v>
      </c>
      <c r="J86" s="43">
        <f t="array" ref="J86">SUM(($B86:$H86="standby")*($B$4:$H$4=25))</f>
        <v>0</v>
      </c>
      <c r="K86" s="43">
        <f t="array" ref="K86">SUM(($B86:$H86="confirmed")*($B$4:$H$4=10))</f>
        <v>0</v>
      </c>
      <c r="L86" s="43">
        <f t="array" ref="L86">SUM(($B86:$H86="standby")*($B$4:$H$4=10))</f>
        <v>0</v>
      </c>
      <c r="M86" s="72">
        <f t="shared" si="10"/>
        <v>0</v>
      </c>
      <c r="N86" s="72">
        <f t="shared" si="11"/>
        <v>0</v>
      </c>
      <c r="O86" s="73">
        <f t="shared" si="12"/>
        <v>0</v>
      </c>
    </row>
    <row r="87" spans="1:15" ht="15" customHeight="1">
      <c r="A87" s="75">
        <f>'Members Data'!A79</f>
        <v>0</v>
      </c>
      <c r="B87" s="199"/>
      <c r="C87" s="200"/>
      <c r="D87" s="200"/>
      <c r="E87" s="200"/>
      <c r="F87" s="200"/>
      <c r="G87" s="200"/>
      <c r="H87" s="201"/>
      <c r="I87" s="70">
        <f t="array" ref="I87">SUM(($B87:$H87="confirmed")*($B$4:$H$4=25))</f>
        <v>0</v>
      </c>
      <c r="J87" s="43">
        <f t="array" ref="J87">SUM(($B87:$H87="standby")*($B$4:$H$4=25))</f>
        <v>0</v>
      </c>
      <c r="K87" s="43">
        <f t="array" ref="K87">SUM(($B87:$H87="confirmed")*($B$4:$H$4=10))</f>
        <v>0</v>
      </c>
      <c r="L87" s="43">
        <f t="array" ref="L87">SUM(($B87:$H87="standby")*($B$4:$H$4=10))</f>
        <v>0</v>
      </c>
      <c r="M87" s="72">
        <f t="shared" si="10"/>
        <v>0</v>
      </c>
      <c r="N87" s="72">
        <f t="shared" si="11"/>
        <v>0</v>
      </c>
      <c r="O87" s="73">
        <f t="shared" si="12"/>
        <v>0</v>
      </c>
    </row>
    <row r="88" spans="1:15" ht="15" customHeight="1">
      <c r="A88" s="75">
        <f>'Members Data'!A80</f>
        <v>0</v>
      </c>
      <c r="B88" s="199"/>
      <c r="C88" s="200"/>
      <c r="D88" s="200"/>
      <c r="E88" s="200"/>
      <c r="F88" s="200"/>
      <c r="G88" s="200"/>
      <c r="H88" s="201"/>
      <c r="I88" s="70">
        <f t="array" ref="I88">SUM(($B88:$H88="confirmed")*($B$4:$H$4=25))</f>
        <v>0</v>
      </c>
      <c r="J88" s="43">
        <f t="array" ref="J88">SUM(($B88:$H88="standby")*($B$4:$H$4=25))</f>
        <v>0</v>
      </c>
      <c r="K88" s="43">
        <f t="array" ref="K88">SUM(($B88:$H88="confirmed")*($B$4:$H$4=10))</f>
        <v>0</v>
      </c>
      <c r="L88" s="43">
        <f t="array" ref="L88">SUM(($B88:$H88="standby")*($B$4:$H$4=10))</f>
        <v>0</v>
      </c>
      <c r="M88" s="72">
        <f t="shared" si="10"/>
        <v>0</v>
      </c>
      <c r="N88" s="72">
        <f t="shared" si="11"/>
        <v>0</v>
      </c>
      <c r="O88" s="73">
        <f t="shared" si="12"/>
        <v>0</v>
      </c>
    </row>
    <row r="89" spans="1:15" ht="15" customHeight="1">
      <c r="A89" s="75">
        <f>'Members Data'!A81</f>
        <v>0</v>
      </c>
      <c r="B89" s="199"/>
      <c r="C89" s="200"/>
      <c r="D89" s="200"/>
      <c r="E89" s="200"/>
      <c r="F89" s="200"/>
      <c r="G89" s="200"/>
      <c r="H89" s="201"/>
      <c r="I89" s="70">
        <f t="array" ref="I89">SUM(($B89:$H89="confirmed")*($B$4:$H$4=25))</f>
        <v>0</v>
      </c>
      <c r="J89" s="43">
        <f t="array" ref="J89">SUM(($B89:$H89="standby")*($B$4:$H$4=25))</f>
        <v>0</v>
      </c>
      <c r="K89" s="43">
        <f t="array" ref="K89">SUM(($B89:$H89="confirmed")*($B$4:$H$4=10))</f>
        <v>0</v>
      </c>
      <c r="L89" s="43">
        <f t="array" ref="L89">SUM(($B89:$H89="standby")*($B$4:$H$4=10))</f>
        <v>0</v>
      </c>
      <c r="M89" s="72">
        <f t="shared" si="10"/>
        <v>0</v>
      </c>
      <c r="N89" s="72">
        <f t="shared" si="11"/>
        <v>0</v>
      </c>
      <c r="O89" s="73">
        <f t="shared" si="12"/>
        <v>0</v>
      </c>
    </row>
    <row r="90" spans="1:15" ht="15" customHeight="1">
      <c r="A90" s="75">
        <f>'Members Data'!A82</f>
        <v>0</v>
      </c>
      <c r="B90" s="199"/>
      <c r="C90" s="200"/>
      <c r="D90" s="200"/>
      <c r="E90" s="200"/>
      <c r="F90" s="200"/>
      <c r="G90" s="200"/>
      <c r="H90" s="201"/>
      <c r="I90" s="70">
        <f t="array" ref="I90">SUM(($B90:$H90="confirmed")*($B$4:$H$4=25))</f>
        <v>0</v>
      </c>
      <c r="J90" s="43">
        <f t="array" ref="J90">SUM(($B90:$H90="standby")*($B$4:$H$4=25))</f>
        <v>0</v>
      </c>
      <c r="K90" s="43">
        <f t="array" ref="K90">SUM(($B90:$H90="confirmed")*($B$4:$H$4=10))</f>
        <v>0</v>
      </c>
      <c r="L90" s="43">
        <f t="array" ref="L90">SUM(($B90:$H90="standby")*($B$4:$H$4=10))</f>
        <v>0</v>
      </c>
      <c r="M90" s="72">
        <f t="shared" si="10"/>
        <v>0</v>
      </c>
      <c r="N90" s="72">
        <f t="shared" si="11"/>
        <v>0</v>
      </c>
      <c r="O90" s="73">
        <f t="shared" si="12"/>
        <v>0</v>
      </c>
    </row>
    <row r="91" spans="1:15" ht="15" customHeight="1">
      <c r="A91" s="75">
        <f>'Members Data'!A83</f>
        <v>0</v>
      </c>
      <c r="B91" s="199"/>
      <c r="C91" s="200"/>
      <c r="D91" s="200"/>
      <c r="E91" s="200"/>
      <c r="F91" s="200"/>
      <c r="G91" s="200"/>
      <c r="H91" s="201"/>
      <c r="I91" s="70">
        <f t="array" ref="I91">SUM(($B91:$H91="confirmed")*($B$4:$H$4=25))</f>
        <v>0</v>
      </c>
      <c r="J91" s="43">
        <f t="array" ref="J91">SUM(($B91:$H91="standby")*($B$4:$H$4=25))</f>
        <v>0</v>
      </c>
      <c r="K91" s="43">
        <f t="array" ref="K91">SUM(($B91:$H91="confirmed")*($B$4:$H$4=10))</f>
        <v>0</v>
      </c>
      <c r="L91" s="43">
        <f t="array" ref="L91">SUM(($B91:$H91="standby")*($B$4:$H$4=10))</f>
        <v>0</v>
      </c>
      <c r="M91" s="72">
        <f t="shared" si="10"/>
        <v>0</v>
      </c>
      <c r="N91" s="72">
        <f t="shared" si="11"/>
        <v>0</v>
      </c>
      <c r="O91" s="73">
        <f t="shared" si="12"/>
        <v>0</v>
      </c>
    </row>
    <row r="92" spans="1:15" ht="15" customHeight="1">
      <c r="A92" s="75">
        <f>'Members Data'!A84</f>
        <v>0</v>
      </c>
      <c r="B92" s="199"/>
      <c r="C92" s="200"/>
      <c r="D92" s="200"/>
      <c r="E92" s="200"/>
      <c r="F92" s="200"/>
      <c r="G92" s="200"/>
      <c r="H92" s="201"/>
      <c r="I92" s="70">
        <f t="array" ref="I92">SUM(($B92:$H92="confirmed")*($B$4:$H$4=25))</f>
        <v>0</v>
      </c>
      <c r="J92" s="43">
        <f t="array" ref="J92">SUM(($B92:$H92="standby")*($B$4:$H$4=25))</f>
        <v>0</v>
      </c>
      <c r="K92" s="43">
        <f t="array" ref="K92">SUM(($B92:$H92="confirmed")*($B$4:$H$4=10))</f>
        <v>0</v>
      </c>
      <c r="L92" s="43">
        <f t="array" ref="L92">SUM(($B92:$H92="standby")*($B$4:$H$4=10))</f>
        <v>0</v>
      </c>
      <c r="M92" s="72">
        <f t="shared" si="10"/>
        <v>0</v>
      </c>
      <c r="N92" s="72">
        <f t="shared" si="11"/>
        <v>0</v>
      </c>
      <c r="O92" s="73">
        <f t="shared" si="12"/>
        <v>0</v>
      </c>
    </row>
    <row r="93" spans="1:15" ht="15" customHeight="1">
      <c r="A93" s="75">
        <f>'Members Data'!A85</f>
        <v>0</v>
      </c>
      <c r="B93" s="199"/>
      <c r="C93" s="200"/>
      <c r="D93" s="200"/>
      <c r="E93" s="200"/>
      <c r="F93" s="200"/>
      <c r="G93" s="200"/>
      <c r="H93" s="201"/>
      <c r="I93" s="70">
        <f t="array" ref="I93">SUM(($B93:$H93="confirmed")*($B$4:$H$4=25))</f>
        <v>0</v>
      </c>
      <c r="J93" s="43">
        <f t="array" ref="J93">SUM(($B93:$H93="standby")*($B$4:$H$4=25))</f>
        <v>0</v>
      </c>
      <c r="K93" s="43">
        <f t="array" ref="K93">SUM(($B93:$H93="confirmed")*($B$4:$H$4=10))</f>
        <v>0</v>
      </c>
      <c r="L93" s="43">
        <f t="array" ref="L93">SUM(($B93:$H93="standby")*($B$4:$H$4=10))</f>
        <v>0</v>
      </c>
      <c r="M93" s="72">
        <f t="shared" si="10"/>
        <v>0</v>
      </c>
      <c r="N93" s="72">
        <f t="shared" si="11"/>
        <v>0</v>
      </c>
      <c r="O93" s="73">
        <f t="shared" si="12"/>
        <v>0</v>
      </c>
    </row>
    <row r="94" spans="1:15" ht="15" customHeight="1">
      <c r="A94" s="75">
        <f>'Members Data'!A86</f>
        <v>0</v>
      </c>
      <c r="B94" s="199"/>
      <c r="C94" s="200"/>
      <c r="D94" s="200"/>
      <c r="E94" s="200"/>
      <c r="F94" s="200"/>
      <c r="G94" s="200"/>
      <c r="H94" s="201"/>
      <c r="I94" s="70">
        <f t="array" ref="I94">SUM(($B94:$H94="confirmed")*($B$4:$H$4=25))</f>
        <v>0</v>
      </c>
      <c r="J94" s="43">
        <f t="array" ref="J94">SUM(($B94:$H94="standby")*($B$4:$H$4=25))</f>
        <v>0</v>
      </c>
      <c r="K94" s="43">
        <f t="array" ref="K94">SUM(($B94:$H94="confirmed")*($B$4:$H$4=10))</f>
        <v>0</v>
      </c>
      <c r="L94" s="43">
        <f t="array" ref="L94">SUM(($B94:$H94="standby")*($B$4:$H$4=10))</f>
        <v>0</v>
      </c>
      <c r="M94" s="72">
        <f t="shared" si="10"/>
        <v>0</v>
      </c>
      <c r="N94" s="72">
        <f t="shared" si="11"/>
        <v>0</v>
      </c>
      <c r="O94" s="73">
        <f t="shared" si="12"/>
        <v>0</v>
      </c>
    </row>
    <row r="95" spans="1:15" ht="15" customHeight="1">
      <c r="A95" s="75">
        <f>'Members Data'!A87</f>
        <v>0</v>
      </c>
      <c r="B95" s="199"/>
      <c r="C95" s="200"/>
      <c r="D95" s="200"/>
      <c r="E95" s="200"/>
      <c r="F95" s="200"/>
      <c r="G95" s="200"/>
      <c r="H95" s="201"/>
      <c r="I95" s="70">
        <f t="array" ref="I95">SUM(($B95:$H95="confirmed")*($B$4:$H$4=25))</f>
        <v>0</v>
      </c>
      <c r="J95" s="43">
        <f t="array" ref="J95">SUM(($B95:$H95="standby")*($B$4:$H$4=25))</f>
        <v>0</v>
      </c>
      <c r="K95" s="43">
        <f t="array" ref="K95">SUM(($B95:$H95="confirmed")*($B$4:$H$4=10))</f>
        <v>0</v>
      </c>
      <c r="L95" s="43">
        <f t="array" ref="L95">SUM(($B95:$H95="standby")*($B$4:$H$4=10))</f>
        <v>0</v>
      </c>
      <c r="M95" s="72">
        <f t="shared" si="10"/>
        <v>0</v>
      </c>
      <c r="N95" s="72">
        <f t="shared" si="11"/>
        <v>0</v>
      </c>
      <c r="O95" s="73">
        <f t="shared" si="12"/>
        <v>0</v>
      </c>
    </row>
    <row r="96" spans="1:15" ht="15" customHeight="1">
      <c r="A96" s="75">
        <f>'Members Data'!A88</f>
        <v>0</v>
      </c>
      <c r="B96" s="199"/>
      <c r="C96" s="200"/>
      <c r="D96" s="200"/>
      <c r="E96" s="200"/>
      <c r="F96" s="200"/>
      <c r="G96" s="200"/>
      <c r="H96" s="201"/>
      <c r="I96" s="70">
        <f t="array" ref="I96">SUM(($B96:$H96="confirmed")*($B$4:$H$4=25))</f>
        <v>0</v>
      </c>
      <c r="J96" s="43">
        <f t="array" ref="J96">SUM(($B96:$H96="standby")*($B$4:$H$4=25))</f>
        <v>0</v>
      </c>
      <c r="K96" s="43">
        <f t="array" ref="K96">SUM(($B96:$H96="confirmed")*($B$4:$H$4=10))</f>
        <v>0</v>
      </c>
      <c r="L96" s="43">
        <f t="array" ref="L96">SUM(($B96:$H96="standby")*($B$4:$H$4=10))</f>
        <v>0</v>
      </c>
      <c r="M96" s="72">
        <f t="shared" si="10"/>
        <v>0</v>
      </c>
      <c r="N96" s="72">
        <f t="shared" si="11"/>
        <v>0</v>
      </c>
      <c r="O96" s="73">
        <f t="shared" si="12"/>
        <v>0</v>
      </c>
    </row>
    <row r="97" spans="1:15" ht="15" customHeight="1">
      <c r="A97" s="75">
        <f>'Members Data'!A89</f>
        <v>0</v>
      </c>
      <c r="B97" s="199"/>
      <c r="C97" s="200"/>
      <c r="D97" s="200"/>
      <c r="E97" s="200"/>
      <c r="F97" s="200"/>
      <c r="G97" s="200"/>
      <c r="H97" s="201"/>
      <c r="I97" s="70">
        <f t="array" ref="I97">SUM(($B97:$H97="confirmed")*($B$4:$H$4=25))</f>
        <v>0</v>
      </c>
      <c r="J97" s="43">
        <f t="array" ref="J97">SUM(($B97:$H97="standby")*($B$4:$H$4=25))</f>
        <v>0</v>
      </c>
      <c r="K97" s="43">
        <f t="array" ref="K97">SUM(($B97:$H97="confirmed")*($B$4:$H$4=10))</f>
        <v>0</v>
      </c>
      <c r="L97" s="43">
        <f t="array" ref="L97">SUM(($B97:$H97="standby")*($B$4:$H$4=10))</f>
        <v>0</v>
      </c>
      <c r="M97" s="72">
        <f t="shared" si="10"/>
        <v>0</v>
      </c>
      <c r="N97" s="72">
        <f t="shared" si="11"/>
        <v>0</v>
      </c>
      <c r="O97" s="73">
        <f t="shared" si="12"/>
        <v>0</v>
      </c>
    </row>
    <row r="98" spans="1:15" ht="15" customHeight="1">
      <c r="A98" s="75">
        <f>'Members Data'!A90</f>
        <v>0</v>
      </c>
      <c r="B98" s="199"/>
      <c r="C98" s="200"/>
      <c r="D98" s="200"/>
      <c r="E98" s="200"/>
      <c r="F98" s="200"/>
      <c r="G98" s="200"/>
      <c r="H98" s="201"/>
      <c r="I98" s="70">
        <f t="array" ref="I98">SUM(($B98:$H98="confirmed")*($B$4:$H$4=25))</f>
        <v>0</v>
      </c>
      <c r="J98" s="43">
        <f t="array" ref="J98">SUM(($B98:$H98="standby")*($B$4:$H$4=25))</f>
        <v>0</v>
      </c>
      <c r="K98" s="43">
        <f t="array" ref="K98">SUM(($B98:$H98="confirmed")*($B$4:$H$4=10))</f>
        <v>0</v>
      </c>
      <c r="L98" s="43">
        <f t="array" ref="L98">SUM(($B98:$H98="standby")*($B$4:$H$4=10))</f>
        <v>0</v>
      </c>
      <c r="M98" s="72">
        <f t="shared" si="10"/>
        <v>0</v>
      </c>
      <c r="N98" s="72">
        <f t="shared" si="11"/>
        <v>0</v>
      </c>
      <c r="O98" s="73">
        <f t="shared" si="12"/>
        <v>0</v>
      </c>
    </row>
    <row r="99" spans="1:15" ht="15" customHeight="1">
      <c r="A99" s="75">
        <f>'Members Data'!A91</f>
        <v>0</v>
      </c>
      <c r="B99" s="199"/>
      <c r="C99" s="200"/>
      <c r="D99" s="200"/>
      <c r="E99" s="200"/>
      <c r="F99" s="200"/>
      <c r="G99" s="200"/>
      <c r="H99" s="201"/>
      <c r="I99" s="70">
        <f t="array" ref="I99">SUM(($B99:$H99="confirmed")*($B$4:$H$4=25))</f>
        <v>0</v>
      </c>
      <c r="J99" s="43">
        <f t="array" ref="J99">SUM(($B99:$H99="standby")*($B$4:$H$4=25))</f>
        <v>0</v>
      </c>
      <c r="K99" s="43">
        <f t="array" ref="K99">SUM(($B99:$H99="confirmed")*($B$4:$H$4=10))</f>
        <v>0</v>
      </c>
      <c r="L99" s="43">
        <f t="array" ref="L99">SUM(($B99:$H99="standby")*($B$4:$H$4=10))</f>
        <v>0</v>
      </c>
      <c r="M99" s="72">
        <f t="shared" si="10"/>
        <v>0</v>
      </c>
      <c r="N99" s="72">
        <f t="shared" si="11"/>
        <v>0</v>
      </c>
      <c r="O99" s="73">
        <f t="shared" si="12"/>
        <v>0</v>
      </c>
    </row>
    <row r="100" spans="1:15" ht="15" customHeight="1">
      <c r="A100" s="75">
        <f>'Members Data'!A92</f>
        <v>0</v>
      </c>
      <c r="B100" s="199"/>
      <c r="C100" s="200"/>
      <c r="D100" s="200"/>
      <c r="E100" s="200"/>
      <c r="F100" s="200"/>
      <c r="G100" s="200"/>
      <c r="H100" s="201"/>
      <c r="I100" s="70">
        <f t="array" ref="I100">SUM(($B100:$H100="confirmed")*($B$4:$H$4=25))</f>
        <v>0</v>
      </c>
      <c r="J100" s="43">
        <f t="array" ref="J100">SUM(($B100:$H100="standby")*($B$4:$H$4=25))</f>
        <v>0</v>
      </c>
      <c r="K100" s="43">
        <f t="array" ref="K100">SUM(($B100:$H100="confirmed")*($B$4:$H$4=10))</f>
        <v>0</v>
      </c>
      <c r="L100" s="43">
        <f t="array" ref="L100">SUM(($B100:$H100="standby")*($B$4:$H$4=10))</f>
        <v>0</v>
      </c>
      <c r="M100" s="72">
        <f t="shared" si="10"/>
        <v>0</v>
      </c>
      <c r="N100" s="72">
        <f t="shared" si="11"/>
        <v>0</v>
      </c>
      <c r="O100" s="73">
        <f t="shared" si="12"/>
        <v>0</v>
      </c>
    </row>
    <row r="101" spans="1:15" ht="15" customHeight="1">
      <c r="A101" s="75">
        <f>'Members Data'!A93</f>
        <v>0</v>
      </c>
      <c r="B101" s="199"/>
      <c r="C101" s="200"/>
      <c r="D101" s="200"/>
      <c r="E101" s="200"/>
      <c r="F101" s="200"/>
      <c r="G101" s="200"/>
      <c r="H101" s="201"/>
      <c r="I101" s="70">
        <f t="array" ref="I101">SUM(($B101:$H101="confirmed")*($B$4:$H$4=25))</f>
        <v>0</v>
      </c>
      <c r="J101" s="43">
        <f t="array" ref="J101">SUM(($B101:$H101="standby")*($B$4:$H$4=25))</f>
        <v>0</v>
      </c>
      <c r="K101" s="43">
        <f t="array" ref="K101">SUM(($B101:$H101="confirmed")*($B$4:$H$4=10))</f>
        <v>0</v>
      </c>
      <c r="L101" s="43">
        <f t="array" ref="L101">SUM(($B101:$H101="standby")*($B$4:$H$4=10))</f>
        <v>0</v>
      </c>
      <c r="M101" s="72">
        <f t="shared" si="10"/>
        <v>0</v>
      </c>
      <c r="N101" s="72">
        <f t="shared" si="11"/>
        <v>0</v>
      </c>
      <c r="O101" s="73">
        <f t="shared" si="12"/>
        <v>0</v>
      </c>
    </row>
    <row r="102" spans="1:15" ht="15" customHeight="1">
      <c r="A102" s="75">
        <f>'Members Data'!A94</f>
        <v>0</v>
      </c>
      <c r="B102" s="199"/>
      <c r="C102" s="200"/>
      <c r="D102" s="200"/>
      <c r="E102" s="200"/>
      <c r="F102" s="200"/>
      <c r="G102" s="200"/>
      <c r="H102" s="201"/>
      <c r="I102" s="70">
        <f t="array" ref="I102">SUM(($B102:$H102="confirmed")*($B$4:$H$4=25))</f>
        <v>0</v>
      </c>
      <c r="J102" s="43">
        <f t="array" ref="J102">SUM(($B102:$H102="standby")*($B$4:$H$4=25))</f>
        <v>0</v>
      </c>
      <c r="K102" s="43">
        <f t="array" ref="K102">SUM(($B102:$H102="confirmed")*($B$4:$H$4=10))</f>
        <v>0</v>
      </c>
      <c r="L102" s="43">
        <f t="array" ref="L102">SUM(($B102:$H102="standby")*($B$4:$H$4=10))</f>
        <v>0</v>
      </c>
      <c r="M102" s="72">
        <f t="shared" si="10"/>
        <v>0</v>
      </c>
      <c r="N102" s="72">
        <f t="shared" si="11"/>
        <v>0</v>
      </c>
      <c r="O102" s="73">
        <f t="shared" si="12"/>
        <v>0</v>
      </c>
    </row>
    <row r="103" spans="1:15" ht="15" customHeight="1">
      <c r="A103" s="75">
        <f>'Members Data'!A95</f>
        <v>0</v>
      </c>
      <c r="B103" s="199"/>
      <c r="C103" s="200"/>
      <c r="D103" s="200"/>
      <c r="E103" s="200"/>
      <c r="F103" s="200"/>
      <c r="G103" s="200"/>
      <c r="H103" s="201"/>
      <c r="I103" s="70">
        <f t="array" ref="I103">SUM(($B103:$H103="confirmed")*($B$4:$H$4=25))</f>
        <v>0</v>
      </c>
      <c r="J103" s="43">
        <f t="array" ref="J103">SUM(($B103:$H103="standby")*($B$4:$H$4=25))</f>
        <v>0</v>
      </c>
      <c r="K103" s="43">
        <f t="array" ref="K103">SUM(($B103:$H103="confirmed")*($B$4:$H$4=10))</f>
        <v>0</v>
      </c>
      <c r="L103" s="43">
        <f t="array" ref="L103">SUM(($B103:$H103="standby")*($B$4:$H$4=10))</f>
        <v>0</v>
      </c>
      <c r="M103" s="72">
        <f t="shared" si="10"/>
        <v>0</v>
      </c>
      <c r="N103" s="72">
        <f t="shared" si="11"/>
        <v>0</v>
      </c>
      <c r="O103" s="73">
        <f t="shared" si="12"/>
        <v>0</v>
      </c>
    </row>
    <row r="104" spans="1:15" ht="15" customHeight="1">
      <c r="A104" s="75">
        <f>'Members Data'!A96</f>
        <v>0</v>
      </c>
      <c r="B104" s="199"/>
      <c r="C104" s="200"/>
      <c r="D104" s="200"/>
      <c r="E104" s="200"/>
      <c r="F104" s="200"/>
      <c r="G104" s="200"/>
      <c r="H104" s="201"/>
      <c r="I104" s="70">
        <f t="array" ref="I104">SUM(($B104:$H104="confirmed")*($B$4:$H$4=25))</f>
        <v>0</v>
      </c>
      <c r="J104" s="43">
        <f t="array" ref="J104">SUM(($B104:$H104="standby")*($B$4:$H$4=25))</f>
        <v>0</v>
      </c>
      <c r="K104" s="43">
        <f t="array" ref="K104">SUM(($B104:$H104="confirmed")*($B$4:$H$4=10))</f>
        <v>0</v>
      </c>
      <c r="L104" s="43">
        <f t="array" ref="L104">SUM(($B104:$H104="standby")*($B$4:$H$4=10))</f>
        <v>0</v>
      </c>
      <c r="M104" s="72">
        <f t="shared" si="10"/>
        <v>0</v>
      </c>
      <c r="N104" s="72">
        <f t="shared" si="11"/>
        <v>0</v>
      </c>
      <c r="O104" s="73">
        <f t="shared" si="12"/>
        <v>0</v>
      </c>
    </row>
    <row r="105" spans="1:15" ht="15" customHeight="1">
      <c r="A105" s="75">
        <f>'Members Data'!A97</f>
        <v>0</v>
      </c>
      <c r="B105" s="199"/>
      <c r="C105" s="200"/>
      <c r="D105" s="200"/>
      <c r="E105" s="200"/>
      <c r="F105" s="200"/>
      <c r="G105" s="200"/>
      <c r="H105" s="201"/>
      <c r="I105" s="70">
        <f t="array" ref="I105">SUM(($B105:$H105="confirmed")*($B$4:$H$4=25))</f>
        <v>0</v>
      </c>
      <c r="J105" s="43">
        <f t="array" ref="J105">SUM(($B105:$H105="standby")*($B$4:$H$4=25))</f>
        <v>0</v>
      </c>
      <c r="K105" s="43">
        <f t="array" ref="K105">SUM(($B105:$H105="confirmed")*($B$4:$H$4=10))</f>
        <v>0</v>
      </c>
      <c r="L105" s="43">
        <f t="array" ref="L105">SUM(($B105:$H105="standby")*($B$4:$H$4=10))</f>
        <v>0</v>
      </c>
      <c r="M105" s="72">
        <f t="shared" si="10"/>
        <v>0</v>
      </c>
      <c r="N105" s="72">
        <f t="shared" si="11"/>
        <v>0</v>
      </c>
      <c r="O105" s="73">
        <f t="shared" si="12"/>
        <v>0</v>
      </c>
    </row>
    <row r="106" spans="1:15" ht="15" customHeight="1">
      <c r="A106" s="75">
        <f>'Members Data'!A98</f>
        <v>0</v>
      </c>
      <c r="B106" s="199"/>
      <c r="C106" s="200"/>
      <c r="D106" s="200"/>
      <c r="E106" s="200"/>
      <c r="F106" s="200"/>
      <c r="G106" s="200"/>
      <c r="H106" s="201"/>
      <c r="I106" s="70">
        <f t="array" ref="I106">SUM(($B106:$H106="confirmed")*($B$4:$H$4=25))</f>
        <v>0</v>
      </c>
      <c r="J106" s="43">
        <f t="array" ref="J106">SUM(($B106:$H106="standby")*($B$4:$H$4=25))</f>
        <v>0</v>
      </c>
      <c r="K106" s="43">
        <f t="array" ref="K106">SUM(($B106:$H106="confirmed")*($B$4:$H$4=10))</f>
        <v>0</v>
      </c>
      <c r="L106" s="43">
        <f t="array" ref="L106">SUM(($B106:$H106="standby")*($B$4:$H$4=10))</f>
        <v>0</v>
      </c>
      <c r="M106" s="72">
        <f t="shared" si="10"/>
        <v>0</v>
      </c>
      <c r="N106" s="72">
        <f t="shared" si="11"/>
        <v>0</v>
      </c>
      <c r="O106" s="73">
        <f t="shared" si="12"/>
        <v>0</v>
      </c>
    </row>
    <row r="107" spans="1:15" ht="15" customHeight="1">
      <c r="A107" s="75">
        <f>'Members Data'!A99</f>
        <v>0</v>
      </c>
      <c r="B107" s="199"/>
      <c r="C107" s="200"/>
      <c r="D107" s="200"/>
      <c r="E107" s="200"/>
      <c r="F107" s="200"/>
      <c r="G107" s="200"/>
      <c r="H107" s="201"/>
      <c r="I107" s="70">
        <f t="array" ref="I107">SUM(($B107:$H107="confirmed")*($B$4:$H$4=25))</f>
        <v>0</v>
      </c>
      <c r="J107" s="43">
        <f t="array" ref="J107">SUM(($B107:$H107="standby")*($B$4:$H$4=25))</f>
        <v>0</v>
      </c>
      <c r="K107" s="43">
        <f t="array" ref="K107">SUM(($B107:$H107="confirmed")*($B$4:$H$4=10))</f>
        <v>0</v>
      </c>
      <c r="L107" s="43">
        <f t="array" ref="L107">SUM(($B107:$H107="standby")*($B$4:$H$4=10))</f>
        <v>0</v>
      </c>
      <c r="M107" s="72">
        <f t="shared" si="10"/>
        <v>0</v>
      </c>
      <c r="N107" s="72">
        <f t="shared" si="11"/>
        <v>0</v>
      </c>
      <c r="O107" s="73">
        <f t="shared" si="12"/>
        <v>0</v>
      </c>
    </row>
    <row r="108" spans="1:15" ht="15" customHeight="1" thickBot="1">
      <c r="A108" s="142">
        <f>'Members Data'!A100</f>
        <v>0</v>
      </c>
      <c r="B108" s="208"/>
      <c r="C108" s="209"/>
      <c r="D108" s="209"/>
      <c r="E108" s="209"/>
      <c r="F108" s="209"/>
      <c r="G108" s="209"/>
      <c r="H108" s="210"/>
      <c r="I108" s="225">
        <f t="array" ref="I108">SUM(($B108:$H108="confirmed")*($B$4:$H$4=25))</f>
        <v>0</v>
      </c>
      <c r="J108" s="52">
        <f t="array" ref="J108">SUM(($B108:$H108="standby")*($B$4:$H$4=25))</f>
        <v>0</v>
      </c>
      <c r="K108" s="52">
        <f t="array" ref="K108">SUM(($B108:$H108="confirmed")*($B$4:$H$4=10))</f>
        <v>0</v>
      </c>
      <c r="L108" s="52">
        <f t="array" ref="L108">SUM(($B108:$H108="standby")*($B$4:$H$4=10))</f>
        <v>0</v>
      </c>
      <c r="M108" s="77">
        <f t="shared" si="10"/>
        <v>0</v>
      </c>
      <c r="N108" s="77">
        <f t="shared" si="11"/>
        <v>0</v>
      </c>
      <c r="O108" s="78">
        <f t="shared" si="12"/>
        <v>0</v>
      </c>
    </row>
  </sheetData>
  <mergeCells count="7">
    <mergeCell ref="M1:M9"/>
    <mergeCell ref="N1:N9"/>
    <mergeCell ref="O1:O9"/>
    <mergeCell ref="I1:I9"/>
    <mergeCell ref="J1:J9"/>
    <mergeCell ref="K1:K9"/>
    <mergeCell ref="L1:L9"/>
  </mergeCells>
  <conditionalFormatting sqref="A10:A108">
    <cfRule type="expression" dxfId="5" priority="1" stopIfTrue="1">
      <formula>IF(O10&gt;0,TRUE)</formula>
    </cfRule>
    <cfRule type="expression" dxfId="4" priority="2" stopIfTrue="1">
      <formula>IF(SUM(M10:N10)&gt;1,TRUE)</formula>
    </cfRule>
    <cfRule type="expression" dxfId="3" priority="3" stopIfTrue="1">
      <formula>IF(SUM(M10:N10)&lt;2,TRUE)</formula>
    </cfRule>
  </conditionalFormatting>
  <dataValidations count="2">
    <dataValidation type="list" operator="equal" showErrorMessage="1" sqref="R5:R9 B10:H108">
      <formula1>"Invited,Confirmed,Standby,Out"</formula1>
      <formula2>0</formula2>
    </dataValidation>
    <dataValidation type="list" operator="equal" sqref="B4:H4">
      <formula1>"??,10,25"</formula1>
      <formula2>0</formula2>
    </dataValidation>
  </dataValidations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/>
  <headerFooter alignWithMargins="0">
    <oddHeader>&amp;C&amp;"Times New Roman,Regular"&amp;12&amp;A</oddHeader>
    <oddFooter>&amp;C&amp;"Times New Roman,Regular"&amp;12Page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R108"/>
  <sheetViews>
    <sheetView workbookViewId="0">
      <pane xSplit="1" ySplit="9" topLeftCell="B19" activePane="bottomRight" state="frozen"/>
      <selection activeCell="F51" sqref="F47:F51"/>
      <selection pane="topRight" activeCell="F51" sqref="F47:F51"/>
      <selection pane="bottomLeft" activeCell="F51" sqref="F47:F51"/>
      <selection pane="bottomRight" activeCell="D28" sqref="D28"/>
    </sheetView>
  </sheetViews>
  <sheetFormatPr defaultColWidth="8.7109375" defaultRowHeight="15" customHeight="1"/>
  <cols>
    <col min="1" max="1" width="14" style="1" customWidth="1"/>
    <col min="2" max="8" width="11.140625" style="1" customWidth="1"/>
    <col min="9" max="15" width="10.28515625" style="1" customWidth="1"/>
    <col min="16" max="16384" width="8.7109375" style="1"/>
  </cols>
  <sheetData>
    <row r="1" spans="1:18" ht="33" customHeight="1" thickBot="1">
      <c r="A1" s="54" t="s">
        <v>26</v>
      </c>
      <c r="B1" s="55" t="s">
        <v>190</v>
      </c>
      <c r="C1" s="55" t="s">
        <v>191</v>
      </c>
      <c r="D1" s="55" t="s">
        <v>192</v>
      </c>
      <c r="E1" s="55" t="s">
        <v>193</v>
      </c>
      <c r="F1" s="55" t="s">
        <v>194</v>
      </c>
      <c r="G1" s="55" t="s">
        <v>197</v>
      </c>
      <c r="H1" s="55" t="s">
        <v>40</v>
      </c>
      <c r="I1" s="504" t="s">
        <v>41</v>
      </c>
      <c r="J1" s="498" t="s">
        <v>42</v>
      </c>
      <c r="K1" s="498" t="s">
        <v>43</v>
      </c>
      <c r="L1" s="498" t="s">
        <v>44</v>
      </c>
      <c r="M1" s="498" t="s">
        <v>45</v>
      </c>
      <c r="N1" s="498" t="s">
        <v>46</v>
      </c>
      <c r="O1" s="501" t="s">
        <v>47</v>
      </c>
    </row>
    <row r="2" spans="1:18" ht="15.75" customHeight="1" thickBot="1">
      <c r="A2" s="54" t="s">
        <v>48</v>
      </c>
      <c r="B2" s="220">
        <f>'wk4'!H2+2</f>
        <v>41542</v>
      </c>
      <c r="C2" s="211">
        <f>B2</f>
        <v>41542</v>
      </c>
      <c r="D2" s="211">
        <f t="shared" ref="D2:H2" si="0">C2+1</f>
        <v>41543</v>
      </c>
      <c r="E2" s="211">
        <f>D2</f>
        <v>41543</v>
      </c>
      <c r="F2" s="211">
        <f>E2+3</f>
        <v>41546</v>
      </c>
      <c r="G2" s="211">
        <f>F2</f>
        <v>41546</v>
      </c>
      <c r="H2" s="212">
        <f t="shared" si="0"/>
        <v>41547</v>
      </c>
      <c r="I2" s="505"/>
      <c r="J2" s="499"/>
      <c r="K2" s="499"/>
      <c r="L2" s="499"/>
      <c r="M2" s="499"/>
      <c r="N2" s="499"/>
      <c r="O2" s="502"/>
    </row>
    <row r="3" spans="1:18" ht="15.75" customHeight="1" thickBot="1">
      <c r="A3" s="54" t="s">
        <v>49</v>
      </c>
      <c r="B3" s="60" t="s">
        <v>262</v>
      </c>
      <c r="C3" s="61"/>
      <c r="D3" s="61" t="s">
        <v>262</v>
      </c>
      <c r="E3" s="61"/>
      <c r="F3" s="61"/>
      <c r="G3" s="61"/>
      <c r="H3" s="62"/>
      <c r="I3" s="505"/>
      <c r="J3" s="499"/>
      <c r="K3" s="499"/>
      <c r="L3" s="499"/>
      <c r="M3" s="499"/>
      <c r="N3" s="499"/>
      <c r="O3" s="502"/>
    </row>
    <row r="4" spans="1:18" ht="15.75" customHeight="1" thickBot="1">
      <c r="A4" s="54" t="s">
        <v>50</v>
      </c>
      <c r="B4" s="213">
        <v>25</v>
      </c>
      <c r="C4" s="61"/>
      <c r="D4" s="61">
        <v>25</v>
      </c>
      <c r="E4" s="61"/>
      <c r="F4" s="61"/>
      <c r="G4" s="61"/>
      <c r="H4" s="62"/>
      <c r="I4" s="505"/>
      <c r="J4" s="499"/>
      <c r="K4" s="499"/>
      <c r="L4" s="499"/>
      <c r="M4" s="499"/>
      <c r="N4" s="499"/>
      <c r="O4" s="502"/>
    </row>
    <row r="5" spans="1:18" ht="30.75" customHeight="1" thickBot="1">
      <c r="A5" s="54" t="s">
        <v>51</v>
      </c>
      <c r="B5" s="64"/>
      <c r="C5" s="65"/>
      <c r="D5" s="65"/>
      <c r="E5" s="65"/>
      <c r="F5" s="65"/>
      <c r="G5" s="65"/>
      <c r="H5" s="66"/>
      <c r="I5" s="505"/>
      <c r="J5" s="499"/>
      <c r="K5" s="499"/>
      <c r="L5" s="499"/>
      <c r="M5" s="499"/>
      <c r="N5" s="499"/>
      <c r="O5" s="502"/>
    </row>
    <row r="6" spans="1:18" ht="30.75" customHeight="1" thickBot="1">
      <c r="A6" s="54" t="s">
        <v>195</v>
      </c>
      <c r="B6" s="374"/>
      <c r="C6" s="374"/>
      <c r="D6" s="374"/>
      <c r="E6" s="374"/>
      <c r="F6" s="374"/>
      <c r="G6" s="374"/>
      <c r="H6" s="375"/>
      <c r="I6" s="505"/>
      <c r="J6" s="499"/>
      <c r="K6" s="499"/>
      <c r="L6" s="499"/>
      <c r="M6" s="499"/>
      <c r="N6" s="499"/>
      <c r="O6" s="502"/>
    </row>
    <row r="7" spans="1:18">
      <c r="A7" s="54" t="s">
        <v>53</v>
      </c>
      <c r="B7" s="214">
        <f t="shared" ref="B7:H7" si="1">COUNTIF(B10:B69,"Confirmed")</f>
        <v>25</v>
      </c>
      <c r="C7" s="214">
        <f t="shared" si="1"/>
        <v>0</v>
      </c>
      <c r="D7" s="214">
        <f t="shared" si="1"/>
        <v>24</v>
      </c>
      <c r="E7" s="214">
        <f t="shared" si="1"/>
        <v>0</v>
      </c>
      <c r="F7" s="214">
        <f t="shared" si="1"/>
        <v>0</v>
      </c>
      <c r="G7" s="214">
        <f t="shared" si="1"/>
        <v>0</v>
      </c>
      <c r="H7" s="215">
        <f t="shared" si="1"/>
        <v>0</v>
      </c>
      <c r="I7" s="505"/>
      <c r="J7" s="499"/>
      <c r="K7" s="499"/>
      <c r="L7" s="499"/>
      <c r="M7" s="499"/>
      <c r="N7" s="499"/>
      <c r="O7" s="502"/>
    </row>
    <row r="8" spans="1:18">
      <c r="A8" s="58" t="s">
        <v>52</v>
      </c>
      <c r="B8" s="216">
        <f t="shared" ref="B8:H8" si="2">COUNTIF(B10:B69,"Standby")</f>
        <v>4</v>
      </c>
      <c r="C8" s="216">
        <f t="shared" si="2"/>
        <v>0</v>
      </c>
      <c r="D8" s="216">
        <f t="shared" si="2"/>
        <v>0</v>
      </c>
      <c r="E8" s="216">
        <f t="shared" si="2"/>
        <v>0</v>
      </c>
      <c r="F8" s="216">
        <f t="shared" si="2"/>
        <v>0</v>
      </c>
      <c r="G8" s="216">
        <f t="shared" si="2"/>
        <v>0</v>
      </c>
      <c r="H8" s="217">
        <f t="shared" si="2"/>
        <v>0</v>
      </c>
      <c r="I8" s="505"/>
      <c r="J8" s="499"/>
      <c r="K8" s="499"/>
      <c r="L8" s="499"/>
      <c r="M8" s="499"/>
      <c r="N8" s="499"/>
      <c r="O8" s="502"/>
    </row>
    <row r="9" spans="1:18" ht="15.75" thickBot="1">
      <c r="A9" s="63" t="s">
        <v>39</v>
      </c>
      <c r="B9" s="218">
        <f t="shared" ref="B9:H9" si="3">COUNTIF(B10:B69,"Out")</f>
        <v>0</v>
      </c>
      <c r="C9" s="218">
        <f t="shared" si="3"/>
        <v>0</v>
      </c>
      <c r="D9" s="218">
        <f t="shared" si="3"/>
        <v>0</v>
      </c>
      <c r="E9" s="218">
        <f t="shared" si="3"/>
        <v>0</v>
      </c>
      <c r="F9" s="218">
        <f t="shared" si="3"/>
        <v>0</v>
      </c>
      <c r="G9" s="218">
        <f t="shared" si="3"/>
        <v>0</v>
      </c>
      <c r="H9" s="219">
        <f t="shared" si="3"/>
        <v>0</v>
      </c>
      <c r="I9" s="506"/>
      <c r="J9" s="500"/>
      <c r="K9" s="500"/>
      <c r="L9" s="500"/>
      <c r="M9" s="500"/>
      <c r="N9" s="500"/>
      <c r="O9" s="503"/>
    </row>
    <row r="10" spans="1:18" ht="15" customHeight="1">
      <c r="A10" s="5" t="str">
        <f>'Members Data'!A2</f>
        <v>Adanya</v>
      </c>
      <c r="B10" s="196" t="s">
        <v>53</v>
      </c>
      <c r="C10" s="197"/>
      <c r="D10" s="197" t="s">
        <v>53</v>
      </c>
      <c r="E10" s="197"/>
      <c r="F10" s="197"/>
      <c r="G10" s="197"/>
      <c r="H10" s="198"/>
      <c r="I10" s="67">
        <f t="array" ref="I10">SUM(($B10:$H10="confirmed")*($B$4:$H$4=25))</f>
        <v>2</v>
      </c>
      <c r="J10" s="68">
        <f t="array" ref="J10">SUM(($B10:$H10="standby")*($B$4:$H$4=25))</f>
        <v>0</v>
      </c>
      <c r="K10" s="68">
        <f t="array" ref="K10">SUM(($B10:$H10="confirmed")*($B$4:$H$4=10))</f>
        <v>0</v>
      </c>
      <c r="L10" s="68">
        <f t="array" ref="L10">SUM(($B10:$H10="standby")*($B$4:$H$4=10))</f>
        <v>0</v>
      </c>
      <c r="M10" s="68">
        <f t="shared" ref="M10:M74" si="4">COUNTIF(B10:H10,"confirmed")</f>
        <v>2</v>
      </c>
      <c r="N10" s="68">
        <f t="shared" ref="N10:N74" si="5">COUNTIF(B10:H10,"standby")</f>
        <v>0</v>
      </c>
      <c r="O10" s="69">
        <f t="shared" ref="O10:O74" si="6">COUNTIF(B10:H10,"out")</f>
        <v>0</v>
      </c>
      <c r="Q10"/>
    </row>
    <row r="11" spans="1:18" ht="15" customHeight="1">
      <c r="A11" s="9" t="str">
        <f>'Members Data'!A3</f>
        <v>Ambú</v>
      </c>
      <c r="B11" s="199" t="s">
        <v>53</v>
      </c>
      <c r="C11" s="200"/>
      <c r="D11" s="200" t="s">
        <v>53</v>
      </c>
      <c r="E11" s="200"/>
      <c r="F11" s="200"/>
      <c r="G11" s="200"/>
      <c r="H11" s="201"/>
      <c r="I11" s="70">
        <f t="array" ref="I11">SUM(($B11:$H11="confirmed")*($B$4:$H$4=25))</f>
        <v>2</v>
      </c>
      <c r="J11" s="43">
        <f t="array" ref="J11">SUM(($B11:$H11="standby")*($B$4:$H$4=25))</f>
        <v>0</v>
      </c>
      <c r="K11" s="43">
        <f t="array" ref="K11">SUM(($B11:$H11="confirmed")*($B$4:$H$4=10))</f>
        <v>0</v>
      </c>
      <c r="L11" s="43">
        <f t="array" ref="L11">SUM(($B11:$H11="standby")*($B$4:$H$4=10))</f>
        <v>0</v>
      </c>
      <c r="M11" s="15">
        <f t="shared" si="4"/>
        <v>2</v>
      </c>
      <c r="N11" s="15">
        <f t="shared" si="5"/>
        <v>0</v>
      </c>
      <c r="O11" s="16">
        <f t="shared" si="6"/>
        <v>0</v>
      </c>
      <c r="Q11"/>
      <c r="R11"/>
    </row>
    <row r="12" spans="1:18" ht="15" customHeight="1">
      <c r="A12" s="9" t="str">
        <f>'Members Data'!A4</f>
        <v>Ashenhand</v>
      </c>
      <c r="B12" s="332" t="s">
        <v>53</v>
      </c>
      <c r="C12" s="200"/>
      <c r="D12" s="200" t="s">
        <v>53</v>
      </c>
      <c r="E12" s="200"/>
      <c r="F12" s="200"/>
      <c r="G12" s="200"/>
      <c r="H12" s="201"/>
      <c r="I12" s="70">
        <f t="array" ref="I12">SUM(($B12:$H12="confirmed")*($B$4:$H$4=25))</f>
        <v>2</v>
      </c>
      <c r="J12" s="43">
        <f t="array" ref="J12">SUM(($B12:$H12="standby")*($B$4:$H$4=25))</f>
        <v>0</v>
      </c>
      <c r="K12" s="43">
        <f t="array" ref="K12">SUM(($B12:$H12="confirmed")*($B$4:$H$4=10))</f>
        <v>0</v>
      </c>
      <c r="L12" s="43">
        <f t="array" ref="L12">SUM(($B12:$H12="standby")*($B$4:$H$4=10))</f>
        <v>0</v>
      </c>
      <c r="M12" s="15">
        <f t="shared" si="4"/>
        <v>2</v>
      </c>
      <c r="N12" s="15">
        <f t="shared" si="5"/>
        <v>0</v>
      </c>
      <c r="O12" s="16">
        <f t="shared" si="6"/>
        <v>0</v>
      </c>
      <c r="Q12"/>
      <c r="R12"/>
    </row>
    <row r="13" spans="1:18" ht="15" customHeight="1">
      <c r="A13" s="9" t="str">
        <f>'Members Data'!A5</f>
        <v>Âspect</v>
      </c>
      <c r="B13" s="332" t="s">
        <v>53</v>
      </c>
      <c r="C13" s="200"/>
      <c r="D13" s="200" t="s">
        <v>53</v>
      </c>
      <c r="E13" s="200"/>
      <c r="F13" s="200"/>
      <c r="G13" s="200"/>
      <c r="H13" s="201"/>
      <c r="I13" s="70">
        <f t="array" ref="I13">SUM(($B13:$H13="confirmed")*($B$4:$H$4=25))</f>
        <v>2</v>
      </c>
      <c r="J13" s="43">
        <f t="array" ref="J13">SUM(($B13:$H13="standby")*($B$4:$H$4=25))</f>
        <v>0</v>
      </c>
      <c r="K13" s="43">
        <f t="array" ref="K13">SUM(($B13:$H13="confirmed")*($B$4:$H$4=10))</f>
        <v>0</v>
      </c>
      <c r="L13" s="43">
        <f t="array" ref="L13">SUM(($B13:$H13="standby")*($B$4:$H$4=10))</f>
        <v>0</v>
      </c>
      <c r="M13" s="15">
        <f t="shared" si="4"/>
        <v>2</v>
      </c>
      <c r="N13" s="15">
        <f t="shared" si="5"/>
        <v>0</v>
      </c>
      <c r="O13" s="16">
        <f t="shared" si="6"/>
        <v>0</v>
      </c>
      <c r="Q13"/>
      <c r="R13"/>
    </row>
    <row r="14" spans="1:18" ht="15" customHeight="1">
      <c r="A14" s="9" t="str">
        <f>'Members Data'!A6</f>
        <v>Assap</v>
      </c>
      <c r="B14" s="332" t="s">
        <v>52</v>
      </c>
      <c r="C14" s="200"/>
      <c r="D14" s="200"/>
      <c r="E14" s="200"/>
      <c r="F14" s="200"/>
      <c r="G14" s="200"/>
      <c r="H14" s="201"/>
      <c r="I14" s="70">
        <f t="array" ref="I14">SUM(($B14:$H14="confirmed")*($B$4:$H$4=25))</f>
        <v>0</v>
      </c>
      <c r="J14" s="43">
        <f t="array" ref="J14">SUM(($B14:$H14="standby")*($B$4:$H$4=25))</f>
        <v>1</v>
      </c>
      <c r="K14" s="43">
        <f t="array" ref="K14">SUM(($B14:$H14="confirmed")*($B$4:$H$4=10))</f>
        <v>0</v>
      </c>
      <c r="L14" s="43">
        <f t="array" ref="L14">SUM(($B14:$H14="standby")*($B$4:$H$4=10))</f>
        <v>0</v>
      </c>
      <c r="M14" s="15">
        <f t="shared" si="4"/>
        <v>0</v>
      </c>
      <c r="N14" s="15">
        <f t="shared" si="5"/>
        <v>1</v>
      </c>
      <c r="O14" s="16">
        <f t="shared" si="6"/>
        <v>0</v>
      </c>
      <c r="Q14"/>
      <c r="R14"/>
    </row>
    <row r="15" spans="1:18" ht="15" customHeight="1">
      <c r="A15" s="9" t="str">
        <f>'Members Data'!A7</f>
        <v>Bonegasmic</v>
      </c>
      <c r="B15" s="199" t="s">
        <v>52</v>
      </c>
      <c r="C15" s="200"/>
      <c r="D15" s="200" t="s">
        <v>53</v>
      </c>
      <c r="E15" s="200"/>
      <c r="F15" s="200"/>
      <c r="G15" s="200"/>
      <c r="H15" s="201"/>
      <c r="I15" s="70">
        <f t="array" ref="I15">SUM(($B15:$H15="confirmed")*($B$4:$H$4=25))</f>
        <v>1</v>
      </c>
      <c r="J15" s="43">
        <f t="array" ref="J15">SUM(($B15:$H15="standby")*($B$4:$H$4=25))</f>
        <v>1</v>
      </c>
      <c r="K15" s="43">
        <f t="array" ref="K15">SUM(($B15:$H15="confirmed")*($B$4:$H$4=10))</f>
        <v>0</v>
      </c>
      <c r="L15" s="43">
        <f t="array" ref="L15">SUM(($B15:$H15="standby")*($B$4:$H$4=10))</f>
        <v>0</v>
      </c>
      <c r="M15" s="15">
        <f t="shared" si="4"/>
        <v>1</v>
      </c>
      <c r="N15" s="15">
        <f t="shared" si="5"/>
        <v>1</v>
      </c>
      <c r="O15" s="16">
        <f t="shared" si="6"/>
        <v>0</v>
      </c>
      <c r="Q15"/>
      <c r="R15"/>
    </row>
    <row r="16" spans="1:18" ht="15" customHeight="1">
      <c r="A16" s="9" t="str">
        <f>'Members Data'!A8</f>
        <v>Brákspak</v>
      </c>
      <c r="B16" s="332" t="s">
        <v>53</v>
      </c>
      <c r="C16" s="200"/>
      <c r="D16" s="200" t="s">
        <v>53</v>
      </c>
      <c r="E16" s="200"/>
      <c r="F16" s="200"/>
      <c r="G16" s="200"/>
      <c r="H16" s="201"/>
      <c r="I16" s="70">
        <f t="array" ref="I16">SUM(($B16:$H16="confirmed")*($B$4:$H$4=25))</f>
        <v>2</v>
      </c>
      <c r="J16" s="43">
        <f t="array" ref="J16">SUM(($B16:$H16="standby")*($B$4:$H$4=25))</f>
        <v>0</v>
      </c>
      <c r="K16" s="43">
        <f t="array" ref="K16">SUM(($B16:$H16="confirmed")*($B$4:$H$4=10))</f>
        <v>0</v>
      </c>
      <c r="L16" s="43">
        <f t="array" ref="L16">SUM(($B16:$H16="standby")*($B$4:$H$4=10))</f>
        <v>0</v>
      </c>
      <c r="M16" s="15">
        <f t="shared" si="4"/>
        <v>2</v>
      </c>
      <c r="N16" s="15">
        <f t="shared" si="5"/>
        <v>0</v>
      </c>
      <c r="O16" s="16">
        <f t="shared" si="6"/>
        <v>0</v>
      </c>
      <c r="Q16"/>
      <c r="R16"/>
    </row>
    <row r="17" spans="1:18" ht="15" customHeight="1">
      <c r="A17" s="9" t="str">
        <f>'Members Data'!A9</f>
        <v>Catena</v>
      </c>
      <c r="B17" s="332"/>
      <c r="C17" s="200"/>
      <c r="D17" s="200"/>
      <c r="E17" s="200"/>
      <c r="F17" s="200"/>
      <c r="G17" s="200"/>
      <c r="H17" s="201"/>
      <c r="I17" s="70">
        <f t="array" ref="I17">SUM(($B17:$H17="confirmed")*($B$4:$H$4=25))</f>
        <v>0</v>
      </c>
      <c r="J17" s="43">
        <f t="array" ref="J17">SUM(($B17:$H17="standby")*($B$4:$H$4=25))</f>
        <v>0</v>
      </c>
      <c r="K17" s="43">
        <f t="array" ref="K17">SUM(($B17:$H17="confirmed")*($B$4:$H$4=10))</f>
        <v>0</v>
      </c>
      <c r="L17" s="43">
        <f t="array" ref="L17">SUM(($B17:$H17="standby")*($B$4:$H$4=10))</f>
        <v>0</v>
      </c>
      <c r="M17" s="15">
        <f t="shared" si="4"/>
        <v>0</v>
      </c>
      <c r="N17" s="15">
        <f t="shared" si="5"/>
        <v>0</v>
      </c>
      <c r="O17" s="16">
        <f t="shared" si="6"/>
        <v>0</v>
      </c>
      <c r="Q17"/>
      <c r="R17"/>
    </row>
    <row r="18" spans="1:18" ht="15" customHeight="1">
      <c r="A18" s="9" t="str">
        <f>'Members Data'!A10</f>
        <v>Céléstine</v>
      </c>
      <c r="B18" s="199" t="s">
        <v>53</v>
      </c>
      <c r="C18" s="200"/>
      <c r="D18" s="200" t="s">
        <v>53</v>
      </c>
      <c r="E18" s="200"/>
      <c r="F18" s="200"/>
      <c r="G18" s="200"/>
      <c r="H18" s="201"/>
      <c r="I18" s="70">
        <f t="array" ref="I18">SUM(($B18:$H18="confirmed")*($B$4:$H$4=25))</f>
        <v>2</v>
      </c>
      <c r="J18" s="43">
        <f t="array" ref="J18">SUM(($B18:$H18="standby")*($B$4:$H$4=25))</f>
        <v>0</v>
      </c>
      <c r="K18" s="43">
        <f t="array" ref="K18">SUM(($B18:$H18="confirmed")*($B$4:$H$4=10))</f>
        <v>0</v>
      </c>
      <c r="L18" s="43">
        <f t="array" ref="L18">SUM(($B18:$H18="standby")*($B$4:$H$4=10))</f>
        <v>0</v>
      </c>
      <c r="M18" s="15">
        <f t="shared" si="4"/>
        <v>2</v>
      </c>
      <c r="N18" s="15">
        <f t="shared" si="5"/>
        <v>0</v>
      </c>
      <c r="O18" s="16">
        <f t="shared" si="6"/>
        <v>0</v>
      </c>
      <c r="Q18"/>
      <c r="R18"/>
    </row>
    <row r="19" spans="1:18" ht="15" customHeight="1">
      <c r="A19" s="9" t="str">
        <f>'Members Data'!A11</f>
        <v>Cottman</v>
      </c>
      <c r="B19" s="199" t="s">
        <v>53</v>
      </c>
      <c r="C19" s="200"/>
      <c r="D19" s="200" t="s">
        <v>53</v>
      </c>
      <c r="E19" s="200"/>
      <c r="F19" s="200"/>
      <c r="G19" s="200"/>
      <c r="H19" s="201"/>
      <c r="I19" s="70">
        <f t="array" ref="I19">SUM(($B19:$H19="confirmed")*($B$4:$H$4=25))</f>
        <v>2</v>
      </c>
      <c r="J19" s="43">
        <f t="array" ref="J19">SUM(($B19:$H19="standby")*($B$4:$H$4=25))</f>
        <v>0</v>
      </c>
      <c r="K19" s="43">
        <f t="array" ref="K19">SUM(($B19:$H19="confirmed")*($B$4:$H$4=10))</f>
        <v>0</v>
      </c>
      <c r="L19" s="43">
        <f t="array" ref="L19">SUM(($B19:$H19="standby")*($B$4:$H$4=10))</f>
        <v>0</v>
      </c>
      <c r="M19" s="15">
        <f t="shared" si="4"/>
        <v>2</v>
      </c>
      <c r="N19" s="15">
        <f t="shared" si="5"/>
        <v>0</v>
      </c>
      <c r="O19" s="16">
        <f t="shared" si="6"/>
        <v>0</v>
      </c>
      <c r="Q19"/>
      <c r="R19"/>
    </row>
    <row r="20" spans="1:18" ht="15" customHeight="1">
      <c r="A20" s="9" t="str">
        <f>'Members Data'!A12</f>
        <v>Craving</v>
      </c>
      <c r="B20" s="332" t="s">
        <v>53</v>
      </c>
      <c r="C20" s="200"/>
      <c r="D20" s="200" t="s">
        <v>53</v>
      </c>
      <c r="E20" s="200"/>
      <c r="F20" s="200"/>
      <c r="G20" s="200"/>
      <c r="H20" s="201"/>
      <c r="I20" s="70">
        <f t="array" ref="I20">SUM(($B20:$H20="confirmed")*($B$4:$H$4=25))</f>
        <v>2</v>
      </c>
      <c r="J20" s="43">
        <f t="array" ref="J20">SUM(($B20:$H20="standby")*($B$4:$H$4=25))</f>
        <v>0</v>
      </c>
      <c r="K20" s="43">
        <f t="array" ref="K20">SUM(($B20:$H20="confirmed")*($B$4:$H$4=10))</f>
        <v>0</v>
      </c>
      <c r="L20" s="43">
        <f t="array" ref="L20">SUM(($B20:$H20="standby")*($B$4:$H$4=10))</f>
        <v>0</v>
      </c>
      <c r="M20" s="15">
        <f t="shared" si="4"/>
        <v>2</v>
      </c>
      <c r="N20" s="15">
        <f t="shared" si="5"/>
        <v>0</v>
      </c>
      <c r="O20" s="16">
        <f t="shared" si="6"/>
        <v>0</v>
      </c>
      <c r="Q20"/>
      <c r="R20"/>
    </row>
    <row r="21" spans="1:18" ht="15" customHeight="1">
      <c r="A21" s="9" t="str">
        <f>'Members Data'!A13</f>
        <v>Darshei</v>
      </c>
      <c r="B21" s="332" t="s">
        <v>53</v>
      </c>
      <c r="C21" s="200"/>
      <c r="D21" s="200"/>
      <c r="E21" s="200"/>
      <c r="F21" s="200"/>
      <c r="G21" s="200"/>
      <c r="H21" s="201"/>
      <c r="I21" s="70">
        <f t="array" ref="I21">SUM(($B21:$H21="confirmed")*($B$4:$H$4=25))</f>
        <v>1</v>
      </c>
      <c r="J21" s="43">
        <f t="array" ref="J21">SUM(($B21:$H21="standby")*($B$4:$H$4=25))</f>
        <v>0</v>
      </c>
      <c r="K21" s="43">
        <f t="array" ref="K21">SUM(($B21:$H21="confirmed")*($B$4:$H$4=10))</f>
        <v>0</v>
      </c>
      <c r="L21" s="43">
        <f t="array" ref="L21">SUM(($B21:$H21="standby")*($B$4:$H$4=10))</f>
        <v>0</v>
      </c>
      <c r="M21" s="15">
        <f t="shared" si="4"/>
        <v>1</v>
      </c>
      <c r="N21" s="15">
        <f t="shared" si="5"/>
        <v>0</v>
      </c>
      <c r="O21" s="16">
        <f t="shared" si="6"/>
        <v>0</v>
      </c>
      <c r="Q21"/>
      <c r="R21"/>
    </row>
    <row r="22" spans="1:18" ht="15" customHeight="1">
      <c r="A22" s="9" t="str">
        <f>'Members Data'!A14</f>
        <v>Difson</v>
      </c>
      <c r="B22" s="332" t="s">
        <v>53</v>
      </c>
      <c r="C22" s="200"/>
      <c r="D22" s="200" t="s">
        <v>53</v>
      </c>
      <c r="E22" s="200"/>
      <c r="F22" s="200"/>
      <c r="G22" s="200"/>
      <c r="H22" s="201"/>
      <c r="I22" s="70">
        <f t="array" ref="I22">SUM(($B22:$H22="confirmed")*($B$4:$H$4=25))</f>
        <v>2</v>
      </c>
      <c r="J22" s="43">
        <f t="array" ref="J22">SUM(($B22:$H22="standby")*($B$4:$H$4=25))</f>
        <v>0</v>
      </c>
      <c r="K22" s="43">
        <f t="array" ref="K22">SUM(($B22:$H22="confirmed")*($B$4:$H$4=10))</f>
        <v>0</v>
      </c>
      <c r="L22" s="43">
        <f t="array" ref="L22">SUM(($B22:$H22="standby")*($B$4:$H$4=10))</f>
        <v>0</v>
      </c>
      <c r="M22" s="15">
        <f t="shared" si="4"/>
        <v>2</v>
      </c>
      <c r="N22" s="15">
        <f t="shared" si="5"/>
        <v>0</v>
      </c>
      <c r="O22" s="16">
        <f t="shared" si="6"/>
        <v>0</v>
      </c>
      <c r="Q22"/>
      <c r="R22"/>
    </row>
    <row r="23" spans="1:18" ht="15" customHeight="1">
      <c r="A23" s="9" t="str">
        <f>'Members Data'!A15</f>
        <v>Grandhoof</v>
      </c>
      <c r="B23" s="199" t="s">
        <v>53</v>
      </c>
      <c r="C23" s="200"/>
      <c r="D23" s="200" t="s">
        <v>53</v>
      </c>
      <c r="E23" s="200"/>
      <c r="F23" s="200"/>
      <c r="G23" s="200"/>
      <c r="H23" s="201"/>
      <c r="I23" s="70">
        <f t="array" ref="I23">SUM(($B23:$H23="confirmed")*($B$4:$H$4=25))</f>
        <v>2</v>
      </c>
      <c r="J23" s="43">
        <f t="array" ref="J23">SUM(($B23:$H23="standby")*($B$4:$H$4=25))</f>
        <v>0</v>
      </c>
      <c r="K23" s="43">
        <f t="array" ref="K23">SUM(($B23:$H23="confirmed")*($B$4:$H$4=10))</f>
        <v>0</v>
      </c>
      <c r="L23" s="43">
        <f t="array" ref="L23">SUM(($B23:$H23="standby")*($B$4:$H$4=10))</f>
        <v>0</v>
      </c>
      <c r="M23" s="15">
        <f t="shared" si="4"/>
        <v>2</v>
      </c>
      <c r="N23" s="15">
        <f t="shared" si="5"/>
        <v>0</v>
      </c>
      <c r="O23" s="16">
        <f t="shared" si="6"/>
        <v>0</v>
      </c>
      <c r="Q23"/>
      <c r="R23"/>
    </row>
    <row r="24" spans="1:18" ht="15" customHeight="1">
      <c r="A24" s="9" t="str">
        <f>'Members Data'!A16</f>
        <v>Harkar</v>
      </c>
      <c r="B24" s="332" t="s">
        <v>53</v>
      </c>
      <c r="C24" s="200"/>
      <c r="D24" s="200"/>
      <c r="E24" s="200"/>
      <c r="F24" s="200"/>
      <c r="G24" s="200"/>
      <c r="H24" s="201"/>
      <c r="I24" s="70">
        <f t="array" ref="I24">SUM(($B24:$H24="confirmed")*($B$4:$H$4=25))</f>
        <v>1</v>
      </c>
      <c r="J24" s="43">
        <f t="array" ref="J24">SUM(($B24:$H24="standby")*($B$4:$H$4=25))</f>
        <v>0</v>
      </c>
      <c r="K24" s="43">
        <f t="array" ref="K24">SUM(($B24:$H24="confirmed")*($B$4:$H$4=10))</f>
        <v>0</v>
      </c>
      <c r="L24" s="43">
        <f t="array" ref="L24">SUM(($B24:$H24="standby")*($B$4:$H$4=10))</f>
        <v>0</v>
      </c>
      <c r="M24" s="15">
        <f t="shared" si="4"/>
        <v>1</v>
      </c>
      <c r="N24" s="15">
        <f t="shared" si="5"/>
        <v>0</v>
      </c>
      <c r="O24" s="16">
        <f t="shared" si="6"/>
        <v>0</v>
      </c>
      <c r="Q24"/>
      <c r="R24"/>
    </row>
    <row r="25" spans="1:18" ht="15" customHeight="1">
      <c r="A25" s="9" t="str">
        <f>'Members Data'!A17</f>
        <v>Hyperïon</v>
      </c>
      <c r="B25" s="332"/>
      <c r="C25" s="200"/>
      <c r="D25" s="200"/>
      <c r="E25" s="200"/>
      <c r="F25" s="200"/>
      <c r="G25" s="200"/>
      <c r="H25" s="201"/>
      <c r="I25" s="70">
        <f t="array" ref="I25">SUM(($B25:$H25="confirmed")*($B$4:$H$4=25))</f>
        <v>0</v>
      </c>
      <c r="J25" s="43">
        <f t="array" ref="J25">SUM(($B25:$H25="standby")*($B$4:$H$4=25))</f>
        <v>0</v>
      </c>
      <c r="K25" s="43">
        <f t="array" ref="K25">SUM(($B25:$H25="confirmed")*($B$4:$H$4=10))</f>
        <v>0</v>
      </c>
      <c r="L25" s="43">
        <f t="array" ref="L25">SUM(($B25:$H25="standby")*($B$4:$H$4=10))</f>
        <v>0</v>
      </c>
      <c r="M25" s="15">
        <f t="shared" si="4"/>
        <v>0</v>
      </c>
      <c r="N25" s="15">
        <f t="shared" si="5"/>
        <v>0</v>
      </c>
      <c r="O25" s="16">
        <f t="shared" si="6"/>
        <v>0</v>
      </c>
      <c r="Q25"/>
      <c r="R25"/>
    </row>
    <row r="26" spans="1:18" ht="15" customHeight="1">
      <c r="A26" s="9" t="str">
        <f>'Members Data'!A18</f>
        <v>Illianá</v>
      </c>
      <c r="B26" s="332"/>
      <c r="C26" s="200"/>
      <c r="D26" s="200"/>
      <c r="E26" s="200"/>
      <c r="F26" s="200"/>
      <c r="G26" s="200"/>
      <c r="H26" s="201"/>
      <c r="I26" s="70">
        <f t="array" ref="I26">SUM(($B26:$H26="confirmed")*($B$4:$H$4=25))</f>
        <v>0</v>
      </c>
      <c r="J26" s="43">
        <f t="array" ref="J26">SUM(($B26:$H26="standby")*($B$4:$H$4=25))</f>
        <v>0</v>
      </c>
      <c r="K26" s="43">
        <f t="array" ref="K26">SUM(($B26:$H26="confirmed")*($B$4:$H$4=10))</f>
        <v>0</v>
      </c>
      <c r="L26" s="43">
        <f t="array" ref="L26">SUM(($B26:$H26="standby")*($B$4:$H$4=10))</f>
        <v>0</v>
      </c>
      <c r="M26" s="15">
        <f t="shared" si="4"/>
        <v>0</v>
      </c>
      <c r="N26" s="15">
        <f t="shared" si="5"/>
        <v>0</v>
      </c>
      <c r="O26" s="16">
        <f t="shared" si="6"/>
        <v>0</v>
      </c>
      <c r="Q26"/>
    </row>
    <row r="27" spans="1:18" ht="15" customHeight="1">
      <c r="A27" s="9" t="str">
        <f>'Members Data'!A19</f>
        <v>Izzabelle</v>
      </c>
      <c r="B27" s="332" t="s">
        <v>53</v>
      </c>
      <c r="C27" s="200"/>
      <c r="D27" s="200" t="s">
        <v>53</v>
      </c>
      <c r="E27" s="200"/>
      <c r="F27" s="200"/>
      <c r="G27" s="200"/>
      <c r="H27" s="201"/>
      <c r="I27" s="70">
        <f t="array" ref="I27">SUM(($B27:$H27="confirmed")*($B$4:$H$4=25))</f>
        <v>2</v>
      </c>
      <c r="J27" s="43">
        <f t="array" ref="J27">SUM(($B27:$H27="standby")*($B$4:$H$4=25))</f>
        <v>0</v>
      </c>
      <c r="K27" s="43">
        <f t="array" ref="K27">SUM(($B27:$H27="confirmed")*($B$4:$H$4=10))</f>
        <v>0</v>
      </c>
      <c r="L27" s="43">
        <f t="array" ref="L27">SUM(($B27:$H27="standby")*($B$4:$H$4=10))</f>
        <v>0</v>
      </c>
      <c r="M27" s="15">
        <f t="shared" si="4"/>
        <v>2</v>
      </c>
      <c r="N27" s="15">
        <f t="shared" si="5"/>
        <v>0</v>
      </c>
      <c r="O27" s="16">
        <f t="shared" si="6"/>
        <v>0</v>
      </c>
      <c r="Q27"/>
    </row>
    <row r="28" spans="1:18" ht="15" customHeight="1">
      <c r="A28" s="9" t="str">
        <f>'Members Data'!A20</f>
        <v>Kátsumi</v>
      </c>
      <c r="B28" s="332" t="s">
        <v>52</v>
      </c>
      <c r="C28" s="200"/>
      <c r="D28" s="200"/>
      <c r="E28" s="200"/>
      <c r="F28" s="200"/>
      <c r="G28" s="200"/>
      <c r="H28" s="201"/>
      <c r="I28" s="70">
        <f t="array" ref="I28">SUM(($B28:$H28="confirmed")*($B$4:$H$4=25))</f>
        <v>0</v>
      </c>
      <c r="J28" s="43">
        <f t="array" ref="J28">SUM(($B28:$H28="standby")*($B$4:$H$4=25))</f>
        <v>1</v>
      </c>
      <c r="K28" s="43">
        <f t="array" ref="K28">SUM(($B28:$H28="confirmed")*($B$4:$H$4=10))</f>
        <v>0</v>
      </c>
      <c r="L28" s="43">
        <f t="array" ref="L28">SUM(($B28:$H28="standby")*($B$4:$H$4=10))</f>
        <v>0</v>
      </c>
      <c r="M28" s="15">
        <f t="shared" si="4"/>
        <v>0</v>
      </c>
      <c r="N28" s="15">
        <f t="shared" si="5"/>
        <v>1</v>
      </c>
      <c r="O28" s="16">
        <f t="shared" si="6"/>
        <v>0</v>
      </c>
      <c r="Q28"/>
    </row>
    <row r="29" spans="1:18" ht="15" customHeight="1">
      <c r="A29" s="9" t="str">
        <f>'Members Data'!A21</f>
        <v>Lychi</v>
      </c>
      <c r="B29" s="332" t="s">
        <v>53</v>
      </c>
      <c r="C29" s="200"/>
      <c r="D29" s="200" t="s">
        <v>53</v>
      </c>
      <c r="E29" s="200"/>
      <c r="F29" s="200"/>
      <c r="G29" s="200"/>
      <c r="H29" s="201"/>
      <c r="I29" s="70">
        <f t="array" ref="I29">SUM(($B29:$H29="confirmed")*($B$4:$H$4=25))</f>
        <v>2</v>
      </c>
      <c r="J29" s="43">
        <f t="array" ref="J29">SUM(($B29:$H29="standby")*($B$4:$H$4=25))</f>
        <v>0</v>
      </c>
      <c r="K29" s="43">
        <f t="array" ref="K29">SUM(($B29:$H29="confirmed")*($B$4:$H$4=10))</f>
        <v>0</v>
      </c>
      <c r="L29" s="43">
        <f t="array" ref="L29">SUM(($B29:$H29="standby")*($B$4:$H$4=10))</f>
        <v>0</v>
      </c>
      <c r="M29" s="15">
        <f t="shared" si="4"/>
        <v>2</v>
      </c>
      <c r="N29" s="15">
        <f t="shared" si="5"/>
        <v>0</v>
      </c>
      <c r="O29" s="16">
        <f t="shared" si="6"/>
        <v>0</v>
      </c>
    </row>
    <row r="30" spans="1:18" ht="15" customHeight="1">
      <c r="A30" s="9" t="str">
        <f>'Members Data'!A22</f>
        <v>Méych</v>
      </c>
      <c r="B30" s="332" t="s">
        <v>52</v>
      </c>
      <c r="C30" s="200"/>
      <c r="D30" s="200" t="s">
        <v>53</v>
      </c>
      <c r="E30" s="200"/>
      <c r="F30" s="200"/>
      <c r="G30" s="200"/>
      <c r="H30" s="201"/>
      <c r="I30" s="70">
        <f t="array" ref="I30">SUM(($B30:$H30="confirmed")*($B$4:$H$4=25))</f>
        <v>1</v>
      </c>
      <c r="J30" s="43">
        <f t="array" ref="J30">SUM(($B30:$H30="standby")*($B$4:$H$4=25))</f>
        <v>1</v>
      </c>
      <c r="K30" s="43">
        <f t="array" ref="K30">SUM(($B30:$H30="confirmed")*($B$4:$H$4=10))</f>
        <v>0</v>
      </c>
      <c r="L30" s="43">
        <f t="array" ref="L30">SUM(($B30:$H30="standby")*($B$4:$H$4=10))</f>
        <v>0</v>
      </c>
      <c r="M30" s="15">
        <f t="shared" si="4"/>
        <v>1</v>
      </c>
      <c r="N30" s="15">
        <f t="shared" si="5"/>
        <v>1</v>
      </c>
      <c r="O30" s="16">
        <f t="shared" si="6"/>
        <v>0</v>
      </c>
    </row>
    <row r="31" spans="1:18" ht="15" customHeight="1">
      <c r="A31" s="9" t="str">
        <f>'Members Data'!A23</f>
        <v>Muckyfloor</v>
      </c>
      <c r="B31" s="332" t="s">
        <v>53</v>
      </c>
      <c r="C31" s="200"/>
      <c r="D31" s="200" t="s">
        <v>53</v>
      </c>
      <c r="E31" s="200"/>
      <c r="F31" s="200"/>
      <c r="G31" s="200"/>
      <c r="H31" s="201"/>
      <c r="I31" s="70">
        <f t="array" ref="I31">SUM(($B31:$H31="confirmed")*($B$4:$H$4=25))</f>
        <v>2</v>
      </c>
      <c r="J31" s="43">
        <f t="array" ref="J31">SUM(($B31:$H31="standby")*($B$4:$H$4=25))</f>
        <v>0</v>
      </c>
      <c r="K31" s="43">
        <f t="array" ref="K31">SUM(($B31:$H31="confirmed")*($B$4:$H$4=10))</f>
        <v>0</v>
      </c>
      <c r="L31" s="43">
        <f t="array" ref="L31">SUM(($B31:$H31="standby")*($B$4:$H$4=10))</f>
        <v>0</v>
      </c>
      <c r="M31" s="15">
        <f t="shared" si="4"/>
        <v>2</v>
      </c>
      <c r="N31" s="15">
        <f t="shared" si="5"/>
        <v>0</v>
      </c>
      <c r="O31" s="16">
        <f t="shared" si="6"/>
        <v>0</v>
      </c>
    </row>
    <row r="32" spans="1:18" ht="15" customHeight="1">
      <c r="A32" s="9" t="str">
        <f>'Members Data'!A24</f>
        <v>Müfti</v>
      </c>
      <c r="B32" s="332" t="s">
        <v>53</v>
      </c>
      <c r="C32" s="200"/>
      <c r="D32" s="200"/>
      <c r="E32" s="200"/>
      <c r="F32" s="200"/>
      <c r="G32" s="200"/>
      <c r="H32" s="201"/>
      <c r="I32" s="70">
        <f t="array" ref="I32">SUM(($B32:$H32="confirmed")*($B$4:$H$4=25))</f>
        <v>1</v>
      </c>
      <c r="J32" s="43">
        <f t="array" ref="J32">SUM(($B32:$H32="standby")*($B$4:$H$4=25))</f>
        <v>0</v>
      </c>
      <c r="K32" s="43">
        <f t="array" ref="K32">SUM(($B32:$H32="confirmed")*($B$4:$H$4=10))</f>
        <v>0</v>
      </c>
      <c r="L32" s="43">
        <f t="array" ref="L32">SUM(($B32:$H32="standby")*($B$4:$H$4=10))</f>
        <v>0</v>
      </c>
      <c r="M32" s="15">
        <f t="shared" si="4"/>
        <v>1</v>
      </c>
      <c r="N32" s="15">
        <f t="shared" si="5"/>
        <v>0</v>
      </c>
      <c r="O32" s="16">
        <f t="shared" si="6"/>
        <v>0</v>
      </c>
    </row>
    <row r="33" spans="1:15" ht="15" customHeight="1">
      <c r="A33" s="9" t="str">
        <f>'Members Data'!A25</f>
        <v>Palorde</v>
      </c>
      <c r="B33" s="332" t="s">
        <v>53</v>
      </c>
      <c r="C33" s="200"/>
      <c r="D33" s="200"/>
      <c r="E33" s="200"/>
      <c r="F33" s="200"/>
      <c r="G33" s="200"/>
      <c r="H33" s="201"/>
      <c r="I33" s="70">
        <f t="array" ref="I33">SUM(($B33:$H33="confirmed")*($B$4:$H$4=25))</f>
        <v>1</v>
      </c>
      <c r="J33" s="43">
        <f t="array" ref="J33">SUM(($B33:$H33="standby")*($B$4:$H$4=25))</f>
        <v>0</v>
      </c>
      <c r="K33" s="43">
        <f t="array" ref="K33">SUM(($B33:$H33="confirmed")*($B$4:$H$4=10))</f>
        <v>0</v>
      </c>
      <c r="L33" s="43">
        <f t="array" ref="L33">SUM(($B33:$H33="standby")*($B$4:$H$4=10))</f>
        <v>0</v>
      </c>
      <c r="M33" s="15">
        <f t="shared" si="4"/>
        <v>1</v>
      </c>
      <c r="N33" s="15">
        <f t="shared" si="5"/>
        <v>0</v>
      </c>
      <c r="O33" s="16">
        <f t="shared" si="6"/>
        <v>0</v>
      </c>
    </row>
    <row r="34" spans="1:15" ht="15" customHeight="1">
      <c r="A34" s="9" t="str">
        <f>'Members Data'!A26</f>
        <v>Páula</v>
      </c>
      <c r="B34" s="199" t="s">
        <v>53</v>
      </c>
      <c r="C34" s="200"/>
      <c r="D34" s="200" t="s">
        <v>53</v>
      </c>
      <c r="E34" s="200"/>
      <c r="F34" s="200"/>
      <c r="G34" s="200"/>
      <c r="H34" s="201"/>
      <c r="I34" s="70">
        <f t="array" ref="I34">SUM(($B34:$H34="confirmed")*($B$4:$H$4=25))</f>
        <v>2</v>
      </c>
      <c r="J34" s="43">
        <f t="array" ref="J34">SUM(($B34:$H34="standby")*($B$4:$H$4=25))</f>
        <v>0</v>
      </c>
      <c r="K34" s="43">
        <f t="array" ref="K34">SUM(($B34:$H34="confirmed")*($B$4:$H$4=10))</f>
        <v>0</v>
      </c>
      <c r="L34" s="43">
        <f t="array" ref="L34">SUM(($B34:$H34="standby")*($B$4:$H$4=10))</f>
        <v>0</v>
      </c>
      <c r="M34" s="15">
        <f t="shared" si="4"/>
        <v>2</v>
      </c>
      <c r="N34" s="15">
        <f t="shared" si="5"/>
        <v>0</v>
      </c>
      <c r="O34" s="16">
        <f t="shared" si="6"/>
        <v>0</v>
      </c>
    </row>
    <row r="35" spans="1:15" ht="15" customHeight="1">
      <c r="A35" s="9" t="str">
        <f>'Members Data'!A27</f>
        <v>Quemzar</v>
      </c>
      <c r="B35" s="332" t="s">
        <v>53</v>
      </c>
      <c r="C35" s="200"/>
      <c r="D35" s="200" t="s">
        <v>53</v>
      </c>
      <c r="E35" s="200"/>
      <c r="F35" s="200"/>
      <c r="G35" s="200"/>
      <c r="H35" s="201"/>
      <c r="I35" s="70">
        <f t="array" ref="I35">SUM(($B35:$H35="confirmed")*($B$4:$H$4=25))</f>
        <v>2</v>
      </c>
      <c r="J35" s="43">
        <f t="array" ref="J35">SUM(($B35:$H35="standby")*($B$4:$H$4=25))</f>
        <v>0</v>
      </c>
      <c r="K35" s="43">
        <f t="array" ref="K35">SUM(($B35:$H35="confirmed")*($B$4:$H$4=10))</f>
        <v>0</v>
      </c>
      <c r="L35" s="43">
        <f t="array" ref="L35">SUM(($B35:$H35="standby")*($B$4:$H$4=10))</f>
        <v>0</v>
      </c>
      <c r="M35" s="15">
        <f t="shared" si="4"/>
        <v>2</v>
      </c>
      <c r="N35" s="15">
        <f t="shared" si="5"/>
        <v>0</v>
      </c>
      <c r="O35" s="16">
        <f t="shared" si="6"/>
        <v>0</v>
      </c>
    </row>
    <row r="36" spans="1:15" ht="15" customHeight="1">
      <c r="A36" s="9" t="str">
        <f>'Members Data'!A28</f>
        <v>Rahwin</v>
      </c>
      <c r="B36" s="199" t="s">
        <v>53</v>
      </c>
      <c r="C36" s="200"/>
      <c r="D36" s="200" t="s">
        <v>53</v>
      </c>
      <c r="E36" s="200"/>
      <c r="F36" s="200"/>
      <c r="G36" s="200"/>
      <c r="H36" s="201"/>
      <c r="I36" s="70">
        <f t="array" ref="I36">SUM(($B36:$H36="confirmed")*($B$4:$H$4=25))</f>
        <v>2</v>
      </c>
      <c r="J36" s="43">
        <f t="array" ref="J36">SUM(($B36:$H36="standby")*($B$4:$H$4=25))</f>
        <v>0</v>
      </c>
      <c r="K36" s="43">
        <f t="array" ref="K36">SUM(($B36:$H36="confirmed")*($B$4:$H$4=10))</f>
        <v>0</v>
      </c>
      <c r="L36" s="43">
        <f t="array" ref="L36">SUM(($B36:$H36="standby")*($B$4:$H$4=10))</f>
        <v>0</v>
      </c>
      <c r="M36" s="15">
        <f t="shared" si="4"/>
        <v>2</v>
      </c>
      <c r="N36" s="15">
        <f t="shared" si="5"/>
        <v>0</v>
      </c>
      <c r="O36" s="16">
        <f t="shared" si="6"/>
        <v>0</v>
      </c>
    </row>
    <row r="37" spans="1:15" ht="15" customHeight="1">
      <c r="A37" s="9" t="str">
        <f>'Members Data'!A29</f>
        <v>Raiyn</v>
      </c>
      <c r="B37" s="199" t="s">
        <v>53</v>
      </c>
      <c r="C37" s="200"/>
      <c r="D37" s="200" t="s">
        <v>53</v>
      </c>
      <c r="E37" s="200"/>
      <c r="F37" s="200"/>
      <c r="G37" s="200"/>
      <c r="H37" s="201"/>
      <c r="I37" s="70">
        <f t="array" ref="I37">SUM(($B37:$H37="confirmed")*($B$4:$H$4=25))</f>
        <v>2</v>
      </c>
      <c r="J37" s="43">
        <f t="array" ref="J37">SUM(($B37:$H37="standby")*($B$4:$H$4=25))</f>
        <v>0</v>
      </c>
      <c r="K37" s="43">
        <f t="array" ref="K37">SUM(($B37:$H37="confirmed")*($B$4:$H$4=10))</f>
        <v>0</v>
      </c>
      <c r="L37" s="43">
        <f t="array" ref="L37">SUM(($B37:$H37="standby")*($B$4:$H$4=10))</f>
        <v>0</v>
      </c>
      <c r="M37" s="15">
        <f t="shared" si="4"/>
        <v>2</v>
      </c>
      <c r="N37" s="15">
        <f t="shared" si="5"/>
        <v>0</v>
      </c>
      <c r="O37" s="16">
        <f t="shared" si="6"/>
        <v>0</v>
      </c>
    </row>
    <row r="38" spans="1:15" ht="15" customHeight="1">
      <c r="A38" s="9" t="str">
        <f>'Members Data'!A30</f>
        <v>Rokthrol</v>
      </c>
      <c r="B38" s="199"/>
      <c r="C38" s="200"/>
      <c r="D38" s="200"/>
      <c r="E38" s="200"/>
      <c r="F38" s="200"/>
      <c r="G38" s="200"/>
      <c r="H38" s="201"/>
      <c r="I38" s="70">
        <f t="array" ref="I38">SUM(($B38:$H38="confirmed")*($B$4:$H$4=25))</f>
        <v>0</v>
      </c>
      <c r="J38" s="43">
        <f t="array" ref="J38">SUM(($B38:$H38="standby")*($B$4:$H$4=25))</f>
        <v>0</v>
      </c>
      <c r="K38" s="43">
        <f t="array" ref="K38">SUM(($B38:$H38="confirmed")*($B$4:$H$4=10))</f>
        <v>0</v>
      </c>
      <c r="L38" s="43">
        <f t="array" ref="L38">SUM(($B38:$H38="standby")*($B$4:$H$4=10))</f>
        <v>0</v>
      </c>
      <c r="M38" s="15">
        <f t="shared" si="4"/>
        <v>0</v>
      </c>
      <c r="N38" s="15">
        <f t="shared" si="5"/>
        <v>0</v>
      </c>
      <c r="O38" s="16">
        <f t="shared" si="6"/>
        <v>0</v>
      </c>
    </row>
    <row r="39" spans="1:15" ht="15" customHeight="1">
      <c r="A39" s="9" t="str">
        <f>'Members Data'!A31</f>
        <v>Sáik</v>
      </c>
      <c r="B39" s="332" t="s">
        <v>53</v>
      </c>
      <c r="C39" s="200"/>
      <c r="D39" s="200" t="s">
        <v>53</v>
      </c>
      <c r="E39" s="200"/>
      <c r="F39" s="200"/>
      <c r="G39" s="200"/>
      <c r="H39" s="201"/>
      <c r="I39" s="70">
        <f t="array" ref="I39">SUM(($B39:$H39="confirmed")*($B$4:$H$4=25))</f>
        <v>2</v>
      </c>
      <c r="J39" s="43">
        <f t="array" ref="J39">SUM(($B39:$H39="standby")*($B$4:$H$4=25))</f>
        <v>0</v>
      </c>
      <c r="K39" s="43">
        <f t="array" ref="K39">SUM(($B39:$H39="confirmed")*($B$4:$H$4=10))</f>
        <v>0</v>
      </c>
      <c r="L39" s="43">
        <f t="array" ref="L39">SUM(($B39:$H39="standby")*($B$4:$H$4=10))</f>
        <v>0</v>
      </c>
      <c r="M39" s="15">
        <f t="shared" si="4"/>
        <v>2</v>
      </c>
      <c r="N39" s="15">
        <f t="shared" si="5"/>
        <v>0</v>
      </c>
      <c r="O39" s="16">
        <f t="shared" si="6"/>
        <v>0</v>
      </c>
    </row>
    <row r="40" spans="1:15" ht="15" customHeight="1">
      <c r="A40" s="9" t="str">
        <f>'Members Data'!A32</f>
        <v>Seraphÿm</v>
      </c>
      <c r="B40" s="199"/>
      <c r="C40" s="200"/>
      <c r="D40" s="200"/>
      <c r="E40" s="200"/>
      <c r="F40" s="200"/>
      <c r="G40" s="200"/>
      <c r="H40" s="201"/>
      <c r="I40" s="70">
        <f t="array" ref="I40">SUM(($B40:$H40="confirmed")*($B$4:$H$4=25))</f>
        <v>0</v>
      </c>
      <c r="J40" s="43">
        <f t="array" ref="J40">SUM(($B40:$H40="standby")*($B$4:$H$4=25))</f>
        <v>0</v>
      </c>
      <c r="K40" s="43">
        <f t="array" ref="K40">SUM(($B40:$H40="confirmed")*($B$4:$H$4=10))</f>
        <v>0</v>
      </c>
      <c r="L40" s="43">
        <f t="array" ref="L40">SUM(($B40:$H40="standby")*($B$4:$H$4=10))</f>
        <v>0</v>
      </c>
      <c r="M40" s="15">
        <f t="shared" si="4"/>
        <v>0</v>
      </c>
      <c r="N40" s="15">
        <f t="shared" si="5"/>
        <v>0</v>
      </c>
      <c r="O40" s="16">
        <f t="shared" si="6"/>
        <v>0</v>
      </c>
    </row>
    <row r="41" spans="1:15" ht="15" customHeight="1">
      <c r="A41" s="9" t="str">
        <f>'Members Data'!A33</f>
        <v>Shinkai</v>
      </c>
      <c r="B41" s="199"/>
      <c r="C41" s="200"/>
      <c r="D41" s="200" t="s">
        <v>53</v>
      </c>
      <c r="E41" s="200"/>
      <c r="F41" s="200"/>
      <c r="G41" s="200"/>
      <c r="H41" s="201"/>
      <c r="I41" s="70">
        <f t="array" ref="I41">SUM(($B41:$H41="confirmed")*($B$4:$H$4=25))</f>
        <v>1</v>
      </c>
      <c r="J41" s="43">
        <f t="array" ref="J41">SUM(($B41:$H41="standby")*($B$4:$H$4=25))</f>
        <v>0</v>
      </c>
      <c r="K41" s="43">
        <f t="array" ref="K41">SUM(($B41:$H41="confirmed")*($B$4:$H$4=10))</f>
        <v>0</v>
      </c>
      <c r="L41" s="43">
        <f t="array" ref="L41">SUM(($B41:$H41="standby")*($B$4:$H$4=10))</f>
        <v>0</v>
      </c>
      <c r="M41" s="15">
        <f t="shared" si="4"/>
        <v>1</v>
      </c>
      <c r="N41" s="15">
        <f t="shared" si="5"/>
        <v>0</v>
      </c>
      <c r="O41" s="16">
        <f t="shared" si="6"/>
        <v>0</v>
      </c>
    </row>
    <row r="42" spans="1:15" ht="15" customHeight="1">
      <c r="A42" s="9" t="str">
        <f>'Members Data'!A34</f>
        <v>Yaodeng</v>
      </c>
      <c r="B42" s="199" t="s">
        <v>53</v>
      </c>
      <c r="C42" s="200"/>
      <c r="D42" s="200" t="s">
        <v>53</v>
      </c>
      <c r="E42" s="200"/>
      <c r="F42" s="200"/>
      <c r="G42" s="200"/>
      <c r="H42" s="201"/>
      <c r="I42" s="70">
        <f t="array" ref="I42">SUM(($B42:$H42="confirmed")*($B$4:$H$4=25))</f>
        <v>2</v>
      </c>
      <c r="J42" s="43">
        <f t="array" ref="J42">SUM(($B42:$H42="standby")*($B$4:$H$4=25))</f>
        <v>0</v>
      </c>
      <c r="K42" s="43">
        <f t="array" ref="K42">SUM(($B42:$H42="confirmed")*($B$4:$H$4=10))</f>
        <v>0</v>
      </c>
      <c r="L42" s="43">
        <f t="array" ref="L42">SUM(($B42:$H42="standby")*($B$4:$H$4=10))</f>
        <v>0</v>
      </c>
      <c r="M42" s="15">
        <f t="shared" si="4"/>
        <v>2</v>
      </c>
      <c r="N42" s="15">
        <f t="shared" si="5"/>
        <v>0</v>
      </c>
      <c r="O42" s="16">
        <f t="shared" si="6"/>
        <v>0</v>
      </c>
    </row>
    <row r="43" spans="1:15" ht="15" customHeight="1">
      <c r="A43" s="9" t="str">
        <f>'Members Data'!A35</f>
        <v>Zerobabe</v>
      </c>
      <c r="B43" s="199"/>
      <c r="C43" s="200"/>
      <c r="D43" s="200"/>
      <c r="E43" s="200"/>
      <c r="F43" s="200"/>
      <c r="G43" s="200"/>
      <c r="H43" s="201"/>
      <c r="I43" s="70">
        <f t="array" ref="I43">SUM(($B43:$H43="confirmed")*($B$4:$H$4=25))</f>
        <v>0</v>
      </c>
      <c r="J43" s="43">
        <f t="array" ref="J43">SUM(($B43:$H43="standby")*($B$4:$H$4=25))</f>
        <v>0</v>
      </c>
      <c r="K43" s="43">
        <f t="array" ref="K43">SUM(($B43:$H43="confirmed")*($B$4:$H$4=10))</f>
        <v>0</v>
      </c>
      <c r="L43" s="43">
        <f t="array" ref="L43">SUM(($B43:$H43="standby")*($B$4:$H$4=10))</f>
        <v>0</v>
      </c>
      <c r="M43" s="15">
        <f t="shared" si="4"/>
        <v>0</v>
      </c>
      <c r="N43" s="15">
        <f t="shared" si="5"/>
        <v>0</v>
      </c>
      <c r="O43" s="16">
        <f t="shared" si="6"/>
        <v>0</v>
      </c>
    </row>
    <row r="44" spans="1:15" ht="15" customHeight="1">
      <c r="A44" s="9" t="str">
        <f>'Members Data'!A36</f>
        <v>Zorrg</v>
      </c>
      <c r="B44" s="199" t="s">
        <v>53</v>
      </c>
      <c r="C44" s="200"/>
      <c r="D44" s="200" t="s">
        <v>53</v>
      </c>
      <c r="E44" s="200"/>
      <c r="F44" s="200"/>
      <c r="G44" s="200"/>
      <c r="H44" s="201"/>
      <c r="I44" s="70">
        <f t="array" ref="I44">SUM(($B44:$H44="confirmed")*($B$4:$H$4=25))</f>
        <v>2</v>
      </c>
      <c r="J44" s="43">
        <f t="array" ref="J44">SUM(($B44:$H44="standby")*($B$4:$H$4=25))</f>
        <v>0</v>
      </c>
      <c r="K44" s="43">
        <f t="array" ref="K44">SUM(($B44:$H44="confirmed")*($B$4:$H$4=10))</f>
        <v>0</v>
      </c>
      <c r="L44" s="43">
        <f t="array" ref="L44">SUM(($B44:$H44="standby")*($B$4:$H$4=10))</f>
        <v>0</v>
      </c>
      <c r="M44" s="15">
        <f t="shared" si="4"/>
        <v>2</v>
      </c>
      <c r="N44" s="15">
        <f t="shared" si="5"/>
        <v>0</v>
      </c>
      <c r="O44" s="16">
        <f t="shared" si="6"/>
        <v>0</v>
      </c>
    </row>
    <row r="45" spans="1:15" ht="15" customHeight="1">
      <c r="A45" s="9" t="str">
        <f>'Members Data'!A37</f>
        <v>Volson</v>
      </c>
      <c r="B45" s="199" t="s">
        <v>53</v>
      </c>
      <c r="C45" s="200"/>
      <c r="D45" s="200" t="s">
        <v>53</v>
      </c>
      <c r="E45" s="200"/>
      <c r="F45" s="200"/>
      <c r="G45" s="200"/>
      <c r="H45" s="201"/>
      <c r="I45" s="70">
        <f t="array" ref="I45">SUM(($B45:$H45="confirmed")*($B$4:$H$4=25))</f>
        <v>2</v>
      </c>
      <c r="J45" s="43">
        <f t="array" ref="J45">SUM(($B45:$H45="standby")*($B$4:$H$4=25))</f>
        <v>0</v>
      </c>
      <c r="K45" s="43">
        <f t="array" ref="K45">SUM(($B45:$H45="confirmed")*($B$4:$H$4=10))</f>
        <v>0</v>
      </c>
      <c r="L45" s="43">
        <f t="array" ref="L45">SUM(($B45:$H45="standby")*($B$4:$H$4=10))</f>
        <v>0</v>
      </c>
      <c r="M45" s="15">
        <f t="shared" si="4"/>
        <v>2</v>
      </c>
      <c r="N45" s="15">
        <f t="shared" si="5"/>
        <v>0</v>
      </c>
      <c r="O45" s="16">
        <f t="shared" si="6"/>
        <v>0</v>
      </c>
    </row>
    <row r="46" spans="1:15" ht="15" customHeight="1">
      <c r="A46" s="9">
        <f>'Members Data'!A38</f>
        <v>0</v>
      </c>
      <c r="B46" s="199"/>
      <c r="C46" s="200"/>
      <c r="D46" s="200"/>
      <c r="E46" s="200"/>
      <c r="F46" s="200"/>
      <c r="G46" s="200"/>
      <c r="H46" s="201"/>
      <c r="I46" s="70">
        <f t="array" ref="I46">SUM(($B46:$H46="confirmed")*($B$4:$H$4=25))</f>
        <v>0</v>
      </c>
      <c r="J46" s="43">
        <f t="array" ref="J46">SUM(($B46:$H46="standby")*($B$4:$H$4=25))</f>
        <v>0</v>
      </c>
      <c r="K46" s="43">
        <f t="array" ref="K46">SUM(($B46:$H46="confirmed")*($B$4:$H$4=10))</f>
        <v>0</v>
      </c>
      <c r="L46" s="43">
        <f t="array" ref="L46">SUM(($B46:$H46="standby")*($B$4:$H$4=10))</f>
        <v>0</v>
      </c>
      <c r="M46" s="15">
        <f t="shared" si="4"/>
        <v>0</v>
      </c>
      <c r="N46" s="15">
        <f t="shared" si="5"/>
        <v>0</v>
      </c>
      <c r="O46" s="16">
        <f t="shared" si="6"/>
        <v>0</v>
      </c>
    </row>
    <row r="47" spans="1:15" ht="15" customHeight="1">
      <c r="A47" s="9">
        <f>'Members Data'!A39</f>
        <v>0</v>
      </c>
      <c r="B47" s="199"/>
      <c r="C47" s="200"/>
      <c r="D47" s="200"/>
      <c r="E47" s="200"/>
      <c r="F47" s="200"/>
      <c r="G47" s="200"/>
      <c r="H47" s="201"/>
      <c r="I47" s="70">
        <f t="array" ref="I47">SUM(($B47:$H47="confirmed")*($B$4:$H$4=25))</f>
        <v>0</v>
      </c>
      <c r="J47" s="43">
        <f t="array" ref="J47">SUM(($B47:$H47="standby")*($B$4:$H$4=25))</f>
        <v>0</v>
      </c>
      <c r="K47" s="43">
        <f t="array" ref="K47">SUM(($B47:$H47="confirmed")*($B$4:$H$4=10))</f>
        <v>0</v>
      </c>
      <c r="L47" s="43">
        <f t="array" ref="L47">SUM(($B47:$H47="standby")*($B$4:$H$4=10))</f>
        <v>0</v>
      </c>
      <c r="M47" s="15">
        <f t="shared" si="4"/>
        <v>0</v>
      </c>
      <c r="N47" s="15">
        <f t="shared" si="5"/>
        <v>0</v>
      </c>
      <c r="O47" s="16">
        <f t="shared" si="6"/>
        <v>0</v>
      </c>
    </row>
    <row r="48" spans="1:15" ht="15" customHeight="1">
      <c r="A48" s="9">
        <f>'Members Data'!A40</f>
        <v>0</v>
      </c>
      <c r="B48" s="199"/>
      <c r="C48" s="200"/>
      <c r="D48" s="200"/>
      <c r="E48" s="200"/>
      <c r="F48" s="200"/>
      <c r="G48" s="200"/>
      <c r="H48" s="201"/>
      <c r="I48" s="70">
        <f t="array" ref="I48">SUM(($B48:$H48="confirmed")*($B$4:$H$4=25))</f>
        <v>0</v>
      </c>
      <c r="J48" s="43">
        <f t="array" ref="J48">SUM(($B48:$H48="standby")*($B$4:$H$4=25))</f>
        <v>0</v>
      </c>
      <c r="K48" s="43">
        <f t="array" ref="K48">SUM(($B48:$H48="confirmed")*($B$4:$H$4=10))</f>
        <v>0</v>
      </c>
      <c r="L48" s="43">
        <f t="array" ref="L48">SUM(($B48:$H48="standby")*($B$4:$H$4=10))</f>
        <v>0</v>
      </c>
      <c r="M48" s="15">
        <f t="shared" si="4"/>
        <v>0</v>
      </c>
      <c r="N48" s="15">
        <f t="shared" si="5"/>
        <v>0</v>
      </c>
      <c r="O48" s="16">
        <f t="shared" si="6"/>
        <v>0</v>
      </c>
    </row>
    <row r="49" spans="1:15" ht="15" customHeight="1">
      <c r="A49" s="9">
        <f>'Members Data'!A41</f>
        <v>0</v>
      </c>
      <c r="B49" s="199"/>
      <c r="C49" s="200"/>
      <c r="D49" s="200"/>
      <c r="E49" s="200"/>
      <c r="F49" s="200"/>
      <c r="G49" s="200"/>
      <c r="H49" s="201"/>
      <c r="I49" s="70">
        <f t="array" ref="I49">SUM(($B49:$H49="confirmed")*($B$4:$H$4=25))</f>
        <v>0</v>
      </c>
      <c r="J49" s="43">
        <f t="array" ref="J49">SUM(($B49:$H49="standby")*($B$4:$H$4=25))</f>
        <v>0</v>
      </c>
      <c r="K49" s="43">
        <f t="array" ref="K49">SUM(($B49:$H49="confirmed")*($B$4:$H$4=10))</f>
        <v>0</v>
      </c>
      <c r="L49" s="43">
        <f t="array" ref="L49">SUM(($B49:$H49="standby")*($B$4:$H$4=10))</f>
        <v>0</v>
      </c>
      <c r="M49" s="15">
        <f t="shared" si="4"/>
        <v>0</v>
      </c>
      <c r="N49" s="15">
        <f t="shared" si="5"/>
        <v>0</v>
      </c>
      <c r="O49" s="16">
        <f t="shared" si="6"/>
        <v>0</v>
      </c>
    </row>
    <row r="50" spans="1:15" ht="15" customHeight="1">
      <c r="A50" s="9">
        <f>'Members Data'!A42</f>
        <v>0</v>
      </c>
      <c r="B50" s="199"/>
      <c r="C50" s="200"/>
      <c r="D50" s="200"/>
      <c r="E50" s="200"/>
      <c r="F50" s="200"/>
      <c r="G50" s="200"/>
      <c r="H50" s="201"/>
      <c r="I50" s="70">
        <f t="array" ref="I50">SUM(($B50:$H50="confirmed")*($B$4:$H$4=25))</f>
        <v>0</v>
      </c>
      <c r="J50" s="43">
        <f t="array" ref="J50">SUM(($B50:$H50="standby")*($B$4:$H$4=25))</f>
        <v>0</v>
      </c>
      <c r="K50" s="43">
        <f t="array" ref="K50">SUM(($B50:$H50="confirmed")*($B$4:$H$4=10))</f>
        <v>0</v>
      </c>
      <c r="L50" s="43">
        <f t="array" ref="L50">SUM(($B50:$H50="standby")*($B$4:$H$4=10))</f>
        <v>0</v>
      </c>
      <c r="M50" s="15">
        <f t="shared" si="4"/>
        <v>0</v>
      </c>
      <c r="N50" s="15">
        <f t="shared" si="5"/>
        <v>0</v>
      </c>
      <c r="O50" s="16">
        <f t="shared" si="6"/>
        <v>0</v>
      </c>
    </row>
    <row r="51" spans="1:15" ht="15" customHeight="1">
      <c r="A51" s="9">
        <f>'Members Data'!A43</f>
        <v>0</v>
      </c>
      <c r="B51" s="199"/>
      <c r="C51" s="200"/>
      <c r="D51" s="200"/>
      <c r="E51" s="200"/>
      <c r="F51" s="200"/>
      <c r="G51" s="200"/>
      <c r="H51" s="201"/>
      <c r="I51" s="70">
        <f t="array" ref="I51">SUM(($B51:$H51="confirmed")*($B$4:$H$4=25))</f>
        <v>0</v>
      </c>
      <c r="J51" s="43">
        <f t="array" ref="J51">SUM(($B51:$H51="standby")*($B$4:$H$4=25))</f>
        <v>0</v>
      </c>
      <c r="K51" s="43">
        <f t="array" ref="K51">SUM(($B51:$H51="confirmed")*($B$4:$H$4=10))</f>
        <v>0</v>
      </c>
      <c r="L51" s="43">
        <f t="array" ref="L51">SUM(($B51:$H51="standby")*($B$4:$H$4=10))</f>
        <v>0</v>
      </c>
      <c r="M51" s="15">
        <f t="shared" si="4"/>
        <v>0</v>
      </c>
      <c r="N51" s="15">
        <f t="shared" si="5"/>
        <v>0</v>
      </c>
      <c r="O51" s="16">
        <f t="shared" si="6"/>
        <v>0</v>
      </c>
    </row>
    <row r="52" spans="1:15" ht="15" customHeight="1">
      <c r="A52" s="9">
        <f>'Members Data'!A44</f>
        <v>0</v>
      </c>
      <c r="B52" s="199"/>
      <c r="C52" s="200"/>
      <c r="D52" s="200"/>
      <c r="E52" s="200"/>
      <c r="F52" s="200"/>
      <c r="G52" s="200"/>
      <c r="H52" s="201"/>
      <c r="I52" s="70">
        <f t="array" ref="I52">SUM(($B52:$H52="confirmed")*($B$4:$H$4=25))</f>
        <v>0</v>
      </c>
      <c r="J52" s="43">
        <f t="array" ref="J52">SUM(($B52:$H52="standby")*($B$4:$H$4=25))</f>
        <v>0</v>
      </c>
      <c r="K52" s="43">
        <f t="array" ref="K52">SUM(($B52:$H52="confirmed")*($B$4:$H$4=10))</f>
        <v>0</v>
      </c>
      <c r="L52" s="43">
        <f t="array" ref="L52">SUM(($B52:$H52="standby")*($B$4:$H$4=10))</f>
        <v>0</v>
      </c>
      <c r="M52" s="15">
        <f t="shared" si="4"/>
        <v>0</v>
      </c>
      <c r="N52" s="15">
        <f t="shared" si="5"/>
        <v>0</v>
      </c>
      <c r="O52" s="16">
        <f t="shared" si="6"/>
        <v>0</v>
      </c>
    </row>
    <row r="53" spans="1:15" ht="15" customHeight="1">
      <c r="A53" s="9">
        <f>'Members Data'!A45</f>
        <v>0</v>
      </c>
      <c r="B53" s="199"/>
      <c r="C53" s="200"/>
      <c r="D53" s="200"/>
      <c r="E53" s="200"/>
      <c r="F53" s="200"/>
      <c r="G53" s="200"/>
      <c r="H53" s="201"/>
      <c r="I53" s="70">
        <f t="array" ref="I53">SUM(($B53:$H53="confirmed")*($B$4:$H$4=25))</f>
        <v>0</v>
      </c>
      <c r="J53" s="43">
        <f t="array" ref="J53">SUM(($B53:$H53="standby")*($B$4:$H$4=25))</f>
        <v>0</v>
      </c>
      <c r="K53" s="43">
        <f t="array" ref="K53">SUM(($B53:$H53="confirmed")*($B$4:$H$4=10))</f>
        <v>0</v>
      </c>
      <c r="L53" s="43">
        <f t="array" ref="L53">SUM(($B53:$H53="standby")*($B$4:$H$4=10))</f>
        <v>0</v>
      </c>
      <c r="M53" s="15">
        <f t="shared" si="4"/>
        <v>0</v>
      </c>
      <c r="N53" s="15">
        <f t="shared" si="5"/>
        <v>0</v>
      </c>
      <c r="O53" s="16">
        <f t="shared" si="6"/>
        <v>0</v>
      </c>
    </row>
    <row r="54" spans="1:15" ht="15" customHeight="1">
      <c r="A54" s="9">
        <f>'Members Data'!A46</f>
        <v>0</v>
      </c>
      <c r="B54" s="199"/>
      <c r="C54" s="200"/>
      <c r="D54" s="200"/>
      <c r="E54" s="200"/>
      <c r="F54" s="200"/>
      <c r="G54" s="200"/>
      <c r="H54" s="201"/>
      <c r="I54" s="70">
        <f t="array" ref="I54">SUM(($B54:$H54="confirmed")*($B$4:$H$4=25))</f>
        <v>0</v>
      </c>
      <c r="J54" s="43">
        <f t="array" ref="J54">SUM(($B54:$H54="standby")*($B$4:$H$4=25))</f>
        <v>0</v>
      </c>
      <c r="K54" s="43">
        <f t="array" ref="K54">SUM(($B54:$H54="confirmed")*($B$4:$H$4=10))</f>
        <v>0</v>
      </c>
      <c r="L54" s="43">
        <f t="array" ref="L54">SUM(($B54:$H54="standby")*($B$4:$H$4=10))</f>
        <v>0</v>
      </c>
      <c r="M54" s="15">
        <f t="shared" si="4"/>
        <v>0</v>
      </c>
      <c r="N54" s="15">
        <f t="shared" si="5"/>
        <v>0</v>
      </c>
      <c r="O54" s="16">
        <f t="shared" si="6"/>
        <v>0</v>
      </c>
    </row>
    <row r="55" spans="1:15" ht="15" customHeight="1">
      <c r="A55" s="9">
        <f>'Members Data'!A47</f>
        <v>0</v>
      </c>
      <c r="B55" s="199"/>
      <c r="C55" s="200"/>
      <c r="D55" s="200"/>
      <c r="E55" s="200"/>
      <c r="F55" s="200"/>
      <c r="G55" s="200"/>
      <c r="H55" s="201"/>
      <c r="I55" s="70">
        <f t="array" ref="I55">SUM(($B55:$H55="confirmed")*($B$4:$H$4=25))</f>
        <v>0</v>
      </c>
      <c r="J55" s="43">
        <f t="array" ref="J55">SUM(($B55:$H55="standby")*($B$4:$H$4=25))</f>
        <v>0</v>
      </c>
      <c r="K55" s="43">
        <f t="array" ref="K55">SUM(($B55:$H55="confirmed")*($B$4:$H$4=10))</f>
        <v>0</v>
      </c>
      <c r="L55" s="43">
        <f t="array" ref="L55">SUM(($B55:$H55="standby")*($B$4:$H$4=10))</f>
        <v>0</v>
      </c>
      <c r="M55" s="15">
        <f t="shared" si="4"/>
        <v>0</v>
      </c>
      <c r="N55" s="15">
        <f t="shared" si="5"/>
        <v>0</v>
      </c>
      <c r="O55" s="16">
        <f t="shared" si="6"/>
        <v>0</v>
      </c>
    </row>
    <row r="56" spans="1:15" ht="15" customHeight="1">
      <c r="A56" s="9">
        <f>'Members Data'!A48</f>
        <v>0</v>
      </c>
      <c r="B56" s="199"/>
      <c r="C56" s="200"/>
      <c r="D56" s="200"/>
      <c r="E56" s="200"/>
      <c r="F56" s="200"/>
      <c r="G56" s="200"/>
      <c r="H56" s="201"/>
      <c r="I56" s="70">
        <f t="array" ref="I56">SUM(($B56:$H56="confirmed")*($B$4:$H$4=25))</f>
        <v>0</v>
      </c>
      <c r="J56" s="43">
        <f t="array" ref="J56">SUM(($B56:$H56="standby")*($B$4:$H$4=25))</f>
        <v>0</v>
      </c>
      <c r="K56" s="43">
        <f t="array" ref="K56">SUM(($B56:$H56="confirmed")*($B$4:$H$4=10))</f>
        <v>0</v>
      </c>
      <c r="L56" s="43">
        <f t="array" ref="L56">SUM(($B56:$H56="standby")*($B$4:$H$4=10))</f>
        <v>0</v>
      </c>
      <c r="M56" s="15">
        <f t="shared" si="4"/>
        <v>0</v>
      </c>
      <c r="N56" s="15">
        <f t="shared" si="5"/>
        <v>0</v>
      </c>
      <c r="O56" s="16">
        <f t="shared" si="6"/>
        <v>0</v>
      </c>
    </row>
    <row r="57" spans="1:15" ht="15" customHeight="1">
      <c r="A57" s="9">
        <f>'Members Data'!A49</f>
        <v>0</v>
      </c>
      <c r="B57" s="199"/>
      <c r="C57" s="200"/>
      <c r="D57" s="200"/>
      <c r="E57" s="200"/>
      <c r="F57" s="200"/>
      <c r="G57" s="200"/>
      <c r="H57" s="201"/>
      <c r="I57" s="70">
        <f t="array" ref="I57">SUM(($B57:$H57="confirmed")*($B$4:$H$4=25))</f>
        <v>0</v>
      </c>
      <c r="J57" s="43">
        <f t="array" ref="J57">SUM(($B57:$H57="standby")*($B$4:$H$4=25))</f>
        <v>0</v>
      </c>
      <c r="K57" s="43">
        <f t="array" ref="K57">SUM(($B57:$H57="confirmed")*($B$4:$H$4=10))</f>
        <v>0</v>
      </c>
      <c r="L57" s="43">
        <f t="array" ref="L57">SUM(($B57:$H57="standby")*($B$4:$H$4=10))</f>
        <v>0</v>
      </c>
      <c r="M57" s="15">
        <f t="shared" si="4"/>
        <v>0</v>
      </c>
      <c r="N57" s="15">
        <f t="shared" si="5"/>
        <v>0</v>
      </c>
      <c r="O57" s="16">
        <f t="shared" si="6"/>
        <v>0</v>
      </c>
    </row>
    <row r="58" spans="1:15" ht="15" customHeight="1">
      <c r="A58" s="9">
        <f>'Members Data'!A50</f>
        <v>0</v>
      </c>
      <c r="B58" s="199"/>
      <c r="C58" s="200"/>
      <c r="D58" s="200"/>
      <c r="E58" s="200"/>
      <c r="F58" s="200"/>
      <c r="G58" s="200"/>
      <c r="H58" s="201"/>
      <c r="I58" s="70">
        <f t="array" ref="I58">SUM(($B58:$H58="confirmed")*($B$4:$H$4=25))</f>
        <v>0</v>
      </c>
      <c r="J58" s="43">
        <f t="array" ref="J58">SUM(($B58:$H58="standby")*($B$4:$H$4=25))</f>
        <v>0</v>
      </c>
      <c r="K58" s="43">
        <f t="array" ref="K58">SUM(($B58:$H58="confirmed")*($B$4:$H$4=10))</f>
        <v>0</v>
      </c>
      <c r="L58" s="43">
        <f t="array" ref="L58">SUM(($B58:$H58="standby")*($B$4:$H$4=10))</f>
        <v>0</v>
      </c>
      <c r="M58" s="15">
        <f t="shared" si="4"/>
        <v>0</v>
      </c>
      <c r="N58" s="15">
        <f t="shared" si="5"/>
        <v>0</v>
      </c>
      <c r="O58" s="16">
        <f t="shared" si="6"/>
        <v>0</v>
      </c>
    </row>
    <row r="59" spans="1:15" ht="15" customHeight="1">
      <c r="A59" s="9">
        <f>'Members Data'!A51</f>
        <v>0</v>
      </c>
      <c r="B59" s="199"/>
      <c r="C59" s="200"/>
      <c r="D59" s="200"/>
      <c r="E59" s="200"/>
      <c r="F59" s="200"/>
      <c r="G59" s="200"/>
      <c r="H59" s="201"/>
      <c r="I59" s="70">
        <f t="array" ref="I59">SUM(($B59:$H59="confirmed")*($B$4:$H$4=25))</f>
        <v>0</v>
      </c>
      <c r="J59" s="43">
        <f t="array" ref="J59">SUM(($B59:$H59="standby")*($B$4:$H$4=25))</f>
        <v>0</v>
      </c>
      <c r="K59" s="43">
        <f t="array" ref="K59">SUM(($B59:$H59="confirmed")*($B$4:$H$4=10))</f>
        <v>0</v>
      </c>
      <c r="L59" s="43">
        <f t="array" ref="L59">SUM(($B59:$H59="standby")*($B$4:$H$4=10))</f>
        <v>0</v>
      </c>
      <c r="M59" s="15">
        <f t="shared" si="4"/>
        <v>0</v>
      </c>
      <c r="N59" s="15">
        <f t="shared" si="5"/>
        <v>0</v>
      </c>
      <c r="O59" s="16">
        <f t="shared" si="6"/>
        <v>0</v>
      </c>
    </row>
    <row r="60" spans="1:15" ht="15" customHeight="1">
      <c r="A60" s="9">
        <f>'Members Data'!A52</f>
        <v>0</v>
      </c>
      <c r="B60" s="199"/>
      <c r="C60" s="200"/>
      <c r="D60" s="200"/>
      <c r="E60" s="200"/>
      <c r="F60" s="200"/>
      <c r="G60" s="200"/>
      <c r="H60" s="201"/>
      <c r="I60" s="70">
        <f t="array" ref="I60">SUM(($B60:$H60="confirmed")*($B$4:$H$4=25))</f>
        <v>0</v>
      </c>
      <c r="J60" s="43">
        <f t="array" ref="J60">SUM(($B60:$H60="standby")*($B$4:$H$4=25))</f>
        <v>0</v>
      </c>
      <c r="K60" s="43">
        <f t="array" ref="K60">SUM(($B60:$H60="confirmed")*($B$4:$H$4=10))</f>
        <v>0</v>
      </c>
      <c r="L60" s="43">
        <f t="array" ref="L60">SUM(($B60:$H60="standby")*($B$4:$H$4=10))</f>
        <v>0</v>
      </c>
      <c r="M60" s="15">
        <f t="shared" si="4"/>
        <v>0</v>
      </c>
      <c r="N60" s="15">
        <f t="shared" si="5"/>
        <v>0</v>
      </c>
      <c r="O60" s="16">
        <f t="shared" si="6"/>
        <v>0</v>
      </c>
    </row>
    <row r="61" spans="1:15" ht="15" customHeight="1">
      <c r="A61" s="9">
        <f>'Members Data'!A53</f>
        <v>0</v>
      </c>
      <c r="B61" s="199"/>
      <c r="C61" s="200"/>
      <c r="D61" s="200"/>
      <c r="E61" s="200"/>
      <c r="F61" s="200"/>
      <c r="G61" s="200"/>
      <c r="H61" s="201"/>
      <c r="I61" s="70">
        <f t="array" ref="I61">SUM(($B61:$H61="confirmed")*($B$4:$H$4=25))</f>
        <v>0</v>
      </c>
      <c r="J61" s="43">
        <f t="array" ref="J61">SUM(($B61:$H61="standby")*($B$4:$H$4=25))</f>
        <v>0</v>
      </c>
      <c r="K61" s="43">
        <f t="array" ref="K61">SUM(($B61:$H61="confirmed")*($B$4:$H$4=10))</f>
        <v>0</v>
      </c>
      <c r="L61" s="43">
        <f t="array" ref="L61">SUM(($B61:$H61="standby")*($B$4:$H$4=10))</f>
        <v>0</v>
      </c>
      <c r="M61" s="15">
        <f t="shared" si="4"/>
        <v>0</v>
      </c>
      <c r="N61" s="15">
        <f t="shared" si="5"/>
        <v>0</v>
      </c>
      <c r="O61" s="16">
        <f t="shared" si="6"/>
        <v>0</v>
      </c>
    </row>
    <row r="62" spans="1:15" ht="15" customHeight="1">
      <c r="A62" s="9">
        <f>'Members Data'!A54</f>
        <v>0</v>
      </c>
      <c r="B62" s="199"/>
      <c r="C62" s="200"/>
      <c r="D62" s="200"/>
      <c r="E62" s="200"/>
      <c r="F62" s="200"/>
      <c r="G62" s="200"/>
      <c r="H62" s="201"/>
      <c r="I62" s="70">
        <f t="array" ref="I62">SUM(($B62:$H62="confirmed")*($B$4:$H$4=25))</f>
        <v>0</v>
      </c>
      <c r="J62" s="43">
        <f t="array" ref="J62">SUM(($B62:$H62="standby")*($B$4:$H$4=25))</f>
        <v>0</v>
      </c>
      <c r="K62" s="43">
        <f t="array" ref="K62">SUM(($B62:$H62="confirmed")*($B$4:$H$4=10))</f>
        <v>0</v>
      </c>
      <c r="L62" s="43">
        <f t="array" ref="L62">SUM(($B62:$H62="standby")*($B$4:$H$4=10))</f>
        <v>0</v>
      </c>
      <c r="M62" s="15">
        <f t="shared" si="4"/>
        <v>0</v>
      </c>
      <c r="N62" s="15">
        <f t="shared" si="5"/>
        <v>0</v>
      </c>
      <c r="O62" s="16">
        <f t="shared" si="6"/>
        <v>0</v>
      </c>
    </row>
    <row r="63" spans="1:15" ht="15" customHeight="1">
      <c r="A63" s="9">
        <f>'Members Data'!A55</f>
        <v>0</v>
      </c>
      <c r="B63" s="199"/>
      <c r="C63" s="200"/>
      <c r="D63" s="200"/>
      <c r="E63" s="200"/>
      <c r="F63" s="200"/>
      <c r="G63" s="200"/>
      <c r="H63" s="201"/>
      <c r="I63" s="70">
        <f t="array" ref="I63">SUM(($B63:$H63="confirmed")*($B$4:$H$4=25))</f>
        <v>0</v>
      </c>
      <c r="J63" s="43">
        <f t="array" ref="J63">SUM(($B63:$H63="standby")*($B$4:$H$4=25))</f>
        <v>0</v>
      </c>
      <c r="K63" s="43">
        <f t="array" ref="K63">SUM(($B63:$H63="confirmed")*($B$4:$H$4=10))</f>
        <v>0</v>
      </c>
      <c r="L63" s="43">
        <f t="array" ref="L63">SUM(($B63:$H63="standby")*($B$4:$H$4=10))</f>
        <v>0</v>
      </c>
      <c r="M63" s="15">
        <f t="shared" si="4"/>
        <v>0</v>
      </c>
      <c r="N63" s="15">
        <f t="shared" si="5"/>
        <v>0</v>
      </c>
      <c r="O63" s="16">
        <f t="shared" si="6"/>
        <v>0</v>
      </c>
    </row>
    <row r="64" spans="1:15" ht="15" customHeight="1">
      <c r="A64" s="9">
        <f>'Members Data'!A56</f>
        <v>0</v>
      </c>
      <c r="B64" s="199"/>
      <c r="C64" s="200"/>
      <c r="D64" s="200"/>
      <c r="E64" s="200"/>
      <c r="F64" s="200"/>
      <c r="G64" s="200"/>
      <c r="H64" s="201"/>
      <c r="I64" s="70">
        <f t="array" ref="I64">SUM(($B64:$H64="confirmed")*($B$4:$H$4=25))</f>
        <v>0</v>
      </c>
      <c r="J64" s="43">
        <f t="array" ref="J64">SUM(($B64:$H64="standby")*($B$4:$H$4=25))</f>
        <v>0</v>
      </c>
      <c r="K64" s="43">
        <f t="array" ref="K64">SUM(($B64:$H64="confirmed")*($B$4:$H$4=10))</f>
        <v>0</v>
      </c>
      <c r="L64" s="43">
        <f t="array" ref="L64">SUM(($B64:$H64="standby")*($B$4:$H$4=10))</f>
        <v>0</v>
      </c>
      <c r="M64" s="15">
        <f t="shared" si="4"/>
        <v>0</v>
      </c>
      <c r="N64" s="15">
        <f t="shared" si="5"/>
        <v>0</v>
      </c>
      <c r="O64" s="16">
        <f t="shared" si="6"/>
        <v>0</v>
      </c>
    </row>
    <row r="65" spans="1:15" ht="15" customHeight="1">
      <c r="A65" s="9">
        <f>'Members Data'!A57</f>
        <v>0</v>
      </c>
      <c r="B65" s="203"/>
      <c r="C65" s="200"/>
      <c r="D65" s="200"/>
      <c r="E65" s="200"/>
      <c r="F65" s="200"/>
      <c r="G65" s="200"/>
      <c r="H65" s="201"/>
      <c r="I65" s="70">
        <f t="array" ref="I65">SUM(($B65:$H65="confirmed")*($B$4:$H$4=25))</f>
        <v>0</v>
      </c>
      <c r="J65" s="43">
        <f t="array" ref="J65">SUM(($B65:$H65="standby")*($B$4:$H$4=25))</f>
        <v>0</v>
      </c>
      <c r="K65" s="43">
        <f t="array" ref="K65">SUM(($B65:$H65="confirmed")*($B$4:$H$4=10))</f>
        <v>0</v>
      </c>
      <c r="L65" s="43">
        <f t="array" ref="L65">SUM(($B65:$H65="standby")*($B$4:$H$4=10))</f>
        <v>0</v>
      </c>
      <c r="M65" s="15">
        <f t="shared" si="4"/>
        <v>0</v>
      </c>
      <c r="N65" s="15">
        <f t="shared" si="5"/>
        <v>0</v>
      </c>
      <c r="O65" s="16">
        <f t="shared" si="6"/>
        <v>0</v>
      </c>
    </row>
    <row r="66" spans="1:15" ht="15" customHeight="1">
      <c r="A66" s="75">
        <f>'Members Data'!A58</f>
        <v>0</v>
      </c>
      <c r="B66" s="203"/>
      <c r="C66" s="200"/>
      <c r="D66" s="200"/>
      <c r="E66" s="200"/>
      <c r="F66" s="200"/>
      <c r="G66" s="200"/>
      <c r="H66" s="201"/>
      <c r="I66" s="70">
        <f t="array" ref="I66">SUM(($B66:$H66="confirmed")*($B$4:$H$4=25))</f>
        <v>0</v>
      </c>
      <c r="J66" s="43">
        <f t="array" ref="J66">SUM(($B66:$H66="standby")*($B$4:$H$4=25))</f>
        <v>0</v>
      </c>
      <c r="K66" s="43">
        <f t="array" ref="K66">SUM(($B66:$H66="confirmed")*($B$4:$H$4=10))</f>
        <v>0</v>
      </c>
      <c r="L66" s="43">
        <f t="array" ref="L66">SUM(($B66:$H66="standby")*($B$4:$H$4=10))</f>
        <v>0</v>
      </c>
      <c r="M66" s="15">
        <f>COUNTIF(B66:H66,"confirmed")</f>
        <v>0</v>
      </c>
      <c r="N66" s="15">
        <f>COUNTIF(B66:H66,"standby")</f>
        <v>0</v>
      </c>
      <c r="O66" s="16">
        <f>COUNTIF(B66:H66,"out")</f>
        <v>0</v>
      </c>
    </row>
    <row r="67" spans="1:15" ht="15" customHeight="1">
      <c r="A67" s="75">
        <f>'Members Data'!A59</f>
        <v>0</v>
      </c>
      <c r="B67" s="203"/>
      <c r="C67" s="200"/>
      <c r="D67" s="200"/>
      <c r="E67" s="200"/>
      <c r="F67" s="200"/>
      <c r="G67" s="200"/>
      <c r="H67" s="204"/>
      <c r="I67" s="70">
        <f t="array" ref="I67">SUM(($B67:$H67="confirmed")*($B$4:$H$4=25))</f>
        <v>0</v>
      </c>
      <c r="J67" s="43">
        <f t="array" ref="J67">SUM(($B67:$H67="standby")*($B$4:$H$4=25))</f>
        <v>0</v>
      </c>
      <c r="K67" s="43">
        <f t="array" ref="K67">SUM(($B67:$H67="confirmed")*($B$4:$H$4=10))</f>
        <v>0</v>
      </c>
      <c r="L67" s="43">
        <f t="array" ref="L67">SUM(($B67:$H67="standby")*($B$4:$H$4=10))</f>
        <v>0</v>
      </c>
      <c r="M67" s="72">
        <f t="shared" si="4"/>
        <v>0</v>
      </c>
      <c r="N67" s="72">
        <f t="shared" si="5"/>
        <v>0</v>
      </c>
      <c r="O67" s="73">
        <f t="shared" si="6"/>
        <v>0</v>
      </c>
    </row>
    <row r="68" spans="1:15" ht="15" customHeight="1">
      <c r="A68" s="75">
        <f>'Members Data'!A60</f>
        <v>0</v>
      </c>
      <c r="B68" s="199"/>
      <c r="C68" s="200"/>
      <c r="D68" s="200"/>
      <c r="E68" s="200"/>
      <c r="F68" s="200"/>
      <c r="G68" s="200"/>
      <c r="H68" s="204"/>
      <c r="I68" s="70">
        <f t="array" ref="I68">SUM(($B68:$H68="confirmed")*($B$4:$H$4=25))</f>
        <v>0</v>
      </c>
      <c r="J68" s="43">
        <f t="array" ref="J68">SUM(($B68:$H68="standby")*($B$4:$H$4=25))</f>
        <v>0</v>
      </c>
      <c r="K68" s="43">
        <f t="array" ref="K68">SUM(($B68:$H68="confirmed")*($B$4:$H$4=10))</f>
        <v>0</v>
      </c>
      <c r="L68" s="43">
        <f t="array" ref="L68">SUM(($B68:$H68="standby")*($B$4:$H$4=10))</f>
        <v>0</v>
      </c>
      <c r="M68" s="72">
        <f t="shared" si="4"/>
        <v>0</v>
      </c>
      <c r="N68" s="72">
        <f t="shared" si="5"/>
        <v>0</v>
      </c>
      <c r="O68" s="73">
        <f t="shared" si="6"/>
        <v>0</v>
      </c>
    </row>
    <row r="69" spans="1:15" ht="15" customHeight="1" thickBot="1">
      <c r="A69" s="130">
        <f>'Members Data'!A61</f>
        <v>0</v>
      </c>
      <c r="B69" s="205"/>
      <c r="C69" s="206"/>
      <c r="D69" s="206"/>
      <c r="E69" s="206"/>
      <c r="F69" s="206"/>
      <c r="G69" s="206"/>
      <c r="H69" s="207"/>
      <c r="I69" s="152">
        <f t="array" ref="I69">SUM(($B69:$H69="confirmed")*($B$4:$H$4=25))</f>
        <v>0</v>
      </c>
      <c r="J69" s="145">
        <f t="array" ref="J69">SUM(($B69:$H69="standby")*($B$4:$H$4=25))</f>
        <v>0</v>
      </c>
      <c r="K69" s="145">
        <f t="array" ref="K69">SUM(($B69:$H69="confirmed")*($B$4:$H$4=10))</f>
        <v>0</v>
      </c>
      <c r="L69" s="145">
        <f t="array" ref="L69">SUM(($B69:$H69="standby")*($B$4:$H$4=10))</f>
        <v>0</v>
      </c>
      <c r="M69" s="131">
        <f t="shared" si="4"/>
        <v>0</v>
      </c>
      <c r="N69" s="131">
        <f t="shared" si="5"/>
        <v>0</v>
      </c>
      <c r="O69" s="132">
        <f t="shared" si="6"/>
        <v>0</v>
      </c>
    </row>
    <row r="70" spans="1:15" ht="15" customHeight="1" thickTop="1">
      <c r="A70" s="74" t="str">
        <f>'Members Data'!A62</f>
        <v>Kristofix</v>
      </c>
      <c r="B70" s="199"/>
      <c r="C70" s="200"/>
      <c r="D70" s="200"/>
      <c r="E70" s="200"/>
      <c r="F70" s="200"/>
      <c r="G70" s="200"/>
      <c r="H70" s="201"/>
      <c r="I70" s="226">
        <f t="array" ref="I70">SUM(($B70:$H70="confirmed")*($B$4:$H$4=25))</f>
        <v>0</v>
      </c>
      <c r="J70" s="227">
        <f t="array" ref="J70">SUM(($B70:$H70="standby")*($B$4:$H$4=25))</f>
        <v>0</v>
      </c>
      <c r="K70" s="227">
        <f t="array" ref="K70">SUM(($B70:$H70="confirmed")*($B$4:$H$4=10))</f>
        <v>0</v>
      </c>
      <c r="L70" s="227">
        <f t="array" ref="L70">SUM(($B70:$H70="standby")*($B$4:$H$4=10))</f>
        <v>0</v>
      </c>
      <c r="M70" s="128">
        <f t="shared" si="4"/>
        <v>0</v>
      </c>
      <c r="N70" s="128">
        <f t="shared" si="5"/>
        <v>0</v>
      </c>
      <c r="O70" s="129">
        <f t="shared" si="6"/>
        <v>0</v>
      </c>
    </row>
    <row r="71" spans="1:15" ht="15" customHeight="1">
      <c r="A71" s="75" t="str">
        <f>'Members Data'!A63</f>
        <v>Nazgol</v>
      </c>
      <c r="B71" s="332"/>
      <c r="C71" s="200"/>
      <c r="D71" s="200"/>
      <c r="E71" s="200"/>
      <c r="F71" s="200"/>
      <c r="G71" s="200"/>
      <c r="H71" s="201"/>
      <c r="I71" s="70">
        <f t="array" ref="I71">SUM(($B71:$H71="confirmed")*($B$4:$H$4=25))</f>
        <v>0</v>
      </c>
      <c r="J71" s="43">
        <f t="array" ref="J71">SUM(($B71:$H71="standby")*($B$4:$H$4=25))</f>
        <v>0</v>
      </c>
      <c r="K71" s="43">
        <f t="array" ref="K71">SUM(($B71:$H71="confirmed")*($B$4:$H$4=10))</f>
        <v>0</v>
      </c>
      <c r="L71" s="43">
        <f t="array" ref="L71">SUM(($B71:$H71="standby")*($B$4:$H$4=10))</f>
        <v>0</v>
      </c>
      <c r="M71" s="72">
        <f t="shared" si="4"/>
        <v>0</v>
      </c>
      <c r="N71" s="72">
        <f t="shared" si="5"/>
        <v>0</v>
      </c>
      <c r="O71" s="73">
        <f t="shared" si="6"/>
        <v>0</v>
      </c>
    </row>
    <row r="72" spans="1:15" ht="15" customHeight="1">
      <c r="A72" s="75" t="str">
        <f>'Members Data'!A64</f>
        <v>Icewinde</v>
      </c>
      <c r="B72" s="199"/>
      <c r="C72" s="200"/>
      <c r="D72" s="200"/>
      <c r="E72" s="200"/>
      <c r="F72" s="200"/>
      <c r="G72" s="200"/>
      <c r="H72" s="201"/>
      <c r="I72" s="70">
        <f t="array" ref="I72">SUM(($B72:$H72="confirmed")*($B$4:$H$4=25))</f>
        <v>0</v>
      </c>
      <c r="J72" s="43">
        <f t="array" ref="J72">SUM(($B72:$H72="standby")*($B$4:$H$4=25))</f>
        <v>0</v>
      </c>
      <c r="K72" s="43">
        <f t="array" ref="K72">SUM(($B72:$H72="confirmed")*($B$4:$H$4=10))</f>
        <v>0</v>
      </c>
      <c r="L72" s="43">
        <f t="array" ref="L72">SUM(($B72:$H72="standby")*($B$4:$H$4=10))</f>
        <v>0</v>
      </c>
      <c r="M72" s="72">
        <f t="shared" si="4"/>
        <v>0</v>
      </c>
      <c r="N72" s="72">
        <f t="shared" si="5"/>
        <v>0</v>
      </c>
      <c r="O72" s="73">
        <f t="shared" si="6"/>
        <v>0</v>
      </c>
    </row>
    <row r="73" spans="1:15" ht="15" customHeight="1">
      <c r="A73" s="75" t="str">
        <f>'Members Data'!A65</f>
        <v>Ambú</v>
      </c>
      <c r="B73" s="199"/>
      <c r="C73" s="200"/>
      <c r="D73" s="200"/>
      <c r="E73" s="200"/>
      <c r="F73" s="200"/>
      <c r="G73" s="200"/>
      <c r="H73" s="201"/>
      <c r="I73" s="70">
        <f t="array" ref="I73">SUM(($B73:$H73="confirmed")*($B$4:$H$4=25))</f>
        <v>0</v>
      </c>
      <c r="J73" s="43">
        <f t="array" ref="J73">SUM(($B73:$H73="standby")*($B$4:$H$4=25))</f>
        <v>0</v>
      </c>
      <c r="K73" s="43">
        <f t="array" ref="K73">SUM(($B73:$H73="confirmed")*($B$4:$H$4=10))</f>
        <v>0</v>
      </c>
      <c r="L73" s="43">
        <f t="array" ref="L73">SUM(($B73:$H73="standby")*($B$4:$H$4=10))</f>
        <v>0</v>
      </c>
      <c r="M73" s="72">
        <f t="shared" si="4"/>
        <v>0</v>
      </c>
      <c r="N73" s="72">
        <f t="shared" si="5"/>
        <v>0</v>
      </c>
      <c r="O73" s="73">
        <f t="shared" si="6"/>
        <v>0</v>
      </c>
    </row>
    <row r="74" spans="1:15" ht="15" customHeight="1">
      <c r="A74" s="75" t="str">
        <f>'Members Data'!A66</f>
        <v>Mortali</v>
      </c>
      <c r="B74" s="199"/>
      <c r="C74" s="200"/>
      <c r="D74" s="200"/>
      <c r="E74" s="200"/>
      <c r="F74" s="200"/>
      <c r="G74" s="200"/>
      <c r="H74" s="201"/>
      <c r="I74" s="70">
        <f t="array" ref="I74">SUM(($B74:$H74="confirmed")*($B$4:$H$4=25))</f>
        <v>0</v>
      </c>
      <c r="J74" s="43">
        <f t="array" ref="J74">SUM(($B74:$H74="standby")*($B$4:$H$4=25))</f>
        <v>0</v>
      </c>
      <c r="K74" s="43">
        <f t="array" ref="K74">SUM(($B74:$H74="confirmed")*($B$4:$H$4=10))</f>
        <v>0</v>
      </c>
      <c r="L74" s="43">
        <f t="array" ref="L74">SUM(($B74:$H74="standby")*($B$4:$H$4=10))</f>
        <v>0</v>
      </c>
      <c r="M74" s="72">
        <f t="shared" si="4"/>
        <v>0</v>
      </c>
      <c r="N74" s="72">
        <f t="shared" si="5"/>
        <v>0</v>
      </c>
      <c r="O74" s="73">
        <f t="shared" si="6"/>
        <v>0</v>
      </c>
    </row>
    <row r="75" spans="1:15" ht="15" customHeight="1">
      <c r="A75" s="75" t="str">
        <f>'Members Data'!A67</f>
        <v>Andreah</v>
      </c>
      <c r="B75" s="199"/>
      <c r="C75" s="200"/>
      <c r="D75" s="200"/>
      <c r="E75" s="200"/>
      <c r="F75" s="200"/>
      <c r="G75" s="200"/>
      <c r="H75" s="201"/>
      <c r="I75" s="70">
        <f t="array" ref="I75">SUM(($B75:$H75="confirmed")*($B$4:$H$4=25))</f>
        <v>0</v>
      </c>
      <c r="J75" s="43">
        <f t="array" ref="J75">SUM(($B75:$H75="standby")*($B$4:$H$4=25))</f>
        <v>0</v>
      </c>
      <c r="K75" s="43">
        <f t="array" ref="K75">SUM(($B75:$H75="confirmed")*($B$4:$H$4=10))</f>
        <v>0</v>
      </c>
      <c r="L75" s="43">
        <f t="array" ref="L75">SUM(($B75:$H75="standby")*($B$4:$H$4=10))</f>
        <v>0</v>
      </c>
      <c r="M75" s="72">
        <f t="shared" ref="M75:M108" si="7">COUNTIF(B75:H75,"confirmed")</f>
        <v>0</v>
      </c>
      <c r="N75" s="72">
        <f t="shared" ref="N75:N108" si="8">COUNTIF(B75:H75,"standby")</f>
        <v>0</v>
      </c>
      <c r="O75" s="73">
        <f t="shared" ref="O75:O108" si="9">COUNTIF(B75:H75,"out")</f>
        <v>0</v>
      </c>
    </row>
    <row r="76" spans="1:15" ht="15" customHeight="1">
      <c r="A76" s="75" t="str">
        <f>'Members Data'!A68</f>
        <v>Yardk</v>
      </c>
      <c r="B76" s="199"/>
      <c r="C76" s="200"/>
      <c r="D76" s="200"/>
      <c r="E76" s="200"/>
      <c r="F76" s="200"/>
      <c r="G76" s="200"/>
      <c r="H76" s="201"/>
      <c r="I76" s="70">
        <f t="array" ref="I76">SUM(($B76:$H76="confirmed")*($B$4:$H$4=25))</f>
        <v>0</v>
      </c>
      <c r="J76" s="43">
        <f t="array" ref="J76">SUM(($B76:$H76="standby")*($B$4:$H$4=25))</f>
        <v>0</v>
      </c>
      <c r="K76" s="43">
        <f t="array" ref="K76">SUM(($B76:$H76="confirmed")*($B$4:$H$4=10))</f>
        <v>0</v>
      </c>
      <c r="L76" s="43">
        <f t="array" ref="L76">SUM(($B76:$H76="standby")*($B$4:$H$4=10))</f>
        <v>0</v>
      </c>
      <c r="M76" s="72">
        <f t="shared" si="7"/>
        <v>0</v>
      </c>
      <c r="N76" s="72">
        <f t="shared" si="8"/>
        <v>0</v>
      </c>
      <c r="O76" s="73">
        <f t="shared" si="9"/>
        <v>0</v>
      </c>
    </row>
    <row r="77" spans="1:15" ht="15" customHeight="1">
      <c r="A77" s="75" t="str">
        <f>'Members Data'!A69</f>
        <v>Halfhorns</v>
      </c>
      <c r="B77" s="199"/>
      <c r="C77" s="200"/>
      <c r="D77" s="200"/>
      <c r="E77" s="200"/>
      <c r="F77" s="200"/>
      <c r="G77" s="200"/>
      <c r="H77" s="201"/>
      <c r="I77" s="70">
        <f t="array" ref="I77">SUM(($B77:$H77="confirmed")*($B$4:$H$4=25))</f>
        <v>0</v>
      </c>
      <c r="J77" s="43">
        <f t="array" ref="J77">SUM(($B77:$H77="standby")*($B$4:$H$4=25))</f>
        <v>0</v>
      </c>
      <c r="K77" s="43">
        <f t="array" ref="K77">SUM(($B77:$H77="confirmed")*($B$4:$H$4=10))</f>
        <v>0</v>
      </c>
      <c r="L77" s="43">
        <f t="array" ref="L77">SUM(($B77:$H77="standby")*($B$4:$H$4=10))</f>
        <v>0</v>
      </c>
      <c r="M77" s="72">
        <f t="shared" si="7"/>
        <v>0</v>
      </c>
      <c r="N77" s="72">
        <f t="shared" si="8"/>
        <v>0</v>
      </c>
      <c r="O77" s="73">
        <f t="shared" si="9"/>
        <v>0</v>
      </c>
    </row>
    <row r="78" spans="1:15" ht="15" customHeight="1">
      <c r="A78" s="75" t="str">
        <f>'Members Data'!A70</f>
        <v>Ebullio</v>
      </c>
      <c r="B78" s="199"/>
      <c r="C78" s="200"/>
      <c r="D78" s="200"/>
      <c r="E78" s="200"/>
      <c r="F78" s="200"/>
      <c r="G78" s="200"/>
      <c r="H78" s="201"/>
      <c r="I78" s="70">
        <f t="array" ref="I78">SUM(($B78:$H78="confirmed")*($B$4:$H$4=25))</f>
        <v>0</v>
      </c>
      <c r="J78" s="43">
        <f t="array" ref="J78">SUM(($B78:$H78="standby")*($B$4:$H$4=25))</f>
        <v>0</v>
      </c>
      <c r="K78" s="43">
        <f t="array" ref="K78">SUM(($B78:$H78="confirmed")*($B$4:$H$4=10))</f>
        <v>0</v>
      </c>
      <c r="L78" s="43">
        <f t="array" ref="L78">SUM(($B78:$H78="standby")*($B$4:$H$4=10))</f>
        <v>0</v>
      </c>
      <c r="M78" s="72">
        <f t="shared" si="7"/>
        <v>0</v>
      </c>
      <c r="N78" s="72">
        <f t="shared" si="8"/>
        <v>0</v>
      </c>
      <c r="O78" s="73">
        <f t="shared" si="9"/>
        <v>0</v>
      </c>
    </row>
    <row r="79" spans="1:15" ht="15" customHeight="1">
      <c r="A79" s="75" t="str">
        <f>'Members Data'!A71</f>
        <v>Fireaxe</v>
      </c>
      <c r="B79" s="199"/>
      <c r="C79" s="200"/>
      <c r="D79" s="200"/>
      <c r="E79" s="200"/>
      <c r="F79" s="200"/>
      <c r="G79" s="200"/>
      <c r="H79" s="201"/>
      <c r="I79" s="70">
        <f t="array" ref="I79">SUM(($B79:$H79="confirmed")*($B$4:$H$4=25))</f>
        <v>0</v>
      </c>
      <c r="J79" s="43">
        <f t="array" ref="J79">SUM(($B79:$H79="standby")*($B$4:$H$4=25))</f>
        <v>0</v>
      </c>
      <c r="K79" s="43">
        <f t="array" ref="K79">SUM(($B79:$H79="confirmed")*($B$4:$H$4=10))</f>
        <v>0</v>
      </c>
      <c r="L79" s="43">
        <f t="array" ref="L79">SUM(($B79:$H79="standby")*($B$4:$H$4=10))</f>
        <v>0</v>
      </c>
      <c r="M79" s="72">
        <f t="shared" si="7"/>
        <v>0</v>
      </c>
      <c r="N79" s="72">
        <f t="shared" si="8"/>
        <v>0</v>
      </c>
      <c r="O79" s="73">
        <f t="shared" si="9"/>
        <v>0</v>
      </c>
    </row>
    <row r="80" spans="1:15" ht="15" customHeight="1">
      <c r="A80" s="75" t="str">
        <f>'Members Data'!A72</f>
        <v>Firefoxy</v>
      </c>
      <c r="B80" s="199"/>
      <c r="C80" s="200"/>
      <c r="D80" s="200"/>
      <c r="E80" s="200"/>
      <c r="F80" s="200"/>
      <c r="G80" s="200"/>
      <c r="H80" s="201"/>
      <c r="I80" s="70">
        <f t="array" ref="I80">SUM(($B80:$H80="confirmed")*($B$4:$H$4=25))</f>
        <v>0</v>
      </c>
      <c r="J80" s="43">
        <f t="array" ref="J80">SUM(($B80:$H80="standby")*($B$4:$H$4=25))</f>
        <v>0</v>
      </c>
      <c r="K80" s="43">
        <f t="array" ref="K80">SUM(($B80:$H80="confirmed")*($B$4:$H$4=10))</f>
        <v>0</v>
      </c>
      <c r="L80" s="43">
        <f t="array" ref="L80">SUM(($B80:$H80="standby")*($B$4:$H$4=10))</f>
        <v>0</v>
      </c>
      <c r="M80" s="72">
        <f t="shared" si="7"/>
        <v>0</v>
      </c>
      <c r="N80" s="72">
        <f t="shared" si="8"/>
        <v>0</v>
      </c>
      <c r="O80" s="73">
        <f t="shared" si="9"/>
        <v>0</v>
      </c>
    </row>
    <row r="81" spans="1:15" ht="15" customHeight="1">
      <c r="A81" s="75" t="str">
        <f>'Members Data'!A73</f>
        <v>Boeyah</v>
      </c>
      <c r="B81" s="199"/>
      <c r="C81" s="200"/>
      <c r="D81" s="200"/>
      <c r="E81" s="200"/>
      <c r="F81" s="200"/>
      <c r="G81" s="200"/>
      <c r="H81" s="201"/>
      <c r="I81" s="70">
        <f t="array" ref="I81">SUM(($B81:$H81="confirmed")*($B$4:$H$4=25))</f>
        <v>0</v>
      </c>
      <c r="J81" s="43">
        <f t="array" ref="J81">SUM(($B81:$H81="standby")*($B$4:$H$4=25))</f>
        <v>0</v>
      </c>
      <c r="K81" s="43">
        <f t="array" ref="K81">SUM(($B81:$H81="confirmed")*($B$4:$H$4=10))</f>
        <v>0</v>
      </c>
      <c r="L81" s="43">
        <f t="array" ref="L81">SUM(($B81:$H81="standby")*($B$4:$H$4=10))</f>
        <v>0</v>
      </c>
      <c r="M81" s="72">
        <f t="shared" si="7"/>
        <v>0</v>
      </c>
      <c r="N81" s="72">
        <f t="shared" si="8"/>
        <v>0</v>
      </c>
      <c r="O81" s="73">
        <f t="shared" si="9"/>
        <v>0</v>
      </c>
    </row>
    <row r="82" spans="1:15" ht="15" customHeight="1">
      <c r="A82" s="75" t="str">
        <f>'Members Data'!A74</f>
        <v>Judgementz</v>
      </c>
      <c r="B82" s="332"/>
      <c r="C82" s="200"/>
      <c r="D82" s="200"/>
      <c r="E82" s="200"/>
      <c r="F82" s="200"/>
      <c r="G82" s="200"/>
      <c r="H82" s="201"/>
      <c r="I82" s="70">
        <f t="array" ref="I82">SUM(($B82:$H82="confirmed")*($B$4:$H$4=25))</f>
        <v>0</v>
      </c>
      <c r="J82" s="43">
        <f t="array" ref="J82">SUM(($B82:$H82="standby")*($B$4:$H$4=25))</f>
        <v>0</v>
      </c>
      <c r="K82" s="43">
        <f t="array" ref="K82">SUM(($B82:$H82="confirmed")*($B$4:$H$4=10))</f>
        <v>0</v>
      </c>
      <c r="L82" s="43">
        <f t="array" ref="L82">SUM(($B82:$H82="standby")*($B$4:$H$4=10))</f>
        <v>0</v>
      </c>
      <c r="M82" s="72">
        <f t="shared" si="7"/>
        <v>0</v>
      </c>
      <c r="N82" s="72">
        <f t="shared" si="8"/>
        <v>0</v>
      </c>
      <c r="O82" s="73">
        <f t="shared" si="9"/>
        <v>0</v>
      </c>
    </row>
    <row r="83" spans="1:15" ht="15" customHeight="1">
      <c r="A83" s="75">
        <f>'Members Data'!A75</f>
        <v>0</v>
      </c>
      <c r="B83" s="199"/>
      <c r="C83" s="200"/>
      <c r="D83" s="200"/>
      <c r="E83" s="200"/>
      <c r="F83" s="200"/>
      <c r="G83" s="200"/>
      <c r="H83" s="201"/>
      <c r="I83" s="70">
        <f t="array" ref="I83">SUM(($B83:$H83="confirmed")*($B$4:$H$4=25))</f>
        <v>0</v>
      </c>
      <c r="J83" s="43">
        <f t="array" ref="J83">SUM(($B83:$H83="standby")*($B$4:$H$4=25))</f>
        <v>0</v>
      </c>
      <c r="K83" s="43">
        <f t="array" ref="K83">SUM(($B83:$H83="confirmed")*($B$4:$H$4=10))</f>
        <v>0</v>
      </c>
      <c r="L83" s="43">
        <f t="array" ref="L83">SUM(($B83:$H83="standby")*($B$4:$H$4=10))</f>
        <v>0</v>
      </c>
      <c r="M83" s="72">
        <f t="shared" si="7"/>
        <v>0</v>
      </c>
      <c r="N83" s="72">
        <f t="shared" si="8"/>
        <v>0</v>
      </c>
      <c r="O83" s="73">
        <f t="shared" si="9"/>
        <v>0</v>
      </c>
    </row>
    <row r="84" spans="1:15" ht="15" customHeight="1">
      <c r="A84" s="75">
        <f>'Members Data'!A76</f>
        <v>0</v>
      </c>
      <c r="B84" s="199"/>
      <c r="C84" s="200"/>
      <c r="D84" s="200"/>
      <c r="E84" s="200"/>
      <c r="F84" s="200"/>
      <c r="G84" s="200"/>
      <c r="H84" s="201"/>
      <c r="I84" s="70">
        <f t="array" ref="I84">SUM(($B84:$H84="confirmed")*($B$4:$H$4=25))</f>
        <v>0</v>
      </c>
      <c r="J84" s="43">
        <f t="array" ref="J84">SUM(($B84:$H84="standby")*($B$4:$H$4=25))</f>
        <v>0</v>
      </c>
      <c r="K84" s="43">
        <f t="array" ref="K84">SUM(($B84:$H84="confirmed")*($B$4:$H$4=10))</f>
        <v>0</v>
      </c>
      <c r="L84" s="43">
        <f t="array" ref="L84">SUM(($B84:$H84="standby")*($B$4:$H$4=10))</f>
        <v>0</v>
      </c>
      <c r="M84" s="72">
        <f t="shared" si="7"/>
        <v>0</v>
      </c>
      <c r="N84" s="72">
        <f t="shared" si="8"/>
        <v>0</v>
      </c>
      <c r="O84" s="73">
        <f t="shared" si="9"/>
        <v>0</v>
      </c>
    </row>
    <row r="85" spans="1:15" ht="15" customHeight="1">
      <c r="A85" s="75">
        <f>'Members Data'!A77</f>
        <v>0</v>
      </c>
      <c r="B85" s="199"/>
      <c r="C85" s="200"/>
      <c r="D85" s="200"/>
      <c r="E85" s="200"/>
      <c r="F85" s="200"/>
      <c r="G85" s="200"/>
      <c r="H85" s="201"/>
      <c r="I85" s="70">
        <f t="array" ref="I85">SUM(($B85:$H85="confirmed")*($B$4:$H$4=25))</f>
        <v>0</v>
      </c>
      <c r="J85" s="43">
        <f t="array" ref="J85">SUM(($B85:$H85="standby")*($B$4:$H$4=25))</f>
        <v>0</v>
      </c>
      <c r="K85" s="43">
        <f t="array" ref="K85">SUM(($B85:$H85="confirmed")*($B$4:$H$4=10))</f>
        <v>0</v>
      </c>
      <c r="L85" s="43">
        <f t="array" ref="L85">SUM(($B85:$H85="standby")*($B$4:$H$4=10))</f>
        <v>0</v>
      </c>
      <c r="M85" s="72">
        <f t="shared" si="7"/>
        <v>0</v>
      </c>
      <c r="N85" s="72">
        <f t="shared" si="8"/>
        <v>0</v>
      </c>
      <c r="O85" s="73">
        <f t="shared" si="9"/>
        <v>0</v>
      </c>
    </row>
    <row r="86" spans="1:15" ht="15" customHeight="1">
      <c r="A86" s="75">
        <f>'Members Data'!A78</f>
        <v>0</v>
      </c>
      <c r="B86" s="199"/>
      <c r="C86" s="200"/>
      <c r="D86" s="200"/>
      <c r="E86" s="200"/>
      <c r="F86" s="200"/>
      <c r="G86" s="200"/>
      <c r="H86" s="201"/>
      <c r="I86" s="70">
        <f t="array" ref="I86">SUM(($B86:$H86="confirmed")*($B$4:$H$4=25))</f>
        <v>0</v>
      </c>
      <c r="J86" s="43">
        <f t="array" ref="J86">SUM(($B86:$H86="standby")*($B$4:$H$4=25))</f>
        <v>0</v>
      </c>
      <c r="K86" s="43">
        <f t="array" ref="K86">SUM(($B86:$H86="confirmed")*($B$4:$H$4=10))</f>
        <v>0</v>
      </c>
      <c r="L86" s="43">
        <f t="array" ref="L86">SUM(($B86:$H86="standby")*($B$4:$H$4=10))</f>
        <v>0</v>
      </c>
      <c r="M86" s="72">
        <f t="shared" si="7"/>
        <v>0</v>
      </c>
      <c r="N86" s="72">
        <f t="shared" si="8"/>
        <v>0</v>
      </c>
      <c r="O86" s="73">
        <f t="shared" si="9"/>
        <v>0</v>
      </c>
    </row>
    <row r="87" spans="1:15" ht="15" customHeight="1">
      <c r="A87" s="75">
        <f>'Members Data'!A79</f>
        <v>0</v>
      </c>
      <c r="B87" s="199"/>
      <c r="C87" s="200"/>
      <c r="D87" s="200"/>
      <c r="E87" s="200"/>
      <c r="F87" s="200"/>
      <c r="G87" s="200"/>
      <c r="H87" s="201"/>
      <c r="I87" s="70">
        <f t="array" ref="I87">SUM(($B87:$H87="confirmed")*($B$4:$H$4=25))</f>
        <v>0</v>
      </c>
      <c r="J87" s="43">
        <f t="array" ref="J87">SUM(($B87:$H87="standby")*($B$4:$H$4=25))</f>
        <v>0</v>
      </c>
      <c r="K87" s="43">
        <f t="array" ref="K87">SUM(($B87:$H87="confirmed")*($B$4:$H$4=10))</f>
        <v>0</v>
      </c>
      <c r="L87" s="43">
        <f t="array" ref="L87">SUM(($B87:$H87="standby")*($B$4:$H$4=10))</f>
        <v>0</v>
      </c>
      <c r="M87" s="72">
        <f t="shared" si="7"/>
        <v>0</v>
      </c>
      <c r="N87" s="72">
        <f t="shared" si="8"/>
        <v>0</v>
      </c>
      <c r="O87" s="73">
        <f t="shared" si="9"/>
        <v>0</v>
      </c>
    </row>
    <row r="88" spans="1:15" ht="15" customHeight="1">
      <c r="A88" s="75">
        <f>'Members Data'!A80</f>
        <v>0</v>
      </c>
      <c r="B88" s="199"/>
      <c r="C88" s="200"/>
      <c r="D88" s="200"/>
      <c r="E88" s="200"/>
      <c r="F88" s="200"/>
      <c r="G88" s="200"/>
      <c r="H88" s="201"/>
      <c r="I88" s="70">
        <f t="array" ref="I88">SUM(($B88:$H88="confirmed")*($B$4:$H$4=25))</f>
        <v>0</v>
      </c>
      <c r="J88" s="43">
        <f t="array" ref="J88">SUM(($B88:$H88="standby")*($B$4:$H$4=25))</f>
        <v>0</v>
      </c>
      <c r="K88" s="43">
        <f t="array" ref="K88">SUM(($B88:$H88="confirmed")*($B$4:$H$4=10))</f>
        <v>0</v>
      </c>
      <c r="L88" s="43">
        <f t="array" ref="L88">SUM(($B88:$H88="standby")*($B$4:$H$4=10))</f>
        <v>0</v>
      </c>
      <c r="M88" s="72">
        <f t="shared" si="7"/>
        <v>0</v>
      </c>
      <c r="N88" s="72">
        <f t="shared" si="8"/>
        <v>0</v>
      </c>
      <c r="O88" s="73">
        <f t="shared" si="9"/>
        <v>0</v>
      </c>
    </row>
    <row r="89" spans="1:15" ht="15" customHeight="1">
      <c r="A89" s="75">
        <f>'Members Data'!A81</f>
        <v>0</v>
      </c>
      <c r="B89" s="199"/>
      <c r="C89" s="200"/>
      <c r="D89" s="200"/>
      <c r="E89" s="200"/>
      <c r="F89" s="200"/>
      <c r="G89" s="200"/>
      <c r="H89" s="201"/>
      <c r="I89" s="70">
        <f t="array" ref="I89">SUM(($B89:$H89="confirmed")*($B$4:$H$4=25))</f>
        <v>0</v>
      </c>
      <c r="J89" s="43">
        <f t="array" ref="J89">SUM(($B89:$H89="standby")*($B$4:$H$4=25))</f>
        <v>0</v>
      </c>
      <c r="K89" s="43">
        <f t="array" ref="K89">SUM(($B89:$H89="confirmed")*($B$4:$H$4=10))</f>
        <v>0</v>
      </c>
      <c r="L89" s="43">
        <f t="array" ref="L89">SUM(($B89:$H89="standby")*($B$4:$H$4=10))</f>
        <v>0</v>
      </c>
      <c r="M89" s="72">
        <f t="shared" si="7"/>
        <v>0</v>
      </c>
      <c r="N89" s="72">
        <f t="shared" si="8"/>
        <v>0</v>
      </c>
      <c r="O89" s="73">
        <f t="shared" si="9"/>
        <v>0</v>
      </c>
    </row>
    <row r="90" spans="1:15" ht="15" customHeight="1">
      <c r="A90" s="75">
        <f>'Members Data'!A82</f>
        <v>0</v>
      </c>
      <c r="B90" s="199"/>
      <c r="C90" s="200"/>
      <c r="D90" s="200"/>
      <c r="E90" s="200"/>
      <c r="F90" s="200"/>
      <c r="G90" s="200"/>
      <c r="H90" s="201"/>
      <c r="I90" s="70">
        <f t="array" ref="I90">SUM(($B90:$H90="confirmed")*($B$4:$H$4=25))</f>
        <v>0</v>
      </c>
      <c r="J90" s="43">
        <f t="array" ref="J90">SUM(($B90:$H90="standby")*($B$4:$H$4=25))</f>
        <v>0</v>
      </c>
      <c r="K90" s="43">
        <f t="array" ref="K90">SUM(($B90:$H90="confirmed")*($B$4:$H$4=10))</f>
        <v>0</v>
      </c>
      <c r="L90" s="43">
        <f t="array" ref="L90">SUM(($B90:$H90="standby")*($B$4:$H$4=10))</f>
        <v>0</v>
      </c>
      <c r="M90" s="72">
        <f t="shared" si="7"/>
        <v>0</v>
      </c>
      <c r="N90" s="72">
        <f t="shared" si="8"/>
        <v>0</v>
      </c>
      <c r="O90" s="73">
        <f t="shared" si="9"/>
        <v>0</v>
      </c>
    </row>
    <row r="91" spans="1:15" ht="15" customHeight="1">
      <c r="A91" s="75">
        <f>'Members Data'!A83</f>
        <v>0</v>
      </c>
      <c r="B91" s="199"/>
      <c r="C91" s="200"/>
      <c r="D91" s="200"/>
      <c r="E91" s="200"/>
      <c r="F91" s="200"/>
      <c r="G91" s="200"/>
      <c r="H91" s="201"/>
      <c r="I91" s="70">
        <f t="array" ref="I91">SUM(($B91:$H91="confirmed")*($B$4:$H$4=25))</f>
        <v>0</v>
      </c>
      <c r="J91" s="43">
        <f t="array" ref="J91">SUM(($B91:$H91="standby")*($B$4:$H$4=25))</f>
        <v>0</v>
      </c>
      <c r="K91" s="43">
        <f t="array" ref="K91">SUM(($B91:$H91="confirmed")*($B$4:$H$4=10))</f>
        <v>0</v>
      </c>
      <c r="L91" s="43">
        <f t="array" ref="L91">SUM(($B91:$H91="standby")*($B$4:$H$4=10))</f>
        <v>0</v>
      </c>
      <c r="M91" s="72">
        <f t="shared" si="7"/>
        <v>0</v>
      </c>
      <c r="N91" s="72">
        <f t="shared" si="8"/>
        <v>0</v>
      </c>
      <c r="O91" s="73">
        <f t="shared" si="9"/>
        <v>0</v>
      </c>
    </row>
    <row r="92" spans="1:15" ht="15" customHeight="1">
      <c r="A92" s="75">
        <f>'Members Data'!A84</f>
        <v>0</v>
      </c>
      <c r="B92" s="199"/>
      <c r="C92" s="200"/>
      <c r="D92" s="200"/>
      <c r="E92" s="200"/>
      <c r="F92" s="200"/>
      <c r="G92" s="200"/>
      <c r="H92" s="201"/>
      <c r="I92" s="70">
        <f t="array" ref="I92">SUM(($B92:$H92="confirmed")*($B$4:$H$4=25))</f>
        <v>0</v>
      </c>
      <c r="J92" s="43">
        <f t="array" ref="J92">SUM(($B92:$H92="standby")*($B$4:$H$4=25))</f>
        <v>0</v>
      </c>
      <c r="K92" s="43">
        <f t="array" ref="K92">SUM(($B92:$H92="confirmed")*($B$4:$H$4=10))</f>
        <v>0</v>
      </c>
      <c r="L92" s="43">
        <f t="array" ref="L92">SUM(($B92:$H92="standby")*($B$4:$H$4=10))</f>
        <v>0</v>
      </c>
      <c r="M92" s="72">
        <f t="shared" si="7"/>
        <v>0</v>
      </c>
      <c r="N92" s="72">
        <f t="shared" si="8"/>
        <v>0</v>
      </c>
      <c r="O92" s="73">
        <f t="shared" si="9"/>
        <v>0</v>
      </c>
    </row>
    <row r="93" spans="1:15" ht="15" customHeight="1">
      <c r="A93" s="75">
        <f>'Members Data'!A85</f>
        <v>0</v>
      </c>
      <c r="B93" s="199"/>
      <c r="C93" s="200"/>
      <c r="D93" s="200"/>
      <c r="E93" s="200"/>
      <c r="F93" s="200"/>
      <c r="G93" s="200"/>
      <c r="H93" s="201"/>
      <c r="I93" s="70">
        <f t="array" ref="I93">SUM(($B93:$H93="confirmed")*($B$4:$H$4=25))</f>
        <v>0</v>
      </c>
      <c r="J93" s="43">
        <f t="array" ref="J93">SUM(($B93:$H93="standby")*($B$4:$H$4=25))</f>
        <v>0</v>
      </c>
      <c r="K93" s="43">
        <f t="array" ref="K93">SUM(($B93:$H93="confirmed")*($B$4:$H$4=10))</f>
        <v>0</v>
      </c>
      <c r="L93" s="43">
        <f t="array" ref="L93">SUM(($B93:$H93="standby")*($B$4:$H$4=10))</f>
        <v>0</v>
      </c>
      <c r="M93" s="72">
        <f t="shared" si="7"/>
        <v>0</v>
      </c>
      <c r="N93" s="72">
        <f t="shared" si="8"/>
        <v>0</v>
      </c>
      <c r="O93" s="73">
        <f t="shared" si="9"/>
        <v>0</v>
      </c>
    </row>
    <row r="94" spans="1:15" ht="15" customHeight="1">
      <c r="A94" s="75">
        <f>'Members Data'!A86</f>
        <v>0</v>
      </c>
      <c r="B94" s="199"/>
      <c r="C94" s="200"/>
      <c r="D94" s="200"/>
      <c r="E94" s="200"/>
      <c r="F94" s="200"/>
      <c r="G94" s="200"/>
      <c r="H94" s="201"/>
      <c r="I94" s="70">
        <f t="array" ref="I94">SUM(($B94:$H94="confirmed")*($B$4:$H$4=25))</f>
        <v>0</v>
      </c>
      <c r="J94" s="43">
        <f t="array" ref="J94">SUM(($B94:$H94="standby")*($B$4:$H$4=25))</f>
        <v>0</v>
      </c>
      <c r="K94" s="43">
        <f t="array" ref="K94">SUM(($B94:$H94="confirmed")*($B$4:$H$4=10))</f>
        <v>0</v>
      </c>
      <c r="L94" s="43">
        <f t="array" ref="L94">SUM(($B94:$H94="standby")*($B$4:$H$4=10))</f>
        <v>0</v>
      </c>
      <c r="M94" s="72">
        <f t="shared" si="7"/>
        <v>0</v>
      </c>
      <c r="N94" s="72">
        <f t="shared" si="8"/>
        <v>0</v>
      </c>
      <c r="O94" s="73">
        <f t="shared" si="9"/>
        <v>0</v>
      </c>
    </row>
    <row r="95" spans="1:15" ht="15" customHeight="1">
      <c r="A95" s="75">
        <f>'Members Data'!A87</f>
        <v>0</v>
      </c>
      <c r="B95" s="199"/>
      <c r="C95" s="200"/>
      <c r="D95" s="200"/>
      <c r="E95" s="200"/>
      <c r="F95" s="200"/>
      <c r="G95" s="200"/>
      <c r="H95" s="201"/>
      <c r="I95" s="70">
        <f t="array" ref="I95">SUM(($B95:$H95="confirmed")*($B$4:$H$4=25))</f>
        <v>0</v>
      </c>
      <c r="J95" s="43">
        <f t="array" ref="J95">SUM(($B95:$H95="standby")*($B$4:$H$4=25))</f>
        <v>0</v>
      </c>
      <c r="K95" s="43">
        <f t="array" ref="K95">SUM(($B95:$H95="confirmed")*($B$4:$H$4=10))</f>
        <v>0</v>
      </c>
      <c r="L95" s="43">
        <f t="array" ref="L95">SUM(($B95:$H95="standby")*($B$4:$H$4=10))</f>
        <v>0</v>
      </c>
      <c r="M95" s="72">
        <f t="shared" si="7"/>
        <v>0</v>
      </c>
      <c r="N95" s="72">
        <f t="shared" si="8"/>
        <v>0</v>
      </c>
      <c r="O95" s="73">
        <f t="shared" si="9"/>
        <v>0</v>
      </c>
    </row>
    <row r="96" spans="1:15" ht="15" customHeight="1">
      <c r="A96" s="75">
        <f>'Members Data'!A88</f>
        <v>0</v>
      </c>
      <c r="B96" s="199"/>
      <c r="C96" s="200"/>
      <c r="D96" s="200"/>
      <c r="E96" s="200"/>
      <c r="F96" s="200"/>
      <c r="G96" s="200"/>
      <c r="H96" s="201"/>
      <c r="I96" s="70">
        <f t="array" ref="I96">SUM(($B96:$H96="confirmed")*($B$4:$H$4=25))</f>
        <v>0</v>
      </c>
      <c r="J96" s="43">
        <f t="array" ref="J96">SUM(($B96:$H96="standby")*($B$4:$H$4=25))</f>
        <v>0</v>
      </c>
      <c r="K96" s="43">
        <f t="array" ref="K96">SUM(($B96:$H96="confirmed")*($B$4:$H$4=10))</f>
        <v>0</v>
      </c>
      <c r="L96" s="43">
        <f t="array" ref="L96">SUM(($B96:$H96="standby")*($B$4:$H$4=10))</f>
        <v>0</v>
      </c>
      <c r="M96" s="72">
        <f t="shared" si="7"/>
        <v>0</v>
      </c>
      <c r="N96" s="72">
        <f t="shared" si="8"/>
        <v>0</v>
      </c>
      <c r="O96" s="73">
        <f t="shared" si="9"/>
        <v>0</v>
      </c>
    </row>
    <row r="97" spans="1:15" ht="15" customHeight="1">
      <c r="A97" s="75">
        <f>'Members Data'!A89</f>
        <v>0</v>
      </c>
      <c r="B97" s="199"/>
      <c r="C97" s="200"/>
      <c r="D97" s="200"/>
      <c r="E97" s="200"/>
      <c r="F97" s="200"/>
      <c r="G97" s="200"/>
      <c r="H97" s="201"/>
      <c r="I97" s="70">
        <f t="array" ref="I97">SUM(($B97:$H97="confirmed")*($B$4:$H$4=25))</f>
        <v>0</v>
      </c>
      <c r="J97" s="43">
        <f t="array" ref="J97">SUM(($B97:$H97="standby")*($B$4:$H$4=25))</f>
        <v>0</v>
      </c>
      <c r="K97" s="43">
        <f t="array" ref="K97">SUM(($B97:$H97="confirmed")*($B$4:$H$4=10))</f>
        <v>0</v>
      </c>
      <c r="L97" s="43">
        <f t="array" ref="L97">SUM(($B97:$H97="standby")*($B$4:$H$4=10))</f>
        <v>0</v>
      </c>
      <c r="M97" s="72">
        <f t="shared" si="7"/>
        <v>0</v>
      </c>
      <c r="N97" s="72">
        <f t="shared" si="8"/>
        <v>0</v>
      </c>
      <c r="O97" s="73">
        <f t="shared" si="9"/>
        <v>0</v>
      </c>
    </row>
    <row r="98" spans="1:15" ht="15" customHeight="1">
      <c r="A98" s="75">
        <f>'Members Data'!A90</f>
        <v>0</v>
      </c>
      <c r="B98" s="199"/>
      <c r="C98" s="200"/>
      <c r="D98" s="200"/>
      <c r="E98" s="200"/>
      <c r="F98" s="200"/>
      <c r="G98" s="200"/>
      <c r="H98" s="201"/>
      <c r="I98" s="70">
        <f t="array" ref="I98">SUM(($B98:$H98="confirmed")*($B$4:$H$4=25))</f>
        <v>0</v>
      </c>
      <c r="J98" s="43">
        <f t="array" ref="J98">SUM(($B98:$H98="standby")*($B$4:$H$4=25))</f>
        <v>0</v>
      </c>
      <c r="K98" s="43">
        <f t="array" ref="K98">SUM(($B98:$H98="confirmed")*($B$4:$H$4=10))</f>
        <v>0</v>
      </c>
      <c r="L98" s="43">
        <f t="array" ref="L98">SUM(($B98:$H98="standby")*($B$4:$H$4=10))</f>
        <v>0</v>
      </c>
      <c r="M98" s="72">
        <f t="shared" si="7"/>
        <v>0</v>
      </c>
      <c r="N98" s="72">
        <f t="shared" si="8"/>
        <v>0</v>
      </c>
      <c r="O98" s="73">
        <f t="shared" si="9"/>
        <v>0</v>
      </c>
    </row>
    <row r="99" spans="1:15" ht="15" customHeight="1">
      <c r="A99" s="75">
        <f>'Members Data'!A91</f>
        <v>0</v>
      </c>
      <c r="B99" s="199"/>
      <c r="C99" s="200"/>
      <c r="D99" s="200"/>
      <c r="E99" s="200"/>
      <c r="F99" s="200"/>
      <c r="G99" s="200"/>
      <c r="H99" s="201"/>
      <c r="I99" s="70">
        <f t="array" ref="I99">SUM(($B99:$H99="confirmed")*($B$4:$H$4=25))</f>
        <v>0</v>
      </c>
      <c r="J99" s="43">
        <f t="array" ref="J99">SUM(($B99:$H99="standby")*($B$4:$H$4=25))</f>
        <v>0</v>
      </c>
      <c r="K99" s="43">
        <f t="array" ref="K99">SUM(($B99:$H99="confirmed")*($B$4:$H$4=10))</f>
        <v>0</v>
      </c>
      <c r="L99" s="43">
        <f t="array" ref="L99">SUM(($B99:$H99="standby")*($B$4:$H$4=10))</f>
        <v>0</v>
      </c>
      <c r="M99" s="72">
        <f t="shared" si="7"/>
        <v>0</v>
      </c>
      <c r="N99" s="72">
        <f t="shared" si="8"/>
        <v>0</v>
      </c>
      <c r="O99" s="73">
        <f t="shared" si="9"/>
        <v>0</v>
      </c>
    </row>
    <row r="100" spans="1:15" ht="15" customHeight="1">
      <c r="A100" s="75">
        <f>'Members Data'!A92</f>
        <v>0</v>
      </c>
      <c r="B100" s="332"/>
      <c r="C100" s="200"/>
      <c r="D100" s="200"/>
      <c r="E100" s="200"/>
      <c r="F100" s="200"/>
      <c r="G100" s="200"/>
      <c r="H100" s="201"/>
      <c r="I100" s="70">
        <f t="array" ref="I100">SUM(($B100:$H100="confirmed")*($B$4:$H$4=25))</f>
        <v>0</v>
      </c>
      <c r="J100" s="43">
        <f t="array" ref="J100">SUM(($B100:$H100="standby")*($B$4:$H$4=25))</f>
        <v>0</v>
      </c>
      <c r="K100" s="43">
        <f t="array" ref="K100">SUM(($B100:$H100="confirmed")*($B$4:$H$4=10))</f>
        <v>0</v>
      </c>
      <c r="L100" s="43">
        <f t="array" ref="L100">SUM(($B100:$H100="standby")*($B$4:$H$4=10))</f>
        <v>0</v>
      </c>
      <c r="M100" s="72">
        <f t="shared" si="7"/>
        <v>0</v>
      </c>
      <c r="N100" s="72">
        <f t="shared" si="8"/>
        <v>0</v>
      </c>
      <c r="O100" s="73">
        <f t="shared" si="9"/>
        <v>0</v>
      </c>
    </row>
    <row r="101" spans="1:15" ht="15" customHeight="1">
      <c r="A101" s="75">
        <f>'Members Data'!A93</f>
        <v>0</v>
      </c>
      <c r="B101" s="199"/>
      <c r="C101" s="200"/>
      <c r="D101" s="200"/>
      <c r="E101" s="200"/>
      <c r="F101" s="200"/>
      <c r="G101" s="200"/>
      <c r="H101" s="201"/>
      <c r="I101" s="70">
        <f t="array" ref="I101">SUM(($B101:$H101="confirmed")*($B$4:$H$4=25))</f>
        <v>0</v>
      </c>
      <c r="J101" s="43">
        <f t="array" ref="J101">SUM(($B101:$H101="standby")*($B$4:$H$4=25))</f>
        <v>0</v>
      </c>
      <c r="K101" s="43">
        <f t="array" ref="K101">SUM(($B101:$H101="confirmed")*($B$4:$H$4=10))</f>
        <v>0</v>
      </c>
      <c r="L101" s="43">
        <f t="array" ref="L101">SUM(($B101:$H101="standby")*($B$4:$H$4=10))</f>
        <v>0</v>
      </c>
      <c r="M101" s="72">
        <f t="shared" si="7"/>
        <v>0</v>
      </c>
      <c r="N101" s="72">
        <f t="shared" si="8"/>
        <v>0</v>
      </c>
      <c r="O101" s="73">
        <f t="shared" si="9"/>
        <v>0</v>
      </c>
    </row>
    <row r="102" spans="1:15" ht="15" customHeight="1">
      <c r="A102" s="75">
        <f>'Members Data'!A94</f>
        <v>0</v>
      </c>
      <c r="B102" s="199"/>
      <c r="C102" s="200"/>
      <c r="D102" s="200"/>
      <c r="E102" s="200"/>
      <c r="F102" s="200"/>
      <c r="G102" s="200"/>
      <c r="H102" s="201"/>
      <c r="I102" s="70">
        <f t="array" ref="I102">SUM(($B102:$H102="confirmed")*($B$4:$H$4=25))</f>
        <v>0</v>
      </c>
      <c r="J102" s="43">
        <f t="array" ref="J102">SUM(($B102:$H102="standby")*($B$4:$H$4=25))</f>
        <v>0</v>
      </c>
      <c r="K102" s="43">
        <f t="array" ref="K102">SUM(($B102:$H102="confirmed")*($B$4:$H$4=10))</f>
        <v>0</v>
      </c>
      <c r="L102" s="43">
        <f t="array" ref="L102">SUM(($B102:$H102="standby")*($B$4:$H$4=10))</f>
        <v>0</v>
      </c>
      <c r="M102" s="72">
        <f t="shared" si="7"/>
        <v>0</v>
      </c>
      <c r="N102" s="72">
        <f t="shared" si="8"/>
        <v>0</v>
      </c>
      <c r="O102" s="73">
        <f t="shared" si="9"/>
        <v>0</v>
      </c>
    </row>
    <row r="103" spans="1:15" ht="15" customHeight="1">
      <c r="A103" s="75">
        <f>'Members Data'!A95</f>
        <v>0</v>
      </c>
      <c r="B103" s="199"/>
      <c r="C103" s="200"/>
      <c r="D103" s="200"/>
      <c r="E103" s="200"/>
      <c r="F103" s="200"/>
      <c r="G103" s="200"/>
      <c r="H103" s="201"/>
      <c r="I103" s="70">
        <f t="array" ref="I103">SUM(($B103:$H103="confirmed")*($B$4:$H$4=25))</f>
        <v>0</v>
      </c>
      <c r="J103" s="43">
        <f t="array" ref="J103">SUM(($B103:$H103="standby")*($B$4:$H$4=25))</f>
        <v>0</v>
      </c>
      <c r="K103" s="43">
        <f t="array" ref="K103">SUM(($B103:$H103="confirmed")*($B$4:$H$4=10))</f>
        <v>0</v>
      </c>
      <c r="L103" s="43">
        <f t="array" ref="L103">SUM(($B103:$H103="standby")*($B$4:$H$4=10))</f>
        <v>0</v>
      </c>
      <c r="M103" s="72">
        <f t="shared" si="7"/>
        <v>0</v>
      </c>
      <c r="N103" s="72">
        <f t="shared" si="8"/>
        <v>0</v>
      </c>
      <c r="O103" s="73">
        <f t="shared" si="9"/>
        <v>0</v>
      </c>
    </row>
    <row r="104" spans="1:15" ht="15" customHeight="1">
      <c r="A104" s="75">
        <f>'Members Data'!A96</f>
        <v>0</v>
      </c>
      <c r="B104" s="199"/>
      <c r="C104" s="200"/>
      <c r="D104" s="200"/>
      <c r="E104" s="200"/>
      <c r="F104" s="200"/>
      <c r="G104" s="200"/>
      <c r="H104" s="201"/>
      <c r="I104" s="70">
        <f t="array" ref="I104">SUM(($B104:$H104="confirmed")*($B$4:$H$4=25))</f>
        <v>0</v>
      </c>
      <c r="J104" s="43">
        <f t="array" ref="J104">SUM(($B104:$H104="standby")*($B$4:$H$4=25))</f>
        <v>0</v>
      </c>
      <c r="K104" s="43">
        <f t="array" ref="K104">SUM(($B104:$H104="confirmed")*($B$4:$H$4=10))</f>
        <v>0</v>
      </c>
      <c r="L104" s="43">
        <f t="array" ref="L104">SUM(($B104:$H104="standby")*($B$4:$H$4=10))</f>
        <v>0</v>
      </c>
      <c r="M104" s="72">
        <f t="shared" si="7"/>
        <v>0</v>
      </c>
      <c r="N104" s="72">
        <f t="shared" si="8"/>
        <v>0</v>
      </c>
      <c r="O104" s="73">
        <f t="shared" si="9"/>
        <v>0</v>
      </c>
    </row>
    <row r="105" spans="1:15" ht="15" customHeight="1">
      <c r="A105" s="75">
        <f>'Members Data'!A97</f>
        <v>0</v>
      </c>
      <c r="B105" s="199"/>
      <c r="C105" s="200"/>
      <c r="D105" s="200"/>
      <c r="E105" s="200"/>
      <c r="F105" s="200"/>
      <c r="G105" s="200"/>
      <c r="H105" s="201"/>
      <c r="I105" s="70">
        <f t="array" ref="I105">SUM(($B105:$H105="confirmed")*($B$4:$H$4=25))</f>
        <v>0</v>
      </c>
      <c r="J105" s="43">
        <f t="array" ref="J105">SUM(($B105:$H105="standby")*($B$4:$H$4=25))</f>
        <v>0</v>
      </c>
      <c r="K105" s="43">
        <f t="array" ref="K105">SUM(($B105:$H105="confirmed")*($B$4:$H$4=10))</f>
        <v>0</v>
      </c>
      <c r="L105" s="43">
        <f t="array" ref="L105">SUM(($B105:$H105="standby")*($B$4:$H$4=10))</f>
        <v>0</v>
      </c>
      <c r="M105" s="72">
        <f t="shared" si="7"/>
        <v>0</v>
      </c>
      <c r="N105" s="72">
        <f t="shared" si="8"/>
        <v>0</v>
      </c>
      <c r="O105" s="73">
        <f t="shared" si="9"/>
        <v>0</v>
      </c>
    </row>
    <row r="106" spans="1:15" ht="15" customHeight="1">
      <c r="A106" s="75">
        <f>'Members Data'!A98</f>
        <v>0</v>
      </c>
      <c r="B106" s="199"/>
      <c r="C106" s="200"/>
      <c r="D106" s="200"/>
      <c r="E106" s="200"/>
      <c r="F106" s="200"/>
      <c r="G106" s="200"/>
      <c r="H106" s="201"/>
      <c r="I106" s="70">
        <f t="array" ref="I106">SUM(($B106:$H106="confirmed")*($B$4:$H$4=25))</f>
        <v>0</v>
      </c>
      <c r="J106" s="43">
        <f t="array" ref="J106">SUM(($B106:$H106="standby")*($B$4:$H$4=25))</f>
        <v>0</v>
      </c>
      <c r="K106" s="43">
        <f t="array" ref="K106">SUM(($B106:$H106="confirmed")*($B$4:$H$4=10))</f>
        <v>0</v>
      </c>
      <c r="L106" s="43">
        <f t="array" ref="L106">SUM(($B106:$H106="standby")*($B$4:$H$4=10))</f>
        <v>0</v>
      </c>
      <c r="M106" s="72">
        <f t="shared" si="7"/>
        <v>0</v>
      </c>
      <c r="N106" s="72">
        <f t="shared" si="8"/>
        <v>0</v>
      </c>
      <c r="O106" s="73">
        <f t="shared" si="9"/>
        <v>0</v>
      </c>
    </row>
    <row r="107" spans="1:15" ht="15" customHeight="1">
      <c r="A107" s="75">
        <f>'Members Data'!A99</f>
        <v>0</v>
      </c>
      <c r="B107" s="199"/>
      <c r="C107" s="200"/>
      <c r="D107" s="200"/>
      <c r="E107" s="200"/>
      <c r="F107" s="200"/>
      <c r="G107" s="200"/>
      <c r="H107" s="201"/>
      <c r="I107" s="70">
        <f t="array" ref="I107">SUM(($B107:$H107="confirmed")*($B$4:$H$4=25))</f>
        <v>0</v>
      </c>
      <c r="J107" s="43">
        <f t="array" ref="J107">SUM(($B107:$H107="standby")*($B$4:$H$4=25))</f>
        <v>0</v>
      </c>
      <c r="K107" s="43">
        <f t="array" ref="K107">SUM(($B107:$H107="confirmed")*($B$4:$H$4=10))</f>
        <v>0</v>
      </c>
      <c r="L107" s="43">
        <f t="array" ref="L107">SUM(($B107:$H107="standby")*($B$4:$H$4=10))</f>
        <v>0</v>
      </c>
      <c r="M107" s="72">
        <f t="shared" si="7"/>
        <v>0</v>
      </c>
      <c r="N107" s="72">
        <f t="shared" si="8"/>
        <v>0</v>
      </c>
      <c r="O107" s="73">
        <f t="shared" si="9"/>
        <v>0</v>
      </c>
    </row>
    <row r="108" spans="1:15" ht="15" customHeight="1" thickBot="1">
      <c r="A108" s="142">
        <f>'Members Data'!A100</f>
        <v>0</v>
      </c>
      <c r="B108" s="208"/>
      <c r="C108" s="209"/>
      <c r="D108" s="209"/>
      <c r="E108" s="209"/>
      <c r="F108" s="209"/>
      <c r="G108" s="209"/>
      <c r="H108" s="210"/>
      <c r="I108" s="225">
        <f t="array" ref="I108">SUM(($B108:$H108="confirmed")*($B$4:$H$4=25))</f>
        <v>0</v>
      </c>
      <c r="J108" s="52">
        <f t="array" ref="J108">SUM(($B108:$H108="standby")*($B$4:$H$4=25))</f>
        <v>0</v>
      </c>
      <c r="K108" s="52">
        <f t="array" ref="K108">SUM(($B108:$H108="confirmed")*($B$4:$H$4=10))</f>
        <v>0</v>
      </c>
      <c r="L108" s="52">
        <f t="array" ref="L108">SUM(($B108:$H108="standby")*($B$4:$H$4=10))</f>
        <v>0</v>
      </c>
      <c r="M108" s="77">
        <f t="shared" si="7"/>
        <v>0</v>
      </c>
      <c r="N108" s="77">
        <f t="shared" si="8"/>
        <v>0</v>
      </c>
      <c r="O108" s="78">
        <f t="shared" si="9"/>
        <v>0</v>
      </c>
    </row>
  </sheetData>
  <mergeCells count="7">
    <mergeCell ref="M1:M9"/>
    <mergeCell ref="N1:N9"/>
    <mergeCell ref="O1:O9"/>
    <mergeCell ref="I1:I9"/>
    <mergeCell ref="J1:J9"/>
    <mergeCell ref="K1:K9"/>
    <mergeCell ref="L1:L9"/>
  </mergeCells>
  <conditionalFormatting sqref="A10:A108">
    <cfRule type="expression" dxfId="2" priority="1" stopIfTrue="1">
      <formula>IF(O10&gt;0,TRUE)</formula>
    </cfRule>
    <cfRule type="expression" dxfId="1" priority="2" stopIfTrue="1">
      <formula>IF(SUM(M10:N10)&gt;1,TRUE)</formula>
    </cfRule>
    <cfRule type="expression" dxfId="0" priority="3" stopIfTrue="1">
      <formula>IF(SUM(M10:N10)&lt;2,TRUE)</formula>
    </cfRule>
  </conditionalFormatting>
  <dataValidations count="2">
    <dataValidation type="list" operator="equal" showErrorMessage="1" sqref="B10:H108">
      <formula1>"Invited,Confirmed,Standby,Out"</formula1>
      <formula2>0</formula2>
    </dataValidation>
    <dataValidation type="list" operator="equal" sqref="B4:H4">
      <formula1>"??,10,25"</formula1>
      <formula2>0</formula2>
    </dataValidation>
  </dataValidations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 r:id="rId1"/>
  <headerFooter alignWithMargins="0">
    <oddHeader>&amp;C&amp;"Times New Roman,Regular"&amp;12&amp;A</oddHeader>
    <oddFooter>&amp;C&amp;"Times New Roman,Regular"&amp;12Page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25:Q136"/>
  <sheetViews>
    <sheetView zoomScale="101" zoomScaleNormal="101" workbookViewId="0">
      <selection activeCell="B26" sqref="B26:C26"/>
    </sheetView>
  </sheetViews>
  <sheetFormatPr defaultRowHeight="12.75"/>
  <cols>
    <col min="1" max="1" width="12.5703125" customWidth="1"/>
    <col min="2" max="2" width="11.7109375" style="76" customWidth="1"/>
    <col min="3" max="3" width="9.140625" style="76"/>
    <col min="4" max="4" width="9" style="76" customWidth="1"/>
    <col min="5" max="5" width="7.5703125" style="81" customWidth="1"/>
    <col min="6" max="6" width="9.140625" style="76"/>
    <col min="7" max="7" width="9.28515625" style="76" customWidth="1"/>
    <col min="8" max="9" width="9.140625" style="76"/>
    <col min="10" max="10" width="9.28515625" style="76" customWidth="1"/>
    <col min="11" max="11" width="7.85546875" style="76" customWidth="1"/>
    <col min="12" max="16384" width="9.140625" style="76"/>
  </cols>
  <sheetData>
    <row r="25" spans="1:14">
      <c r="A25" s="82"/>
      <c r="B25" s="83" t="s">
        <v>61</v>
      </c>
      <c r="C25" s="508" t="s">
        <v>196</v>
      </c>
      <c r="D25" s="509"/>
      <c r="E25" s="84"/>
      <c r="F25" s="83"/>
      <c r="G25" s="83"/>
      <c r="H25" s="83"/>
      <c r="I25" s="83"/>
      <c r="J25" s="83"/>
      <c r="K25" s="83"/>
      <c r="L25" s="83"/>
      <c r="M25" s="83"/>
      <c r="N25" s="85"/>
    </row>
    <row r="26" spans="1:14">
      <c r="A26" s="86"/>
      <c r="B26" s="510" t="s">
        <v>62</v>
      </c>
      <c r="C26" s="510"/>
      <c r="D26" s="510" t="s">
        <v>63</v>
      </c>
      <c r="E26" s="510"/>
      <c r="F26" s="510" t="s">
        <v>64</v>
      </c>
      <c r="G26" s="510"/>
      <c r="H26" s="510" t="s">
        <v>65</v>
      </c>
      <c r="I26" s="510"/>
      <c r="J26" s="510" t="s">
        <v>66</v>
      </c>
      <c r="K26" s="510"/>
      <c r="L26" s="88"/>
      <c r="M26" s="507" t="s">
        <v>6</v>
      </c>
      <c r="N26" s="507"/>
    </row>
    <row r="27" spans="1:14">
      <c r="A27" s="86" t="s">
        <v>26</v>
      </c>
      <c r="B27" s="87" t="s">
        <v>53</v>
      </c>
      <c r="C27" s="87" t="s">
        <v>52</v>
      </c>
      <c r="D27" s="87" t="s">
        <v>53</v>
      </c>
      <c r="E27" s="87" t="s">
        <v>52</v>
      </c>
      <c r="F27" s="87" t="s">
        <v>53</v>
      </c>
      <c r="G27" s="87" t="s">
        <v>52</v>
      </c>
      <c r="H27" s="87" t="s">
        <v>53</v>
      </c>
      <c r="I27" s="87" t="s">
        <v>52</v>
      </c>
      <c r="J27" s="87" t="s">
        <v>53</v>
      </c>
      <c r="K27" s="87" t="s">
        <v>52</v>
      </c>
      <c r="L27" s="88"/>
      <c r="M27" s="87" t="s">
        <v>53</v>
      </c>
      <c r="N27" s="89" t="s">
        <v>52</v>
      </c>
    </row>
    <row r="28" spans="1:14">
      <c r="A28" s="86" t="str">
        <f>'Members Data'!A2</f>
        <v>Adanya</v>
      </c>
      <c r="B28" s="90">
        <f>IF(AND(IF('wk1'!B$5=Pat!$C$25,1,0),IF('wk1'!B10=Pat!B$27,1,0)),1,0)+IF(AND(IF('wk1'!D$5=Pat!$C$25,1,0),IF('wk1'!C10=Pat!B$27,1,0)),1,0)+IF(AND(IF('wk1'!D$5=Pat!$C$25,1,0),IF('wk1'!D10=Pat!B$27,1,0)),1,0)+IF(AND(IF('wk1'!E$5=Pat!$C$25,1,0),IF('wk1'!E10=Pat!B$27,1,0)),1,0)+IF(AND(IF('wk1'!F$5=Pat!$C$25,1,0),IF('wk1'!F10=Pat!B$27,1,0)),1,0)+IF(AND(IF('wk1'!G$5=Pat!$C$25,1,0),IF('wk1'!G10=Pat!B$27,1,0)),1,0)</f>
        <v>0</v>
      </c>
      <c r="C28" s="91">
        <f>IF(AND(IF('wk1'!D$5=Pat!$C$25,1,0),IF('wk1'!C10=Pat!C$27,1,0)),1,0)+IF(AND(IF('wk1'!D$5=Pat!$C$25,1,0),IF('wk1'!D10=Pat!C$27,1,0)),1,0)+IF(AND(IF('wk1'!E$5=Pat!$C$25,1,0),IF('wk1'!E10=Pat!C$27,1,0)),1,0)+IF(AND(IF('wk1'!F$5=Pat!$C$25,1,0),IF('wk1'!F10=Pat!C$27,1,0)),1,0)+IF(AND(IF('wk1'!G$5=Pat!$C$25,1,0),IF('wk1'!G10=Pat!C$27,1,0)),1,0)+IF(AND(IF('wk1'!H$5=Pat!$C$25,1,0),IF('wk1'!H10=Pat!C$27,1,0)),1,0)+IF(AND(IF('wk1'!B$5=Pat!$C$25,1,0),IF('wk1'!B10=Pat!C$27,1,0)),1,0)</f>
        <v>0</v>
      </c>
      <c r="D28" s="90">
        <f>IF(AND(IF('wk2'!B$5=Pat!$C$25,1,0),IF('wk2'!B10=Pat!B$27,1,0)),1,0)+IF(AND(IF('wk2'!C$5=Pat!$C$25,1,0),IF('wk2'!C10=Pat!B$27,1,0)),1,0)+IF(AND(IF('wk2'!D$5=Pat!$C$25,1,0),IF('wk2'!D10=Pat!B$27,1,0)),1,0)+IF(AND(IF('wk2'!E$5=Pat!$C$25,1,0),IF('wk2'!E10=Pat!B$27,1,0)),1,0)+IF(AND(IF('wk2'!F$5=Pat!$C$25,1,0),IF('wk2'!F10=Pat!B$27,1,0)),1,0)+IF(AND(IF('wk2'!G$5=Pat!$C$25,1,0),IF('wk2'!G10=Pat!B$27,1,0)),1,0)</f>
        <v>0</v>
      </c>
      <c r="E28" s="91">
        <f>IF(AND(IF('wk2'!C$5=Pat!$C$25,1,0),IF('wk2'!C10=Pat!C$27,1,0)),1,0)+IF(AND(IF('wk2'!D$5=Pat!$C$25,1,0),IF('wk2'!D10=Pat!C$27,1,0)),1,0)+IF(AND(IF('wk2'!E$5=Pat!$C$25,1,0),IF('wk2'!E10=Pat!C$27,1,0)),1,0)+IF(AND(IF('wk2'!F$5=Pat!$C$25,1,0),IF('wk2'!F10=Pat!C$27,1,0)),1,0)+IF(AND(IF('wk2'!G$5=Pat!$C$25,1,0),IF('wk2'!G10=Pat!C$27,1,0)),1,0)+IF(AND(IF('wk2'!H$5=Pat!$C$25,1,0),IF('wk2'!H10=Pat!C$27,1,0)),1,0)+IF(AND(IF('wk2'!B$5=Pat!$C$25,1,0),IF('wk2'!B10=Pat!C$27,1,0)),1,0)</f>
        <v>0</v>
      </c>
      <c r="F28" s="90">
        <f>IF(AND(IF('wk3'!B$5=Pat!$C$25,1,0),IF('wk3'!B10=Pat!B$27,1,0)),1,0)+IF(AND(IF('wk3'!C$5=Pat!$C$25,1,0),IF('wk3'!C10=Pat!B$27,1,0)),1,0)+IF(AND(IF('wk3'!D$5=Pat!$C$25,1,0),IF('wk3'!D10=Pat!B$27,1,0)),1,0)+IF(AND(IF('wk3'!E$5=Pat!$C$25,1,0),IF('wk3'!E10=Pat!B$27,1,0)),1,0)+IF(AND(IF('wk3'!F$5=Pat!$C$25,1,0),IF('wk3'!F10=Pat!B$27,1,0)),1,0)+IF(AND(IF('wk3'!G$5=Pat!$C$25,1,0),IF('wk3'!G10=Pat!B$27,1,0)),1,0)</f>
        <v>0</v>
      </c>
      <c r="G28" s="91">
        <f>IF(AND(IF('wk3'!C$5=Pat!$C$25,1,0),IF('wk3'!C10=Pat!C$27,1,0)),1,0)+IF(AND(IF('wk3'!D$5=Pat!$C$25,1,0),IF('wk3'!D10=Pat!C$27,1,0)),1,0)+IF(AND(IF('wk3'!E$5=Pat!$C$25,1,0),IF('wk3'!E10=Pat!C$27,1,0)),1,0)+IF(AND(IF('wk3'!F$5=Pat!$C$25,1,0),IF('wk3'!F10=Pat!C$27,1,0)),1,0)+IF(AND(IF('wk3'!G$5=Pat!$C$25,1,0),IF('wk3'!G10=Pat!C$27,1,0)),1,0)+IF(AND(IF('wk3'!H$5=Pat!$C$25,1,0),IF('wk3'!H10=Pat!C$27,1,0)),1,0)+IF(AND(IF('wk3'!B$5=Pat!$C$25,1,0),IF('wk3'!B10=Pat!C$27,1,0)),1,0)</f>
        <v>0</v>
      </c>
      <c r="H28" s="90">
        <f>IF(AND(IF('wk4'!B$5=Pat!$C$25,1,0),IF('wk4'!B10=Pat!B$27,1,0)),1,0)+IF(AND(IF('wk4'!C$5=Pat!$C$25,1,0),IF('wk4'!C10=Pat!B$27,1,0)),1,0)+IF(AND(IF('wk4'!D$5=Pat!$C$25,1,0),IF('wk4'!D10=Pat!B$27,1,0)),1,0)+IF(AND(IF('wk4'!E$5=Pat!$C$25,1,0),IF('wk4'!E10=Pat!B$27,1,0)),1,0)+IF(AND(IF('wk4'!F$5=Pat!$C$25,1,0),IF('wk4'!F10=Pat!B$27,1,0)),1,0)+IF(AND(IF('wk4'!G$5=Pat!$C$25,1,0),IF('wk4'!G10=Pat!B$27,1,0)),1,0)</f>
        <v>0</v>
      </c>
      <c r="I28" s="91">
        <f>IF(AND(IF('wk4'!C$5=Pat!$C$25,1,0),IF('wk4'!C10=Pat!C$27,1,0)),1,0)+IF(AND(IF('wk4'!D$5=Pat!$C$25,1,0),IF('wk4'!D10=Pat!C$27,1,0)),1,0)+IF(AND(IF('wk4'!E$5=Pat!$C$25,1,0),IF('wk4'!E10=Pat!C$27,1,0)),1,0)+IF(AND(IF('wk4'!F$5=Pat!$C$25,1,0),IF('wk4'!F10=Pat!C$27,1,0)),1,0)+IF(AND(IF('wk4'!G$5=Pat!$C$25,1,0),IF('wk4'!G10=Pat!C$27,1,0)),1,0)+IF(AND(IF('wk4'!H$5=Pat!$C$25,1,0),IF('wk4'!H10=Pat!C$27,1,0)),1,0)+IF(AND(IF('wk4'!B$5=Pat!$C$25,1,0),IF('wk4'!B10=Pat!C$27,1,0)),1,0)</f>
        <v>0</v>
      </c>
      <c r="J28" s="92">
        <f>IF(AND(IF('wk5'!B$5=Pat!$C$25,1,0),IF('wk5'!B10=Pat!B$27,1,0)),1,0)+IF(AND(IF('wk5'!C$5=Pat!$C$25,1,0),IF('wk5'!C10=Pat!B$27,1,0)),1,0)+IF(AND(IF('wk5'!D$5=Pat!$C$25,1,0),IF('wk5'!D10=Pat!B$27,1,0)),1,0)+IF(AND(IF('wk5'!E$5=Pat!$C$25,1,0),IF('wk5'!E10=Pat!B$27,1,0)),1,0)+IF(AND(IF('wk5'!F$5=Pat!$C$25,1,0),IF('wk5'!F10=Pat!B$27,1,0)),1,0)+IF(AND(IF('wk5'!G$5=Pat!$C$25,1,0),IF('wk5'!G10=Pat!B$27,1,0)),1,0)</f>
        <v>0</v>
      </c>
      <c r="K28" s="93">
        <f>IF(AND(IF('wk5'!C$5=Pat!$C$25,1,0),IF('wk5'!C10=Pat!C$27,1,0)),1,0)+IF(AND(IF('wk5'!D$5=Pat!$C$25,1,0),IF('wk5'!D10=Pat!C$27,1,0)),1,0)+IF(AND(IF('wk5'!E$5=Pat!$C$25,1,0),IF('wk5'!E10=Pat!C$27,1,0)),1,0)+IF(AND(IF('wk5'!F$5=Pat!$C$25,1,0),IF('wk5'!F10=Pat!C$27,1,0)),1,0)+IF(AND(IF('wk5'!G$5=Pat!$C$25,1,0),IF('wk5'!G10=Pat!C$27,1,0)),1,0)+IF(AND(IF('wk5'!H$5=Pat!$C$25,1,0),IF('wk5'!H10=Pat!C$27,1,0)),1,0)+IF(AND(IF('wk5'!B$5=Pat!$C$25,1,0),IF('wk5'!B10=Pat!C$27,1,0)),1,0)</f>
        <v>0</v>
      </c>
      <c r="L28" s="87"/>
      <c r="M28" s="87">
        <f t="shared" ref="M28:M59" si="0">B28+D28+F28+H28+J28</f>
        <v>0</v>
      </c>
      <c r="N28" s="89">
        <f t="shared" ref="N28:N59" si="1">C28+E28+G28+I28+K28</f>
        <v>0</v>
      </c>
    </row>
    <row r="29" spans="1:14" ht="13.5" thickBot="1">
      <c r="A29" s="86" t="str">
        <f>'Members Data'!A3</f>
        <v>Ambú</v>
      </c>
      <c r="B29" s="90">
        <f>IF(AND(IF('wk1'!B$5=Pat!$C$25,1,0),IF('wk1'!B11=Pat!B$27,1,0)),1,0)+IF(AND(IF('wk1'!D$5=Pat!$C$25,1,0),IF('wk1'!C11=Pat!B$27,1,0)),1,0)+IF(AND(IF('wk1'!D$5=Pat!$C$25,1,0),IF('wk1'!D11=Pat!B$27,1,0)),1,0)+IF(AND(IF('wk1'!E$5=Pat!$C$25,1,0),IF('wk1'!E11=Pat!B$27,1,0)),1,0)+IF(AND(IF('wk1'!F$5=Pat!$C$25,1,0),IF('wk1'!F11=Pat!B$27,1,0)),1,0)+IF(AND(IF('wk1'!G$5=Pat!$C$25,1,0),IF('wk1'!G11=Pat!B$27,1,0)),1,0)</f>
        <v>0</v>
      </c>
      <c r="C29" s="91">
        <f>IF(AND(IF('wk1'!D$5=Pat!$C$25,1,0),IF('wk1'!C11=Pat!C$27,1,0)),1,0)+IF(AND(IF('wk1'!D$5=Pat!$C$25,1,0),IF('wk1'!D11=Pat!C$27,1,0)),1,0)+IF(AND(IF('wk1'!E$5=Pat!$C$25,1,0),IF('wk1'!E11=Pat!C$27,1,0)),1,0)+IF(AND(IF('wk1'!F$5=Pat!$C$25,1,0),IF('wk1'!F11=Pat!C$27,1,0)),1,0)+IF(AND(IF('wk1'!G$5=Pat!$C$25,1,0),IF('wk1'!G11=Pat!C$27,1,0)),1,0)+IF(AND(IF('wk1'!H$5=Pat!$C$25,1,0),IF('wk1'!H11=Pat!C$27,1,0)),1,0)+IF(AND(IF('wk1'!B$5=Pat!$C$25,1,0),IF('wk1'!B11=Pat!C$27,1,0)),1,0)</f>
        <v>0</v>
      </c>
      <c r="D29" s="90">
        <f>IF(AND(IF('wk2'!B$5=Pat!$C$25,1,0),IF('wk2'!B11=Pat!B$27,1,0)),1,0)+IF(AND(IF('wk2'!C$5=Pat!$C$25,1,0),IF('wk2'!C11=Pat!B$27,1,0)),1,0)+IF(AND(IF('wk2'!D$5=Pat!$C$25,1,0),IF('wk2'!D11=Pat!B$27,1,0)),1,0)+IF(AND(IF('wk2'!E$5=Pat!$C$25,1,0),IF('wk2'!E11=Pat!B$27,1,0)),1,0)+IF(AND(IF('wk2'!F$5=Pat!$C$25,1,0),IF('wk2'!F11=Pat!B$27,1,0)),1,0)+IF(AND(IF('wk2'!G$5=Pat!$C$25,1,0),IF('wk2'!G11=Pat!B$27,1,0)),1,0)</f>
        <v>0</v>
      </c>
      <c r="E29" s="91">
        <f>IF(AND(IF('wk2'!C$5=Pat!$C$25,1,0),IF('wk2'!C11=Pat!C$27,1,0)),1,0)+IF(AND(IF('wk2'!D$5=Pat!$C$25,1,0),IF('wk2'!D11=Pat!C$27,1,0)),1,0)+IF(AND(IF('wk2'!E$5=Pat!$C$25,1,0),IF('wk2'!E11=Pat!C$27,1,0)),1,0)+IF(AND(IF('wk2'!F$5=Pat!$C$25,1,0),IF('wk2'!F11=Pat!C$27,1,0)),1,0)+IF(AND(IF('wk2'!G$5=Pat!$C$25,1,0),IF('wk2'!G11=Pat!C$27,1,0)),1,0)+IF(AND(IF('wk2'!H$5=Pat!$C$25,1,0),IF('wk2'!H11=Pat!C$27,1,0)),1,0)+IF(AND(IF('wk2'!B$5=Pat!$C$25,1,0),IF('wk2'!B11=Pat!C$27,1,0)),1,0)</f>
        <v>0</v>
      </c>
      <c r="F29" s="90">
        <f>IF(AND(IF('wk3'!B$5=Pat!$C$25,1,0),IF('wk3'!B11=Pat!B$27,1,0)),1,0)+IF(AND(IF('wk3'!C$5=Pat!$C$25,1,0),IF('wk3'!C11=Pat!B$27,1,0)),1,0)+IF(AND(IF('wk3'!D$5=Pat!$C$25,1,0),IF('wk3'!D11=Pat!B$27,1,0)),1,0)+IF(AND(IF('wk3'!E$5=Pat!$C$25,1,0),IF('wk3'!E11=Pat!B$27,1,0)),1,0)+IF(AND(IF('wk3'!F$5=Pat!$C$25,1,0),IF('wk3'!F11=Pat!B$27,1,0)),1,0)+IF(AND(IF('wk3'!G$5=Pat!$C$25,1,0),IF('wk3'!G11=Pat!B$27,1,0)),1,0)</f>
        <v>0</v>
      </c>
      <c r="G29" s="91">
        <f>IF(AND(IF('wk3'!C$5=Pat!$C$25,1,0),IF('wk3'!C11=Pat!C$27,1,0)),1,0)+IF(AND(IF('wk3'!D$5=Pat!$C$25,1,0),IF('wk3'!D11=Pat!C$27,1,0)),1,0)+IF(AND(IF('wk3'!E$5=Pat!$C$25,1,0),IF('wk3'!E11=Pat!C$27,1,0)),1,0)+IF(AND(IF('wk3'!F$5=Pat!$C$25,1,0),IF('wk3'!F11=Pat!C$27,1,0)),1,0)+IF(AND(IF('wk3'!G$5=Pat!$C$25,1,0),IF('wk3'!G11=Pat!C$27,1,0)),1,0)+IF(AND(IF('wk3'!H$5=Pat!$C$25,1,0),IF('wk3'!H11=Pat!C$27,1,0)),1,0)+IF(AND(IF('wk3'!B$5=Pat!$C$25,1,0),IF('wk3'!B11=Pat!C$27,1,0)),1,0)</f>
        <v>0</v>
      </c>
      <c r="H29" s="90">
        <f>IF(AND(IF('wk4'!B$5=Pat!$C$25,1,0),IF('wk4'!B11=Pat!B$27,1,0)),1,0)+IF(AND(IF('wk4'!C$5=Pat!$C$25,1,0),IF('wk4'!C11=Pat!B$27,1,0)),1,0)+IF(AND(IF('wk4'!D$5=Pat!$C$25,1,0),IF('wk4'!D11=Pat!B$27,1,0)),1,0)+IF(AND(IF('wk4'!E$5=Pat!$C$25,1,0),IF('wk4'!E11=Pat!B$27,1,0)),1,0)+IF(AND(IF('wk4'!F$5=Pat!$C$25,1,0),IF('wk4'!F11=Pat!B$27,1,0)),1,0)+IF(AND(IF('wk4'!G$5=Pat!$C$25,1,0),IF('wk4'!G11=Pat!B$27,1,0)),1,0)</f>
        <v>0</v>
      </c>
      <c r="I29" s="91">
        <f>IF(AND(IF('wk4'!C$5=Pat!$C$25,1,0),IF('wk4'!C11=Pat!C$27,1,0)),1,0)+IF(AND(IF('wk4'!D$5=Pat!$C$25,1,0),IF('wk4'!D11=Pat!C$27,1,0)),1,0)+IF(AND(IF('wk4'!E$5=Pat!$C$25,1,0),IF('wk4'!E11=Pat!C$27,1,0)),1,0)+IF(AND(IF('wk4'!F$5=Pat!$C$25,1,0),IF('wk4'!F11=Pat!C$27,1,0)),1,0)+IF(AND(IF('wk4'!G$5=Pat!$C$25,1,0),IF('wk4'!G11=Pat!C$27,1,0)),1,0)+IF(AND(IF('wk4'!H$5=Pat!$C$25,1,0),IF('wk4'!H11=Pat!C$27,1,0)),1,0)+IF(AND(IF('wk4'!B$5=Pat!$C$25,1,0),IF('wk4'!B11=Pat!C$27,1,0)),1,0)</f>
        <v>0</v>
      </c>
      <c r="J29" s="92">
        <f>IF(AND(IF('wk5'!B$5=Pat!$C$25,1,0),IF('wk5'!B11=Pat!B$27,1,0)),1,0)+IF(AND(IF('wk5'!C$5=Pat!$C$25,1,0),IF('wk5'!C11=Pat!B$27,1,0)),1,0)+IF(AND(IF('wk5'!D$5=Pat!$C$25,1,0),IF('wk5'!D11=Pat!B$27,1,0)),1,0)+IF(AND(IF('wk5'!E$5=Pat!$C$25,1,0),IF('wk5'!E11=Pat!B$27,1,0)),1,0)+IF(AND(IF('wk5'!F$5=Pat!$C$25,1,0),IF('wk5'!F11=Pat!B$27,1,0)),1,0)+IF(AND(IF('wk5'!G$5=Pat!$C$25,1,0),IF('wk5'!G11=Pat!B$27,1,0)),1,0)</f>
        <v>0</v>
      </c>
      <c r="K29" s="93">
        <f>IF(AND(IF('wk5'!C$5=Pat!$C$25,1,0),IF('wk5'!C11=Pat!C$27,1,0)),1,0)+IF(AND(IF('wk5'!D$5=Pat!$C$25,1,0),IF('wk5'!D11=Pat!C$27,1,0)),1,0)+IF(AND(IF('wk5'!E$5=Pat!$C$25,1,0),IF('wk5'!E11=Pat!C$27,1,0)),1,0)+IF(AND(IF('wk5'!F$5=Pat!$C$25,1,0),IF('wk5'!F11=Pat!C$27,1,0)),1,0)+IF(AND(IF('wk5'!G$5=Pat!$C$25,1,0),IF('wk5'!G11=Pat!C$27,1,0)),1,0)+IF(AND(IF('wk5'!H$5=Pat!$C$25,1,0),IF('wk5'!H11=Pat!C$27,1,0)),1,0)+IF(AND(IF('wk5'!B$5=Pat!$C$25,1,0),IF('wk5'!B11=Pat!C$27,1,0)),1,0)</f>
        <v>0</v>
      </c>
      <c r="L29" s="87"/>
      <c r="M29" s="87">
        <f t="shared" si="0"/>
        <v>0</v>
      </c>
      <c r="N29" s="89">
        <f t="shared" si="1"/>
        <v>0</v>
      </c>
    </row>
    <row r="30" spans="1:14" ht="13.5" thickBot="1">
      <c r="A30" s="86" t="str">
        <f>'Members Data'!A4</f>
        <v>Ashenhand</v>
      </c>
      <c r="B30" s="90">
        <f>IF(AND(IF('wk1'!B$5=Pat!$C$25,1,0),IF('wk1'!B12=Pat!B$27,1,0)),1,0)+IF(AND(IF('wk1'!D$5=Pat!$C$25,1,0),IF('wk1'!C12=Pat!B$27,1,0)),1,0)+IF(AND(IF('wk1'!D$5=Pat!$C$25,1,0),IF('wk1'!D12=Pat!B$27,1,0)),1,0)+IF(AND(IF('wk1'!E$5=Pat!$C$25,1,0),IF('wk1'!E12=Pat!B$27,1,0)),1,0)+IF(AND(IF('wk1'!F$5=Pat!$C$25,1,0),IF('wk1'!F12=Pat!B$27,1,0)),1,0)+IF(AND(IF('wk1'!G$5=Pat!$C$25,1,0),IF('wk1'!G12=Pat!B$27,1,0)),1,0)</f>
        <v>0</v>
      </c>
      <c r="C30" s="91">
        <f>IF(AND(IF('wk1'!D$5=Pat!$C$25,1,0),IF('wk1'!C12=Pat!C$27,1,0)),1,0)+IF(AND(IF('wk1'!D$5=Pat!$C$25,1,0),IF('wk1'!D12=Pat!C$27,1,0)),1,0)+IF(AND(IF('wk1'!E$5=Pat!$C$25,1,0),IF('wk1'!E12=Pat!C$27,1,0)),1,0)+IF(AND(IF('wk1'!F$5=Pat!$C$25,1,0),IF('wk1'!F12=Pat!C$27,1,0)),1,0)+IF(AND(IF('wk1'!G$5=Pat!$C$25,1,0),IF('wk1'!G12=Pat!C$27,1,0)),1,0)+IF(AND(IF('wk1'!H$5=Pat!$C$25,1,0),IF('wk1'!H12=Pat!C$27,1,0)),1,0)+IF(AND(IF('wk1'!B$5=Pat!$C$25,1,0),IF('wk1'!B12=Pat!C$27,1,0)),1,0)</f>
        <v>0</v>
      </c>
      <c r="D30" s="90">
        <f>IF(AND(IF('wk2'!B$5=Pat!$C$25,1,0),IF('wk2'!B12=Pat!B$27,1,0)),1,0)+IF(AND(IF('wk2'!C$5=Pat!$C$25,1,0),IF('wk2'!C12=Pat!B$27,1,0)),1,0)+IF(AND(IF('wk2'!D$5=Pat!$C$25,1,0),IF('wk2'!D12=Pat!B$27,1,0)),1,0)+IF(AND(IF('wk2'!E$5=Pat!$C$25,1,0),IF('wk2'!E12=Pat!B$27,1,0)),1,0)+IF(AND(IF('wk2'!F$5=Pat!$C$25,1,0),IF('wk2'!F12=Pat!B$27,1,0)),1,0)+IF(AND(IF('wk2'!G$5=Pat!$C$25,1,0),IF('wk2'!G12=Pat!B$27,1,0)),1,0)</f>
        <v>0</v>
      </c>
      <c r="E30" s="91">
        <f>IF(AND(IF('wk2'!C$5=Pat!$C$25,1,0),IF('wk2'!C12=Pat!C$27,1,0)),1,0)+IF(AND(IF('wk2'!D$5=Pat!$C$25,1,0),IF('wk2'!D12=Pat!C$27,1,0)),1,0)+IF(AND(IF('wk2'!E$5=Pat!$C$25,1,0),IF('wk2'!E12=Pat!C$27,1,0)),1,0)+IF(AND(IF('wk2'!F$5=Pat!$C$25,1,0),IF('wk2'!F12=Pat!C$27,1,0)),1,0)+IF(AND(IF('wk2'!G$5=Pat!$C$25,1,0),IF('wk2'!G12=Pat!C$27,1,0)),1,0)+IF(AND(IF('wk2'!H$5=Pat!$C$25,1,0),IF('wk2'!H12=Pat!C$27,1,0)),1,0)+IF(AND(IF('wk2'!B$5=Pat!$C$25,1,0),IF('wk2'!B12=Pat!C$27,1,0)),1,0)</f>
        <v>0</v>
      </c>
      <c r="F30" s="90">
        <f>IF(AND(IF('wk3'!B$5=Pat!$C$25,1,0),IF('wk3'!B12=Pat!B$27,1,0)),1,0)+IF(AND(IF('wk3'!C$5=Pat!$C$25,1,0),IF('wk3'!C12=Pat!B$27,1,0)),1,0)+IF(AND(IF('wk3'!D$5=Pat!$C$25,1,0),IF('wk3'!D12=Pat!B$27,1,0)),1,0)+IF(AND(IF('wk3'!E$5=Pat!$C$25,1,0),IF('wk3'!E12=Pat!B$27,1,0)),1,0)+IF(AND(IF('wk3'!F$5=Pat!$C$25,1,0),IF('wk3'!F12=Pat!B$27,1,0)),1,0)+IF(AND(IF('wk3'!G$5=Pat!$C$25,1,0),IF('wk3'!G12=Pat!B$27,1,0)),1,0)</f>
        <v>0</v>
      </c>
      <c r="G30" s="91">
        <f>IF(AND(IF('wk3'!C$5=Pat!$C$25,1,0),IF('wk3'!C12=Pat!C$27,1,0)),1,0)+IF(AND(IF('wk3'!D$5=Pat!$C$25,1,0),IF('wk3'!D12=Pat!C$27,1,0)),1,0)+IF(AND(IF('wk3'!E$5=Pat!$C$25,1,0),IF('wk3'!E12=Pat!C$27,1,0)),1,0)+IF(AND(IF('wk3'!F$5=Pat!$C$25,1,0),IF('wk3'!F12=Pat!C$27,1,0)),1,0)+IF(AND(IF('wk3'!G$5=Pat!$C$25,1,0),IF('wk3'!G12=Pat!C$27,1,0)),1,0)+IF(AND(IF('wk3'!H$5=Pat!$C$25,1,0),IF('wk3'!H12=Pat!C$27,1,0)),1,0)+IF(AND(IF('wk3'!B$5=Pat!$C$25,1,0),IF('wk3'!B12=Pat!C$27,1,0)),1,0)</f>
        <v>0</v>
      </c>
      <c r="H30" s="90">
        <f>IF(AND(IF('wk4'!B$5=Pat!$C$25,1,0),IF('wk4'!B12=Pat!B$27,1,0)),1,0)+IF(AND(IF('wk4'!C$5=Pat!$C$25,1,0),IF('wk4'!C12=Pat!B$27,1,0)),1,0)+IF(AND(IF('wk4'!D$5=Pat!$C$25,1,0),IF('wk4'!D12=Pat!B$27,1,0)),1,0)+IF(AND(IF('wk4'!E$5=Pat!$C$25,1,0),IF('wk4'!E12=Pat!B$27,1,0)),1,0)+IF(AND(IF('wk4'!F$5=Pat!$C$25,1,0),IF('wk4'!F12=Pat!B$27,1,0)),1,0)+IF(AND(IF('wk4'!G$5=Pat!$C$25,1,0),IF('wk4'!G12=Pat!B$27,1,0)),1,0)</f>
        <v>0</v>
      </c>
      <c r="I30" s="91">
        <f>IF(AND(IF('wk4'!C$5=Pat!$C$25,1,0),IF('wk4'!C12=Pat!C$27,1,0)),1,0)+IF(AND(IF('wk4'!D$5=Pat!$C$25,1,0),IF('wk4'!D12=Pat!C$27,1,0)),1,0)+IF(AND(IF('wk4'!E$5=Pat!$C$25,1,0),IF('wk4'!E12=Pat!C$27,1,0)),1,0)+IF(AND(IF('wk4'!F$5=Pat!$C$25,1,0),IF('wk4'!F12=Pat!C$27,1,0)),1,0)+IF(AND(IF('wk4'!G$5=Pat!$C$25,1,0),IF('wk4'!G12=Pat!C$27,1,0)),1,0)+IF(AND(IF('wk4'!H$5=Pat!$C$25,1,0),IF('wk4'!H12=Pat!C$27,1,0)),1,0)+IF(AND(IF('wk4'!B$5=Pat!$C$25,1,0),IF('wk4'!B12=Pat!C$27,1,0)),1,0)</f>
        <v>0</v>
      </c>
      <c r="J30" s="92">
        <f>IF(AND(IF('wk5'!B$5=Pat!$C$25,1,0),IF('wk5'!B12=Pat!B$27,1,0)),1,0)+IF(AND(IF('wk5'!C$5=Pat!$C$25,1,0),IF('wk5'!C12=Pat!B$27,1,0)),1,0)+IF(AND(IF('wk5'!D$5=Pat!$C$25,1,0),IF('wk5'!D12=Pat!B$27,1,0)),1,0)+IF(AND(IF('wk5'!E$5=Pat!$C$25,1,0),IF('wk5'!E12=Pat!B$27,1,0)),1,0)+IF(AND(IF('wk5'!F$5=Pat!$C$25,1,0),IF('wk5'!F12=Pat!B$27,1,0)),1,0)+IF(AND(IF('wk5'!G$5=Pat!$C$25,1,0),IF('wk5'!G12=Pat!B$27,1,0)),1,0)</f>
        <v>0</v>
      </c>
      <c r="K30" s="93">
        <f>IF(AND(IF('wk5'!C$5=Pat!$C$25,1,0),IF('wk5'!C12=Pat!C$27,1,0)),1,0)+IF(AND(IF('wk5'!D$5=Pat!$C$25,1,0),IF('wk5'!D12=Pat!C$27,1,0)),1,0)+IF(AND(IF('wk5'!E$5=Pat!$C$25,1,0),IF('wk5'!E12=Pat!C$27,1,0)),1,0)+IF(AND(IF('wk5'!F$5=Pat!$C$25,1,0),IF('wk5'!F12=Pat!C$27,1,0)),1,0)+IF(AND(IF('wk5'!G$5=Pat!$C$25,1,0),IF('wk5'!G12=Pat!C$27,1,0)),1,0)+IF(AND(IF('wk5'!H$5=Pat!$C$25,1,0),IF('wk5'!H12=Pat!C$27,1,0)),1,0)+IF(AND(IF('wk5'!B$5=Pat!$C$25,1,0),IF('wk5'!B12=Pat!C$27,1,0)),1,0)</f>
        <v>0</v>
      </c>
      <c r="L30" s="87"/>
      <c r="M30" s="87">
        <f t="shared" si="0"/>
        <v>0</v>
      </c>
      <c r="N30" s="89">
        <f t="shared" si="1"/>
        <v>0</v>
      </c>
    </row>
    <row r="31" spans="1:14" ht="13.5" thickBot="1">
      <c r="A31" s="86" t="str">
        <f>'Members Data'!A5</f>
        <v>Âspect</v>
      </c>
      <c r="B31" s="90">
        <f>IF(AND(IF('wk1'!B$5=Pat!$C$25,1,0),IF('wk1'!B13=Pat!B$27,1,0)),1,0)+IF(AND(IF('wk1'!D$5=Pat!$C$25,1,0),IF('wk1'!C13=Pat!B$27,1,0)),1,0)+IF(AND(IF('wk1'!D$5=Pat!$C$25,1,0),IF('wk1'!D13=Pat!B$27,1,0)),1,0)+IF(AND(IF('wk1'!E$5=Pat!$C$25,1,0),IF('wk1'!E13=Pat!B$27,1,0)),1,0)+IF(AND(IF('wk1'!F$5=Pat!$C$25,1,0),IF('wk1'!F13=Pat!B$27,1,0)),1,0)+IF(AND(IF('wk1'!G$5=Pat!$C$25,1,0),IF('wk1'!G13=Pat!B$27,1,0)),1,0)</f>
        <v>0</v>
      </c>
      <c r="C31" s="91">
        <f>IF(AND(IF('wk1'!D$5=Pat!$C$25,1,0),IF('wk1'!C13=Pat!C$27,1,0)),1,0)+IF(AND(IF('wk1'!D$5=Pat!$C$25,1,0),IF('wk1'!D13=Pat!C$27,1,0)),1,0)+IF(AND(IF('wk1'!E$5=Pat!$C$25,1,0),IF('wk1'!E13=Pat!C$27,1,0)),1,0)+IF(AND(IF('wk1'!F$5=Pat!$C$25,1,0),IF('wk1'!F13=Pat!C$27,1,0)),1,0)+IF(AND(IF('wk1'!G$5=Pat!$C$25,1,0),IF('wk1'!G13=Pat!C$27,1,0)),1,0)+IF(AND(IF('wk1'!H$5=Pat!$C$25,1,0),IF('wk1'!H13=Pat!C$27,1,0)),1,0)+IF(AND(IF('wk1'!B$5=Pat!$C$25,1,0),IF('wk1'!B13=Pat!C$27,1,0)),1,0)</f>
        <v>0</v>
      </c>
      <c r="D31" s="90">
        <f>IF(AND(IF('wk2'!B$5=Pat!$C$25,1,0),IF('wk2'!B13=Pat!B$27,1,0)),1,0)+IF(AND(IF('wk2'!C$5=Pat!$C$25,1,0),IF('wk2'!C13=Pat!B$27,1,0)),1,0)+IF(AND(IF('wk2'!D$5=Pat!$C$25,1,0),IF('wk2'!D13=Pat!B$27,1,0)),1,0)+IF(AND(IF('wk2'!E$5=Pat!$C$25,1,0),IF('wk2'!E13=Pat!B$27,1,0)),1,0)+IF(AND(IF('wk2'!F$5=Pat!$C$25,1,0),IF('wk2'!F13=Pat!B$27,1,0)),1,0)+IF(AND(IF('wk2'!G$5=Pat!$C$25,1,0),IF('wk2'!G13=Pat!B$27,1,0)),1,0)</f>
        <v>0</v>
      </c>
      <c r="E31" s="91">
        <f>IF(AND(IF('wk2'!C$5=Pat!$C$25,1,0),IF('wk2'!C13=Pat!C$27,1,0)),1,0)+IF(AND(IF('wk2'!D$5=Pat!$C$25,1,0),IF('wk2'!D13=Pat!C$27,1,0)),1,0)+IF(AND(IF('wk2'!E$5=Pat!$C$25,1,0),IF('wk2'!E13=Pat!C$27,1,0)),1,0)+IF(AND(IF('wk2'!F$5=Pat!$C$25,1,0),IF('wk2'!F13=Pat!C$27,1,0)),1,0)+IF(AND(IF('wk2'!G$5=Pat!$C$25,1,0),IF('wk2'!G13=Pat!C$27,1,0)),1,0)+IF(AND(IF('wk2'!H$5=Pat!$C$25,1,0),IF('wk2'!H13=Pat!C$27,1,0)),1,0)+IF(AND(IF('wk2'!B$5=Pat!$C$25,1,0),IF('wk2'!B13=Pat!C$27,1,0)),1,0)</f>
        <v>0</v>
      </c>
      <c r="F31" s="90">
        <f>IF(AND(IF('wk3'!B$5=Pat!$C$25,1,0),IF('wk3'!B13=Pat!B$27,1,0)),1,0)+IF(AND(IF('wk3'!C$5=Pat!$C$25,1,0),IF('wk3'!C13=Pat!B$27,1,0)),1,0)+IF(AND(IF('wk3'!D$5=Pat!$C$25,1,0),IF('wk3'!D13=Pat!B$27,1,0)),1,0)+IF(AND(IF('wk3'!E$5=Pat!$C$25,1,0),IF('wk3'!E13=Pat!B$27,1,0)),1,0)+IF(AND(IF('wk3'!F$5=Pat!$C$25,1,0),IF('wk3'!F13=Pat!B$27,1,0)),1,0)+IF(AND(IF('wk3'!G$5=Pat!$C$25,1,0),IF('wk3'!G13=Pat!B$27,1,0)),1,0)</f>
        <v>0</v>
      </c>
      <c r="G31" s="91">
        <f>IF(AND(IF('wk3'!C$5=Pat!$C$25,1,0),IF('wk3'!C13=Pat!C$27,1,0)),1,0)+IF(AND(IF('wk3'!D$5=Pat!$C$25,1,0),IF('wk3'!D13=Pat!C$27,1,0)),1,0)+IF(AND(IF('wk3'!E$5=Pat!$C$25,1,0),IF('wk3'!E13=Pat!C$27,1,0)),1,0)+IF(AND(IF('wk3'!F$5=Pat!$C$25,1,0),IF('wk3'!F13=Pat!C$27,1,0)),1,0)+IF(AND(IF('wk3'!G$5=Pat!$C$25,1,0),IF('wk3'!G13=Pat!C$27,1,0)),1,0)+IF(AND(IF('wk3'!H$5=Pat!$C$25,1,0),IF('wk3'!H13=Pat!C$27,1,0)),1,0)+IF(AND(IF('wk3'!B$5=Pat!$C$25,1,0),IF('wk3'!B13=Pat!C$27,1,0)),1,0)</f>
        <v>0</v>
      </c>
      <c r="H31" s="90">
        <f>IF(AND(IF('wk4'!B$5=Pat!$C$25,1,0),IF('wk4'!B13=Pat!B$27,1,0)),1,0)+IF(AND(IF('wk4'!C$5=Pat!$C$25,1,0),IF('wk4'!C13=Pat!B$27,1,0)),1,0)+IF(AND(IF('wk4'!D$5=Pat!$C$25,1,0),IF('wk4'!D13=Pat!B$27,1,0)),1,0)+IF(AND(IF('wk4'!E$5=Pat!$C$25,1,0),IF('wk4'!E13=Pat!B$27,1,0)),1,0)+IF(AND(IF('wk4'!F$5=Pat!$C$25,1,0),IF('wk4'!F13=Pat!B$27,1,0)),1,0)+IF(AND(IF('wk4'!G$5=Pat!$C$25,1,0),IF('wk4'!G13=Pat!B$27,1,0)),1,0)</f>
        <v>0</v>
      </c>
      <c r="I31" s="91">
        <f>IF(AND(IF('wk4'!C$5=Pat!$C$25,1,0),IF('wk4'!C13=Pat!C$27,1,0)),1,0)+IF(AND(IF('wk4'!D$5=Pat!$C$25,1,0),IF('wk4'!D13=Pat!C$27,1,0)),1,0)+IF(AND(IF('wk4'!E$5=Pat!$C$25,1,0),IF('wk4'!E13=Pat!C$27,1,0)),1,0)+IF(AND(IF('wk4'!F$5=Pat!$C$25,1,0),IF('wk4'!F13=Pat!C$27,1,0)),1,0)+IF(AND(IF('wk4'!G$5=Pat!$C$25,1,0),IF('wk4'!G13=Pat!C$27,1,0)),1,0)+IF(AND(IF('wk4'!H$5=Pat!$C$25,1,0),IF('wk4'!H13=Pat!C$27,1,0)),1,0)+IF(AND(IF('wk4'!B$5=Pat!$C$25,1,0),IF('wk4'!B13=Pat!C$27,1,0)),1,0)</f>
        <v>0</v>
      </c>
      <c r="J31" s="92">
        <f>IF(AND(IF('wk5'!B$5=Pat!$C$25,1,0),IF('wk5'!B13=Pat!B$27,1,0)),1,0)+IF(AND(IF('wk5'!C$5=Pat!$C$25,1,0),IF('wk5'!C13=Pat!B$27,1,0)),1,0)+IF(AND(IF('wk5'!D$5=Pat!$C$25,1,0),IF('wk5'!D13=Pat!B$27,1,0)),1,0)+IF(AND(IF('wk5'!E$5=Pat!$C$25,1,0),IF('wk5'!E13=Pat!B$27,1,0)),1,0)+IF(AND(IF('wk5'!F$5=Pat!$C$25,1,0),IF('wk5'!F13=Pat!B$27,1,0)),1,0)+IF(AND(IF('wk5'!G$5=Pat!$C$25,1,0),IF('wk5'!G13=Pat!B$27,1,0)),1,0)</f>
        <v>0</v>
      </c>
      <c r="K31" s="93">
        <f>IF(AND(IF('wk5'!C$5=Pat!$C$25,1,0),IF('wk5'!C13=Pat!C$27,1,0)),1,0)+IF(AND(IF('wk5'!D$5=Pat!$C$25,1,0),IF('wk5'!D13=Pat!C$27,1,0)),1,0)+IF(AND(IF('wk5'!E$5=Pat!$C$25,1,0),IF('wk5'!E13=Pat!C$27,1,0)),1,0)+IF(AND(IF('wk5'!F$5=Pat!$C$25,1,0),IF('wk5'!F13=Pat!C$27,1,0)),1,0)+IF(AND(IF('wk5'!G$5=Pat!$C$25,1,0),IF('wk5'!G13=Pat!C$27,1,0)),1,0)+IF(AND(IF('wk5'!H$5=Pat!$C$25,1,0),IF('wk5'!H13=Pat!C$27,1,0)),1,0)+IF(AND(IF('wk5'!B$5=Pat!$C$25,1,0),IF('wk5'!B13=Pat!C$27,1,0)),1,0)</f>
        <v>0</v>
      </c>
      <c r="L31" s="87"/>
      <c r="M31" s="87">
        <f t="shared" si="0"/>
        <v>0</v>
      </c>
      <c r="N31" s="89">
        <f t="shared" si="1"/>
        <v>0</v>
      </c>
    </row>
    <row r="32" spans="1:14" ht="13.5" thickBot="1">
      <c r="A32" s="86" t="str">
        <f>'Members Data'!A6</f>
        <v>Assap</v>
      </c>
      <c r="B32" s="90">
        <f>IF(AND(IF('wk1'!B$5=Pat!$C$25,1,0),IF('wk1'!B14=Pat!B$27,1,0)),1,0)+IF(AND(IF('wk1'!D$5=Pat!$C$25,1,0),IF('wk1'!C14=Pat!B$27,1,0)),1,0)+IF(AND(IF('wk1'!D$5=Pat!$C$25,1,0),IF('wk1'!D14=Pat!B$27,1,0)),1,0)+IF(AND(IF('wk1'!E$5=Pat!$C$25,1,0),IF('wk1'!E14=Pat!B$27,1,0)),1,0)+IF(AND(IF('wk1'!F$5=Pat!$C$25,1,0),IF('wk1'!F14=Pat!B$27,1,0)),1,0)+IF(AND(IF('wk1'!G$5=Pat!$C$25,1,0),IF('wk1'!G14=Pat!B$27,1,0)),1,0)</f>
        <v>0</v>
      </c>
      <c r="C32" s="91">
        <f>IF(AND(IF('wk1'!D$5=Pat!$C$25,1,0),IF('wk1'!C14=Pat!C$27,1,0)),1,0)+IF(AND(IF('wk1'!D$5=Pat!$C$25,1,0),IF('wk1'!D14=Pat!C$27,1,0)),1,0)+IF(AND(IF('wk1'!E$5=Pat!$C$25,1,0),IF('wk1'!E14=Pat!C$27,1,0)),1,0)+IF(AND(IF('wk1'!F$5=Pat!$C$25,1,0),IF('wk1'!F14=Pat!C$27,1,0)),1,0)+IF(AND(IF('wk1'!G$5=Pat!$C$25,1,0),IF('wk1'!G14=Pat!C$27,1,0)),1,0)+IF(AND(IF('wk1'!H$5=Pat!$C$25,1,0),IF('wk1'!H14=Pat!C$27,1,0)),1,0)+IF(AND(IF('wk1'!B$5=Pat!$C$25,1,0),IF('wk1'!B14=Pat!C$27,1,0)),1,0)</f>
        <v>0</v>
      </c>
      <c r="D32" s="90">
        <f>IF(AND(IF('wk2'!B$5=Pat!$C$25,1,0),IF('wk2'!B14=Pat!B$27,1,0)),1,0)+IF(AND(IF('wk2'!C$5=Pat!$C$25,1,0),IF('wk2'!C14=Pat!B$27,1,0)),1,0)+IF(AND(IF('wk2'!D$5=Pat!$C$25,1,0),IF('wk2'!D14=Pat!B$27,1,0)),1,0)+IF(AND(IF('wk2'!E$5=Pat!$C$25,1,0),IF('wk2'!E14=Pat!B$27,1,0)),1,0)+IF(AND(IF('wk2'!F$5=Pat!$C$25,1,0),IF('wk2'!F14=Pat!B$27,1,0)),1,0)+IF(AND(IF('wk2'!G$5=Pat!$C$25,1,0),IF('wk2'!G14=Pat!B$27,1,0)),1,0)</f>
        <v>0</v>
      </c>
      <c r="E32" s="91">
        <f>IF(AND(IF('wk2'!C$5=Pat!$C$25,1,0),IF('wk2'!C14=Pat!C$27,1,0)),1,0)+IF(AND(IF('wk2'!D$5=Pat!$C$25,1,0),IF('wk2'!D14=Pat!C$27,1,0)),1,0)+IF(AND(IF('wk2'!E$5=Pat!$C$25,1,0),IF('wk2'!E14=Pat!C$27,1,0)),1,0)+IF(AND(IF('wk2'!F$5=Pat!$C$25,1,0),IF('wk2'!F14=Pat!C$27,1,0)),1,0)+IF(AND(IF('wk2'!G$5=Pat!$C$25,1,0),IF('wk2'!G14=Pat!C$27,1,0)),1,0)+IF(AND(IF('wk2'!H$5=Pat!$C$25,1,0),IF('wk2'!H14=Pat!C$27,1,0)),1,0)+IF(AND(IF('wk2'!B$5=Pat!$C$25,1,0),IF('wk2'!B14=Pat!C$27,1,0)),1,0)</f>
        <v>0</v>
      </c>
      <c r="F32" s="90">
        <f>IF(AND(IF('wk3'!B$5=Pat!$C$25,1,0),IF('wk3'!B14=Pat!B$27,1,0)),1,0)+IF(AND(IF('wk3'!C$5=Pat!$C$25,1,0),IF('wk3'!C14=Pat!B$27,1,0)),1,0)+IF(AND(IF('wk3'!D$5=Pat!$C$25,1,0),IF('wk3'!D14=Pat!B$27,1,0)),1,0)+IF(AND(IF('wk3'!E$5=Pat!$C$25,1,0),IF('wk3'!E14=Pat!B$27,1,0)),1,0)+IF(AND(IF('wk3'!F$5=Pat!$C$25,1,0),IF('wk3'!F14=Pat!B$27,1,0)),1,0)+IF(AND(IF('wk3'!G$5=Pat!$C$25,1,0),IF('wk3'!G14=Pat!B$27,1,0)),1,0)</f>
        <v>0</v>
      </c>
      <c r="G32" s="91">
        <f>IF(AND(IF('wk3'!C$5=Pat!$C$25,1,0),IF('wk3'!C14=Pat!C$27,1,0)),1,0)+IF(AND(IF('wk3'!D$5=Pat!$C$25,1,0),IF('wk3'!D14=Pat!C$27,1,0)),1,0)+IF(AND(IF('wk3'!E$5=Pat!$C$25,1,0),IF('wk3'!E14=Pat!C$27,1,0)),1,0)+IF(AND(IF('wk3'!F$5=Pat!$C$25,1,0),IF('wk3'!F14=Pat!C$27,1,0)),1,0)+IF(AND(IF('wk3'!G$5=Pat!$C$25,1,0),IF('wk3'!G14=Pat!C$27,1,0)),1,0)+IF(AND(IF('wk3'!H$5=Pat!$C$25,1,0),IF('wk3'!H14=Pat!C$27,1,0)),1,0)+IF(AND(IF('wk3'!B$5=Pat!$C$25,1,0),IF('wk3'!B14=Pat!C$27,1,0)),1,0)</f>
        <v>0</v>
      </c>
      <c r="H32" s="90">
        <f>IF(AND(IF('wk4'!B$5=Pat!$C$25,1,0),IF('wk4'!B14=Pat!B$27,1,0)),1,0)+IF(AND(IF('wk4'!C$5=Pat!$C$25,1,0),IF('wk4'!C14=Pat!B$27,1,0)),1,0)+IF(AND(IF('wk4'!D$5=Pat!$C$25,1,0),IF('wk4'!D14=Pat!B$27,1,0)),1,0)+IF(AND(IF('wk4'!E$5=Pat!$C$25,1,0),IF('wk4'!E14=Pat!B$27,1,0)),1,0)+IF(AND(IF('wk4'!F$5=Pat!$C$25,1,0),IF('wk4'!F14=Pat!B$27,1,0)),1,0)+IF(AND(IF('wk4'!G$5=Pat!$C$25,1,0),IF('wk4'!G14=Pat!B$27,1,0)),1,0)</f>
        <v>0</v>
      </c>
      <c r="I32" s="91">
        <f>IF(AND(IF('wk4'!C$5=Pat!$C$25,1,0),IF('wk4'!C14=Pat!C$27,1,0)),1,0)+IF(AND(IF('wk4'!D$5=Pat!$C$25,1,0),IF('wk4'!D14=Pat!C$27,1,0)),1,0)+IF(AND(IF('wk4'!E$5=Pat!$C$25,1,0),IF('wk4'!E14=Pat!C$27,1,0)),1,0)+IF(AND(IF('wk4'!F$5=Pat!$C$25,1,0),IF('wk4'!F14=Pat!C$27,1,0)),1,0)+IF(AND(IF('wk4'!G$5=Pat!$C$25,1,0),IF('wk4'!G14=Pat!C$27,1,0)),1,0)+IF(AND(IF('wk4'!H$5=Pat!$C$25,1,0),IF('wk4'!H14=Pat!C$27,1,0)),1,0)+IF(AND(IF('wk4'!B$5=Pat!$C$25,1,0),IF('wk4'!B14=Pat!C$27,1,0)),1,0)</f>
        <v>0</v>
      </c>
      <c r="J32" s="92">
        <f>IF(AND(IF('wk5'!B$5=Pat!$C$25,1,0),IF('wk5'!B14=Pat!B$27,1,0)),1,0)+IF(AND(IF('wk5'!C$5=Pat!$C$25,1,0),IF('wk5'!C14=Pat!B$27,1,0)),1,0)+IF(AND(IF('wk5'!D$5=Pat!$C$25,1,0),IF('wk5'!D14=Pat!B$27,1,0)),1,0)+IF(AND(IF('wk5'!E$5=Pat!$C$25,1,0),IF('wk5'!E14=Pat!B$27,1,0)),1,0)+IF(AND(IF('wk5'!F$5=Pat!$C$25,1,0),IF('wk5'!F14=Pat!B$27,1,0)),1,0)+IF(AND(IF('wk5'!G$5=Pat!$C$25,1,0),IF('wk5'!G14=Pat!B$27,1,0)),1,0)</f>
        <v>0</v>
      </c>
      <c r="K32" s="93">
        <f>IF(AND(IF('wk5'!C$5=Pat!$C$25,1,0),IF('wk5'!C14=Pat!C$27,1,0)),1,0)+IF(AND(IF('wk5'!D$5=Pat!$C$25,1,0),IF('wk5'!D14=Pat!C$27,1,0)),1,0)+IF(AND(IF('wk5'!E$5=Pat!$C$25,1,0),IF('wk5'!E14=Pat!C$27,1,0)),1,0)+IF(AND(IF('wk5'!F$5=Pat!$C$25,1,0),IF('wk5'!F14=Pat!C$27,1,0)),1,0)+IF(AND(IF('wk5'!G$5=Pat!$C$25,1,0),IF('wk5'!G14=Pat!C$27,1,0)),1,0)+IF(AND(IF('wk5'!H$5=Pat!$C$25,1,0),IF('wk5'!H14=Pat!C$27,1,0)),1,0)+IF(AND(IF('wk5'!B$5=Pat!$C$25,1,0),IF('wk5'!B14=Pat!C$27,1,0)),1,0)</f>
        <v>0</v>
      </c>
      <c r="L32" s="87"/>
      <c r="M32" s="87">
        <f t="shared" si="0"/>
        <v>0</v>
      </c>
      <c r="N32" s="89">
        <f t="shared" si="1"/>
        <v>0</v>
      </c>
    </row>
    <row r="33" spans="1:17" ht="13.5" thickBot="1">
      <c r="A33" s="86" t="str">
        <f>'Members Data'!A7</f>
        <v>Bonegasmic</v>
      </c>
      <c r="B33" s="90">
        <f>IF(AND(IF('wk1'!B$5=Pat!$C$25,1,0),IF('wk1'!B15=Pat!B$27,1,0)),1,0)+IF(AND(IF('wk1'!D$5=Pat!$C$25,1,0),IF('wk1'!C15=Pat!B$27,1,0)),1,0)+IF(AND(IF('wk1'!D$5=Pat!$C$25,1,0),IF('wk1'!D15=Pat!B$27,1,0)),1,0)+IF(AND(IF('wk1'!E$5=Pat!$C$25,1,0),IF('wk1'!E15=Pat!B$27,1,0)),1,0)+IF(AND(IF('wk1'!F$5=Pat!$C$25,1,0),IF('wk1'!F15=Pat!B$27,1,0)),1,0)+IF(AND(IF('wk1'!G$5=Pat!$C$25,1,0),IF('wk1'!G15=Pat!B$27,1,0)),1,0)</f>
        <v>0</v>
      </c>
      <c r="C33" s="91">
        <f>IF(AND(IF('wk1'!D$5=Pat!$C$25,1,0),IF('wk1'!C15=Pat!C$27,1,0)),1,0)+IF(AND(IF('wk1'!D$5=Pat!$C$25,1,0),IF('wk1'!D15=Pat!C$27,1,0)),1,0)+IF(AND(IF('wk1'!E$5=Pat!$C$25,1,0),IF('wk1'!E15=Pat!C$27,1,0)),1,0)+IF(AND(IF('wk1'!F$5=Pat!$C$25,1,0),IF('wk1'!F15=Pat!C$27,1,0)),1,0)+IF(AND(IF('wk1'!G$5=Pat!$C$25,1,0),IF('wk1'!G15=Pat!C$27,1,0)),1,0)+IF(AND(IF('wk1'!H$5=Pat!$C$25,1,0),IF('wk1'!H15=Pat!C$27,1,0)),1,0)+IF(AND(IF('wk1'!B$5=Pat!$C$25,1,0),IF('wk1'!B15=Pat!C$27,1,0)),1,0)</f>
        <v>0</v>
      </c>
      <c r="D33" s="90">
        <f>IF(AND(IF('wk2'!B$5=Pat!$C$25,1,0),IF('wk2'!B15=Pat!B$27,1,0)),1,0)+IF(AND(IF('wk2'!C$5=Pat!$C$25,1,0),IF('wk2'!C15=Pat!B$27,1,0)),1,0)+IF(AND(IF('wk2'!D$5=Pat!$C$25,1,0),IF('wk2'!D15=Pat!B$27,1,0)),1,0)+IF(AND(IF('wk2'!E$5=Pat!$C$25,1,0),IF('wk2'!E15=Pat!B$27,1,0)),1,0)+IF(AND(IF('wk2'!F$5=Pat!$C$25,1,0),IF('wk2'!F15=Pat!B$27,1,0)),1,0)+IF(AND(IF('wk2'!G$5=Pat!$C$25,1,0),IF('wk2'!G15=Pat!B$27,1,0)),1,0)</f>
        <v>0</v>
      </c>
      <c r="E33" s="91">
        <f>IF(AND(IF('wk2'!C$5=Pat!$C$25,1,0),IF('wk2'!C15=Pat!C$27,1,0)),1,0)+IF(AND(IF('wk2'!D$5=Pat!$C$25,1,0),IF('wk2'!D15=Pat!C$27,1,0)),1,0)+IF(AND(IF('wk2'!E$5=Pat!$C$25,1,0),IF('wk2'!E15=Pat!C$27,1,0)),1,0)+IF(AND(IF('wk2'!F$5=Pat!$C$25,1,0),IF('wk2'!F15=Pat!C$27,1,0)),1,0)+IF(AND(IF('wk2'!G$5=Pat!$C$25,1,0),IF('wk2'!G15=Pat!C$27,1,0)),1,0)+IF(AND(IF('wk2'!H$5=Pat!$C$25,1,0),IF('wk2'!H15=Pat!C$27,1,0)),1,0)+IF(AND(IF('wk2'!B$5=Pat!$C$25,1,0),IF('wk2'!B15=Pat!C$27,1,0)),1,0)</f>
        <v>0</v>
      </c>
      <c r="F33" s="90">
        <f>IF(AND(IF('wk3'!B$5=Pat!$C$25,1,0),IF('wk3'!B15=Pat!B$27,1,0)),1,0)+IF(AND(IF('wk3'!C$5=Pat!$C$25,1,0),IF('wk3'!C15=Pat!B$27,1,0)),1,0)+IF(AND(IF('wk3'!D$5=Pat!$C$25,1,0),IF('wk3'!D15=Pat!B$27,1,0)),1,0)+IF(AND(IF('wk3'!E$5=Pat!$C$25,1,0),IF('wk3'!E15=Pat!B$27,1,0)),1,0)+IF(AND(IF('wk3'!F$5=Pat!$C$25,1,0),IF('wk3'!F15=Pat!B$27,1,0)),1,0)+IF(AND(IF('wk3'!G$5=Pat!$C$25,1,0),IF('wk3'!G15=Pat!B$27,1,0)),1,0)</f>
        <v>0</v>
      </c>
      <c r="G33" s="91">
        <f>IF(AND(IF('wk3'!C$5=Pat!$C$25,1,0),IF('wk3'!C15=Pat!C$27,1,0)),1,0)+IF(AND(IF('wk3'!D$5=Pat!$C$25,1,0),IF('wk3'!D15=Pat!C$27,1,0)),1,0)+IF(AND(IF('wk3'!E$5=Pat!$C$25,1,0),IF('wk3'!E15=Pat!C$27,1,0)),1,0)+IF(AND(IF('wk3'!F$5=Pat!$C$25,1,0),IF('wk3'!F15=Pat!C$27,1,0)),1,0)+IF(AND(IF('wk3'!G$5=Pat!$C$25,1,0),IF('wk3'!G15=Pat!C$27,1,0)),1,0)+IF(AND(IF('wk3'!H$5=Pat!$C$25,1,0),IF('wk3'!H15=Pat!C$27,1,0)),1,0)+IF(AND(IF('wk3'!B$5=Pat!$C$25,1,0),IF('wk3'!B15=Pat!C$27,1,0)),1,0)</f>
        <v>0</v>
      </c>
      <c r="H33" s="90">
        <f>IF(AND(IF('wk4'!B$5=Pat!$C$25,1,0),IF('wk4'!B15=Pat!B$27,1,0)),1,0)+IF(AND(IF('wk4'!C$5=Pat!$C$25,1,0),IF('wk4'!C15=Pat!B$27,1,0)),1,0)+IF(AND(IF('wk4'!D$5=Pat!$C$25,1,0),IF('wk4'!D15=Pat!B$27,1,0)),1,0)+IF(AND(IF('wk4'!E$5=Pat!$C$25,1,0),IF('wk4'!E15=Pat!B$27,1,0)),1,0)+IF(AND(IF('wk4'!F$5=Pat!$C$25,1,0),IF('wk4'!F15=Pat!B$27,1,0)),1,0)+IF(AND(IF('wk4'!G$5=Pat!$C$25,1,0),IF('wk4'!G15=Pat!B$27,1,0)),1,0)</f>
        <v>0</v>
      </c>
      <c r="I33" s="91">
        <f>IF(AND(IF('wk4'!C$5=Pat!$C$25,1,0),IF('wk4'!C15=Pat!C$27,1,0)),1,0)+IF(AND(IF('wk4'!D$5=Pat!$C$25,1,0),IF('wk4'!D15=Pat!C$27,1,0)),1,0)+IF(AND(IF('wk4'!E$5=Pat!$C$25,1,0),IF('wk4'!E15=Pat!C$27,1,0)),1,0)+IF(AND(IF('wk4'!F$5=Pat!$C$25,1,0),IF('wk4'!F15=Pat!C$27,1,0)),1,0)+IF(AND(IF('wk4'!G$5=Pat!$C$25,1,0),IF('wk4'!G15=Pat!C$27,1,0)),1,0)+IF(AND(IF('wk4'!H$5=Pat!$C$25,1,0),IF('wk4'!H15=Pat!C$27,1,0)),1,0)+IF(AND(IF('wk4'!B$5=Pat!$C$25,1,0),IF('wk4'!B15=Pat!C$27,1,0)),1,0)</f>
        <v>0</v>
      </c>
      <c r="J33" s="92">
        <f>IF(AND(IF('wk5'!B$5=Pat!$C$25,1,0),IF('wk5'!B15=Pat!B$27,1,0)),1,0)+IF(AND(IF('wk5'!C$5=Pat!$C$25,1,0),IF('wk5'!C15=Pat!B$27,1,0)),1,0)+IF(AND(IF('wk5'!D$5=Pat!$C$25,1,0),IF('wk5'!D15=Pat!B$27,1,0)),1,0)+IF(AND(IF('wk5'!E$5=Pat!$C$25,1,0),IF('wk5'!E15=Pat!B$27,1,0)),1,0)+IF(AND(IF('wk5'!F$5=Pat!$C$25,1,0),IF('wk5'!F15=Pat!B$27,1,0)),1,0)+IF(AND(IF('wk5'!G$5=Pat!$C$25,1,0),IF('wk5'!G15=Pat!B$27,1,0)),1,0)</f>
        <v>0</v>
      </c>
      <c r="K33" s="93">
        <f>IF(AND(IF('wk5'!C$5=Pat!$C$25,1,0),IF('wk5'!C15=Pat!C$27,1,0)),1,0)+IF(AND(IF('wk5'!D$5=Pat!$C$25,1,0),IF('wk5'!D15=Pat!C$27,1,0)),1,0)+IF(AND(IF('wk5'!E$5=Pat!$C$25,1,0),IF('wk5'!E15=Pat!C$27,1,0)),1,0)+IF(AND(IF('wk5'!F$5=Pat!$C$25,1,0),IF('wk5'!F15=Pat!C$27,1,0)),1,0)+IF(AND(IF('wk5'!G$5=Pat!$C$25,1,0),IF('wk5'!G15=Pat!C$27,1,0)),1,0)+IF(AND(IF('wk5'!H$5=Pat!$C$25,1,0),IF('wk5'!H15=Pat!C$27,1,0)),1,0)+IF(AND(IF('wk5'!B$5=Pat!$C$25,1,0),IF('wk5'!B15=Pat!C$27,1,0)),1,0)</f>
        <v>0</v>
      </c>
      <c r="L33" s="87"/>
      <c r="M33" s="87">
        <f t="shared" si="0"/>
        <v>0</v>
      </c>
      <c r="N33" s="89">
        <f t="shared" si="1"/>
        <v>0</v>
      </c>
    </row>
    <row r="34" spans="1:17" ht="13.5" thickBot="1">
      <c r="A34" s="86" t="str">
        <f>'Members Data'!A8</f>
        <v>Brákspak</v>
      </c>
      <c r="B34" s="90">
        <f>IF(AND(IF('wk1'!B$5=Pat!$C$25,1,0),IF('wk1'!B16=Pat!B$27,1,0)),1,0)+IF(AND(IF('wk1'!D$5=Pat!$C$25,1,0),IF('wk1'!C16=Pat!B$27,1,0)),1,0)+IF(AND(IF('wk1'!D$5=Pat!$C$25,1,0),IF('wk1'!D16=Pat!B$27,1,0)),1,0)+IF(AND(IF('wk1'!E$5=Pat!$C$25,1,0),IF('wk1'!E16=Pat!B$27,1,0)),1,0)+IF(AND(IF('wk1'!F$5=Pat!$C$25,1,0),IF('wk1'!F16=Pat!B$27,1,0)),1,0)+IF(AND(IF('wk1'!G$5=Pat!$C$25,1,0),IF('wk1'!G16=Pat!B$27,1,0)),1,0)</f>
        <v>0</v>
      </c>
      <c r="C34" s="91">
        <f>IF(AND(IF('wk1'!D$5=Pat!$C$25,1,0),IF('wk1'!C16=Pat!C$27,1,0)),1,0)+IF(AND(IF('wk1'!D$5=Pat!$C$25,1,0),IF('wk1'!D16=Pat!C$27,1,0)),1,0)+IF(AND(IF('wk1'!E$5=Pat!$C$25,1,0),IF('wk1'!E16=Pat!C$27,1,0)),1,0)+IF(AND(IF('wk1'!F$5=Pat!$C$25,1,0),IF('wk1'!F16=Pat!C$27,1,0)),1,0)+IF(AND(IF('wk1'!G$5=Pat!$C$25,1,0),IF('wk1'!G16=Pat!C$27,1,0)),1,0)+IF(AND(IF('wk1'!H$5=Pat!$C$25,1,0),IF('wk1'!H16=Pat!C$27,1,0)),1,0)+IF(AND(IF('wk1'!B$5=Pat!$C$25,1,0),IF('wk1'!B16=Pat!C$27,1,0)),1,0)</f>
        <v>0</v>
      </c>
      <c r="D34" s="90">
        <f>IF(AND(IF('wk2'!B$5=Pat!$C$25,1,0),IF('wk2'!B16=Pat!B$27,1,0)),1,0)+IF(AND(IF('wk2'!C$5=Pat!$C$25,1,0),IF('wk2'!C16=Pat!B$27,1,0)),1,0)+IF(AND(IF('wk2'!D$5=Pat!$C$25,1,0),IF('wk2'!D16=Pat!B$27,1,0)),1,0)+IF(AND(IF('wk2'!E$5=Pat!$C$25,1,0),IF('wk2'!E16=Pat!B$27,1,0)),1,0)+IF(AND(IF('wk2'!F$5=Pat!$C$25,1,0),IF('wk2'!F16=Pat!B$27,1,0)),1,0)+IF(AND(IF('wk2'!G$5=Pat!$C$25,1,0),IF('wk2'!G16=Pat!B$27,1,0)),1,0)</f>
        <v>0</v>
      </c>
      <c r="E34" s="91">
        <f>IF(AND(IF('wk2'!C$5=Pat!$C$25,1,0),IF('wk2'!C16=Pat!C$27,1,0)),1,0)+IF(AND(IF('wk2'!D$5=Pat!$C$25,1,0),IF('wk2'!D16=Pat!C$27,1,0)),1,0)+IF(AND(IF('wk2'!E$5=Pat!$C$25,1,0),IF('wk2'!E16=Pat!C$27,1,0)),1,0)+IF(AND(IF('wk2'!F$5=Pat!$C$25,1,0),IF('wk2'!F16=Pat!C$27,1,0)),1,0)+IF(AND(IF('wk2'!G$5=Pat!$C$25,1,0),IF('wk2'!G16=Pat!C$27,1,0)),1,0)+IF(AND(IF('wk2'!H$5=Pat!$C$25,1,0),IF('wk2'!H16=Pat!C$27,1,0)),1,0)+IF(AND(IF('wk2'!B$5=Pat!$C$25,1,0),IF('wk2'!B16=Pat!C$27,1,0)),1,0)</f>
        <v>0</v>
      </c>
      <c r="F34" s="90">
        <f>IF(AND(IF('wk3'!B$5=Pat!$C$25,1,0),IF('wk3'!B16=Pat!B$27,1,0)),1,0)+IF(AND(IF('wk3'!C$5=Pat!$C$25,1,0),IF('wk3'!C16=Pat!B$27,1,0)),1,0)+IF(AND(IF('wk3'!D$5=Pat!$C$25,1,0),IF('wk3'!D16=Pat!B$27,1,0)),1,0)+IF(AND(IF('wk3'!E$5=Pat!$C$25,1,0),IF('wk3'!E16=Pat!B$27,1,0)),1,0)+IF(AND(IF('wk3'!F$5=Pat!$C$25,1,0),IF('wk3'!F16=Pat!B$27,1,0)),1,0)+IF(AND(IF('wk3'!G$5=Pat!$C$25,1,0),IF('wk3'!G16=Pat!B$27,1,0)),1,0)</f>
        <v>0</v>
      </c>
      <c r="G34" s="91">
        <f>IF(AND(IF('wk3'!C$5=Pat!$C$25,1,0),IF('wk3'!C16=Pat!C$27,1,0)),1,0)+IF(AND(IF('wk3'!D$5=Pat!$C$25,1,0),IF('wk3'!D16=Pat!C$27,1,0)),1,0)+IF(AND(IF('wk3'!E$5=Pat!$C$25,1,0),IF('wk3'!E16=Pat!C$27,1,0)),1,0)+IF(AND(IF('wk3'!F$5=Pat!$C$25,1,0),IF('wk3'!F16=Pat!C$27,1,0)),1,0)+IF(AND(IF('wk3'!G$5=Pat!$C$25,1,0),IF('wk3'!G16=Pat!C$27,1,0)),1,0)+IF(AND(IF('wk3'!H$5=Pat!$C$25,1,0),IF('wk3'!H16=Pat!C$27,1,0)),1,0)+IF(AND(IF('wk3'!B$5=Pat!$C$25,1,0),IF('wk3'!B16=Pat!C$27,1,0)),1,0)</f>
        <v>0</v>
      </c>
      <c r="H34" s="90">
        <f>IF(AND(IF('wk4'!B$5=Pat!$C$25,1,0),IF('wk4'!B16=Pat!B$27,1,0)),1,0)+IF(AND(IF('wk4'!C$5=Pat!$C$25,1,0),IF('wk4'!C16=Pat!B$27,1,0)),1,0)+IF(AND(IF('wk4'!D$5=Pat!$C$25,1,0),IF('wk4'!D16=Pat!B$27,1,0)),1,0)+IF(AND(IF('wk4'!E$5=Pat!$C$25,1,0),IF('wk4'!E16=Pat!B$27,1,0)),1,0)+IF(AND(IF('wk4'!F$5=Pat!$C$25,1,0),IF('wk4'!F16=Pat!B$27,1,0)),1,0)+IF(AND(IF('wk4'!G$5=Pat!$C$25,1,0),IF('wk4'!G16=Pat!B$27,1,0)),1,0)</f>
        <v>0</v>
      </c>
      <c r="I34" s="91">
        <f>IF(AND(IF('wk4'!C$5=Pat!$C$25,1,0),IF('wk4'!C16=Pat!C$27,1,0)),1,0)+IF(AND(IF('wk4'!D$5=Pat!$C$25,1,0),IF('wk4'!D16=Pat!C$27,1,0)),1,0)+IF(AND(IF('wk4'!E$5=Pat!$C$25,1,0),IF('wk4'!E16=Pat!C$27,1,0)),1,0)+IF(AND(IF('wk4'!F$5=Pat!$C$25,1,0),IF('wk4'!F16=Pat!C$27,1,0)),1,0)+IF(AND(IF('wk4'!G$5=Pat!$C$25,1,0),IF('wk4'!G16=Pat!C$27,1,0)),1,0)+IF(AND(IF('wk4'!H$5=Pat!$C$25,1,0),IF('wk4'!H16=Pat!C$27,1,0)),1,0)+IF(AND(IF('wk4'!B$5=Pat!$C$25,1,0),IF('wk4'!B16=Pat!C$27,1,0)),1,0)</f>
        <v>0</v>
      </c>
      <c r="J34" s="92">
        <f>IF(AND(IF('wk5'!B$5=Pat!$C$25,1,0),IF('wk5'!B16=Pat!B$27,1,0)),1,0)+IF(AND(IF('wk5'!C$5=Pat!$C$25,1,0),IF('wk5'!C16=Pat!B$27,1,0)),1,0)+IF(AND(IF('wk5'!D$5=Pat!$C$25,1,0),IF('wk5'!D16=Pat!B$27,1,0)),1,0)+IF(AND(IF('wk5'!E$5=Pat!$C$25,1,0),IF('wk5'!E16=Pat!B$27,1,0)),1,0)+IF(AND(IF('wk5'!F$5=Pat!$C$25,1,0),IF('wk5'!F16=Pat!B$27,1,0)),1,0)+IF(AND(IF('wk5'!G$5=Pat!$C$25,1,0),IF('wk5'!G16=Pat!B$27,1,0)),1,0)</f>
        <v>0</v>
      </c>
      <c r="K34" s="93">
        <f>IF(AND(IF('wk5'!C$5=Pat!$C$25,1,0),IF('wk5'!C16=Pat!C$27,1,0)),1,0)+IF(AND(IF('wk5'!D$5=Pat!$C$25,1,0),IF('wk5'!D16=Pat!C$27,1,0)),1,0)+IF(AND(IF('wk5'!E$5=Pat!$C$25,1,0),IF('wk5'!E16=Pat!C$27,1,0)),1,0)+IF(AND(IF('wk5'!F$5=Pat!$C$25,1,0),IF('wk5'!F16=Pat!C$27,1,0)),1,0)+IF(AND(IF('wk5'!G$5=Pat!$C$25,1,0),IF('wk5'!G16=Pat!C$27,1,0)),1,0)+IF(AND(IF('wk5'!H$5=Pat!$C$25,1,0),IF('wk5'!H16=Pat!C$27,1,0)),1,0)+IF(AND(IF('wk5'!B$5=Pat!$C$25,1,0),IF('wk5'!B16=Pat!C$27,1,0)),1,0)</f>
        <v>0</v>
      </c>
      <c r="L34" s="87"/>
      <c r="M34" s="87">
        <f t="shared" si="0"/>
        <v>0</v>
      </c>
      <c r="N34" s="89">
        <f t="shared" si="1"/>
        <v>0</v>
      </c>
    </row>
    <row r="35" spans="1:17" ht="13.5" thickBot="1">
      <c r="A35" s="86" t="str">
        <f>'Members Data'!A9</f>
        <v>Catena</v>
      </c>
      <c r="B35" s="90">
        <f>IF(AND(IF('wk1'!B$5=Pat!$C$25,1,0),IF('wk1'!B17=Pat!B$27,1,0)),1,0)+IF(AND(IF('wk1'!D$5=Pat!$C$25,1,0),IF('wk1'!C17=Pat!B$27,1,0)),1,0)+IF(AND(IF('wk1'!D$5=Pat!$C$25,1,0),IF('wk1'!D17=Pat!B$27,1,0)),1,0)+IF(AND(IF('wk1'!E$5=Pat!$C$25,1,0),IF('wk1'!E17=Pat!B$27,1,0)),1,0)+IF(AND(IF('wk1'!F$5=Pat!$C$25,1,0),IF('wk1'!F17=Pat!B$27,1,0)),1,0)+IF(AND(IF('wk1'!G$5=Pat!$C$25,1,0),IF('wk1'!G17=Pat!B$27,1,0)),1,0)</f>
        <v>0</v>
      </c>
      <c r="C35" s="91">
        <f>IF(AND(IF('wk1'!D$5=Pat!$C$25,1,0),IF('wk1'!C17=Pat!C$27,1,0)),1,0)+IF(AND(IF('wk1'!D$5=Pat!$C$25,1,0),IF('wk1'!D17=Pat!C$27,1,0)),1,0)+IF(AND(IF('wk1'!E$5=Pat!$C$25,1,0),IF('wk1'!E17=Pat!C$27,1,0)),1,0)+IF(AND(IF('wk1'!F$5=Pat!$C$25,1,0),IF('wk1'!F17=Pat!C$27,1,0)),1,0)+IF(AND(IF('wk1'!G$5=Pat!$C$25,1,0),IF('wk1'!G17=Pat!C$27,1,0)),1,0)+IF(AND(IF('wk1'!H$5=Pat!$C$25,1,0),IF('wk1'!H17=Pat!C$27,1,0)),1,0)+IF(AND(IF('wk1'!B$5=Pat!$C$25,1,0),IF('wk1'!B17=Pat!C$27,1,0)),1,0)</f>
        <v>0</v>
      </c>
      <c r="D35" s="90">
        <f>IF(AND(IF('wk2'!B$5=Pat!$C$25,1,0),IF('wk2'!B17=Pat!B$27,1,0)),1,0)+IF(AND(IF('wk2'!C$5=Pat!$C$25,1,0),IF('wk2'!C17=Pat!B$27,1,0)),1,0)+IF(AND(IF('wk2'!D$5=Pat!$C$25,1,0),IF('wk2'!D17=Pat!B$27,1,0)),1,0)+IF(AND(IF('wk2'!E$5=Pat!$C$25,1,0),IF('wk2'!E17=Pat!B$27,1,0)),1,0)+IF(AND(IF('wk2'!F$5=Pat!$C$25,1,0),IF('wk2'!F17=Pat!B$27,1,0)),1,0)+IF(AND(IF('wk2'!G$5=Pat!$C$25,1,0),IF('wk2'!G17=Pat!B$27,1,0)),1,0)</f>
        <v>0</v>
      </c>
      <c r="E35" s="91">
        <f>IF(AND(IF('wk2'!C$5=Pat!$C$25,1,0),IF('wk2'!C17=Pat!C$27,1,0)),1,0)+IF(AND(IF('wk2'!D$5=Pat!$C$25,1,0),IF('wk2'!D17=Pat!C$27,1,0)),1,0)+IF(AND(IF('wk2'!E$5=Pat!$C$25,1,0),IF('wk2'!E17=Pat!C$27,1,0)),1,0)+IF(AND(IF('wk2'!F$5=Pat!$C$25,1,0),IF('wk2'!F17=Pat!C$27,1,0)),1,0)+IF(AND(IF('wk2'!G$5=Pat!$C$25,1,0),IF('wk2'!G17=Pat!C$27,1,0)),1,0)+IF(AND(IF('wk2'!H$5=Pat!$C$25,1,0),IF('wk2'!H17=Pat!C$27,1,0)),1,0)+IF(AND(IF('wk2'!B$5=Pat!$C$25,1,0),IF('wk2'!B17=Pat!C$27,1,0)),1,0)</f>
        <v>0</v>
      </c>
      <c r="F35" s="90">
        <f>IF(AND(IF('wk3'!B$5=Pat!$C$25,1,0),IF('wk3'!B17=Pat!B$27,1,0)),1,0)+IF(AND(IF('wk3'!C$5=Pat!$C$25,1,0),IF('wk3'!C17=Pat!B$27,1,0)),1,0)+IF(AND(IF('wk3'!D$5=Pat!$C$25,1,0),IF('wk3'!D17=Pat!B$27,1,0)),1,0)+IF(AND(IF('wk3'!E$5=Pat!$C$25,1,0),IF('wk3'!E17=Pat!B$27,1,0)),1,0)+IF(AND(IF('wk3'!F$5=Pat!$C$25,1,0),IF('wk3'!F17=Pat!B$27,1,0)),1,0)+IF(AND(IF('wk3'!G$5=Pat!$C$25,1,0),IF('wk3'!G17=Pat!B$27,1,0)),1,0)</f>
        <v>0</v>
      </c>
      <c r="G35" s="91">
        <f>IF(AND(IF('wk3'!C$5=Pat!$C$25,1,0),IF('wk3'!C17=Pat!C$27,1,0)),1,0)+IF(AND(IF('wk3'!D$5=Pat!$C$25,1,0),IF('wk3'!D17=Pat!C$27,1,0)),1,0)+IF(AND(IF('wk3'!E$5=Pat!$C$25,1,0),IF('wk3'!E17=Pat!C$27,1,0)),1,0)+IF(AND(IF('wk3'!F$5=Pat!$C$25,1,0),IF('wk3'!F17=Pat!C$27,1,0)),1,0)+IF(AND(IF('wk3'!G$5=Pat!$C$25,1,0),IF('wk3'!G17=Pat!C$27,1,0)),1,0)+IF(AND(IF('wk3'!H$5=Pat!$C$25,1,0),IF('wk3'!H17=Pat!C$27,1,0)),1,0)+IF(AND(IF('wk3'!B$5=Pat!$C$25,1,0),IF('wk3'!B17=Pat!C$27,1,0)),1,0)</f>
        <v>0</v>
      </c>
      <c r="H35" s="90">
        <f>IF(AND(IF('wk4'!B$5=Pat!$C$25,1,0),IF('wk4'!B17=Pat!B$27,1,0)),1,0)+IF(AND(IF('wk4'!C$5=Pat!$C$25,1,0),IF('wk4'!C17=Pat!B$27,1,0)),1,0)+IF(AND(IF('wk4'!D$5=Pat!$C$25,1,0),IF('wk4'!D17=Pat!B$27,1,0)),1,0)+IF(AND(IF('wk4'!E$5=Pat!$C$25,1,0),IF('wk4'!E17=Pat!B$27,1,0)),1,0)+IF(AND(IF('wk4'!F$5=Pat!$C$25,1,0),IF('wk4'!F17=Pat!B$27,1,0)),1,0)+IF(AND(IF('wk4'!G$5=Pat!$C$25,1,0),IF('wk4'!G17=Pat!B$27,1,0)),1,0)</f>
        <v>0</v>
      </c>
      <c r="I35" s="91">
        <f>IF(AND(IF('wk4'!C$5=Pat!$C$25,1,0),IF('wk4'!C17=Pat!C$27,1,0)),1,0)+IF(AND(IF('wk4'!D$5=Pat!$C$25,1,0),IF('wk4'!D17=Pat!C$27,1,0)),1,0)+IF(AND(IF('wk4'!E$5=Pat!$C$25,1,0),IF('wk4'!E17=Pat!C$27,1,0)),1,0)+IF(AND(IF('wk4'!F$5=Pat!$C$25,1,0),IF('wk4'!F17=Pat!C$27,1,0)),1,0)+IF(AND(IF('wk4'!G$5=Pat!$C$25,1,0),IF('wk4'!G17=Pat!C$27,1,0)),1,0)+IF(AND(IF('wk4'!H$5=Pat!$C$25,1,0),IF('wk4'!H17=Pat!C$27,1,0)),1,0)+IF(AND(IF('wk4'!B$5=Pat!$C$25,1,0),IF('wk4'!B17=Pat!C$27,1,0)),1,0)</f>
        <v>0</v>
      </c>
      <c r="J35" s="92">
        <f>IF(AND(IF('wk5'!B$5=Pat!$C$25,1,0),IF('wk5'!B17=Pat!B$27,1,0)),1,0)+IF(AND(IF('wk5'!C$5=Pat!$C$25,1,0),IF('wk5'!C17=Pat!B$27,1,0)),1,0)+IF(AND(IF('wk5'!D$5=Pat!$C$25,1,0),IF('wk5'!D17=Pat!B$27,1,0)),1,0)+IF(AND(IF('wk5'!E$5=Pat!$C$25,1,0),IF('wk5'!E17=Pat!B$27,1,0)),1,0)+IF(AND(IF('wk5'!F$5=Pat!$C$25,1,0),IF('wk5'!F17=Pat!B$27,1,0)),1,0)+IF(AND(IF('wk5'!G$5=Pat!$C$25,1,0),IF('wk5'!G17=Pat!B$27,1,0)),1,0)</f>
        <v>0</v>
      </c>
      <c r="K35" s="93">
        <f>IF(AND(IF('wk5'!C$5=Pat!$C$25,1,0),IF('wk5'!C17=Pat!C$27,1,0)),1,0)+IF(AND(IF('wk5'!D$5=Pat!$C$25,1,0),IF('wk5'!D17=Pat!C$27,1,0)),1,0)+IF(AND(IF('wk5'!E$5=Pat!$C$25,1,0),IF('wk5'!E17=Pat!C$27,1,0)),1,0)+IF(AND(IF('wk5'!F$5=Pat!$C$25,1,0),IF('wk5'!F17=Pat!C$27,1,0)),1,0)+IF(AND(IF('wk5'!G$5=Pat!$C$25,1,0),IF('wk5'!G17=Pat!C$27,1,0)),1,0)+IF(AND(IF('wk5'!H$5=Pat!$C$25,1,0),IF('wk5'!H17=Pat!C$27,1,0)),1,0)+IF(AND(IF('wk5'!B$5=Pat!$C$25,1,0),IF('wk5'!B17=Pat!C$27,1,0)),1,0)</f>
        <v>0</v>
      </c>
      <c r="L35" s="87"/>
      <c r="M35" s="87">
        <f t="shared" si="0"/>
        <v>0</v>
      </c>
      <c r="N35" s="89">
        <f t="shared" si="1"/>
        <v>0</v>
      </c>
    </row>
    <row r="36" spans="1:17" ht="13.5" thickBot="1">
      <c r="A36" s="86" t="str">
        <f>'Members Data'!A10</f>
        <v>Céléstine</v>
      </c>
      <c r="B36" s="90">
        <f>IF(AND(IF('wk1'!B$5=Pat!$C$25,1,0),IF('wk1'!B18=Pat!B$27,1,0)),1,0)+IF(AND(IF('wk1'!D$5=Pat!$C$25,1,0),IF('wk1'!C18=Pat!B$27,1,0)),1,0)+IF(AND(IF('wk1'!D$5=Pat!$C$25,1,0),IF('wk1'!D18=Pat!B$27,1,0)),1,0)+IF(AND(IF('wk1'!E$5=Pat!$C$25,1,0),IF('wk1'!E18=Pat!B$27,1,0)),1,0)+IF(AND(IF('wk1'!F$5=Pat!$C$25,1,0),IF('wk1'!F18=Pat!B$27,1,0)),1,0)+IF(AND(IF('wk1'!G$5=Pat!$C$25,1,0),IF('wk1'!G18=Pat!B$27,1,0)),1,0)</f>
        <v>0</v>
      </c>
      <c r="C36" s="91">
        <f>IF(AND(IF('wk1'!D$5=Pat!$C$25,1,0),IF('wk1'!C18=Pat!C$27,1,0)),1,0)+IF(AND(IF('wk1'!D$5=Pat!$C$25,1,0),IF('wk1'!D18=Pat!C$27,1,0)),1,0)+IF(AND(IF('wk1'!E$5=Pat!$C$25,1,0),IF('wk1'!E18=Pat!C$27,1,0)),1,0)+IF(AND(IF('wk1'!F$5=Pat!$C$25,1,0),IF('wk1'!F18=Pat!C$27,1,0)),1,0)+IF(AND(IF('wk1'!G$5=Pat!$C$25,1,0),IF('wk1'!G18=Pat!C$27,1,0)),1,0)+IF(AND(IF('wk1'!H$5=Pat!$C$25,1,0),IF('wk1'!H18=Pat!C$27,1,0)),1,0)+IF(AND(IF('wk1'!B$5=Pat!$C$25,1,0),IF('wk1'!B18=Pat!C$27,1,0)),1,0)</f>
        <v>0</v>
      </c>
      <c r="D36" s="90">
        <f>IF(AND(IF('wk2'!B$5=Pat!$C$25,1,0),IF('wk2'!B18=Pat!B$27,1,0)),1,0)+IF(AND(IF('wk2'!C$5=Pat!$C$25,1,0),IF('wk2'!C18=Pat!B$27,1,0)),1,0)+IF(AND(IF('wk2'!D$5=Pat!$C$25,1,0),IF('wk2'!D18=Pat!B$27,1,0)),1,0)+IF(AND(IF('wk2'!E$5=Pat!$C$25,1,0),IF('wk2'!E18=Pat!B$27,1,0)),1,0)+IF(AND(IF('wk2'!F$5=Pat!$C$25,1,0),IF('wk2'!F18=Pat!B$27,1,0)),1,0)+IF(AND(IF('wk2'!G$5=Pat!$C$25,1,0),IF('wk2'!G18=Pat!B$27,1,0)),1,0)</f>
        <v>0</v>
      </c>
      <c r="E36" s="91">
        <f>IF(AND(IF('wk2'!C$5=Pat!$C$25,1,0),IF('wk2'!C18=Pat!C$27,1,0)),1,0)+IF(AND(IF('wk2'!D$5=Pat!$C$25,1,0),IF('wk2'!D18=Pat!C$27,1,0)),1,0)+IF(AND(IF('wk2'!E$5=Pat!$C$25,1,0),IF('wk2'!E18=Pat!C$27,1,0)),1,0)+IF(AND(IF('wk2'!F$5=Pat!$C$25,1,0),IF('wk2'!F18=Pat!C$27,1,0)),1,0)+IF(AND(IF('wk2'!G$5=Pat!$C$25,1,0),IF('wk2'!G18=Pat!C$27,1,0)),1,0)+IF(AND(IF('wk2'!H$5=Pat!$C$25,1,0),IF('wk2'!H18=Pat!C$27,1,0)),1,0)+IF(AND(IF('wk2'!B$5=Pat!$C$25,1,0),IF('wk2'!B18=Pat!C$27,1,0)),1,0)</f>
        <v>0</v>
      </c>
      <c r="F36" s="90">
        <f>IF(AND(IF('wk3'!B$5=Pat!$C$25,1,0),IF('wk3'!B18=Pat!B$27,1,0)),1,0)+IF(AND(IF('wk3'!C$5=Pat!$C$25,1,0),IF('wk3'!C18=Pat!B$27,1,0)),1,0)+IF(AND(IF('wk3'!D$5=Pat!$C$25,1,0),IF('wk3'!D18=Pat!B$27,1,0)),1,0)+IF(AND(IF('wk3'!E$5=Pat!$C$25,1,0),IF('wk3'!E18=Pat!B$27,1,0)),1,0)+IF(AND(IF('wk3'!F$5=Pat!$C$25,1,0),IF('wk3'!F18=Pat!B$27,1,0)),1,0)+IF(AND(IF('wk3'!G$5=Pat!$C$25,1,0),IF('wk3'!G18=Pat!B$27,1,0)),1,0)</f>
        <v>0</v>
      </c>
      <c r="G36" s="91">
        <f>IF(AND(IF('wk3'!C$5=Pat!$C$25,1,0),IF('wk3'!C18=Pat!C$27,1,0)),1,0)+IF(AND(IF('wk3'!D$5=Pat!$C$25,1,0),IF('wk3'!D18=Pat!C$27,1,0)),1,0)+IF(AND(IF('wk3'!E$5=Pat!$C$25,1,0),IF('wk3'!E18=Pat!C$27,1,0)),1,0)+IF(AND(IF('wk3'!F$5=Pat!$C$25,1,0),IF('wk3'!F18=Pat!C$27,1,0)),1,0)+IF(AND(IF('wk3'!G$5=Pat!$C$25,1,0),IF('wk3'!G18=Pat!C$27,1,0)),1,0)+IF(AND(IF('wk3'!H$5=Pat!$C$25,1,0),IF('wk3'!H18=Pat!C$27,1,0)),1,0)+IF(AND(IF('wk3'!B$5=Pat!$C$25,1,0),IF('wk3'!B18=Pat!C$27,1,0)),1,0)</f>
        <v>0</v>
      </c>
      <c r="H36" s="90">
        <f>IF(AND(IF('wk4'!B$5=Pat!$C$25,1,0),IF('wk4'!B18=Pat!B$27,1,0)),1,0)+IF(AND(IF('wk4'!C$5=Pat!$C$25,1,0),IF('wk4'!C18=Pat!B$27,1,0)),1,0)+IF(AND(IF('wk4'!D$5=Pat!$C$25,1,0),IF('wk4'!D18=Pat!B$27,1,0)),1,0)+IF(AND(IF('wk4'!E$5=Pat!$C$25,1,0),IF('wk4'!E18=Pat!B$27,1,0)),1,0)+IF(AND(IF('wk4'!F$5=Pat!$C$25,1,0),IF('wk4'!F18=Pat!B$27,1,0)),1,0)+IF(AND(IF('wk4'!G$5=Pat!$C$25,1,0),IF('wk4'!G18=Pat!B$27,1,0)),1,0)</f>
        <v>0</v>
      </c>
      <c r="I36" s="91">
        <f>IF(AND(IF('wk4'!C$5=Pat!$C$25,1,0),IF('wk4'!C18=Pat!C$27,1,0)),1,0)+IF(AND(IF('wk4'!D$5=Pat!$C$25,1,0),IF('wk4'!D18=Pat!C$27,1,0)),1,0)+IF(AND(IF('wk4'!E$5=Pat!$C$25,1,0),IF('wk4'!E18=Pat!C$27,1,0)),1,0)+IF(AND(IF('wk4'!F$5=Pat!$C$25,1,0),IF('wk4'!F18=Pat!C$27,1,0)),1,0)+IF(AND(IF('wk4'!G$5=Pat!$C$25,1,0),IF('wk4'!G18=Pat!C$27,1,0)),1,0)+IF(AND(IF('wk4'!H$5=Pat!$C$25,1,0),IF('wk4'!H18=Pat!C$27,1,0)),1,0)+IF(AND(IF('wk4'!B$5=Pat!$C$25,1,0),IF('wk4'!B18=Pat!C$27,1,0)),1,0)</f>
        <v>0</v>
      </c>
      <c r="J36" s="92">
        <f>IF(AND(IF('wk5'!B$5=Pat!$C$25,1,0),IF('wk5'!B18=Pat!B$27,1,0)),1,0)+IF(AND(IF('wk5'!C$5=Pat!$C$25,1,0),IF('wk5'!C18=Pat!B$27,1,0)),1,0)+IF(AND(IF('wk5'!D$5=Pat!$C$25,1,0),IF('wk5'!D18=Pat!B$27,1,0)),1,0)+IF(AND(IF('wk5'!E$5=Pat!$C$25,1,0),IF('wk5'!E18=Pat!B$27,1,0)),1,0)+IF(AND(IF('wk5'!F$5=Pat!$C$25,1,0),IF('wk5'!F18=Pat!B$27,1,0)),1,0)+IF(AND(IF('wk5'!G$5=Pat!$C$25,1,0),IF('wk5'!G18=Pat!B$27,1,0)),1,0)</f>
        <v>0</v>
      </c>
      <c r="K36" s="93">
        <f>IF(AND(IF('wk5'!C$5=Pat!$C$25,1,0),IF('wk5'!C18=Pat!C$27,1,0)),1,0)+IF(AND(IF('wk5'!D$5=Pat!$C$25,1,0),IF('wk5'!D18=Pat!C$27,1,0)),1,0)+IF(AND(IF('wk5'!E$5=Pat!$C$25,1,0),IF('wk5'!E18=Pat!C$27,1,0)),1,0)+IF(AND(IF('wk5'!F$5=Pat!$C$25,1,0),IF('wk5'!F18=Pat!C$27,1,0)),1,0)+IF(AND(IF('wk5'!G$5=Pat!$C$25,1,0),IF('wk5'!G18=Pat!C$27,1,0)),1,0)+IF(AND(IF('wk5'!H$5=Pat!$C$25,1,0),IF('wk5'!H18=Pat!C$27,1,0)),1,0)+IF(AND(IF('wk5'!B$5=Pat!$C$25,1,0),IF('wk5'!B18=Pat!C$27,1,0)),1,0)</f>
        <v>0</v>
      </c>
      <c r="L36" s="87"/>
      <c r="M36" s="87">
        <f t="shared" si="0"/>
        <v>0</v>
      </c>
      <c r="N36" s="89">
        <f t="shared" si="1"/>
        <v>0</v>
      </c>
    </row>
    <row r="37" spans="1:17" ht="13.5" thickBot="1">
      <c r="A37" s="86" t="str">
        <f>'Members Data'!A11</f>
        <v>Cottman</v>
      </c>
      <c r="B37" s="90">
        <f>IF(AND(IF('wk1'!B$5=Pat!$C$25,1,0),IF('wk1'!B19=Pat!B$27,1,0)),1,0)+IF(AND(IF('wk1'!D$5=Pat!$C$25,1,0),IF('wk1'!C19=Pat!B$27,1,0)),1,0)+IF(AND(IF('wk1'!D$5=Pat!$C$25,1,0),IF('wk1'!D19=Pat!B$27,1,0)),1,0)+IF(AND(IF('wk1'!E$5=Pat!$C$25,1,0),IF('wk1'!E19=Pat!B$27,1,0)),1,0)+IF(AND(IF('wk1'!F$5=Pat!$C$25,1,0),IF('wk1'!F19=Pat!B$27,1,0)),1,0)+IF(AND(IF('wk1'!G$5=Pat!$C$25,1,0),IF('wk1'!G19=Pat!B$27,1,0)),1,0)</f>
        <v>0</v>
      </c>
      <c r="C37" s="91">
        <f>IF(AND(IF('wk1'!D$5=Pat!$C$25,1,0),IF('wk1'!C19=Pat!C$27,1,0)),1,0)+IF(AND(IF('wk1'!D$5=Pat!$C$25,1,0),IF('wk1'!D19=Pat!C$27,1,0)),1,0)+IF(AND(IF('wk1'!E$5=Pat!$C$25,1,0),IF('wk1'!E19=Pat!C$27,1,0)),1,0)+IF(AND(IF('wk1'!F$5=Pat!$C$25,1,0),IF('wk1'!F19=Pat!C$27,1,0)),1,0)+IF(AND(IF('wk1'!G$5=Pat!$C$25,1,0),IF('wk1'!G19=Pat!C$27,1,0)),1,0)+IF(AND(IF('wk1'!H$5=Pat!$C$25,1,0),IF('wk1'!H19=Pat!C$27,1,0)),1,0)+IF(AND(IF('wk1'!B$5=Pat!$C$25,1,0),IF('wk1'!B19=Pat!C$27,1,0)),1,0)</f>
        <v>0</v>
      </c>
      <c r="D37" s="90">
        <f>IF(AND(IF('wk2'!B$5=Pat!$C$25,1,0),IF('wk2'!B19=Pat!B$27,1,0)),1,0)+IF(AND(IF('wk2'!C$5=Pat!$C$25,1,0),IF('wk2'!C19=Pat!B$27,1,0)),1,0)+IF(AND(IF('wk2'!D$5=Pat!$C$25,1,0),IF('wk2'!D19=Pat!B$27,1,0)),1,0)+IF(AND(IF('wk2'!E$5=Pat!$C$25,1,0),IF('wk2'!E19=Pat!B$27,1,0)),1,0)+IF(AND(IF('wk2'!F$5=Pat!$C$25,1,0),IF('wk2'!F19=Pat!B$27,1,0)),1,0)+IF(AND(IF('wk2'!G$5=Pat!$C$25,1,0),IF('wk2'!G19=Pat!B$27,1,0)),1,0)</f>
        <v>0</v>
      </c>
      <c r="E37" s="91">
        <f>IF(AND(IF('wk2'!C$5=Pat!$C$25,1,0),IF('wk2'!C19=Pat!C$27,1,0)),1,0)+IF(AND(IF('wk2'!D$5=Pat!$C$25,1,0),IF('wk2'!D19=Pat!C$27,1,0)),1,0)+IF(AND(IF('wk2'!E$5=Pat!$C$25,1,0),IF('wk2'!E19=Pat!C$27,1,0)),1,0)+IF(AND(IF('wk2'!F$5=Pat!$C$25,1,0),IF('wk2'!F19=Pat!C$27,1,0)),1,0)+IF(AND(IF('wk2'!G$5=Pat!$C$25,1,0),IF('wk2'!G19=Pat!C$27,1,0)),1,0)+IF(AND(IF('wk2'!H$5=Pat!$C$25,1,0),IF('wk2'!H19=Pat!C$27,1,0)),1,0)+IF(AND(IF('wk2'!B$5=Pat!$C$25,1,0),IF('wk2'!B19=Pat!C$27,1,0)),1,0)</f>
        <v>0</v>
      </c>
      <c r="F37" s="90">
        <f>IF(AND(IF('wk3'!B$5=Pat!$C$25,1,0),IF('wk3'!B19=Pat!B$27,1,0)),1,0)+IF(AND(IF('wk3'!C$5=Pat!$C$25,1,0),IF('wk3'!C19=Pat!B$27,1,0)),1,0)+IF(AND(IF('wk3'!D$5=Pat!$C$25,1,0),IF('wk3'!D19=Pat!B$27,1,0)),1,0)+IF(AND(IF('wk3'!E$5=Pat!$C$25,1,0),IF('wk3'!E19=Pat!B$27,1,0)),1,0)+IF(AND(IF('wk3'!F$5=Pat!$C$25,1,0),IF('wk3'!F19=Pat!B$27,1,0)),1,0)+IF(AND(IF('wk3'!G$5=Pat!$C$25,1,0),IF('wk3'!G19=Pat!B$27,1,0)),1,0)</f>
        <v>0</v>
      </c>
      <c r="G37" s="91">
        <f>IF(AND(IF('wk3'!C$5=Pat!$C$25,1,0),IF('wk3'!C19=Pat!C$27,1,0)),1,0)+IF(AND(IF('wk3'!D$5=Pat!$C$25,1,0),IF('wk3'!D19=Pat!C$27,1,0)),1,0)+IF(AND(IF('wk3'!E$5=Pat!$C$25,1,0),IF('wk3'!E19=Pat!C$27,1,0)),1,0)+IF(AND(IF('wk3'!F$5=Pat!$C$25,1,0),IF('wk3'!F19=Pat!C$27,1,0)),1,0)+IF(AND(IF('wk3'!G$5=Pat!$C$25,1,0),IF('wk3'!G19=Pat!C$27,1,0)),1,0)+IF(AND(IF('wk3'!H$5=Pat!$C$25,1,0),IF('wk3'!H19=Pat!C$27,1,0)),1,0)+IF(AND(IF('wk3'!B$5=Pat!$C$25,1,0),IF('wk3'!B19=Pat!C$27,1,0)),1,0)</f>
        <v>0</v>
      </c>
      <c r="H37" s="90">
        <f>IF(AND(IF('wk4'!B$5=Pat!$C$25,1,0),IF('wk4'!B19=Pat!B$27,1,0)),1,0)+IF(AND(IF('wk4'!C$5=Pat!$C$25,1,0),IF('wk4'!C19=Pat!B$27,1,0)),1,0)+IF(AND(IF('wk4'!D$5=Pat!$C$25,1,0),IF('wk4'!D19=Pat!B$27,1,0)),1,0)+IF(AND(IF('wk4'!E$5=Pat!$C$25,1,0),IF('wk4'!E19=Pat!B$27,1,0)),1,0)+IF(AND(IF('wk4'!F$5=Pat!$C$25,1,0),IF('wk4'!F19=Pat!B$27,1,0)),1,0)+IF(AND(IF('wk4'!G$5=Pat!$C$25,1,0),IF('wk4'!G19=Pat!B$27,1,0)),1,0)</f>
        <v>0</v>
      </c>
      <c r="I37" s="91">
        <f>IF(AND(IF('wk4'!C$5=Pat!$C$25,1,0),IF('wk4'!C19=Pat!C$27,1,0)),1,0)+IF(AND(IF('wk4'!D$5=Pat!$C$25,1,0),IF('wk4'!D19=Pat!C$27,1,0)),1,0)+IF(AND(IF('wk4'!E$5=Pat!$C$25,1,0),IF('wk4'!E19=Pat!C$27,1,0)),1,0)+IF(AND(IF('wk4'!F$5=Pat!$C$25,1,0),IF('wk4'!F19=Pat!C$27,1,0)),1,0)+IF(AND(IF('wk4'!G$5=Pat!$C$25,1,0),IF('wk4'!G19=Pat!C$27,1,0)),1,0)+IF(AND(IF('wk4'!H$5=Pat!$C$25,1,0),IF('wk4'!H19=Pat!C$27,1,0)),1,0)+IF(AND(IF('wk4'!B$5=Pat!$C$25,1,0),IF('wk4'!B19=Pat!C$27,1,0)),1,0)</f>
        <v>0</v>
      </c>
      <c r="J37" s="92">
        <f>IF(AND(IF('wk5'!B$5=Pat!$C$25,1,0),IF('wk5'!B19=Pat!B$27,1,0)),1,0)+IF(AND(IF('wk5'!C$5=Pat!$C$25,1,0),IF('wk5'!C19=Pat!B$27,1,0)),1,0)+IF(AND(IF('wk5'!D$5=Pat!$C$25,1,0),IF('wk5'!D19=Pat!B$27,1,0)),1,0)+IF(AND(IF('wk5'!E$5=Pat!$C$25,1,0),IF('wk5'!E19=Pat!B$27,1,0)),1,0)+IF(AND(IF('wk5'!F$5=Pat!$C$25,1,0),IF('wk5'!F19=Pat!B$27,1,0)),1,0)+IF(AND(IF('wk5'!G$5=Pat!$C$25,1,0),IF('wk5'!G19=Pat!B$27,1,0)),1,0)</f>
        <v>0</v>
      </c>
      <c r="K37" s="93">
        <f>IF(AND(IF('wk5'!C$5=Pat!$C$25,1,0),IF('wk5'!C19=Pat!C$27,1,0)),1,0)+IF(AND(IF('wk5'!D$5=Pat!$C$25,1,0),IF('wk5'!D19=Pat!C$27,1,0)),1,0)+IF(AND(IF('wk5'!E$5=Pat!$C$25,1,0),IF('wk5'!E19=Pat!C$27,1,0)),1,0)+IF(AND(IF('wk5'!F$5=Pat!$C$25,1,0),IF('wk5'!F19=Pat!C$27,1,0)),1,0)+IF(AND(IF('wk5'!G$5=Pat!$C$25,1,0),IF('wk5'!G19=Pat!C$27,1,0)),1,0)+IF(AND(IF('wk5'!H$5=Pat!$C$25,1,0),IF('wk5'!H19=Pat!C$27,1,0)),1,0)+IF(AND(IF('wk5'!B$5=Pat!$C$25,1,0),IF('wk5'!B19=Pat!C$27,1,0)),1,0)</f>
        <v>0</v>
      </c>
      <c r="L37" s="87"/>
      <c r="M37" s="87">
        <f t="shared" si="0"/>
        <v>0</v>
      </c>
      <c r="N37" s="89">
        <f t="shared" si="1"/>
        <v>0</v>
      </c>
    </row>
    <row r="38" spans="1:17" ht="13.5" thickBot="1">
      <c r="A38" s="86" t="str">
        <f>'Members Data'!A12</f>
        <v>Craving</v>
      </c>
      <c r="B38" s="90">
        <f>IF(AND(IF('wk1'!B$5=Pat!$C$25,1,0),IF('wk1'!B20=Pat!B$27,1,0)),1,0)+IF(AND(IF('wk1'!D$5=Pat!$C$25,1,0),IF('wk1'!C20=Pat!B$27,1,0)),1,0)+IF(AND(IF('wk1'!D$5=Pat!$C$25,1,0),IF('wk1'!D20=Pat!B$27,1,0)),1,0)+IF(AND(IF('wk1'!E$5=Pat!$C$25,1,0),IF('wk1'!E20=Pat!B$27,1,0)),1,0)+IF(AND(IF('wk1'!F$5=Pat!$C$25,1,0),IF('wk1'!F20=Pat!B$27,1,0)),1,0)+IF(AND(IF('wk1'!G$5=Pat!$C$25,1,0),IF('wk1'!G20=Pat!B$27,1,0)),1,0)</f>
        <v>0</v>
      </c>
      <c r="C38" s="91">
        <f>IF(AND(IF('wk1'!D$5=Pat!$C$25,1,0),IF('wk1'!C20=Pat!C$27,1,0)),1,0)+IF(AND(IF('wk1'!D$5=Pat!$C$25,1,0),IF('wk1'!D20=Pat!C$27,1,0)),1,0)+IF(AND(IF('wk1'!E$5=Pat!$C$25,1,0),IF('wk1'!E20=Pat!C$27,1,0)),1,0)+IF(AND(IF('wk1'!F$5=Pat!$C$25,1,0),IF('wk1'!F20=Pat!C$27,1,0)),1,0)+IF(AND(IF('wk1'!G$5=Pat!$C$25,1,0),IF('wk1'!G20=Pat!C$27,1,0)),1,0)+IF(AND(IF('wk1'!H$5=Pat!$C$25,1,0),IF('wk1'!H20=Pat!C$27,1,0)),1,0)+IF(AND(IF('wk1'!B$5=Pat!$C$25,1,0),IF('wk1'!B20=Pat!C$27,1,0)),1,0)</f>
        <v>0</v>
      </c>
      <c r="D38" s="90">
        <f>IF(AND(IF('wk2'!B$5=Pat!$C$25,1,0),IF('wk2'!B20=Pat!B$27,1,0)),1,0)+IF(AND(IF('wk2'!C$5=Pat!$C$25,1,0),IF('wk2'!C20=Pat!B$27,1,0)),1,0)+IF(AND(IF('wk2'!D$5=Pat!$C$25,1,0),IF('wk2'!D20=Pat!B$27,1,0)),1,0)+IF(AND(IF('wk2'!E$5=Pat!$C$25,1,0),IF('wk2'!E20=Pat!B$27,1,0)),1,0)+IF(AND(IF('wk2'!F$5=Pat!$C$25,1,0),IF('wk2'!F20=Pat!B$27,1,0)),1,0)+IF(AND(IF('wk2'!G$5=Pat!$C$25,1,0),IF('wk2'!G20=Pat!B$27,1,0)),1,0)</f>
        <v>0</v>
      </c>
      <c r="E38" s="91">
        <f>IF(AND(IF('wk2'!C$5=Pat!$C$25,1,0),IF('wk2'!C20=Pat!C$27,1,0)),1,0)+IF(AND(IF('wk2'!D$5=Pat!$C$25,1,0),IF('wk2'!D20=Pat!C$27,1,0)),1,0)+IF(AND(IF('wk2'!E$5=Pat!$C$25,1,0),IF('wk2'!E20=Pat!C$27,1,0)),1,0)+IF(AND(IF('wk2'!F$5=Pat!$C$25,1,0),IF('wk2'!F20=Pat!C$27,1,0)),1,0)+IF(AND(IF('wk2'!G$5=Pat!$C$25,1,0),IF('wk2'!G20=Pat!C$27,1,0)),1,0)+IF(AND(IF('wk2'!H$5=Pat!$C$25,1,0),IF('wk2'!H20=Pat!C$27,1,0)),1,0)+IF(AND(IF('wk2'!B$5=Pat!$C$25,1,0),IF('wk2'!B20=Pat!C$27,1,0)),1,0)</f>
        <v>0</v>
      </c>
      <c r="F38" s="90">
        <f>IF(AND(IF('wk3'!B$5=Pat!$C$25,1,0),IF('wk3'!B20=Pat!B$27,1,0)),1,0)+IF(AND(IF('wk3'!C$5=Pat!$C$25,1,0),IF('wk3'!C20=Pat!B$27,1,0)),1,0)+IF(AND(IF('wk3'!D$5=Pat!$C$25,1,0),IF('wk3'!D20=Pat!B$27,1,0)),1,0)+IF(AND(IF('wk3'!E$5=Pat!$C$25,1,0),IF('wk3'!E20=Pat!B$27,1,0)),1,0)+IF(AND(IF('wk3'!F$5=Pat!$C$25,1,0),IF('wk3'!F20=Pat!B$27,1,0)),1,0)+IF(AND(IF('wk3'!G$5=Pat!$C$25,1,0),IF('wk3'!G20=Pat!B$27,1,0)),1,0)</f>
        <v>0</v>
      </c>
      <c r="G38" s="91">
        <f>IF(AND(IF('wk3'!C$5=Pat!$C$25,1,0),IF('wk3'!C20=Pat!C$27,1,0)),1,0)+IF(AND(IF('wk3'!D$5=Pat!$C$25,1,0),IF('wk3'!D20=Pat!C$27,1,0)),1,0)+IF(AND(IF('wk3'!E$5=Pat!$C$25,1,0),IF('wk3'!E20=Pat!C$27,1,0)),1,0)+IF(AND(IF('wk3'!F$5=Pat!$C$25,1,0),IF('wk3'!F20=Pat!C$27,1,0)),1,0)+IF(AND(IF('wk3'!G$5=Pat!$C$25,1,0),IF('wk3'!G20=Pat!C$27,1,0)),1,0)+IF(AND(IF('wk3'!H$5=Pat!$C$25,1,0),IF('wk3'!H20=Pat!C$27,1,0)),1,0)+IF(AND(IF('wk3'!B$5=Pat!$C$25,1,0),IF('wk3'!B20=Pat!C$27,1,0)),1,0)</f>
        <v>0</v>
      </c>
      <c r="H38" s="90">
        <f>IF(AND(IF('wk4'!B$5=Pat!$C$25,1,0),IF('wk4'!B20=Pat!B$27,1,0)),1,0)+IF(AND(IF('wk4'!C$5=Pat!$C$25,1,0),IF('wk4'!C20=Pat!B$27,1,0)),1,0)+IF(AND(IF('wk4'!D$5=Pat!$C$25,1,0),IF('wk4'!D20=Pat!B$27,1,0)),1,0)+IF(AND(IF('wk4'!E$5=Pat!$C$25,1,0),IF('wk4'!E20=Pat!B$27,1,0)),1,0)+IF(AND(IF('wk4'!F$5=Pat!$C$25,1,0),IF('wk4'!F20=Pat!B$27,1,0)),1,0)+IF(AND(IF('wk4'!G$5=Pat!$C$25,1,0),IF('wk4'!G20=Pat!B$27,1,0)),1,0)</f>
        <v>0</v>
      </c>
      <c r="I38" s="91">
        <f>IF(AND(IF('wk4'!C$5=Pat!$C$25,1,0),IF('wk4'!C20=Pat!C$27,1,0)),1,0)+IF(AND(IF('wk4'!D$5=Pat!$C$25,1,0),IF('wk4'!D20=Pat!C$27,1,0)),1,0)+IF(AND(IF('wk4'!E$5=Pat!$C$25,1,0),IF('wk4'!E20=Pat!C$27,1,0)),1,0)+IF(AND(IF('wk4'!F$5=Pat!$C$25,1,0),IF('wk4'!F20=Pat!C$27,1,0)),1,0)+IF(AND(IF('wk4'!G$5=Pat!$C$25,1,0),IF('wk4'!G20=Pat!C$27,1,0)),1,0)+IF(AND(IF('wk4'!H$5=Pat!$C$25,1,0),IF('wk4'!H20=Pat!C$27,1,0)),1,0)+IF(AND(IF('wk4'!B$5=Pat!$C$25,1,0),IF('wk4'!B20=Pat!C$27,1,0)),1,0)</f>
        <v>0</v>
      </c>
      <c r="J38" s="92">
        <f>IF(AND(IF('wk5'!B$5=Pat!$C$25,1,0),IF('wk5'!B20=Pat!B$27,1,0)),1,0)+IF(AND(IF('wk5'!C$5=Pat!$C$25,1,0),IF('wk5'!C20=Pat!B$27,1,0)),1,0)+IF(AND(IF('wk5'!D$5=Pat!$C$25,1,0),IF('wk5'!D20=Pat!B$27,1,0)),1,0)+IF(AND(IF('wk5'!E$5=Pat!$C$25,1,0),IF('wk5'!E20=Pat!B$27,1,0)),1,0)+IF(AND(IF('wk5'!F$5=Pat!$C$25,1,0),IF('wk5'!F20=Pat!B$27,1,0)),1,0)+IF(AND(IF('wk5'!G$5=Pat!$C$25,1,0),IF('wk5'!G20=Pat!B$27,1,0)),1,0)</f>
        <v>0</v>
      </c>
      <c r="K38" s="93">
        <f>IF(AND(IF('wk5'!C$5=Pat!$C$25,1,0),IF('wk5'!C20=Pat!C$27,1,0)),1,0)+IF(AND(IF('wk5'!D$5=Pat!$C$25,1,0),IF('wk5'!D20=Pat!C$27,1,0)),1,0)+IF(AND(IF('wk5'!E$5=Pat!$C$25,1,0),IF('wk5'!E20=Pat!C$27,1,0)),1,0)+IF(AND(IF('wk5'!F$5=Pat!$C$25,1,0),IF('wk5'!F20=Pat!C$27,1,0)),1,0)+IF(AND(IF('wk5'!G$5=Pat!$C$25,1,0),IF('wk5'!G20=Pat!C$27,1,0)),1,0)+IF(AND(IF('wk5'!H$5=Pat!$C$25,1,0),IF('wk5'!H20=Pat!C$27,1,0)),1,0)+IF(AND(IF('wk5'!B$5=Pat!$C$25,1,0),IF('wk5'!B20=Pat!C$27,1,0)),1,0)</f>
        <v>0</v>
      </c>
      <c r="L38" s="87"/>
      <c r="M38" s="87">
        <f t="shared" si="0"/>
        <v>0</v>
      </c>
      <c r="N38" s="89">
        <f t="shared" si="1"/>
        <v>0</v>
      </c>
    </row>
    <row r="39" spans="1:17" ht="13.5" thickBot="1">
      <c r="A39" s="86" t="str">
        <f>'Members Data'!A13</f>
        <v>Darshei</v>
      </c>
      <c r="B39" s="90">
        <f>IF(AND(IF('wk1'!B$5=Pat!$C$25,1,0),IF('wk1'!B21=Pat!B$27,1,0)),1,0)+IF(AND(IF('wk1'!D$5=Pat!$C$25,1,0),IF('wk1'!C21=Pat!B$27,1,0)),1,0)+IF(AND(IF('wk1'!D$5=Pat!$C$25,1,0),IF('wk1'!D21=Pat!B$27,1,0)),1,0)+IF(AND(IF('wk1'!E$5=Pat!$C$25,1,0),IF('wk1'!E21=Pat!B$27,1,0)),1,0)+IF(AND(IF('wk1'!F$5=Pat!$C$25,1,0),IF('wk1'!F21=Pat!B$27,1,0)),1,0)+IF(AND(IF('wk1'!G$5=Pat!$C$25,1,0),IF('wk1'!G21=Pat!B$27,1,0)),1,0)</f>
        <v>0</v>
      </c>
      <c r="C39" s="91">
        <f>IF(AND(IF('wk1'!D$5=Pat!$C$25,1,0),IF('wk1'!C21=Pat!C$27,1,0)),1,0)+IF(AND(IF('wk1'!D$5=Pat!$C$25,1,0),IF('wk1'!D21=Pat!C$27,1,0)),1,0)+IF(AND(IF('wk1'!E$5=Pat!$C$25,1,0),IF('wk1'!E21=Pat!C$27,1,0)),1,0)+IF(AND(IF('wk1'!F$5=Pat!$C$25,1,0),IF('wk1'!F21=Pat!C$27,1,0)),1,0)+IF(AND(IF('wk1'!G$5=Pat!$C$25,1,0),IF('wk1'!G21=Pat!C$27,1,0)),1,0)+IF(AND(IF('wk1'!H$5=Pat!$C$25,1,0),IF('wk1'!H21=Pat!C$27,1,0)),1,0)+IF(AND(IF('wk1'!B$5=Pat!$C$25,1,0),IF('wk1'!B21=Pat!C$27,1,0)),1,0)</f>
        <v>0</v>
      </c>
      <c r="D39" s="90">
        <f>IF(AND(IF('wk2'!B$5=Pat!$C$25,1,0),IF('wk2'!B21=Pat!B$27,1,0)),1,0)+IF(AND(IF('wk2'!C$5=Pat!$C$25,1,0),IF('wk2'!C21=Pat!B$27,1,0)),1,0)+IF(AND(IF('wk2'!D$5=Pat!$C$25,1,0),IF('wk2'!D21=Pat!B$27,1,0)),1,0)+IF(AND(IF('wk2'!E$5=Pat!$C$25,1,0),IF('wk2'!E21=Pat!B$27,1,0)),1,0)+IF(AND(IF('wk2'!F$5=Pat!$C$25,1,0),IF('wk2'!F21=Pat!B$27,1,0)),1,0)+IF(AND(IF('wk2'!G$5=Pat!$C$25,1,0),IF('wk2'!G21=Pat!B$27,1,0)),1,0)</f>
        <v>0</v>
      </c>
      <c r="E39" s="91">
        <f>IF(AND(IF('wk2'!C$5=Pat!$C$25,1,0),IF('wk2'!C21=Pat!C$27,1,0)),1,0)+IF(AND(IF('wk2'!D$5=Pat!$C$25,1,0),IF('wk2'!D21=Pat!C$27,1,0)),1,0)+IF(AND(IF('wk2'!E$5=Pat!$C$25,1,0),IF('wk2'!E21=Pat!C$27,1,0)),1,0)+IF(AND(IF('wk2'!F$5=Pat!$C$25,1,0),IF('wk2'!F21=Pat!C$27,1,0)),1,0)+IF(AND(IF('wk2'!G$5=Pat!$C$25,1,0),IF('wk2'!G21=Pat!C$27,1,0)),1,0)+IF(AND(IF('wk2'!H$5=Pat!$C$25,1,0),IF('wk2'!H21=Pat!C$27,1,0)),1,0)+IF(AND(IF('wk2'!B$5=Pat!$C$25,1,0),IF('wk2'!B21=Pat!C$27,1,0)),1,0)</f>
        <v>0</v>
      </c>
      <c r="F39" s="90">
        <f>IF(AND(IF('wk3'!B$5=Pat!$C$25,1,0),IF('wk3'!B21=Pat!B$27,1,0)),1,0)+IF(AND(IF('wk3'!C$5=Pat!$C$25,1,0),IF('wk3'!C21=Pat!B$27,1,0)),1,0)+IF(AND(IF('wk3'!D$5=Pat!$C$25,1,0),IF('wk3'!D21=Pat!B$27,1,0)),1,0)+IF(AND(IF('wk3'!E$5=Pat!$C$25,1,0),IF('wk3'!E21=Pat!B$27,1,0)),1,0)+IF(AND(IF('wk3'!F$5=Pat!$C$25,1,0),IF('wk3'!F21=Pat!B$27,1,0)),1,0)+IF(AND(IF('wk3'!G$5=Pat!$C$25,1,0),IF('wk3'!G21=Pat!B$27,1,0)),1,0)</f>
        <v>0</v>
      </c>
      <c r="G39" s="91">
        <f>IF(AND(IF('wk3'!C$5=Pat!$C$25,1,0),IF('wk3'!C21=Pat!C$27,1,0)),1,0)+IF(AND(IF('wk3'!D$5=Pat!$C$25,1,0),IF('wk3'!D21=Pat!C$27,1,0)),1,0)+IF(AND(IF('wk3'!E$5=Pat!$C$25,1,0),IF('wk3'!E21=Pat!C$27,1,0)),1,0)+IF(AND(IF('wk3'!F$5=Pat!$C$25,1,0),IF('wk3'!F21=Pat!C$27,1,0)),1,0)+IF(AND(IF('wk3'!G$5=Pat!$C$25,1,0),IF('wk3'!G21=Pat!C$27,1,0)),1,0)+IF(AND(IF('wk3'!H$5=Pat!$C$25,1,0),IF('wk3'!H21=Pat!C$27,1,0)),1,0)+IF(AND(IF('wk3'!B$5=Pat!$C$25,1,0),IF('wk3'!B21=Pat!C$27,1,0)),1,0)</f>
        <v>0</v>
      </c>
      <c r="H39" s="90">
        <f>IF(AND(IF('wk4'!B$5=Pat!$C$25,1,0),IF('wk4'!B21=Pat!B$27,1,0)),1,0)+IF(AND(IF('wk4'!C$5=Pat!$C$25,1,0),IF('wk4'!C21=Pat!B$27,1,0)),1,0)+IF(AND(IF('wk4'!D$5=Pat!$C$25,1,0),IF('wk4'!D21=Pat!B$27,1,0)),1,0)+IF(AND(IF('wk4'!E$5=Pat!$C$25,1,0),IF('wk4'!E21=Pat!B$27,1,0)),1,0)+IF(AND(IF('wk4'!F$5=Pat!$C$25,1,0),IF('wk4'!F21=Pat!B$27,1,0)),1,0)+IF(AND(IF('wk4'!G$5=Pat!$C$25,1,0),IF('wk4'!G21=Pat!B$27,1,0)),1,0)</f>
        <v>0</v>
      </c>
      <c r="I39" s="91">
        <f>IF(AND(IF('wk4'!C$5=Pat!$C$25,1,0),IF('wk4'!C21=Pat!C$27,1,0)),1,0)+IF(AND(IF('wk4'!D$5=Pat!$C$25,1,0),IF('wk4'!D21=Pat!C$27,1,0)),1,0)+IF(AND(IF('wk4'!E$5=Pat!$C$25,1,0),IF('wk4'!E21=Pat!C$27,1,0)),1,0)+IF(AND(IF('wk4'!F$5=Pat!$C$25,1,0),IF('wk4'!F21=Pat!C$27,1,0)),1,0)+IF(AND(IF('wk4'!G$5=Pat!$C$25,1,0),IF('wk4'!G21=Pat!C$27,1,0)),1,0)+IF(AND(IF('wk4'!H$5=Pat!$C$25,1,0),IF('wk4'!H21=Pat!C$27,1,0)),1,0)+IF(AND(IF('wk4'!B$5=Pat!$C$25,1,0),IF('wk4'!B21=Pat!C$27,1,0)),1,0)</f>
        <v>0</v>
      </c>
      <c r="J39" s="92">
        <f>IF(AND(IF('wk5'!B$5=Pat!$C$25,1,0),IF('wk5'!B21=Pat!B$27,1,0)),1,0)+IF(AND(IF('wk5'!C$5=Pat!$C$25,1,0),IF('wk5'!C21=Pat!B$27,1,0)),1,0)+IF(AND(IF('wk5'!D$5=Pat!$C$25,1,0),IF('wk5'!D21=Pat!B$27,1,0)),1,0)+IF(AND(IF('wk5'!E$5=Pat!$C$25,1,0),IF('wk5'!E21=Pat!B$27,1,0)),1,0)+IF(AND(IF('wk5'!F$5=Pat!$C$25,1,0),IF('wk5'!F21=Pat!B$27,1,0)),1,0)+IF(AND(IF('wk5'!G$5=Pat!$C$25,1,0),IF('wk5'!G21=Pat!B$27,1,0)),1,0)</f>
        <v>0</v>
      </c>
      <c r="K39" s="93">
        <f>IF(AND(IF('wk5'!C$5=Pat!$C$25,1,0),IF('wk5'!C21=Pat!C$27,1,0)),1,0)+IF(AND(IF('wk5'!D$5=Pat!$C$25,1,0),IF('wk5'!D21=Pat!C$27,1,0)),1,0)+IF(AND(IF('wk5'!E$5=Pat!$C$25,1,0),IF('wk5'!E21=Pat!C$27,1,0)),1,0)+IF(AND(IF('wk5'!F$5=Pat!$C$25,1,0),IF('wk5'!F21=Pat!C$27,1,0)),1,0)+IF(AND(IF('wk5'!G$5=Pat!$C$25,1,0),IF('wk5'!G21=Pat!C$27,1,0)),1,0)+IF(AND(IF('wk5'!H$5=Pat!$C$25,1,0),IF('wk5'!H21=Pat!C$27,1,0)),1,0)+IF(AND(IF('wk5'!B$5=Pat!$C$25,1,0),IF('wk5'!B21=Pat!C$27,1,0)),1,0)</f>
        <v>0</v>
      </c>
      <c r="L39" s="87"/>
      <c r="M39" s="87">
        <f t="shared" si="0"/>
        <v>0</v>
      </c>
      <c r="N39" s="89">
        <f t="shared" si="1"/>
        <v>0</v>
      </c>
    </row>
    <row r="40" spans="1:17" ht="13.5" thickBot="1">
      <c r="A40" s="86" t="str">
        <f>'Members Data'!A14</f>
        <v>Difson</v>
      </c>
      <c r="B40" s="90">
        <f>IF(AND(IF('wk1'!B$5=Pat!$C$25,1,0),IF('wk1'!B22=Pat!B$27,1,0)),1,0)+IF(AND(IF('wk1'!D$5=Pat!$C$25,1,0),IF('wk1'!C22=Pat!B$27,1,0)),1,0)+IF(AND(IF('wk1'!D$5=Pat!$C$25,1,0),IF('wk1'!D22=Pat!B$27,1,0)),1,0)+IF(AND(IF('wk1'!E$5=Pat!$C$25,1,0),IF('wk1'!E22=Pat!B$27,1,0)),1,0)+IF(AND(IF('wk1'!F$5=Pat!$C$25,1,0),IF('wk1'!F22=Pat!B$27,1,0)),1,0)+IF(AND(IF('wk1'!G$5=Pat!$C$25,1,0),IF('wk1'!G22=Pat!B$27,1,0)),1,0)</f>
        <v>0</v>
      </c>
      <c r="C40" s="91">
        <f>IF(AND(IF('wk1'!D$5=Pat!$C$25,1,0),IF('wk1'!C22=Pat!C$27,1,0)),1,0)+IF(AND(IF('wk1'!D$5=Pat!$C$25,1,0),IF('wk1'!D22=Pat!C$27,1,0)),1,0)+IF(AND(IF('wk1'!E$5=Pat!$C$25,1,0),IF('wk1'!E22=Pat!C$27,1,0)),1,0)+IF(AND(IF('wk1'!F$5=Pat!$C$25,1,0),IF('wk1'!F22=Pat!C$27,1,0)),1,0)+IF(AND(IF('wk1'!G$5=Pat!$C$25,1,0),IF('wk1'!G22=Pat!C$27,1,0)),1,0)+IF(AND(IF('wk1'!H$5=Pat!$C$25,1,0),IF('wk1'!H22=Pat!C$27,1,0)),1,0)+IF(AND(IF('wk1'!B$5=Pat!$C$25,1,0),IF('wk1'!B22=Pat!C$27,1,0)),1,0)</f>
        <v>0</v>
      </c>
      <c r="D40" s="90">
        <f>IF(AND(IF('wk2'!B$5=Pat!$C$25,1,0),IF('wk2'!B22=Pat!B$27,1,0)),1,0)+IF(AND(IF('wk2'!C$5=Pat!$C$25,1,0),IF('wk2'!C22=Pat!B$27,1,0)),1,0)+IF(AND(IF('wk2'!D$5=Pat!$C$25,1,0),IF('wk2'!D22=Pat!B$27,1,0)),1,0)+IF(AND(IF('wk2'!E$5=Pat!$C$25,1,0),IF('wk2'!E22=Pat!B$27,1,0)),1,0)+IF(AND(IF('wk2'!F$5=Pat!$C$25,1,0),IF('wk2'!F22=Pat!B$27,1,0)),1,0)+IF(AND(IF('wk2'!G$5=Pat!$C$25,1,0),IF('wk2'!G22=Pat!B$27,1,0)),1,0)</f>
        <v>0</v>
      </c>
      <c r="E40" s="91">
        <f>IF(AND(IF('wk2'!C$5=Pat!$C$25,1,0),IF('wk2'!C22=Pat!C$27,1,0)),1,0)+IF(AND(IF('wk2'!D$5=Pat!$C$25,1,0),IF('wk2'!D22=Pat!C$27,1,0)),1,0)+IF(AND(IF('wk2'!E$5=Pat!$C$25,1,0),IF('wk2'!E22=Pat!C$27,1,0)),1,0)+IF(AND(IF('wk2'!F$5=Pat!$C$25,1,0),IF('wk2'!F22=Pat!C$27,1,0)),1,0)+IF(AND(IF('wk2'!G$5=Pat!$C$25,1,0),IF('wk2'!G22=Pat!C$27,1,0)),1,0)+IF(AND(IF('wk2'!H$5=Pat!$C$25,1,0),IF('wk2'!H22=Pat!C$27,1,0)),1,0)+IF(AND(IF('wk2'!B$5=Pat!$C$25,1,0),IF('wk2'!B22=Pat!C$27,1,0)),1,0)</f>
        <v>0</v>
      </c>
      <c r="F40" s="90">
        <f>IF(AND(IF('wk3'!B$5=Pat!$C$25,1,0),IF('wk3'!B22=Pat!B$27,1,0)),1,0)+IF(AND(IF('wk3'!C$5=Pat!$C$25,1,0),IF('wk3'!C22=Pat!B$27,1,0)),1,0)+IF(AND(IF('wk3'!D$5=Pat!$C$25,1,0),IF('wk3'!D22=Pat!B$27,1,0)),1,0)+IF(AND(IF('wk3'!E$5=Pat!$C$25,1,0),IF('wk3'!E22=Pat!B$27,1,0)),1,0)+IF(AND(IF('wk3'!F$5=Pat!$C$25,1,0),IF('wk3'!F22=Pat!B$27,1,0)),1,0)+IF(AND(IF('wk3'!G$5=Pat!$C$25,1,0),IF('wk3'!G22=Pat!B$27,1,0)),1,0)</f>
        <v>0</v>
      </c>
      <c r="G40" s="91">
        <f>IF(AND(IF('wk3'!C$5=Pat!$C$25,1,0),IF('wk3'!C22=Pat!C$27,1,0)),1,0)+IF(AND(IF('wk3'!D$5=Pat!$C$25,1,0),IF('wk3'!D22=Pat!C$27,1,0)),1,0)+IF(AND(IF('wk3'!E$5=Pat!$C$25,1,0),IF('wk3'!E22=Pat!C$27,1,0)),1,0)+IF(AND(IF('wk3'!F$5=Pat!$C$25,1,0),IF('wk3'!F22=Pat!C$27,1,0)),1,0)+IF(AND(IF('wk3'!G$5=Pat!$C$25,1,0),IF('wk3'!G22=Pat!C$27,1,0)),1,0)+IF(AND(IF('wk3'!H$5=Pat!$C$25,1,0),IF('wk3'!H22=Pat!C$27,1,0)),1,0)+IF(AND(IF('wk3'!B$5=Pat!$C$25,1,0),IF('wk3'!B22=Pat!C$27,1,0)),1,0)</f>
        <v>0</v>
      </c>
      <c r="H40" s="90">
        <f>IF(AND(IF('wk4'!B$5=Pat!$C$25,1,0),IF('wk4'!B22=Pat!B$27,1,0)),1,0)+IF(AND(IF('wk4'!C$5=Pat!$C$25,1,0),IF('wk4'!C22=Pat!B$27,1,0)),1,0)+IF(AND(IF('wk4'!D$5=Pat!$C$25,1,0),IF('wk4'!D22=Pat!B$27,1,0)),1,0)+IF(AND(IF('wk4'!E$5=Pat!$C$25,1,0),IF('wk4'!E22=Pat!B$27,1,0)),1,0)+IF(AND(IF('wk4'!F$5=Pat!$C$25,1,0),IF('wk4'!F22=Pat!B$27,1,0)),1,0)+IF(AND(IF('wk4'!G$5=Pat!$C$25,1,0),IF('wk4'!G22=Pat!B$27,1,0)),1,0)</f>
        <v>0</v>
      </c>
      <c r="I40" s="91">
        <f>IF(AND(IF('wk4'!C$5=Pat!$C$25,1,0),IF('wk4'!C22=Pat!C$27,1,0)),1,0)+IF(AND(IF('wk4'!D$5=Pat!$C$25,1,0),IF('wk4'!D22=Pat!C$27,1,0)),1,0)+IF(AND(IF('wk4'!E$5=Pat!$C$25,1,0),IF('wk4'!E22=Pat!C$27,1,0)),1,0)+IF(AND(IF('wk4'!F$5=Pat!$C$25,1,0),IF('wk4'!F22=Pat!C$27,1,0)),1,0)+IF(AND(IF('wk4'!G$5=Pat!$C$25,1,0),IF('wk4'!G22=Pat!C$27,1,0)),1,0)+IF(AND(IF('wk4'!H$5=Pat!$C$25,1,0),IF('wk4'!H22=Pat!C$27,1,0)),1,0)+IF(AND(IF('wk4'!B$5=Pat!$C$25,1,0),IF('wk4'!B22=Pat!C$27,1,0)),1,0)</f>
        <v>0</v>
      </c>
      <c r="J40" s="92">
        <f>IF(AND(IF('wk5'!B$5=Pat!$C$25,1,0),IF('wk5'!B22=Pat!B$27,1,0)),1,0)+IF(AND(IF('wk5'!C$5=Pat!$C$25,1,0),IF('wk5'!C22=Pat!B$27,1,0)),1,0)+IF(AND(IF('wk5'!D$5=Pat!$C$25,1,0),IF('wk5'!D22=Pat!B$27,1,0)),1,0)+IF(AND(IF('wk5'!E$5=Pat!$C$25,1,0),IF('wk5'!E22=Pat!B$27,1,0)),1,0)+IF(AND(IF('wk5'!F$5=Pat!$C$25,1,0),IF('wk5'!F22=Pat!B$27,1,0)),1,0)+IF(AND(IF('wk5'!G$5=Pat!$C$25,1,0),IF('wk5'!G22=Pat!B$27,1,0)),1,0)</f>
        <v>0</v>
      </c>
      <c r="K40" s="93">
        <f>IF(AND(IF('wk5'!C$5=Pat!$C$25,1,0),IF('wk5'!C22=Pat!C$27,1,0)),1,0)+IF(AND(IF('wk5'!D$5=Pat!$C$25,1,0),IF('wk5'!D22=Pat!C$27,1,0)),1,0)+IF(AND(IF('wk5'!E$5=Pat!$C$25,1,0),IF('wk5'!E22=Pat!C$27,1,0)),1,0)+IF(AND(IF('wk5'!F$5=Pat!$C$25,1,0),IF('wk5'!F22=Pat!C$27,1,0)),1,0)+IF(AND(IF('wk5'!G$5=Pat!$C$25,1,0),IF('wk5'!G22=Pat!C$27,1,0)),1,0)+IF(AND(IF('wk5'!H$5=Pat!$C$25,1,0),IF('wk5'!H22=Pat!C$27,1,0)),1,0)+IF(AND(IF('wk5'!B$5=Pat!$C$25,1,0),IF('wk5'!B22=Pat!C$27,1,0)),1,0)</f>
        <v>0</v>
      </c>
      <c r="L40" s="87"/>
      <c r="M40" s="87">
        <f t="shared" si="0"/>
        <v>0</v>
      </c>
      <c r="N40" s="89">
        <f t="shared" si="1"/>
        <v>0</v>
      </c>
    </row>
    <row r="41" spans="1:17" ht="13.5" thickBot="1">
      <c r="A41" s="86" t="str">
        <f>'Members Data'!A15</f>
        <v>Grandhoof</v>
      </c>
      <c r="B41" s="90">
        <f>IF(AND(IF('wk1'!B$5=Pat!$C$25,1,0),IF('wk1'!B23=Pat!B$27,1,0)),1,0)+IF(AND(IF('wk1'!D$5=Pat!$C$25,1,0),IF('wk1'!C23=Pat!B$27,1,0)),1,0)+IF(AND(IF('wk1'!D$5=Pat!$C$25,1,0),IF('wk1'!D23=Pat!B$27,1,0)),1,0)+IF(AND(IF('wk1'!E$5=Pat!$C$25,1,0),IF('wk1'!E23=Pat!B$27,1,0)),1,0)+IF(AND(IF('wk1'!F$5=Pat!$C$25,1,0),IF('wk1'!F23=Pat!B$27,1,0)),1,0)+IF(AND(IF('wk1'!G$5=Pat!$C$25,1,0),IF('wk1'!G23=Pat!B$27,1,0)),1,0)</f>
        <v>0</v>
      </c>
      <c r="C41" s="91">
        <f>IF(AND(IF('wk1'!D$5=Pat!$C$25,1,0),IF('wk1'!C23=Pat!C$27,1,0)),1,0)+IF(AND(IF('wk1'!D$5=Pat!$C$25,1,0),IF('wk1'!D23=Pat!C$27,1,0)),1,0)+IF(AND(IF('wk1'!E$5=Pat!$C$25,1,0),IF('wk1'!E23=Pat!C$27,1,0)),1,0)+IF(AND(IF('wk1'!F$5=Pat!$C$25,1,0),IF('wk1'!F23=Pat!C$27,1,0)),1,0)+IF(AND(IF('wk1'!G$5=Pat!$C$25,1,0),IF('wk1'!G23=Pat!C$27,1,0)),1,0)+IF(AND(IF('wk1'!H$5=Pat!$C$25,1,0),IF('wk1'!H23=Pat!C$27,1,0)),1,0)+IF(AND(IF('wk1'!B$5=Pat!$C$25,1,0),IF('wk1'!B23=Pat!C$27,1,0)),1,0)</f>
        <v>0</v>
      </c>
      <c r="D41" s="90">
        <f>IF(AND(IF('wk2'!B$5=Pat!$C$25,1,0),IF('wk2'!B23=Pat!B$27,1,0)),1,0)+IF(AND(IF('wk2'!C$5=Pat!$C$25,1,0),IF('wk2'!C23=Pat!B$27,1,0)),1,0)+IF(AND(IF('wk2'!D$5=Pat!$C$25,1,0),IF('wk2'!D23=Pat!B$27,1,0)),1,0)+IF(AND(IF('wk2'!E$5=Pat!$C$25,1,0),IF('wk2'!E23=Pat!B$27,1,0)),1,0)+IF(AND(IF('wk2'!F$5=Pat!$C$25,1,0),IF('wk2'!F23=Pat!B$27,1,0)),1,0)+IF(AND(IF('wk2'!G$5=Pat!$C$25,1,0),IF('wk2'!G23=Pat!B$27,1,0)),1,0)</f>
        <v>0</v>
      </c>
      <c r="E41" s="91">
        <f>IF(AND(IF('wk2'!C$5=Pat!$C$25,1,0),IF('wk2'!C23=Pat!C$27,1,0)),1,0)+IF(AND(IF('wk2'!D$5=Pat!$C$25,1,0),IF('wk2'!D23=Pat!C$27,1,0)),1,0)+IF(AND(IF('wk2'!E$5=Pat!$C$25,1,0),IF('wk2'!E23=Pat!C$27,1,0)),1,0)+IF(AND(IF('wk2'!F$5=Pat!$C$25,1,0),IF('wk2'!F23=Pat!C$27,1,0)),1,0)+IF(AND(IF('wk2'!G$5=Pat!$C$25,1,0),IF('wk2'!G23=Pat!C$27,1,0)),1,0)+IF(AND(IF('wk2'!H$5=Pat!$C$25,1,0),IF('wk2'!H23=Pat!C$27,1,0)),1,0)+IF(AND(IF('wk2'!B$5=Pat!$C$25,1,0),IF('wk2'!B23=Pat!C$27,1,0)),1,0)</f>
        <v>0</v>
      </c>
      <c r="F41" s="90">
        <f>IF(AND(IF('wk3'!B$5=Pat!$C$25,1,0),IF('wk3'!B23=Pat!B$27,1,0)),1,0)+IF(AND(IF('wk3'!C$5=Pat!$C$25,1,0),IF('wk3'!C23=Pat!B$27,1,0)),1,0)+IF(AND(IF('wk3'!D$5=Pat!$C$25,1,0),IF('wk3'!D23=Pat!B$27,1,0)),1,0)+IF(AND(IF('wk3'!E$5=Pat!$C$25,1,0),IF('wk3'!E23=Pat!B$27,1,0)),1,0)+IF(AND(IF('wk3'!F$5=Pat!$C$25,1,0),IF('wk3'!F23=Pat!B$27,1,0)),1,0)+IF(AND(IF('wk3'!G$5=Pat!$C$25,1,0),IF('wk3'!G23=Pat!B$27,1,0)),1,0)</f>
        <v>0</v>
      </c>
      <c r="G41" s="91">
        <f>IF(AND(IF('wk3'!C$5=Pat!$C$25,1,0),IF('wk3'!C23=Pat!C$27,1,0)),1,0)+IF(AND(IF('wk3'!D$5=Pat!$C$25,1,0),IF('wk3'!D23=Pat!C$27,1,0)),1,0)+IF(AND(IF('wk3'!E$5=Pat!$C$25,1,0),IF('wk3'!E23=Pat!C$27,1,0)),1,0)+IF(AND(IF('wk3'!F$5=Pat!$C$25,1,0),IF('wk3'!F23=Pat!C$27,1,0)),1,0)+IF(AND(IF('wk3'!G$5=Pat!$C$25,1,0),IF('wk3'!G23=Pat!C$27,1,0)),1,0)+IF(AND(IF('wk3'!H$5=Pat!$C$25,1,0),IF('wk3'!H23=Pat!C$27,1,0)),1,0)+IF(AND(IF('wk3'!B$5=Pat!$C$25,1,0),IF('wk3'!B23=Pat!C$27,1,0)),1,0)</f>
        <v>0</v>
      </c>
      <c r="H41" s="90">
        <f>IF(AND(IF('wk4'!B$5=Pat!$C$25,1,0),IF('wk4'!B23=Pat!B$27,1,0)),1,0)+IF(AND(IF('wk4'!C$5=Pat!$C$25,1,0),IF('wk4'!C23=Pat!B$27,1,0)),1,0)+IF(AND(IF('wk4'!D$5=Pat!$C$25,1,0),IF('wk4'!D23=Pat!B$27,1,0)),1,0)+IF(AND(IF('wk4'!E$5=Pat!$C$25,1,0),IF('wk4'!E23=Pat!B$27,1,0)),1,0)+IF(AND(IF('wk4'!F$5=Pat!$C$25,1,0),IF('wk4'!F23=Pat!B$27,1,0)),1,0)+IF(AND(IF('wk4'!G$5=Pat!$C$25,1,0),IF('wk4'!G23=Pat!B$27,1,0)),1,0)</f>
        <v>0</v>
      </c>
      <c r="I41" s="91">
        <f>IF(AND(IF('wk4'!C$5=Pat!$C$25,1,0),IF('wk4'!C23=Pat!C$27,1,0)),1,0)+IF(AND(IF('wk4'!D$5=Pat!$C$25,1,0),IF('wk4'!D23=Pat!C$27,1,0)),1,0)+IF(AND(IF('wk4'!E$5=Pat!$C$25,1,0),IF('wk4'!E23=Pat!C$27,1,0)),1,0)+IF(AND(IF('wk4'!F$5=Pat!$C$25,1,0),IF('wk4'!F23=Pat!C$27,1,0)),1,0)+IF(AND(IF('wk4'!G$5=Pat!$C$25,1,0),IF('wk4'!G23=Pat!C$27,1,0)),1,0)+IF(AND(IF('wk4'!H$5=Pat!$C$25,1,0),IF('wk4'!H23=Pat!C$27,1,0)),1,0)+IF(AND(IF('wk4'!B$5=Pat!$C$25,1,0),IF('wk4'!B23=Pat!C$27,1,0)),1,0)</f>
        <v>0</v>
      </c>
      <c r="J41" s="92">
        <f>IF(AND(IF('wk5'!B$5=Pat!$C$25,1,0),IF('wk5'!B23=Pat!B$27,1,0)),1,0)+IF(AND(IF('wk5'!C$5=Pat!$C$25,1,0),IF('wk5'!C23=Pat!B$27,1,0)),1,0)+IF(AND(IF('wk5'!D$5=Pat!$C$25,1,0),IF('wk5'!D23=Pat!B$27,1,0)),1,0)+IF(AND(IF('wk5'!E$5=Pat!$C$25,1,0),IF('wk5'!E23=Pat!B$27,1,0)),1,0)+IF(AND(IF('wk5'!F$5=Pat!$C$25,1,0),IF('wk5'!F23=Pat!B$27,1,0)),1,0)+IF(AND(IF('wk5'!G$5=Pat!$C$25,1,0),IF('wk5'!G23=Pat!B$27,1,0)),1,0)</f>
        <v>0</v>
      </c>
      <c r="K41" s="93">
        <f>IF(AND(IF('wk5'!C$5=Pat!$C$25,1,0),IF('wk5'!C23=Pat!C$27,1,0)),1,0)+IF(AND(IF('wk5'!D$5=Pat!$C$25,1,0),IF('wk5'!D23=Pat!C$27,1,0)),1,0)+IF(AND(IF('wk5'!E$5=Pat!$C$25,1,0),IF('wk5'!E23=Pat!C$27,1,0)),1,0)+IF(AND(IF('wk5'!F$5=Pat!$C$25,1,0),IF('wk5'!F23=Pat!C$27,1,0)),1,0)+IF(AND(IF('wk5'!G$5=Pat!$C$25,1,0),IF('wk5'!G23=Pat!C$27,1,0)),1,0)+IF(AND(IF('wk5'!H$5=Pat!$C$25,1,0),IF('wk5'!H23=Pat!C$27,1,0)),1,0)+IF(AND(IF('wk5'!B$5=Pat!$C$25,1,0),IF('wk5'!B23=Pat!C$27,1,0)),1,0)</f>
        <v>0</v>
      </c>
      <c r="L41" s="87"/>
      <c r="M41" s="87">
        <f t="shared" si="0"/>
        <v>0</v>
      </c>
      <c r="N41" s="89">
        <f t="shared" si="1"/>
        <v>0</v>
      </c>
    </row>
    <row r="42" spans="1:17" ht="13.5" thickBot="1">
      <c r="A42" s="86" t="str">
        <f>'Members Data'!A16</f>
        <v>Harkar</v>
      </c>
      <c r="B42" s="90">
        <f>IF(AND(IF('wk1'!B$5=Pat!$C$25,1,0),IF('wk1'!B24=Pat!B$27,1,0)),1,0)+IF(AND(IF('wk1'!D$5=Pat!$C$25,1,0),IF('wk1'!C24=Pat!B$27,1,0)),1,0)+IF(AND(IF('wk1'!D$5=Pat!$C$25,1,0),IF('wk1'!D24=Pat!B$27,1,0)),1,0)+IF(AND(IF('wk1'!E$5=Pat!$C$25,1,0),IF('wk1'!E24=Pat!B$27,1,0)),1,0)+IF(AND(IF('wk1'!F$5=Pat!$C$25,1,0),IF('wk1'!F24=Pat!B$27,1,0)),1,0)+IF(AND(IF('wk1'!G$5=Pat!$C$25,1,0),IF('wk1'!G24=Pat!B$27,1,0)),1,0)</f>
        <v>0</v>
      </c>
      <c r="C42" s="91">
        <f>IF(AND(IF('wk1'!D$5=Pat!$C$25,1,0),IF('wk1'!C24=Pat!C$27,1,0)),1,0)+IF(AND(IF('wk1'!D$5=Pat!$C$25,1,0),IF('wk1'!D24=Pat!C$27,1,0)),1,0)+IF(AND(IF('wk1'!E$5=Pat!$C$25,1,0),IF('wk1'!E24=Pat!C$27,1,0)),1,0)+IF(AND(IF('wk1'!F$5=Pat!$C$25,1,0),IF('wk1'!F24=Pat!C$27,1,0)),1,0)+IF(AND(IF('wk1'!G$5=Pat!$C$25,1,0),IF('wk1'!G24=Pat!C$27,1,0)),1,0)+IF(AND(IF('wk1'!H$5=Pat!$C$25,1,0),IF('wk1'!H24=Pat!C$27,1,0)),1,0)+IF(AND(IF('wk1'!B$5=Pat!$C$25,1,0),IF('wk1'!B24=Pat!C$27,1,0)),1,0)</f>
        <v>0</v>
      </c>
      <c r="D42" s="90">
        <f>IF(AND(IF('wk2'!B$5=Pat!$C$25,1,0),IF('wk2'!B24=Pat!B$27,1,0)),1,0)+IF(AND(IF('wk2'!C$5=Pat!$C$25,1,0),IF('wk2'!C24=Pat!B$27,1,0)),1,0)+IF(AND(IF('wk2'!D$5=Pat!$C$25,1,0),IF('wk2'!D24=Pat!B$27,1,0)),1,0)+IF(AND(IF('wk2'!E$5=Pat!$C$25,1,0),IF('wk2'!E24=Pat!B$27,1,0)),1,0)+IF(AND(IF('wk2'!F$5=Pat!$C$25,1,0),IF('wk2'!F24=Pat!B$27,1,0)),1,0)+IF(AND(IF('wk2'!G$5=Pat!$C$25,1,0),IF('wk2'!G24=Pat!B$27,1,0)),1,0)</f>
        <v>0</v>
      </c>
      <c r="E42" s="91">
        <f>IF(AND(IF('wk2'!C$5=Pat!$C$25,1,0),IF('wk2'!C24=Pat!C$27,1,0)),1,0)+IF(AND(IF('wk2'!D$5=Pat!$C$25,1,0),IF('wk2'!D24=Pat!C$27,1,0)),1,0)+IF(AND(IF('wk2'!E$5=Pat!$C$25,1,0),IF('wk2'!E24=Pat!C$27,1,0)),1,0)+IF(AND(IF('wk2'!F$5=Pat!$C$25,1,0),IF('wk2'!F24=Pat!C$27,1,0)),1,0)+IF(AND(IF('wk2'!G$5=Pat!$C$25,1,0),IF('wk2'!G24=Pat!C$27,1,0)),1,0)+IF(AND(IF('wk2'!H$5=Pat!$C$25,1,0),IF('wk2'!H24=Pat!C$27,1,0)),1,0)+IF(AND(IF('wk2'!B$5=Pat!$C$25,1,0),IF('wk2'!B24=Pat!C$27,1,0)),1,0)</f>
        <v>0</v>
      </c>
      <c r="F42" s="90">
        <f>IF(AND(IF('wk3'!B$5=Pat!$C$25,1,0),IF('wk3'!B24=Pat!B$27,1,0)),1,0)+IF(AND(IF('wk3'!C$5=Pat!$C$25,1,0),IF('wk3'!C24=Pat!B$27,1,0)),1,0)+IF(AND(IF('wk3'!D$5=Pat!$C$25,1,0),IF('wk3'!D24=Pat!B$27,1,0)),1,0)+IF(AND(IF('wk3'!E$5=Pat!$C$25,1,0),IF('wk3'!E24=Pat!B$27,1,0)),1,0)+IF(AND(IF('wk3'!F$5=Pat!$C$25,1,0),IF('wk3'!F24=Pat!B$27,1,0)),1,0)+IF(AND(IF('wk3'!G$5=Pat!$C$25,1,0),IF('wk3'!G24=Pat!B$27,1,0)),1,0)</f>
        <v>0</v>
      </c>
      <c r="G42" s="91">
        <f>IF(AND(IF('wk3'!C$5=Pat!$C$25,1,0),IF('wk3'!C24=Pat!C$27,1,0)),1,0)+IF(AND(IF('wk3'!D$5=Pat!$C$25,1,0),IF('wk3'!D24=Pat!C$27,1,0)),1,0)+IF(AND(IF('wk3'!E$5=Pat!$C$25,1,0),IF('wk3'!E24=Pat!C$27,1,0)),1,0)+IF(AND(IF('wk3'!F$5=Pat!$C$25,1,0),IF('wk3'!F24=Pat!C$27,1,0)),1,0)+IF(AND(IF('wk3'!G$5=Pat!$C$25,1,0),IF('wk3'!G24=Pat!C$27,1,0)),1,0)+IF(AND(IF('wk3'!H$5=Pat!$C$25,1,0),IF('wk3'!H24=Pat!C$27,1,0)),1,0)+IF(AND(IF('wk3'!B$5=Pat!$C$25,1,0),IF('wk3'!B24=Pat!C$27,1,0)),1,0)</f>
        <v>0</v>
      </c>
      <c r="H42" s="90">
        <f>IF(AND(IF('wk4'!B$5=Pat!$C$25,1,0),IF('wk4'!B24=Pat!B$27,1,0)),1,0)+IF(AND(IF('wk4'!C$5=Pat!$C$25,1,0),IF('wk4'!C24=Pat!B$27,1,0)),1,0)+IF(AND(IF('wk4'!D$5=Pat!$C$25,1,0),IF('wk4'!D24=Pat!B$27,1,0)),1,0)+IF(AND(IF('wk4'!E$5=Pat!$C$25,1,0),IF('wk4'!E24=Pat!B$27,1,0)),1,0)+IF(AND(IF('wk4'!F$5=Pat!$C$25,1,0),IF('wk4'!F24=Pat!B$27,1,0)),1,0)+IF(AND(IF('wk4'!G$5=Pat!$C$25,1,0),IF('wk4'!G24=Pat!B$27,1,0)),1,0)</f>
        <v>0</v>
      </c>
      <c r="I42" s="91">
        <f>IF(AND(IF('wk4'!C$5=Pat!$C$25,1,0),IF('wk4'!C24=Pat!C$27,1,0)),1,0)+IF(AND(IF('wk4'!D$5=Pat!$C$25,1,0),IF('wk4'!D24=Pat!C$27,1,0)),1,0)+IF(AND(IF('wk4'!E$5=Pat!$C$25,1,0),IF('wk4'!E24=Pat!C$27,1,0)),1,0)+IF(AND(IF('wk4'!F$5=Pat!$C$25,1,0),IF('wk4'!F24=Pat!C$27,1,0)),1,0)+IF(AND(IF('wk4'!G$5=Pat!$C$25,1,0),IF('wk4'!G24=Pat!C$27,1,0)),1,0)+IF(AND(IF('wk4'!H$5=Pat!$C$25,1,0),IF('wk4'!H24=Pat!C$27,1,0)),1,0)+IF(AND(IF('wk4'!B$5=Pat!$C$25,1,0),IF('wk4'!B24=Pat!C$27,1,0)),1,0)</f>
        <v>0</v>
      </c>
      <c r="J42" s="92">
        <f>IF(AND(IF('wk5'!B$5=Pat!$C$25,1,0),IF('wk5'!B24=Pat!B$27,1,0)),1,0)+IF(AND(IF('wk5'!C$5=Pat!$C$25,1,0),IF('wk5'!C24=Pat!B$27,1,0)),1,0)+IF(AND(IF('wk5'!D$5=Pat!$C$25,1,0),IF('wk5'!D24=Pat!B$27,1,0)),1,0)+IF(AND(IF('wk5'!E$5=Pat!$C$25,1,0),IF('wk5'!E24=Pat!B$27,1,0)),1,0)+IF(AND(IF('wk5'!F$5=Pat!$C$25,1,0),IF('wk5'!F24=Pat!B$27,1,0)),1,0)+IF(AND(IF('wk5'!G$5=Pat!$C$25,1,0),IF('wk5'!G24=Pat!B$27,1,0)),1,0)</f>
        <v>0</v>
      </c>
      <c r="K42" s="93">
        <f>IF(AND(IF('wk5'!C$5=Pat!$C$25,1,0),IF('wk5'!C24=Pat!C$27,1,0)),1,0)+IF(AND(IF('wk5'!D$5=Pat!$C$25,1,0),IF('wk5'!D24=Pat!C$27,1,0)),1,0)+IF(AND(IF('wk5'!E$5=Pat!$C$25,1,0),IF('wk5'!E24=Pat!C$27,1,0)),1,0)+IF(AND(IF('wk5'!F$5=Pat!$C$25,1,0),IF('wk5'!F24=Pat!C$27,1,0)),1,0)+IF(AND(IF('wk5'!G$5=Pat!$C$25,1,0),IF('wk5'!G24=Pat!C$27,1,0)),1,0)+IF(AND(IF('wk5'!H$5=Pat!$C$25,1,0),IF('wk5'!H24=Pat!C$27,1,0)),1,0)+IF(AND(IF('wk5'!B$5=Pat!$C$25,1,0),IF('wk5'!B24=Pat!C$27,1,0)),1,0)</f>
        <v>0</v>
      </c>
      <c r="L42" s="87"/>
      <c r="M42" s="87">
        <f t="shared" si="0"/>
        <v>0</v>
      </c>
      <c r="N42" s="89">
        <f t="shared" si="1"/>
        <v>0</v>
      </c>
    </row>
    <row r="43" spans="1:17" ht="13.5" thickBot="1">
      <c r="A43" s="86" t="str">
        <f>'Members Data'!A17</f>
        <v>Hyperïon</v>
      </c>
      <c r="B43" s="90">
        <f>IF(AND(IF('wk1'!B$5=Pat!$C$25,1,0),IF('wk1'!B25=Pat!B$27,1,0)),1,0)+IF(AND(IF('wk1'!D$5=Pat!$C$25,1,0),IF('wk1'!C25=Pat!B$27,1,0)),1,0)+IF(AND(IF('wk1'!D$5=Pat!$C$25,1,0),IF('wk1'!D25=Pat!B$27,1,0)),1,0)+IF(AND(IF('wk1'!E$5=Pat!$C$25,1,0),IF('wk1'!E25=Pat!B$27,1,0)),1,0)+IF(AND(IF('wk1'!F$5=Pat!$C$25,1,0),IF('wk1'!F25=Pat!B$27,1,0)),1,0)+IF(AND(IF('wk1'!G$5=Pat!$C$25,1,0),IF('wk1'!G25=Pat!B$27,1,0)),1,0)</f>
        <v>0</v>
      </c>
      <c r="C43" s="91">
        <f>IF(AND(IF('wk1'!D$5=Pat!$C$25,1,0),IF('wk1'!C25=Pat!C$27,1,0)),1,0)+IF(AND(IF('wk1'!D$5=Pat!$C$25,1,0),IF('wk1'!D25=Pat!C$27,1,0)),1,0)+IF(AND(IF('wk1'!E$5=Pat!$C$25,1,0),IF('wk1'!E25=Pat!C$27,1,0)),1,0)+IF(AND(IF('wk1'!F$5=Pat!$C$25,1,0),IF('wk1'!F25=Pat!C$27,1,0)),1,0)+IF(AND(IF('wk1'!G$5=Pat!$C$25,1,0),IF('wk1'!G25=Pat!C$27,1,0)),1,0)+IF(AND(IF('wk1'!H$5=Pat!$C$25,1,0),IF('wk1'!H25=Pat!C$27,1,0)),1,0)+IF(AND(IF('wk1'!B$5=Pat!$C$25,1,0),IF('wk1'!B25=Pat!C$27,1,0)),1,0)</f>
        <v>0</v>
      </c>
      <c r="D43" s="90">
        <f>IF(AND(IF('wk2'!B$5=Pat!$C$25,1,0),IF('wk2'!B25=Pat!B$27,1,0)),1,0)+IF(AND(IF('wk2'!C$5=Pat!$C$25,1,0),IF('wk2'!C25=Pat!B$27,1,0)),1,0)+IF(AND(IF('wk2'!D$5=Pat!$C$25,1,0),IF('wk2'!D25=Pat!B$27,1,0)),1,0)+IF(AND(IF('wk2'!E$5=Pat!$C$25,1,0),IF('wk2'!E25=Pat!B$27,1,0)),1,0)+IF(AND(IF('wk2'!F$5=Pat!$C$25,1,0),IF('wk2'!F25=Pat!B$27,1,0)),1,0)+IF(AND(IF('wk2'!G$5=Pat!$C$25,1,0),IF('wk2'!G25=Pat!B$27,1,0)),1,0)</f>
        <v>0</v>
      </c>
      <c r="E43" s="91">
        <f>IF(AND(IF('wk2'!C$5=Pat!$C$25,1,0),IF('wk2'!C25=Pat!C$27,1,0)),1,0)+IF(AND(IF('wk2'!D$5=Pat!$C$25,1,0),IF('wk2'!D25=Pat!C$27,1,0)),1,0)+IF(AND(IF('wk2'!E$5=Pat!$C$25,1,0),IF('wk2'!E25=Pat!C$27,1,0)),1,0)+IF(AND(IF('wk2'!F$5=Pat!$C$25,1,0),IF('wk2'!F25=Pat!C$27,1,0)),1,0)+IF(AND(IF('wk2'!G$5=Pat!$C$25,1,0),IF('wk2'!G25=Pat!C$27,1,0)),1,0)+IF(AND(IF('wk2'!H$5=Pat!$C$25,1,0),IF('wk2'!H25=Pat!C$27,1,0)),1,0)+IF(AND(IF('wk2'!B$5=Pat!$C$25,1,0),IF('wk2'!B25=Pat!C$27,1,0)),1,0)</f>
        <v>0</v>
      </c>
      <c r="F43" s="90">
        <f>IF(AND(IF('wk3'!B$5=Pat!$C$25,1,0),IF('wk3'!B25=Pat!B$27,1,0)),1,0)+IF(AND(IF('wk3'!C$5=Pat!$C$25,1,0),IF('wk3'!C25=Pat!B$27,1,0)),1,0)+IF(AND(IF('wk3'!D$5=Pat!$C$25,1,0),IF('wk3'!D25=Pat!B$27,1,0)),1,0)+IF(AND(IF('wk3'!E$5=Pat!$C$25,1,0),IF('wk3'!E25=Pat!B$27,1,0)),1,0)+IF(AND(IF('wk3'!F$5=Pat!$C$25,1,0),IF('wk3'!F25=Pat!B$27,1,0)),1,0)+IF(AND(IF('wk3'!G$5=Pat!$C$25,1,0),IF('wk3'!G25=Pat!B$27,1,0)),1,0)</f>
        <v>0</v>
      </c>
      <c r="G43" s="91">
        <f>IF(AND(IF('wk3'!C$5=Pat!$C$25,1,0),IF('wk3'!C25=Pat!C$27,1,0)),1,0)+IF(AND(IF('wk3'!D$5=Pat!$C$25,1,0),IF('wk3'!D25=Pat!C$27,1,0)),1,0)+IF(AND(IF('wk3'!E$5=Pat!$C$25,1,0),IF('wk3'!E25=Pat!C$27,1,0)),1,0)+IF(AND(IF('wk3'!F$5=Pat!$C$25,1,0),IF('wk3'!F25=Pat!C$27,1,0)),1,0)+IF(AND(IF('wk3'!G$5=Pat!$C$25,1,0),IF('wk3'!G25=Pat!C$27,1,0)),1,0)+IF(AND(IF('wk3'!H$5=Pat!$C$25,1,0),IF('wk3'!H25=Pat!C$27,1,0)),1,0)+IF(AND(IF('wk3'!B$5=Pat!$C$25,1,0),IF('wk3'!B25=Pat!C$27,1,0)),1,0)</f>
        <v>0</v>
      </c>
      <c r="H43" s="90">
        <f>IF(AND(IF('wk4'!B$5=Pat!$C$25,1,0),IF('wk4'!B25=Pat!B$27,1,0)),1,0)+IF(AND(IF('wk4'!C$5=Pat!$C$25,1,0),IF('wk4'!C25=Pat!B$27,1,0)),1,0)+IF(AND(IF('wk4'!D$5=Pat!$C$25,1,0),IF('wk4'!D25=Pat!B$27,1,0)),1,0)+IF(AND(IF('wk4'!E$5=Pat!$C$25,1,0),IF('wk4'!E25=Pat!B$27,1,0)),1,0)+IF(AND(IF('wk4'!F$5=Pat!$C$25,1,0),IF('wk4'!F25=Pat!B$27,1,0)),1,0)+IF(AND(IF('wk4'!G$5=Pat!$C$25,1,0),IF('wk4'!G25=Pat!B$27,1,0)),1,0)</f>
        <v>0</v>
      </c>
      <c r="I43" s="91">
        <f>IF(AND(IF('wk4'!C$5=Pat!$C$25,1,0),IF('wk4'!C25=Pat!C$27,1,0)),1,0)+IF(AND(IF('wk4'!D$5=Pat!$C$25,1,0),IF('wk4'!D25=Pat!C$27,1,0)),1,0)+IF(AND(IF('wk4'!E$5=Pat!$C$25,1,0),IF('wk4'!E25=Pat!C$27,1,0)),1,0)+IF(AND(IF('wk4'!F$5=Pat!$C$25,1,0),IF('wk4'!F25=Pat!C$27,1,0)),1,0)+IF(AND(IF('wk4'!G$5=Pat!$C$25,1,0),IF('wk4'!G25=Pat!C$27,1,0)),1,0)+IF(AND(IF('wk4'!H$5=Pat!$C$25,1,0),IF('wk4'!H25=Pat!C$27,1,0)),1,0)+IF(AND(IF('wk4'!B$5=Pat!$C$25,1,0),IF('wk4'!B25=Pat!C$27,1,0)),1,0)</f>
        <v>0</v>
      </c>
      <c r="J43" s="92">
        <f>IF(AND(IF('wk5'!B$5=Pat!$C$25,1,0),IF('wk5'!B25=Pat!B$27,1,0)),1,0)+IF(AND(IF('wk5'!C$5=Pat!$C$25,1,0),IF('wk5'!C25=Pat!B$27,1,0)),1,0)+IF(AND(IF('wk5'!D$5=Pat!$C$25,1,0),IF('wk5'!D25=Pat!B$27,1,0)),1,0)+IF(AND(IF('wk5'!E$5=Pat!$C$25,1,0),IF('wk5'!E25=Pat!B$27,1,0)),1,0)+IF(AND(IF('wk5'!F$5=Pat!$C$25,1,0),IF('wk5'!F25=Pat!B$27,1,0)),1,0)+IF(AND(IF('wk5'!G$5=Pat!$C$25,1,0),IF('wk5'!G25=Pat!B$27,1,0)),1,0)</f>
        <v>0</v>
      </c>
      <c r="K43" s="93">
        <f>IF(AND(IF('wk5'!C$5=Pat!$C$25,1,0),IF('wk5'!C25=Pat!C$27,1,0)),1,0)+IF(AND(IF('wk5'!D$5=Pat!$C$25,1,0),IF('wk5'!D25=Pat!C$27,1,0)),1,0)+IF(AND(IF('wk5'!E$5=Pat!$C$25,1,0),IF('wk5'!E25=Pat!C$27,1,0)),1,0)+IF(AND(IF('wk5'!F$5=Pat!$C$25,1,0),IF('wk5'!F25=Pat!C$27,1,0)),1,0)+IF(AND(IF('wk5'!G$5=Pat!$C$25,1,0),IF('wk5'!G25=Pat!C$27,1,0)),1,0)+IF(AND(IF('wk5'!H$5=Pat!$C$25,1,0),IF('wk5'!H25=Pat!C$27,1,0)),1,0)+IF(AND(IF('wk5'!B$5=Pat!$C$25,1,0),IF('wk5'!B25=Pat!C$27,1,0)),1,0)</f>
        <v>0</v>
      </c>
      <c r="L43" s="87"/>
      <c r="M43" s="87">
        <f t="shared" si="0"/>
        <v>0</v>
      </c>
      <c r="N43" s="89">
        <f t="shared" si="1"/>
        <v>0</v>
      </c>
    </row>
    <row r="44" spans="1:17" ht="13.5" thickBot="1">
      <c r="A44" s="86" t="str">
        <f>'Members Data'!A18</f>
        <v>Illianá</v>
      </c>
      <c r="B44" s="90">
        <f>IF(AND(IF('wk1'!B$5=Pat!$C$25,1,0),IF('wk1'!B26=Pat!B$27,1,0)),1,0)+IF(AND(IF('wk1'!D$5=Pat!$C$25,1,0),IF('wk1'!C26=Pat!B$27,1,0)),1,0)+IF(AND(IF('wk1'!D$5=Pat!$C$25,1,0),IF('wk1'!D26=Pat!B$27,1,0)),1,0)+IF(AND(IF('wk1'!E$5=Pat!$C$25,1,0),IF('wk1'!E26=Pat!B$27,1,0)),1,0)+IF(AND(IF('wk1'!F$5=Pat!$C$25,1,0),IF('wk1'!F26=Pat!B$27,1,0)),1,0)+IF(AND(IF('wk1'!G$5=Pat!$C$25,1,0),IF('wk1'!G26=Pat!B$27,1,0)),1,0)</f>
        <v>0</v>
      </c>
      <c r="C44" s="91">
        <f>IF(AND(IF('wk1'!D$5=Pat!$C$25,1,0),IF('wk1'!C26=Pat!C$27,1,0)),1,0)+IF(AND(IF('wk1'!D$5=Pat!$C$25,1,0),IF('wk1'!D26=Pat!C$27,1,0)),1,0)+IF(AND(IF('wk1'!E$5=Pat!$C$25,1,0),IF('wk1'!E26=Pat!C$27,1,0)),1,0)+IF(AND(IF('wk1'!F$5=Pat!$C$25,1,0),IF('wk1'!F26=Pat!C$27,1,0)),1,0)+IF(AND(IF('wk1'!G$5=Pat!$C$25,1,0),IF('wk1'!G26=Pat!C$27,1,0)),1,0)+IF(AND(IF('wk1'!H$5=Pat!$C$25,1,0),IF('wk1'!H26=Pat!C$27,1,0)),1,0)+IF(AND(IF('wk1'!B$5=Pat!$C$25,1,0),IF('wk1'!B26=Pat!C$27,1,0)),1,0)</f>
        <v>0</v>
      </c>
      <c r="D44" s="90">
        <f>IF(AND(IF('wk2'!B$5=Pat!$C$25,1,0),IF('wk2'!B26=Pat!B$27,1,0)),1,0)+IF(AND(IF('wk2'!C$5=Pat!$C$25,1,0),IF('wk2'!C26=Pat!B$27,1,0)),1,0)+IF(AND(IF('wk2'!D$5=Pat!$C$25,1,0),IF('wk2'!D26=Pat!B$27,1,0)),1,0)+IF(AND(IF('wk2'!E$5=Pat!$C$25,1,0),IF('wk2'!E26=Pat!B$27,1,0)),1,0)+IF(AND(IF('wk2'!F$5=Pat!$C$25,1,0),IF('wk2'!F26=Pat!B$27,1,0)),1,0)+IF(AND(IF('wk2'!G$5=Pat!$C$25,1,0),IF('wk2'!G26=Pat!B$27,1,0)),1,0)</f>
        <v>0</v>
      </c>
      <c r="E44" s="91">
        <f>IF(AND(IF('wk2'!C$5=Pat!$C$25,1,0),IF('wk2'!C26=Pat!C$27,1,0)),1,0)+IF(AND(IF('wk2'!D$5=Pat!$C$25,1,0),IF('wk2'!D26=Pat!C$27,1,0)),1,0)+IF(AND(IF('wk2'!E$5=Pat!$C$25,1,0),IF('wk2'!E26=Pat!C$27,1,0)),1,0)+IF(AND(IF('wk2'!F$5=Pat!$C$25,1,0),IF('wk2'!F26=Pat!C$27,1,0)),1,0)+IF(AND(IF('wk2'!G$5=Pat!$C$25,1,0),IF('wk2'!G26=Pat!C$27,1,0)),1,0)+IF(AND(IF('wk2'!H$5=Pat!$C$25,1,0),IF('wk2'!H26=Pat!C$27,1,0)),1,0)+IF(AND(IF('wk2'!B$5=Pat!$C$25,1,0),IF('wk2'!B26=Pat!C$27,1,0)),1,0)</f>
        <v>0</v>
      </c>
      <c r="F44" s="90">
        <f>IF(AND(IF('wk3'!B$5=Pat!$C$25,1,0),IF('wk3'!B26=Pat!B$27,1,0)),1,0)+IF(AND(IF('wk3'!C$5=Pat!$C$25,1,0),IF('wk3'!C26=Pat!B$27,1,0)),1,0)+IF(AND(IF('wk3'!D$5=Pat!$C$25,1,0),IF('wk3'!D26=Pat!B$27,1,0)),1,0)+IF(AND(IF('wk3'!E$5=Pat!$C$25,1,0),IF('wk3'!E26=Pat!B$27,1,0)),1,0)+IF(AND(IF('wk3'!F$5=Pat!$C$25,1,0),IF('wk3'!F26=Pat!B$27,1,0)),1,0)+IF(AND(IF('wk3'!G$5=Pat!$C$25,1,0),IF('wk3'!G26=Pat!B$27,1,0)),1,0)</f>
        <v>0</v>
      </c>
      <c r="G44" s="91">
        <f>IF(AND(IF('wk3'!C$5=Pat!$C$25,1,0),IF('wk3'!C26=Pat!C$27,1,0)),1,0)+IF(AND(IF('wk3'!D$5=Pat!$C$25,1,0),IF('wk3'!D26=Pat!C$27,1,0)),1,0)+IF(AND(IF('wk3'!E$5=Pat!$C$25,1,0),IF('wk3'!E26=Pat!C$27,1,0)),1,0)+IF(AND(IF('wk3'!F$5=Pat!$C$25,1,0),IF('wk3'!F26=Pat!C$27,1,0)),1,0)+IF(AND(IF('wk3'!G$5=Pat!$C$25,1,0),IF('wk3'!G26=Pat!C$27,1,0)),1,0)+IF(AND(IF('wk3'!H$5=Pat!$C$25,1,0),IF('wk3'!H26=Pat!C$27,1,0)),1,0)+IF(AND(IF('wk3'!B$5=Pat!$C$25,1,0),IF('wk3'!B26=Pat!C$27,1,0)),1,0)</f>
        <v>0</v>
      </c>
      <c r="H44" s="90">
        <f>IF(AND(IF('wk4'!B$5=Pat!$C$25,1,0),IF('wk4'!B26=Pat!B$27,1,0)),1,0)+IF(AND(IF('wk4'!C$5=Pat!$C$25,1,0),IF('wk4'!C26=Pat!B$27,1,0)),1,0)+IF(AND(IF('wk4'!D$5=Pat!$C$25,1,0),IF('wk4'!D26=Pat!B$27,1,0)),1,0)+IF(AND(IF('wk4'!E$5=Pat!$C$25,1,0),IF('wk4'!E26=Pat!B$27,1,0)),1,0)+IF(AND(IF('wk4'!F$5=Pat!$C$25,1,0),IF('wk4'!F26=Pat!B$27,1,0)),1,0)+IF(AND(IF('wk4'!G$5=Pat!$C$25,1,0),IF('wk4'!G26=Pat!B$27,1,0)),1,0)</f>
        <v>0</v>
      </c>
      <c r="I44" s="91">
        <f>IF(AND(IF('wk4'!C$5=Pat!$C$25,1,0),IF('wk4'!C26=Pat!C$27,1,0)),1,0)+IF(AND(IF('wk4'!D$5=Pat!$C$25,1,0),IF('wk4'!D26=Pat!C$27,1,0)),1,0)+IF(AND(IF('wk4'!E$5=Pat!$C$25,1,0),IF('wk4'!E26=Pat!C$27,1,0)),1,0)+IF(AND(IF('wk4'!F$5=Pat!$C$25,1,0),IF('wk4'!F26=Pat!C$27,1,0)),1,0)+IF(AND(IF('wk4'!G$5=Pat!$C$25,1,0),IF('wk4'!G26=Pat!C$27,1,0)),1,0)+IF(AND(IF('wk4'!H$5=Pat!$C$25,1,0),IF('wk4'!H26=Pat!C$27,1,0)),1,0)+IF(AND(IF('wk4'!B$5=Pat!$C$25,1,0),IF('wk4'!B26=Pat!C$27,1,0)),1,0)</f>
        <v>0</v>
      </c>
      <c r="J44" s="92">
        <f>IF(AND(IF('wk5'!B$5=Pat!$C$25,1,0),IF('wk5'!B26=Pat!B$27,1,0)),1,0)+IF(AND(IF('wk5'!C$5=Pat!$C$25,1,0),IF('wk5'!C26=Pat!B$27,1,0)),1,0)+IF(AND(IF('wk5'!D$5=Pat!$C$25,1,0),IF('wk5'!D26=Pat!B$27,1,0)),1,0)+IF(AND(IF('wk5'!E$5=Pat!$C$25,1,0),IF('wk5'!E26=Pat!B$27,1,0)),1,0)+IF(AND(IF('wk5'!F$5=Pat!$C$25,1,0),IF('wk5'!F26=Pat!B$27,1,0)),1,0)+IF(AND(IF('wk5'!G$5=Pat!$C$25,1,0),IF('wk5'!G26=Pat!B$27,1,0)),1,0)</f>
        <v>0</v>
      </c>
      <c r="K44" s="93">
        <f>IF(AND(IF('wk5'!C$5=Pat!$C$25,1,0),IF('wk5'!C26=Pat!C$27,1,0)),1,0)+IF(AND(IF('wk5'!D$5=Pat!$C$25,1,0),IF('wk5'!D26=Pat!C$27,1,0)),1,0)+IF(AND(IF('wk5'!E$5=Pat!$C$25,1,0),IF('wk5'!E26=Pat!C$27,1,0)),1,0)+IF(AND(IF('wk5'!F$5=Pat!$C$25,1,0),IF('wk5'!F26=Pat!C$27,1,0)),1,0)+IF(AND(IF('wk5'!G$5=Pat!$C$25,1,0),IF('wk5'!G26=Pat!C$27,1,0)),1,0)+IF(AND(IF('wk5'!H$5=Pat!$C$25,1,0),IF('wk5'!H26=Pat!C$27,1,0)),1,0)+IF(AND(IF('wk5'!B$5=Pat!$C$25,1,0),IF('wk5'!B26=Pat!C$27,1,0)),1,0)</f>
        <v>0</v>
      </c>
      <c r="L44" s="87"/>
      <c r="M44" s="87">
        <f t="shared" si="0"/>
        <v>0</v>
      </c>
      <c r="N44" s="89">
        <f t="shared" si="1"/>
        <v>0</v>
      </c>
    </row>
    <row r="45" spans="1:17" ht="13.5" thickBot="1">
      <c r="A45" s="86" t="str">
        <f>'Members Data'!A19</f>
        <v>Izzabelle</v>
      </c>
      <c r="B45" s="90">
        <f>IF(AND(IF('wk1'!B$5=Pat!$C$25,1,0),IF('wk1'!B27=Pat!B$27,1,0)),1,0)+IF(AND(IF('wk1'!D$5=Pat!$C$25,1,0),IF('wk1'!C27=Pat!B$27,1,0)),1,0)+IF(AND(IF('wk1'!D$5=Pat!$C$25,1,0),IF('wk1'!D27=Pat!B$27,1,0)),1,0)+IF(AND(IF('wk1'!E$5=Pat!$C$25,1,0),IF('wk1'!E27=Pat!B$27,1,0)),1,0)+IF(AND(IF('wk1'!F$5=Pat!$C$25,1,0),IF('wk1'!F27=Pat!B$27,1,0)),1,0)+IF(AND(IF('wk1'!G$5=Pat!$C$25,1,0),IF('wk1'!G27=Pat!B$27,1,0)),1,0)</f>
        <v>0</v>
      </c>
      <c r="C45" s="91">
        <f>IF(AND(IF('wk1'!D$5=Pat!$C$25,1,0),IF('wk1'!C27=Pat!C$27,1,0)),1,0)+IF(AND(IF('wk1'!D$5=Pat!$C$25,1,0),IF('wk1'!D27=Pat!C$27,1,0)),1,0)+IF(AND(IF('wk1'!E$5=Pat!$C$25,1,0),IF('wk1'!E27=Pat!C$27,1,0)),1,0)+IF(AND(IF('wk1'!F$5=Pat!$C$25,1,0),IF('wk1'!F27=Pat!C$27,1,0)),1,0)+IF(AND(IF('wk1'!G$5=Pat!$C$25,1,0),IF('wk1'!G27=Pat!C$27,1,0)),1,0)+IF(AND(IF('wk1'!H$5=Pat!$C$25,1,0),IF('wk1'!H27=Pat!C$27,1,0)),1,0)+IF(AND(IF('wk1'!B$5=Pat!$C$25,1,0),IF('wk1'!B27=Pat!C$27,1,0)),1,0)</f>
        <v>0</v>
      </c>
      <c r="D45" s="90">
        <f>IF(AND(IF('wk2'!B$5=Pat!$C$25,1,0),IF('wk2'!B27=Pat!B$27,1,0)),1,0)+IF(AND(IF('wk2'!C$5=Pat!$C$25,1,0),IF('wk2'!C27=Pat!B$27,1,0)),1,0)+IF(AND(IF('wk2'!D$5=Pat!$C$25,1,0),IF('wk2'!D27=Pat!B$27,1,0)),1,0)+IF(AND(IF('wk2'!E$5=Pat!$C$25,1,0),IF('wk2'!E27=Pat!B$27,1,0)),1,0)+IF(AND(IF('wk2'!F$5=Pat!$C$25,1,0),IF('wk2'!F27=Pat!B$27,1,0)),1,0)+IF(AND(IF('wk2'!G$5=Pat!$C$25,1,0),IF('wk2'!G27=Pat!B$27,1,0)),1,0)</f>
        <v>0</v>
      </c>
      <c r="E45" s="91">
        <f>IF(AND(IF('wk2'!C$5=Pat!$C$25,1,0),IF('wk2'!C27=Pat!C$27,1,0)),1,0)+IF(AND(IF('wk2'!D$5=Pat!$C$25,1,0),IF('wk2'!D27=Pat!C$27,1,0)),1,0)+IF(AND(IF('wk2'!E$5=Pat!$C$25,1,0),IF('wk2'!E27=Pat!C$27,1,0)),1,0)+IF(AND(IF('wk2'!F$5=Pat!$C$25,1,0),IF('wk2'!F27=Pat!C$27,1,0)),1,0)+IF(AND(IF('wk2'!G$5=Pat!$C$25,1,0),IF('wk2'!G27=Pat!C$27,1,0)),1,0)+IF(AND(IF('wk2'!H$5=Pat!$C$25,1,0),IF('wk2'!H27=Pat!C$27,1,0)),1,0)+IF(AND(IF('wk2'!B$5=Pat!$C$25,1,0),IF('wk2'!B27=Pat!C$27,1,0)),1,0)</f>
        <v>0</v>
      </c>
      <c r="F45" s="90">
        <f>IF(AND(IF('wk3'!B$5=Pat!$C$25,1,0),IF('wk3'!B27=Pat!B$27,1,0)),1,0)+IF(AND(IF('wk3'!C$5=Pat!$C$25,1,0),IF('wk3'!C27=Pat!B$27,1,0)),1,0)+IF(AND(IF('wk3'!D$5=Pat!$C$25,1,0),IF('wk3'!D27=Pat!B$27,1,0)),1,0)+IF(AND(IF('wk3'!E$5=Pat!$C$25,1,0),IF('wk3'!E27=Pat!B$27,1,0)),1,0)+IF(AND(IF('wk3'!F$5=Pat!$C$25,1,0),IF('wk3'!F27=Pat!B$27,1,0)),1,0)+IF(AND(IF('wk3'!G$5=Pat!$C$25,1,0),IF('wk3'!G27=Pat!B$27,1,0)),1,0)</f>
        <v>0</v>
      </c>
      <c r="G45" s="91">
        <f>IF(AND(IF('wk3'!C$5=Pat!$C$25,1,0),IF('wk3'!C27=Pat!C$27,1,0)),1,0)+IF(AND(IF('wk3'!D$5=Pat!$C$25,1,0),IF('wk3'!D27=Pat!C$27,1,0)),1,0)+IF(AND(IF('wk3'!E$5=Pat!$C$25,1,0),IF('wk3'!E27=Pat!C$27,1,0)),1,0)+IF(AND(IF('wk3'!F$5=Pat!$C$25,1,0),IF('wk3'!F27=Pat!C$27,1,0)),1,0)+IF(AND(IF('wk3'!G$5=Pat!$C$25,1,0),IF('wk3'!G27=Pat!C$27,1,0)),1,0)+IF(AND(IF('wk3'!H$5=Pat!$C$25,1,0),IF('wk3'!H27=Pat!C$27,1,0)),1,0)+IF(AND(IF('wk3'!B$5=Pat!$C$25,1,0),IF('wk3'!B27=Pat!C$27,1,0)),1,0)</f>
        <v>0</v>
      </c>
      <c r="H45" s="90">
        <f>IF(AND(IF('wk4'!B$5=Pat!$C$25,1,0),IF('wk4'!B27=Pat!B$27,1,0)),1,0)+IF(AND(IF('wk4'!C$5=Pat!$C$25,1,0),IF('wk4'!C27=Pat!B$27,1,0)),1,0)+IF(AND(IF('wk4'!D$5=Pat!$C$25,1,0),IF('wk4'!D27=Pat!B$27,1,0)),1,0)+IF(AND(IF('wk4'!E$5=Pat!$C$25,1,0),IF('wk4'!E27=Pat!B$27,1,0)),1,0)+IF(AND(IF('wk4'!F$5=Pat!$C$25,1,0),IF('wk4'!F27=Pat!B$27,1,0)),1,0)+IF(AND(IF('wk4'!G$5=Pat!$C$25,1,0),IF('wk4'!G27=Pat!B$27,1,0)),1,0)</f>
        <v>0</v>
      </c>
      <c r="I45" s="91">
        <f>IF(AND(IF('wk4'!C$5=Pat!$C$25,1,0),IF('wk4'!C27=Pat!C$27,1,0)),1,0)+IF(AND(IF('wk4'!D$5=Pat!$C$25,1,0),IF('wk4'!D27=Pat!C$27,1,0)),1,0)+IF(AND(IF('wk4'!E$5=Pat!$C$25,1,0),IF('wk4'!E27=Pat!C$27,1,0)),1,0)+IF(AND(IF('wk4'!F$5=Pat!$C$25,1,0),IF('wk4'!F27=Pat!C$27,1,0)),1,0)+IF(AND(IF('wk4'!G$5=Pat!$C$25,1,0),IF('wk4'!G27=Pat!C$27,1,0)),1,0)+IF(AND(IF('wk4'!H$5=Pat!$C$25,1,0),IF('wk4'!H27=Pat!C$27,1,0)),1,0)+IF(AND(IF('wk4'!B$5=Pat!$C$25,1,0),IF('wk4'!B27=Pat!C$27,1,0)),1,0)</f>
        <v>0</v>
      </c>
      <c r="J45" s="92">
        <f>IF(AND(IF('wk5'!B$5=Pat!$C$25,1,0),IF('wk5'!B27=Pat!B$27,1,0)),1,0)+IF(AND(IF('wk5'!C$5=Pat!$C$25,1,0),IF('wk5'!C27=Pat!B$27,1,0)),1,0)+IF(AND(IF('wk5'!D$5=Pat!$C$25,1,0),IF('wk5'!D27=Pat!B$27,1,0)),1,0)+IF(AND(IF('wk5'!E$5=Pat!$C$25,1,0),IF('wk5'!E27=Pat!B$27,1,0)),1,0)+IF(AND(IF('wk5'!F$5=Pat!$C$25,1,0),IF('wk5'!F27=Pat!B$27,1,0)),1,0)+IF(AND(IF('wk5'!G$5=Pat!$C$25,1,0),IF('wk5'!G27=Pat!B$27,1,0)),1,0)</f>
        <v>0</v>
      </c>
      <c r="K45" s="93">
        <f>IF(AND(IF('wk5'!C$5=Pat!$C$25,1,0),IF('wk5'!C27=Pat!C$27,1,0)),1,0)+IF(AND(IF('wk5'!D$5=Pat!$C$25,1,0),IF('wk5'!D27=Pat!C$27,1,0)),1,0)+IF(AND(IF('wk5'!E$5=Pat!$C$25,1,0),IF('wk5'!E27=Pat!C$27,1,0)),1,0)+IF(AND(IF('wk5'!F$5=Pat!$C$25,1,0),IF('wk5'!F27=Pat!C$27,1,0)),1,0)+IF(AND(IF('wk5'!G$5=Pat!$C$25,1,0),IF('wk5'!G27=Pat!C$27,1,0)),1,0)+IF(AND(IF('wk5'!H$5=Pat!$C$25,1,0),IF('wk5'!H27=Pat!C$27,1,0)),1,0)+IF(AND(IF('wk5'!B$5=Pat!$C$25,1,0),IF('wk5'!B27=Pat!C$27,1,0)),1,0)</f>
        <v>0</v>
      </c>
      <c r="L45" s="87"/>
      <c r="M45" s="87">
        <f t="shared" si="0"/>
        <v>0</v>
      </c>
      <c r="N45" s="89">
        <f t="shared" si="1"/>
        <v>0</v>
      </c>
    </row>
    <row r="46" spans="1:17" ht="13.5" thickBot="1">
      <c r="A46" s="86" t="str">
        <f>'Members Data'!A20</f>
        <v>Kátsumi</v>
      </c>
      <c r="B46" s="90">
        <f>IF(AND(IF('wk1'!B$5=Pat!$C$25,1,0),IF('wk1'!B28=Pat!B$27,1,0)),1,0)+IF(AND(IF('wk1'!D$5=Pat!$C$25,1,0),IF('wk1'!C28=Pat!B$27,1,0)),1,0)+IF(AND(IF('wk1'!D$5=Pat!$C$25,1,0),IF('wk1'!D28=Pat!B$27,1,0)),1,0)+IF(AND(IF('wk1'!E$5=Pat!$C$25,1,0),IF('wk1'!E28=Pat!B$27,1,0)),1,0)+IF(AND(IF('wk1'!F$5=Pat!$C$25,1,0),IF('wk1'!F28=Pat!B$27,1,0)),1,0)+IF(AND(IF('wk1'!G$5=Pat!$C$25,1,0),IF('wk1'!G28=Pat!B$27,1,0)),1,0)</f>
        <v>0</v>
      </c>
      <c r="C46" s="91">
        <f>IF(AND(IF('wk1'!D$5=Pat!$C$25,1,0),IF('wk1'!C28=Pat!C$27,1,0)),1,0)+IF(AND(IF('wk1'!D$5=Pat!$C$25,1,0),IF('wk1'!D28=Pat!C$27,1,0)),1,0)+IF(AND(IF('wk1'!E$5=Pat!$C$25,1,0),IF('wk1'!E28=Pat!C$27,1,0)),1,0)+IF(AND(IF('wk1'!F$5=Pat!$C$25,1,0),IF('wk1'!F28=Pat!C$27,1,0)),1,0)+IF(AND(IF('wk1'!G$5=Pat!$C$25,1,0),IF('wk1'!G28=Pat!C$27,1,0)),1,0)+IF(AND(IF('wk1'!H$5=Pat!$C$25,1,0),IF('wk1'!H28=Pat!C$27,1,0)),1,0)+IF(AND(IF('wk1'!B$5=Pat!$C$25,1,0),IF('wk1'!B28=Pat!C$27,1,0)),1,0)</f>
        <v>0</v>
      </c>
      <c r="D46" s="90">
        <f>IF(AND(IF('wk2'!B$5=Pat!$C$25,1,0),IF('wk2'!B28=Pat!B$27,1,0)),1,0)+IF(AND(IF('wk2'!C$5=Pat!$C$25,1,0),IF('wk2'!C28=Pat!B$27,1,0)),1,0)+IF(AND(IF('wk2'!D$5=Pat!$C$25,1,0),IF('wk2'!D28=Pat!B$27,1,0)),1,0)+IF(AND(IF('wk2'!E$5=Pat!$C$25,1,0),IF('wk2'!E28=Pat!B$27,1,0)),1,0)+IF(AND(IF('wk2'!F$5=Pat!$C$25,1,0),IF('wk2'!F28=Pat!B$27,1,0)),1,0)+IF(AND(IF('wk2'!G$5=Pat!$C$25,1,0),IF('wk2'!G28=Pat!B$27,1,0)),1,0)</f>
        <v>0</v>
      </c>
      <c r="E46" s="91">
        <f>IF(AND(IF('wk2'!C$5=Pat!$C$25,1,0),IF('wk2'!C28=Pat!C$27,1,0)),1,0)+IF(AND(IF('wk2'!D$5=Pat!$C$25,1,0),IF('wk2'!D28=Pat!C$27,1,0)),1,0)+IF(AND(IF('wk2'!E$5=Pat!$C$25,1,0),IF('wk2'!E28=Pat!C$27,1,0)),1,0)+IF(AND(IF('wk2'!F$5=Pat!$C$25,1,0),IF('wk2'!F28=Pat!C$27,1,0)),1,0)+IF(AND(IF('wk2'!G$5=Pat!$C$25,1,0),IF('wk2'!G28=Pat!C$27,1,0)),1,0)+IF(AND(IF('wk2'!H$5=Pat!$C$25,1,0),IF('wk2'!H28=Pat!C$27,1,0)),1,0)+IF(AND(IF('wk2'!B$5=Pat!$C$25,1,0),IF('wk2'!B28=Pat!C$27,1,0)),1,0)</f>
        <v>0</v>
      </c>
      <c r="F46" s="90">
        <f>IF(AND(IF('wk3'!B$5=Pat!$C$25,1,0),IF('wk3'!B28=Pat!B$27,1,0)),1,0)+IF(AND(IF('wk3'!C$5=Pat!$C$25,1,0),IF('wk3'!C28=Pat!B$27,1,0)),1,0)+IF(AND(IF('wk3'!D$5=Pat!$C$25,1,0),IF('wk3'!D28=Pat!B$27,1,0)),1,0)+IF(AND(IF('wk3'!E$5=Pat!$C$25,1,0),IF('wk3'!E28=Pat!B$27,1,0)),1,0)+IF(AND(IF('wk3'!F$5=Pat!$C$25,1,0),IF('wk3'!F28=Pat!B$27,1,0)),1,0)+IF(AND(IF('wk3'!G$5=Pat!$C$25,1,0),IF('wk3'!G28=Pat!B$27,1,0)),1,0)</f>
        <v>0</v>
      </c>
      <c r="G46" s="91">
        <f>IF(AND(IF('wk3'!C$5=Pat!$C$25,1,0),IF('wk3'!C28=Pat!C$27,1,0)),1,0)+IF(AND(IF('wk3'!D$5=Pat!$C$25,1,0),IF('wk3'!D28=Pat!C$27,1,0)),1,0)+IF(AND(IF('wk3'!E$5=Pat!$C$25,1,0),IF('wk3'!E28=Pat!C$27,1,0)),1,0)+IF(AND(IF('wk3'!F$5=Pat!$C$25,1,0),IF('wk3'!F28=Pat!C$27,1,0)),1,0)+IF(AND(IF('wk3'!G$5=Pat!$C$25,1,0),IF('wk3'!G28=Pat!C$27,1,0)),1,0)+IF(AND(IF('wk3'!H$5=Pat!$C$25,1,0),IF('wk3'!H28=Pat!C$27,1,0)),1,0)+IF(AND(IF('wk3'!B$5=Pat!$C$25,1,0),IF('wk3'!B28=Pat!C$27,1,0)),1,0)</f>
        <v>0</v>
      </c>
      <c r="H46" s="90">
        <f>IF(AND(IF('wk4'!B$5=Pat!$C$25,1,0),IF('wk4'!B28=Pat!B$27,1,0)),1,0)+IF(AND(IF('wk4'!C$5=Pat!$C$25,1,0),IF('wk4'!C28=Pat!B$27,1,0)),1,0)+IF(AND(IF('wk4'!D$5=Pat!$C$25,1,0),IF('wk4'!D28=Pat!B$27,1,0)),1,0)+IF(AND(IF('wk4'!E$5=Pat!$C$25,1,0),IF('wk4'!E28=Pat!B$27,1,0)),1,0)+IF(AND(IF('wk4'!F$5=Pat!$C$25,1,0),IF('wk4'!F28=Pat!B$27,1,0)),1,0)+IF(AND(IF('wk4'!G$5=Pat!$C$25,1,0),IF('wk4'!G28=Pat!B$27,1,0)),1,0)</f>
        <v>0</v>
      </c>
      <c r="I46" s="91">
        <f>IF(AND(IF('wk4'!C$5=Pat!$C$25,1,0),IF('wk4'!C28=Pat!C$27,1,0)),1,0)+IF(AND(IF('wk4'!D$5=Pat!$C$25,1,0),IF('wk4'!D28=Pat!C$27,1,0)),1,0)+IF(AND(IF('wk4'!E$5=Pat!$C$25,1,0),IF('wk4'!E28=Pat!C$27,1,0)),1,0)+IF(AND(IF('wk4'!F$5=Pat!$C$25,1,0),IF('wk4'!F28=Pat!C$27,1,0)),1,0)+IF(AND(IF('wk4'!G$5=Pat!$C$25,1,0),IF('wk4'!G28=Pat!C$27,1,0)),1,0)+IF(AND(IF('wk4'!H$5=Pat!$C$25,1,0),IF('wk4'!H28=Pat!C$27,1,0)),1,0)+IF(AND(IF('wk4'!B$5=Pat!$C$25,1,0),IF('wk4'!B28=Pat!C$27,1,0)),1,0)</f>
        <v>0</v>
      </c>
      <c r="J46" s="92">
        <f>IF(AND(IF('wk5'!B$5=Pat!$C$25,1,0),IF('wk5'!B28=Pat!B$27,1,0)),1,0)+IF(AND(IF('wk5'!C$5=Pat!$C$25,1,0),IF('wk5'!C28=Pat!B$27,1,0)),1,0)+IF(AND(IF('wk5'!D$5=Pat!$C$25,1,0),IF('wk5'!D28=Pat!B$27,1,0)),1,0)+IF(AND(IF('wk5'!E$5=Pat!$C$25,1,0),IF('wk5'!E28=Pat!B$27,1,0)),1,0)+IF(AND(IF('wk5'!F$5=Pat!$C$25,1,0),IF('wk5'!F28=Pat!B$27,1,0)),1,0)+IF(AND(IF('wk5'!G$5=Pat!$C$25,1,0),IF('wk5'!G28=Pat!B$27,1,0)),1,0)</f>
        <v>0</v>
      </c>
      <c r="K46" s="93">
        <f>IF(AND(IF('wk5'!C$5=Pat!$C$25,1,0),IF('wk5'!C28=Pat!C$27,1,0)),1,0)+IF(AND(IF('wk5'!D$5=Pat!$C$25,1,0),IF('wk5'!D28=Pat!C$27,1,0)),1,0)+IF(AND(IF('wk5'!E$5=Pat!$C$25,1,0),IF('wk5'!E28=Pat!C$27,1,0)),1,0)+IF(AND(IF('wk5'!F$5=Pat!$C$25,1,0),IF('wk5'!F28=Pat!C$27,1,0)),1,0)+IF(AND(IF('wk5'!G$5=Pat!$C$25,1,0),IF('wk5'!G28=Pat!C$27,1,0)),1,0)+IF(AND(IF('wk5'!H$5=Pat!$C$25,1,0),IF('wk5'!H28=Pat!C$27,1,0)),1,0)+IF(AND(IF('wk5'!B$5=Pat!$C$25,1,0),IF('wk5'!B28=Pat!C$27,1,0)),1,0)</f>
        <v>0</v>
      </c>
      <c r="L46" s="87"/>
      <c r="M46" s="87">
        <f t="shared" si="0"/>
        <v>0</v>
      </c>
      <c r="N46" s="89">
        <f t="shared" si="1"/>
        <v>0</v>
      </c>
    </row>
    <row r="47" spans="1:17" ht="13.5" thickBot="1">
      <c r="A47" s="86" t="str">
        <f>'Members Data'!A21</f>
        <v>Lychi</v>
      </c>
      <c r="B47" s="90">
        <f>IF(AND(IF('wk1'!B$5=Pat!$C$25,1,0),IF('wk1'!B29=Pat!B$27,1,0)),1,0)+IF(AND(IF('wk1'!D$5=Pat!$C$25,1,0),IF('wk1'!C29=Pat!B$27,1,0)),1,0)+IF(AND(IF('wk1'!D$5=Pat!$C$25,1,0),IF('wk1'!D29=Pat!B$27,1,0)),1,0)+IF(AND(IF('wk1'!E$5=Pat!$C$25,1,0),IF('wk1'!E29=Pat!B$27,1,0)),1,0)+IF(AND(IF('wk1'!F$5=Pat!$C$25,1,0),IF('wk1'!F29=Pat!B$27,1,0)),1,0)+IF(AND(IF('wk1'!G$5=Pat!$C$25,1,0),IF('wk1'!G29=Pat!B$27,1,0)),1,0)</f>
        <v>0</v>
      </c>
      <c r="C47" s="91">
        <f>IF(AND(IF('wk1'!D$5=Pat!$C$25,1,0),IF('wk1'!C29=Pat!C$27,1,0)),1,0)+IF(AND(IF('wk1'!D$5=Pat!$C$25,1,0),IF('wk1'!D29=Pat!C$27,1,0)),1,0)+IF(AND(IF('wk1'!E$5=Pat!$C$25,1,0),IF('wk1'!E29=Pat!C$27,1,0)),1,0)+IF(AND(IF('wk1'!F$5=Pat!$C$25,1,0),IF('wk1'!F29=Pat!C$27,1,0)),1,0)+IF(AND(IF('wk1'!G$5=Pat!$C$25,1,0),IF('wk1'!G29=Pat!C$27,1,0)),1,0)+IF(AND(IF('wk1'!H$5=Pat!$C$25,1,0),IF('wk1'!H29=Pat!C$27,1,0)),1,0)+IF(AND(IF('wk1'!B$5=Pat!$C$25,1,0),IF('wk1'!B29=Pat!C$27,1,0)),1,0)</f>
        <v>0</v>
      </c>
      <c r="D47" s="90">
        <f>IF(AND(IF('wk2'!B$5=Pat!$C$25,1,0),IF('wk2'!B29=Pat!B$27,1,0)),1,0)+IF(AND(IF('wk2'!C$5=Pat!$C$25,1,0),IF('wk2'!C29=Pat!B$27,1,0)),1,0)+IF(AND(IF('wk2'!D$5=Pat!$C$25,1,0),IF('wk2'!D29=Pat!B$27,1,0)),1,0)+IF(AND(IF('wk2'!E$5=Pat!$C$25,1,0),IF('wk2'!E29=Pat!B$27,1,0)),1,0)+IF(AND(IF('wk2'!F$5=Pat!$C$25,1,0),IF('wk2'!F29=Pat!B$27,1,0)),1,0)+IF(AND(IF('wk2'!G$5=Pat!$C$25,1,0),IF('wk2'!G29=Pat!B$27,1,0)),1,0)</f>
        <v>0</v>
      </c>
      <c r="E47" s="91">
        <f>IF(AND(IF('wk2'!C$5=Pat!$C$25,1,0),IF('wk2'!C29=Pat!C$27,1,0)),1,0)+IF(AND(IF('wk2'!D$5=Pat!$C$25,1,0),IF('wk2'!D29=Pat!C$27,1,0)),1,0)+IF(AND(IF('wk2'!E$5=Pat!$C$25,1,0),IF('wk2'!E29=Pat!C$27,1,0)),1,0)+IF(AND(IF('wk2'!F$5=Pat!$C$25,1,0),IF('wk2'!F29=Pat!C$27,1,0)),1,0)+IF(AND(IF('wk2'!G$5=Pat!$C$25,1,0),IF('wk2'!G29=Pat!C$27,1,0)),1,0)+IF(AND(IF('wk2'!H$5=Pat!$C$25,1,0),IF('wk2'!H29=Pat!C$27,1,0)),1,0)+IF(AND(IF('wk2'!B$5=Pat!$C$25,1,0),IF('wk2'!B29=Pat!C$27,1,0)),1,0)</f>
        <v>0</v>
      </c>
      <c r="F47" s="90">
        <f>IF(AND(IF('wk3'!B$5=Pat!$C$25,1,0),IF('wk3'!B29=Pat!B$27,1,0)),1,0)+IF(AND(IF('wk3'!C$5=Pat!$C$25,1,0),IF('wk3'!C29=Pat!B$27,1,0)),1,0)+IF(AND(IF('wk3'!D$5=Pat!$C$25,1,0),IF('wk3'!D29=Pat!B$27,1,0)),1,0)+IF(AND(IF('wk3'!E$5=Pat!$C$25,1,0),IF('wk3'!E29=Pat!B$27,1,0)),1,0)+IF(AND(IF('wk3'!F$5=Pat!$C$25,1,0),IF('wk3'!F29=Pat!B$27,1,0)),1,0)+IF(AND(IF('wk3'!G$5=Pat!$C$25,1,0),IF('wk3'!G29=Pat!B$27,1,0)),1,0)</f>
        <v>0</v>
      </c>
      <c r="G47" s="91">
        <f>IF(AND(IF('wk3'!C$5=Pat!$C$25,1,0),IF('wk3'!C29=Pat!C$27,1,0)),1,0)+IF(AND(IF('wk3'!D$5=Pat!$C$25,1,0),IF('wk3'!D29=Pat!C$27,1,0)),1,0)+IF(AND(IF('wk3'!E$5=Pat!$C$25,1,0),IF('wk3'!E29=Pat!C$27,1,0)),1,0)+IF(AND(IF('wk3'!F$5=Pat!$C$25,1,0),IF('wk3'!F29=Pat!C$27,1,0)),1,0)+IF(AND(IF('wk3'!G$5=Pat!$C$25,1,0),IF('wk3'!G29=Pat!C$27,1,0)),1,0)+IF(AND(IF('wk3'!H$5=Pat!$C$25,1,0),IF('wk3'!H29=Pat!C$27,1,0)),1,0)+IF(AND(IF('wk3'!B$5=Pat!$C$25,1,0),IF('wk3'!B29=Pat!C$27,1,0)),1,0)</f>
        <v>0</v>
      </c>
      <c r="H47" s="90">
        <f>IF(AND(IF('wk4'!B$5=Pat!$C$25,1,0),IF('wk4'!B29=Pat!B$27,1,0)),1,0)+IF(AND(IF('wk4'!C$5=Pat!$C$25,1,0),IF('wk4'!C29=Pat!B$27,1,0)),1,0)+IF(AND(IF('wk4'!D$5=Pat!$C$25,1,0),IF('wk4'!D29=Pat!B$27,1,0)),1,0)+IF(AND(IF('wk4'!E$5=Pat!$C$25,1,0),IF('wk4'!E29=Pat!B$27,1,0)),1,0)+IF(AND(IF('wk4'!F$5=Pat!$C$25,1,0),IF('wk4'!F29=Pat!B$27,1,0)),1,0)+IF(AND(IF('wk4'!G$5=Pat!$C$25,1,0),IF('wk4'!G29=Pat!B$27,1,0)),1,0)</f>
        <v>0</v>
      </c>
      <c r="I47" s="91">
        <f>IF(AND(IF('wk4'!C$5=Pat!$C$25,1,0),IF('wk4'!C29=Pat!C$27,1,0)),1,0)+IF(AND(IF('wk4'!D$5=Pat!$C$25,1,0),IF('wk4'!D29=Pat!C$27,1,0)),1,0)+IF(AND(IF('wk4'!E$5=Pat!$C$25,1,0),IF('wk4'!E29=Pat!C$27,1,0)),1,0)+IF(AND(IF('wk4'!F$5=Pat!$C$25,1,0),IF('wk4'!F29=Pat!C$27,1,0)),1,0)+IF(AND(IF('wk4'!G$5=Pat!$C$25,1,0),IF('wk4'!G29=Pat!C$27,1,0)),1,0)+IF(AND(IF('wk4'!H$5=Pat!$C$25,1,0),IF('wk4'!H29=Pat!C$27,1,0)),1,0)+IF(AND(IF('wk4'!B$5=Pat!$C$25,1,0),IF('wk4'!B29=Pat!C$27,1,0)),1,0)</f>
        <v>0</v>
      </c>
      <c r="J47" s="92">
        <f>IF(AND(IF('wk5'!B$5=Pat!$C$25,1,0),IF('wk5'!B29=Pat!B$27,1,0)),1,0)+IF(AND(IF('wk5'!C$5=Pat!$C$25,1,0),IF('wk5'!C29=Pat!B$27,1,0)),1,0)+IF(AND(IF('wk5'!D$5=Pat!$C$25,1,0),IF('wk5'!D29=Pat!B$27,1,0)),1,0)+IF(AND(IF('wk5'!E$5=Pat!$C$25,1,0),IF('wk5'!E29=Pat!B$27,1,0)),1,0)+IF(AND(IF('wk5'!F$5=Pat!$C$25,1,0),IF('wk5'!F29=Pat!B$27,1,0)),1,0)+IF(AND(IF('wk5'!G$5=Pat!$C$25,1,0),IF('wk5'!G29=Pat!B$27,1,0)),1,0)</f>
        <v>0</v>
      </c>
      <c r="K47" s="93">
        <f>IF(AND(IF('wk5'!C$5=Pat!$C$25,1,0),IF('wk5'!C29=Pat!C$27,1,0)),1,0)+IF(AND(IF('wk5'!D$5=Pat!$C$25,1,0),IF('wk5'!D29=Pat!C$27,1,0)),1,0)+IF(AND(IF('wk5'!E$5=Pat!$C$25,1,0),IF('wk5'!E29=Pat!C$27,1,0)),1,0)+IF(AND(IF('wk5'!F$5=Pat!$C$25,1,0),IF('wk5'!F29=Pat!C$27,1,0)),1,0)+IF(AND(IF('wk5'!G$5=Pat!$C$25,1,0),IF('wk5'!G29=Pat!C$27,1,0)),1,0)+IF(AND(IF('wk5'!H$5=Pat!$C$25,1,0),IF('wk5'!H29=Pat!C$27,1,0)),1,0)+IF(AND(IF('wk5'!B$5=Pat!$C$25,1,0),IF('wk5'!B29=Pat!C$27,1,0)),1,0)</f>
        <v>0</v>
      </c>
      <c r="L47" s="87"/>
      <c r="M47" s="87">
        <f t="shared" si="0"/>
        <v>0</v>
      </c>
      <c r="N47" s="89">
        <f t="shared" si="1"/>
        <v>0</v>
      </c>
    </row>
    <row r="48" spans="1:17" ht="13.5" thickBot="1">
      <c r="A48" s="86" t="str">
        <f>'Members Data'!A22</f>
        <v>Méych</v>
      </c>
      <c r="B48" s="90">
        <f>IF(AND(IF('wk1'!B$5=Pat!$C$25,1,0),IF('wk1'!B30=Pat!B$27,1,0)),1,0)+IF(AND(IF('wk1'!D$5=Pat!$C$25,1,0),IF('wk1'!C30=Pat!B$27,1,0)),1,0)+IF(AND(IF('wk1'!D$5=Pat!$C$25,1,0),IF('wk1'!D30=Pat!B$27,1,0)),1,0)+IF(AND(IF('wk1'!E$5=Pat!$C$25,1,0),IF('wk1'!E30=Pat!B$27,1,0)),1,0)+IF(AND(IF('wk1'!F$5=Pat!$C$25,1,0),IF('wk1'!F30=Pat!B$27,1,0)),1,0)+IF(AND(IF('wk1'!G$5=Pat!$C$25,1,0),IF('wk1'!G30=Pat!B$27,1,0)),1,0)</f>
        <v>0</v>
      </c>
      <c r="C48" s="91">
        <f>IF(AND(IF('wk1'!D$5=Pat!$C$25,1,0),IF('wk1'!C30=Pat!C$27,1,0)),1,0)+IF(AND(IF('wk1'!D$5=Pat!$C$25,1,0),IF('wk1'!D30=Pat!C$27,1,0)),1,0)+IF(AND(IF('wk1'!E$5=Pat!$C$25,1,0),IF('wk1'!E30=Pat!C$27,1,0)),1,0)+IF(AND(IF('wk1'!F$5=Pat!$C$25,1,0),IF('wk1'!F30=Pat!C$27,1,0)),1,0)+IF(AND(IF('wk1'!G$5=Pat!$C$25,1,0),IF('wk1'!G30=Pat!C$27,1,0)),1,0)+IF(AND(IF('wk1'!H$5=Pat!$C$25,1,0),IF('wk1'!H30=Pat!C$27,1,0)),1,0)+IF(AND(IF('wk1'!B$5=Pat!$C$25,1,0),IF('wk1'!B30=Pat!C$27,1,0)),1,0)</f>
        <v>0</v>
      </c>
      <c r="D48" s="90">
        <f>IF(AND(IF('wk2'!B$5=Pat!$C$25,1,0),IF('wk2'!B30=Pat!B$27,1,0)),1,0)+IF(AND(IF('wk2'!C$5=Pat!$C$25,1,0),IF('wk2'!C30=Pat!B$27,1,0)),1,0)+IF(AND(IF('wk2'!D$5=Pat!$C$25,1,0),IF('wk2'!D30=Pat!B$27,1,0)),1,0)+IF(AND(IF('wk2'!E$5=Pat!$C$25,1,0),IF('wk2'!E30=Pat!B$27,1,0)),1,0)+IF(AND(IF('wk2'!F$5=Pat!$C$25,1,0),IF('wk2'!F30=Pat!B$27,1,0)),1,0)+IF(AND(IF('wk2'!G$5=Pat!$C$25,1,0),IF('wk2'!G30=Pat!B$27,1,0)),1,0)</f>
        <v>0</v>
      </c>
      <c r="E48" s="91">
        <f>IF(AND(IF('wk2'!C$5=Pat!$C$25,1,0),IF('wk2'!C30=Pat!C$27,1,0)),1,0)+IF(AND(IF('wk2'!D$5=Pat!$C$25,1,0),IF('wk2'!D30=Pat!C$27,1,0)),1,0)+IF(AND(IF('wk2'!E$5=Pat!$C$25,1,0),IF('wk2'!E30=Pat!C$27,1,0)),1,0)+IF(AND(IF('wk2'!F$5=Pat!$C$25,1,0),IF('wk2'!F30=Pat!C$27,1,0)),1,0)+IF(AND(IF('wk2'!G$5=Pat!$C$25,1,0),IF('wk2'!G30=Pat!C$27,1,0)),1,0)+IF(AND(IF('wk2'!H$5=Pat!$C$25,1,0),IF('wk2'!H30=Pat!C$27,1,0)),1,0)+IF(AND(IF('wk2'!B$5=Pat!$C$25,1,0),IF('wk2'!B30=Pat!C$27,1,0)),1,0)</f>
        <v>0</v>
      </c>
      <c r="F48" s="90">
        <f>IF(AND(IF('wk3'!B$5=Pat!$C$25,1,0),IF('wk3'!B30=Pat!B$27,1,0)),1,0)+IF(AND(IF('wk3'!C$5=Pat!$C$25,1,0),IF('wk3'!C30=Pat!B$27,1,0)),1,0)+IF(AND(IF('wk3'!D$5=Pat!$C$25,1,0),IF('wk3'!D30=Pat!B$27,1,0)),1,0)+IF(AND(IF('wk3'!E$5=Pat!$C$25,1,0),IF('wk3'!E30=Pat!B$27,1,0)),1,0)+IF(AND(IF('wk3'!F$5=Pat!$C$25,1,0),IF('wk3'!F30=Pat!B$27,1,0)),1,0)+IF(AND(IF('wk3'!G$5=Pat!$C$25,1,0),IF('wk3'!G30=Pat!B$27,1,0)),1,0)</f>
        <v>0</v>
      </c>
      <c r="G48" s="91">
        <f>IF(AND(IF('wk3'!C$5=Pat!$C$25,1,0),IF('wk3'!C30=Pat!C$27,1,0)),1,0)+IF(AND(IF('wk3'!D$5=Pat!$C$25,1,0),IF('wk3'!D30=Pat!C$27,1,0)),1,0)+IF(AND(IF('wk3'!E$5=Pat!$C$25,1,0),IF('wk3'!E30=Pat!C$27,1,0)),1,0)+IF(AND(IF('wk3'!F$5=Pat!$C$25,1,0),IF('wk3'!F30=Pat!C$27,1,0)),1,0)+IF(AND(IF('wk3'!G$5=Pat!$C$25,1,0),IF('wk3'!G30=Pat!C$27,1,0)),1,0)+IF(AND(IF('wk3'!H$5=Pat!$C$25,1,0),IF('wk3'!H30=Pat!C$27,1,0)),1,0)+IF(AND(IF('wk3'!B$5=Pat!$C$25,1,0),IF('wk3'!B30=Pat!C$27,1,0)),1,0)</f>
        <v>0</v>
      </c>
      <c r="H48" s="90">
        <f>IF(AND(IF('wk4'!B$5=Pat!$C$25,1,0),IF('wk4'!B30=Pat!B$27,1,0)),1,0)+IF(AND(IF('wk4'!C$5=Pat!$C$25,1,0),IF('wk4'!C30=Pat!B$27,1,0)),1,0)+IF(AND(IF('wk4'!D$5=Pat!$C$25,1,0),IF('wk4'!D30=Pat!B$27,1,0)),1,0)+IF(AND(IF('wk4'!E$5=Pat!$C$25,1,0),IF('wk4'!E30=Pat!B$27,1,0)),1,0)+IF(AND(IF('wk4'!F$5=Pat!$C$25,1,0),IF('wk4'!F30=Pat!B$27,1,0)),1,0)+IF(AND(IF('wk4'!G$5=Pat!$C$25,1,0),IF('wk4'!G30=Pat!B$27,1,0)),1,0)</f>
        <v>0</v>
      </c>
      <c r="I48" s="91">
        <f>IF(AND(IF('wk4'!C$5=Pat!$C$25,1,0),IF('wk4'!C30=Pat!C$27,1,0)),1,0)+IF(AND(IF('wk4'!D$5=Pat!$C$25,1,0),IF('wk4'!D30=Pat!C$27,1,0)),1,0)+IF(AND(IF('wk4'!E$5=Pat!$C$25,1,0),IF('wk4'!E30=Pat!C$27,1,0)),1,0)+IF(AND(IF('wk4'!F$5=Pat!$C$25,1,0),IF('wk4'!F30=Pat!C$27,1,0)),1,0)+IF(AND(IF('wk4'!G$5=Pat!$C$25,1,0),IF('wk4'!G30=Pat!C$27,1,0)),1,0)+IF(AND(IF('wk4'!H$5=Pat!$C$25,1,0),IF('wk4'!H30=Pat!C$27,1,0)),1,0)+IF(AND(IF('wk4'!B$5=Pat!$C$25,1,0),IF('wk4'!B30=Pat!C$27,1,0)),1,0)</f>
        <v>0</v>
      </c>
      <c r="J48" s="92">
        <f>IF(AND(IF('wk5'!B$5=Pat!$C$25,1,0),IF('wk5'!B30=Pat!B$27,1,0)),1,0)+IF(AND(IF('wk5'!C$5=Pat!$C$25,1,0),IF('wk5'!C30=Pat!B$27,1,0)),1,0)+IF(AND(IF('wk5'!D$5=Pat!$C$25,1,0),IF('wk5'!D30=Pat!B$27,1,0)),1,0)+IF(AND(IF('wk5'!E$5=Pat!$C$25,1,0),IF('wk5'!E30=Pat!B$27,1,0)),1,0)+IF(AND(IF('wk5'!F$5=Pat!$C$25,1,0),IF('wk5'!F30=Pat!B$27,1,0)),1,0)+IF(AND(IF('wk5'!G$5=Pat!$C$25,1,0),IF('wk5'!G30=Pat!B$27,1,0)),1,0)</f>
        <v>0</v>
      </c>
      <c r="K48" s="93">
        <f>IF(AND(IF('wk5'!C$5=Pat!$C$25,1,0),IF('wk5'!C30=Pat!C$27,1,0)),1,0)+IF(AND(IF('wk5'!D$5=Pat!$C$25,1,0),IF('wk5'!D30=Pat!C$27,1,0)),1,0)+IF(AND(IF('wk5'!E$5=Pat!$C$25,1,0),IF('wk5'!E30=Pat!C$27,1,0)),1,0)+IF(AND(IF('wk5'!F$5=Pat!$C$25,1,0),IF('wk5'!F30=Pat!C$27,1,0)),1,0)+IF(AND(IF('wk5'!G$5=Pat!$C$25,1,0),IF('wk5'!G30=Pat!C$27,1,0)),1,0)+IF(AND(IF('wk5'!H$5=Pat!$C$25,1,0),IF('wk5'!H30=Pat!C$27,1,0)),1,0)+IF(AND(IF('wk5'!B$5=Pat!$C$25,1,0),IF('wk5'!B30=Pat!C$27,1,0)),1,0)</f>
        <v>0</v>
      </c>
      <c r="L48" s="87"/>
      <c r="M48" s="87">
        <f t="shared" si="0"/>
        <v>0</v>
      </c>
      <c r="N48" s="89">
        <f t="shared" si="1"/>
        <v>0</v>
      </c>
      <c r="P48" s="94"/>
      <c r="Q48" s="81"/>
    </row>
    <row r="49" spans="1:17" ht="13.5" thickBot="1">
      <c r="A49" s="86" t="str">
        <f>'Members Data'!A23</f>
        <v>Muckyfloor</v>
      </c>
      <c r="B49" s="90">
        <f>IF(AND(IF('wk1'!B$5=Pat!$C$25,1,0),IF('wk1'!B31=Pat!B$27,1,0)),1,0)+IF(AND(IF('wk1'!D$5=Pat!$C$25,1,0),IF('wk1'!C31=Pat!B$27,1,0)),1,0)+IF(AND(IF('wk1'!D$5=Pat!$C$25,1,0),IF('wk1'!D31=Pat!B$27,1,0)),1,0)+IF(AND(IF('wk1'!E$5=Pat!$C$25,1,0),IF('wk1'!E31=Pat!B$27,1,0)),1,0)+IF(AND(IF('wk1'!F$5=Pat!$C$25,1,0),IF('wk1'!F31=Pat!B$27,1,0)),1,0)+IF(AND(IF('wk1'!G$5=Pat!$C$25,1,0),IF('wk1'!G31=Pat!B$27,1,0)),1,0)</f>
        <v>0</v>
      </c>
      <c r="C49" s="91">
        <f>IF(AND(IF('wk1'!D$5=Pat!$C$25,1,0),IF('wk1'!C31=Pat!C$27,1,0)),1,0)+IF(AND(IF('wk1'!D$5=Pat!$C$25,1,0),IF('wk1'!D31=Pat!C$27,1,0)),1,0)+IF(AND(IF('wk1'!E$5=Pat!$C$25,1,0),IF('wk1'!E31=Pat!C$27,1,0)),1,0)+IF(AND(IF('wk1'!F$5=Pat!$C$25,1,0),IF('wk1'!F31=Pat!C$27,1,0)),1,0)+IF(AND(IF('wk1'!G$5=Pat!$C$25,1,0),IF('wk1'!G31=Pat!C$27,1,0)),1,0)+IF(AND(IF('wk1'!H$5=Pat!$C$25,1,0),IF('wk1'!H31=Pat!C$27,1,0)),1,0)+IF(AND(IF('wk1'!B$5=Pat!$C$25,1,0),IF('wk1'!B31=Pat!C$27,1,0)),1,0)</f>
        <v>0</v>
      </c>
      <c r="D49" s="90">
        <f>IF(AND(IF('wk2'!B$5=Pat!$C$25,1,0),IF('wk2'!B31=Pat!B$27,1,0)),1,0)+IF(AND(IF('wk2'!C$5=Pat!$C$25,1,0),IF('wk2'!C31=Pat!B$27,1,0)),1,0)+IF(AND(IF('wk2'!D$5=Pat!$C$25,1,0),IF('wk2'!D31=Pat!B$27,1,0)),1,0)+IF(AND(IF('wk2'!E$5=Pat!$C$25,1,0),IF('wk2'!E31=Pat!B$27,1,0)),1,0)+IF(AND(IF('wk2'!F$5=Pat!$C$25,1,0),IF('wk2'!F31=Pat!B$27,1,0)),1,0)+IF(AND(IF('wk2'!G$5=Pat!$C$25,1,0),IF('wk2'!G31=Pat!B$27,1,0)),1,0)</f>
        <v>0</v>
      </c>
      <c r="E49" s="91">
        <f>IF(AND(IF('wk2'!C$5=Pat!$C$25,1,0),IF('wk2'!C31=Pat!C$27,1,0)),1,0)+IF(AND(IF('wk2'!D$5=Pat!$C$25,1,0),IF('wk2'!D31=Pat!C$27,1,0)),1,0)+IF(AND(IF('wk2'!E$5=Pat!$C$25,1,0),IF('wk2'!E31=Pat!C$27,1,0)),1,0)+IF(AND(IF('wk2'!F$5=Pat!$C$25,1,0),IF('wk2'!F31=Pat!C$27,1,0)),1,0)+IF(AND(IF('wk2'!G$5=Pat!$C$25,1,0),IF('wk2'!G31=Pat!C$27,1,0)),1,0)+IF(AND(IF('wk2'!H$5=Pat!$C$25,1,0),IF('wk2'!H31=Pat!C$27,1,0)),1,0)+IF(AND(IF('wk2'!B$5=Pat!$C$25,1,0),IF('wk2'!B31=Pat!C$27,1,0)),1,0)</f>
        <v>0</v>
      </c>
      <c r="F49" s="90">
        <f>IF(AND(IF('wk3'!B$5=Pat!$C$25,1,0),IF('wk3'!B31=Pat!B$27,1,0)),1,0)+IF(AND(IF('wk3'!C$5=Pat!$C$25,1,0),IF('wk3'!C31=Pat!B$27,1,0)),1,0)+IF(AND(IF('wk3'!D$5=Pat!$C$25,1,0),IF('wk3'!D31=Pat!B$27,1,0)),1,0)+IF(AND(IF('wk3'!E$5=Pat!$C$25,1,0),IF('wk3'!E31=Pat!B$27,1,0)),1,0)+IF(AND(IF('wk3'!F$5=Pat!$C$25,1,0),IF('wk3'!F31=Pat!B$27,1,0)),1,0)+IF(AND(IF('wk3'!G$5=Pat!$C$25,1,0),IF('wk3'!G31=Pat!B$27,1,0)),1,0)</f>
        <v>0</v>
      </c>
      <c r="G49" s="91">
        <f>IF(AND(IF('wk3'!C$5=Pat!$C$25,1,0),IF('wk3'!C31=Pat!C$27,1,0)),1,0)+IF(AND(IF('wk3'!D$5=Pat!$C$25,1,0),IF('wk3'!D31=Pat!C$27,1,0)),1,0)+IF(AND(IF('wk3'!E$5=Pat!$C$25,1,0),IF('wk3'!E31=Pat!C$27,1,0)),1,0)+IF(AND(IF('wk3'!F$5=Pat!$C$25,1,0),IF('wk3'!F31=Pat!C$27,1,0)),1,0)+IF(AND(IF('wk3'!G$5=Pat!$C$25,1,0),IF('wk3'!G31=Pat!C$27,1,0)),1,0)+IF(AND(IF('wk3'!H$5=Pat!$C$25,1,0),IF('wk3'!H31=Pat!C$27,1,0)),1,0)+IF(AND(IF('wk3'!B$5=Pat!$C$25,1,0),IF('wk3'!B31=Pat!C$27,1,0)),1,0)</f>
        <v>0</v>
      </c>
      <c r="H49" s="90">
        <f>IF(AND(IF('wk4'!B$5=Pat!$C$25,1,0),IF('wk4'!B31=Pat!B$27,1,0)),1,0)+IF(AND(IF('wk4'!C$5=Pat!$C$25,1,0),IF('wk4'!C31=Pat!B$27,1,0)),1,0)+IF(AND(IF('wk4'!D$5=Pat!$C$25,1,0),IF('wk4'!D31=Pat!B$27,1,0)),1,0)+IF(AND(IF('wk4'!E$5=Pat!$C$25,1,0),IF('wk4'!E31=Pat!B$27,1,0)),1,0)+IF(AND(IF('wk4'!F$5=Pat!$C$25,1,0),IF('wk4'!F31=Pat!B$27,1,0)),1,0)+IF(AND(IF('wk4'!G$5=Pat!$C$25,1,0),IF('wk4'!G31=Pat!B$27,1,0)),1,0)</f>
        <v>0</v>
      </c>
      <c r="I49" s="91">
        <f>IF(AND(IF('wk4'!C$5=Pat!$C$25,1,0),IF('wk4'!C31=Pat!C$27,1,0)),1,0)+IF(AND(IF('wk4'!D$5=Pat!$C$25,1,0),IF('wk4'!D31=Pat!C$27,1,0)),1,0)+IF(AND(IF('wk4'!E$5=Pat!$C$25,1,0),IF('wk4'!E31=Pat!C$27,1,0)),1,0)+IF(AND(IF('wk4'!F$5=Pat!$C$25,1,0),IF('wk4'!F31=Pat!C$27,1,0)),1,0)+IF(AND(IF('wk4'!G$5=Pat!$C$25,1,0),IF('wk4'!G31=Pat!C$27,1,0)),1,0)+IF(AND(IF('wk4'!H$5=Pat!$C$25,1,0),IF('wk4'!H31=Pat!C$27,1,0)),1,0)+IF(AND(IF('wk4'!B$5=Pat!$C$25,1,0),IF('wk4'!B31=Pat!C$27,1,0)),1,0)</f>
        <v>0</v>
      </c>
      <c r="J49" s="92">
        <f>IF(AND(IF('wk5'!B$5=Pat!$C$25,1,0),IF('wk5'!B31=Pat!B$27,1,0)),1,0)+IF(AND(IF('wk5'!C$5=Pat!$C$25,1,0),IF('wk5'!C31=Pat!B$27,1,0)),1,0)+IF(AND(IF('wk5'!D$5=Pat!$C$25,1,0),IF('wk5'!D31=Pat!B$27,1,0)),1,0)+IF(AND(IF('wk5'!E$5=Pat!$C$25,1,0),IF('wk5'!E31=Pat!B$27,1,0)),1,0)+IF(AND(IF('wk5'!F$5=Pat!$C$25,1,0),IF('wk5'!F31=Pat!B$27,1,0)),1,0)+IF(AND(IF('wk5'!G$5=Pat!$C$25,1,0),IF('wk5'!G31=Pat!B$27,1,0)),1,0)</f>
        <v>0</v>
      </c>
      <c r="K49" s="93">
        <f>IF(AND(IF('wk5'!C$5=Pat!$C$25,1,0),IF('wk5'!C31=Pat!C$27,1,0)),1,0)+IF(AND(IF('wk5'!D$5=Pat!$C$25,1,0),IF('wk5'!D31=Pat!C$27,1,0)),1,0)+IF(AND(IF('wk5'!E$5=Pat!$C$25,1,0),IF('wk5'!E31=Pat!C$27,1,0)),1,0)+IF(AND(IF('wk5'!F$5=Pat!$C$25,1,0),IF('wk5'!F31=Pat!C$27,1,0)),1,0)+IF(AND(IF('wk5'!G$5=Pat!$C$25,1,0),IF('wk5'!G31=Pat!C$27,1,0)),1,0)+IF(AND(IF('wk5'!H$5=Pat!$C$25,1,0),IF('wk5'!H31=Pat!C$27,1,0)),1,0)+IF(AND(IF('wk5'!B$5=Pat!$C$25,1,0),IF('wk5'!B31=Pat!C$27,1,0)),1,0)</f>
        <v>0</v>
      </c>
      <c r="L49" s="87"/>
      <c r="M49" s="87">
        <f t="shared" si="0"/>
        <v>0</v>
      </c>
      <c r="N49" s="89">
        <f t="shared" si="1"/>
        <v>0</v>
      </c>
      <c r="P49" s="95"/>
      <c r="Q49" s="81"/>
    </row>
    <row r="50" spans="1:17" ht="13.5" thickBot="1">
      <c r="A50" s="86" t="str">
        <f>'Members Data'!A24</f>
        <v>Müfti</v>
      </c>
      <c r="B50" s="90">
        <f>IF(AND(IF('wk1'!B$5=Pat!$C$25,1,0),IF('wk1'!B32=Pat!B$27,1,0)),1,0)+IF(AND(IF('wk1'!D$5=Pat!$C$25,1,0),IF('wk1'!C32=Pat!B$27,1,0)),1,0)+IF(AND(IF('wk1'!D$5=Pat!$C$25,1,0),IF('wk1'!D32=Pat!B$27,1,0)),1,0)+IF(AND(IF('wk1'!E$5=Pat!$C$25,1,0),IF('wk1'!E32=Pat!B$27,1,0)),1,0)+IF(AND(IF('wk1'!F$5=Pat!$C$25,1,0),IF('wk1'!F32=Pat!B$27,1,0)),1,0)+IF(AND(IF('wk1'!G$5=Pat!$C$25,1,0),IF('wk1'!G32=Pat!B$27,1,0)),1,0)</f>
        <v>0</v>
      </c>
      <c r="C50" s="91">
        <f>IF(AND(IF('wk1'!D$5=Pat!$C$25,1,0),IF('wk1'!C32=Pat!C$27,1,0)),1,0)+IF(AND(IF('wk1'!D$5=Pat!$C$25,1,0),IF('wk1'!D32=Pat!C$27,1,0)),1,0)+IF(AND(IF('wk1'!E$5=Pat!$C$25,1,0),IF('wk1'!E32=Pat!C$27,1,0)),1,0)+IF(AND(IF('wk1'!F$5=Pat!$C$25,1,0),IF('wk1'!F32=Pat!C$27,1,0)),1,0)+IF(AND(IF('wk1'!G$5=Pat!$C$25,1,0),IF('wk1'!G32=Pat!C$27,1,0)),1,0)+IF(AND(IF('wk1'!H$5=Pat!$C$25,1,0),IF('wk1'!H32=Pat!C$27,1,0)),1,0)+IF(AND(IF('wk1'!B$5=Pat!$C$25,1,0),IF('wk1'!B32=Pat!C$27,1,0)),1,0)</f>
        <v>0</v>
      </c>
      <c r="D50" s="90">
        <f>IF(AND(IF('wk2'!B$5=Pat!$C$25,1,0),IF('wk2'!B32=Pat!B$27,1,0)),1,0)+IF(AND(IF('wk2'!C$5=Pat!$C$25,1,0),IF('wk2'!C32=Pat!B$27,1,0)),1,0)+IF(AND(IF('wk2'!D$5=Pat!$C$25,1,0),IF('wk2'!D32=Pat!B$27,1,0)),1,0)+IF(AND(IF('wk2'!E$5=Pat!$C$25,1,0),IF('wk2'!E32=Pat!B$27,1,0)),1,0)+IF(AND(IF('wk2'!F$5=Pat!$C$25,1,0),IF('wk2'!F32=Pat!B$27,1,0)),1,0)+IF(AND(IF('wk2'!G$5=Pat!$C$25,1,0),IF('wk2'!G32=Pat!B$27,1,0)),1,0)</f>
        <v>0</v>
      </c>
      <c r="E50" s="91">
        <f>IF(AND(IF('wk2'!C$5=Pat!$C$25,1,0),IF('wk2'!C32=Pat!C$27,1,0)),1,0)+IF(AND(IF('wk2'!D$5=Pat!$C$25,1,0),IF('wk2'!D32=Pat!C$27,1,0)),1,0)+IF(AND(IF('wk2'!E$5=Pat!$C$25,1,0),IF('wk2'!E32=Pat!C$27,1,0)),1,0)+IF(AND(IF('wk2'!F$5=Pat!$C$25,1,0),IF('wk2'!F32=Pat!C$27,1,0)),1,0)+IF(AND(IF('wk2'!G$5=Pat!$C$25,1,0),IF('wk2'!G32=Pat!C$27,1,0)),1,0)+IF(AND(IF('wk2'!H$5=Pat!$C$25,1,0),IF('wk2'!H32=Pat!C$27,1,0)),1,0)+IF(AND(IF('wk2'!B$5=Pat!$C$25,1,0),IF('wk2'!B32=Pat!C$27,1,0)),1,0)</f>
        <v>0</v>
      </c>
      <c r="F50" s="90">
        <f>IF(AND(IF('wk3'!B$5=Pat!$C$25,1,0),IF('wk3'!B32=Pat!B$27,1,0)),1,0)+IF(AND(IF('wk3'!C$5=Pat!$C$25,1,0),IF('wk3'!C32=Pat!B$27,1,0)),1,0)+IF(AND(IF('wk3'!D$5=Pat!$C$25,1,0),IF('wk3'!D32=Pat!B$27,1,0)),1,0)+IF(AND(IF('wk3'!E$5=Pat!$C$25,1,0),IF('wk3'!E32=Pat!B$27,1,0)),1,0)+IF(AND(IF('wk3'!F$5=Pat!$C$25,1,0),IF('wk3'!F32=Pat!B$27,1,0)),1,0)+IF(AND(IF('wk3'!G$5=Pat!$C$25,1,0),IF('wk3'!G32=Pat!B$27,1,0)),1,0)</f>
        <v>0</v>
      </c>
      <c r="G50" s="91">
        <f>IF(AND(IF('wk3'!C$5=Pat!$C$25,1,0),IF('wk3'!C32=Pat!C$27,1,0)),1,0)+IF(AND(IF('wk3'!D$5=Pat!$C$25,1,0),IF('wk3'!D32=Pat!C$27,1,0)),1,0)+IF(AND(IF('wk3'!E$5=Pat!$C$25,1,0),IF('wk3'!E32=Pat!C$27,1,0)),1,0)+IF(AND(IF('wk3'!F$5=Pat!$C$25,1,0),IF('wk3'!F32=Pat!C$27,1,0)),1,0)+IF(AND(IF('wk3'!G$5=Pat!$C$25,1,0),IF('wk3'!G32=Pat!C$27,1,0)),1,0)+IF(AND(IF('wk3'!H$5=Pat!$C$25,1,0),IF('wk3'!H32=Pat!C$27,1,0)),1,0)+IF(AND(IF('wk3'!B$5=Pat!$C$25,1,0),IF('wk3'!B32=Pat!C$27,1,0)),1,0)</f>
        <v>0</v>
      </c>
      <c r="H50" s="90">
        <f>IF(AND(IF('wk4'!B$5=Pat!$C$25,1,0),IF('wk4'!B32=Pat!B$27,1,0)),1,0)+IF(AND(IF('wk4'!C$5=Pat!$C$25,1,0),IF('wk4'!C32=Pat!B$27,1,0)),1,0)+IF(AND(IF('wk4'!D$5=Pat!$C$25,1,0),IF('wk4'!D32=Pat!B$27,1,0)),1,0)+IF(AND(IF('wk4'!E$5=Pat!$C$25,1,0),IF('wk4'!E32=Pat!B$27,1,0)),1,0)+IF(AND(IF('wk4'!F$5=Pat!$C$25,1,0),IF('wk4'!F32=Pat!B$27,1,0)),1,0)+IF(AND(IF('wk4'!G$5=Pat!$C$25,1,0),IF('wk4'!G32=Pat!B$27,1,0)),1,0)</f>
        <v>0</v>
      </c>
      <c r="I50" s="91">
        <f>IF(AND(IF('wk4'!C$5=Pat!$C$25,1,0),IF('wk4'!C32=Pat!C$27,1,0)),1,0)+IF(AND(IF('wk4'!D$5=Pat!$C$25,1,0),IF('wk4'!D32=Pat!C$27,1,0)),1,0)+IF(AND(IF('wk4'!E$5=Pat!$C$25,1,0),IF('wk4'!E32=Pat!C$27,1,0)),1,0)+IF(AND(IF('wk4'!F$5=Pat!$C$25,1,0),IF('wk4'!F32=Pat!C$27,1,0)),1,0)+IF(AND(IF('wk4'!G$5=Pat!$C$25,1,0),IF('wk4'!G32=Pat!C$27,1,0)),1,0)+IF(AND(IF('wk4'!H$5=Pat!$C$25,1,0),IF('wk4'!H32=Pat!C$27,1,0)),1,0)+IF(AND(IF('wk4'!B$5=Pat!$C$25,1,0),IF('wk4'!B32=Pat!C$27,1,0)),1,0)</f>
        <v>0</v>
      </c>
      <c r="J50" s="92">
        <f>IF(AND(IF('wk5'!B$5=Pat!$C$25,1,0),IF('wk5'!B32=Pat!B$27,1,0)),1,0)+IF(AND(IF('wk5'!C$5=Pat!$C$25,1,0),IF('wk5'!C32=Pat!B$27,1,0)),1,0)+IF(AND(IF('wk5'!D$5=Pat!$C$25,1,0),IF('wk5'!D32=Pat!B$27,1,0)),1,0)+IF(AND(IF('wk5'!E$5=Pat!$C$25,1,0),IF('wk5'!E32=Pat!B$27,1,0)),1,0)+IF(AND(IF('wk5'!F$5=Pat!$C$25,1,0),IF('wk5'!F32=Pat!B$27,1,0)),1,0)+IF(AND(IF('wk5'!G$5=Pat!$C$25,1,0),IF('wk5'!G32=Pat!B$27,1,0)),1,0)</f>
        <v>0</v>
      </c>
      <c r="K50" s="93">
        <f>IF(AND(IF('wk5'!C$5=Pat!$C$25,1,0),IF('wk5'!C32=Pat!C$27,1,0)),1,0)+IF(AND(IF('wk5'!D$5=Pat!$C$25,1,0),IF('wk5'!D32=Pat!C$27,1,0)),1,0)+IF(AND(IF('wk5'!E$5=Pat!$C$25,1,0),IF('wk5'!E32=Pat!C$27,1,0)),1,0)+IF(AND(IF('wk5'!F$5=Pat!$C$25,1,0),IF('wk5'!F32=Pat!C$27,1,0)),1,0)+IF(AND(IF('wk5'!G$5=Pat!$C$25,1,0),IF('wk5'!G32=Pat!C$27,1,0)),1,0)+IF(AND(IF('wk5'!H$5=Pat!$C$25,1,0),IF('wk5'!H32=Pat!C$27,1,0)),1,0)+IF(AND(IF('wk5'!B$5=Pat!$C$25,1,0),IF('wk5'!B32=Pat!C$27,1,0)),1,0)</f>
        <v>0</v>
      </c>
      <c r="L50" s="87"/>
      <c r="M50" s="87">
        <f t="shared" si="0"/>
        <v>0</v>
      </c>
      <c r="N50" s="89">
        <f t="shared" si="1"/>
        <v>0</v>
      </c>
      <c r="P50" s="95"/>
      <c r="Q50" s="81"/>
    </row>
    <row r="51" spans="1:17" ht="13.5" thickBot="1">
      <c r="A51" s="86" t="str">
        <f>'Members Data'!A25</f>
        <v>Palorde</v>
      </c>
      <c r="B51" s="90">
        <f>IF(AND(IF('wk1'!B$5=Pat!$C$25,1,0),IF('wk1'!B33=Pat!B$27,1,0)),1,0)+IF(AND(IF('wk1'!D$5=Pat!$C$25,1,0),IF('wk1'!C33=Pat!B$27,1,0)),1,0)+IF(AND(IF('wk1'!D$5=Pat!$C$25,1,0),IF('wk1'!D33=Pat!B$27,1,0)),1,0)+IF(AND(IF('wk1'!E$5=Pat!$C$25,1,0),IF('wk1'!E33=Pat!B$27,1,0)),1,0)+IF(AND(IF('wk1'!F$5=Pat!$C$25,1,0),IF('wk1'!F33=Pat!B$27,1,0)),1,0)+IF(AND(IF('wk1'!G$5=Pat!$C$25,1,0),IF('wk1'!G33=Pat!B$27,1,0)),1,0)</f>
        <v>0</v>
      </c>
      <c r="C51" s="91">
        <f>IF(AND(IF('wk1'!D$5=Pat!$C$25,1,0),IF('wk1'!C33=Pat!C$27,1,0)),1,0)+IF(AND(IF('wk1'!D$5=Pat!$C$25,1,0),IF('wk1'!D33=Pat!C$27,1,0)),1,0)+IF(AND(IF('wk1'!E$5=Pat!$C$25,1,0),IF('wk1'!E33=Pat!C$27,1,0)),1,0)+IF(AND(IF('wk1'!F$5=Pat!$C$25,1,0),IF('wk1'!F33=Pat!C$27,1,0)),1,0)+IF(AND(IF('wk1'!G$5=Pat!$C$25,1,0),IF('wk1'!G33=Pat!C$27,1,0)),1,0)+IF(AND(IF('wk1'!H$5=Pat!$C$25,1,0),IF('wk1'!H33=Pat!C$27,1,0)),1,0)+IF(AND(IF('wk1'!B$5=Pat!$C$25,1,0),IF('wk1'!B33=Pat!C$27,1,0)),1,0)</f>
        <v>0</v>
      </c>
      <c r="D51" s="90">
        <f>IF(AND(IF('wk2'!B$5=Pat!$C$25,1,0),IF('wk2'!B33=Pat!B$27,1,0)),1,0)+IF(AND(IF('wk2'!C$5=Pat!$C$25,1,0),IF('wk2'!C33=Pat!B$27,1,0)),1,0)+IF(AND(IF('wk2'!D$5=Pat!$C$25,1,0),IF('wk2'!D33=Pat!B$27,1,0)),1,0)+IF(AND(IF('wk2'!E$5=Pat!$C$25,1,0),IF('wk2'!E33=Pat!B$27,1,0)),1,0)+IF(AND(IF('wk2'!F$5=Pat!$C$25,1,0),IF('wk2'!F33=Pat!B$27,1,0)),1,0)+IF(AND(IF('wk2'!G$5=Pat!$C$25,1,0),IF('wk2'!G33=Pat!B$27,1,0)),1,0)</f>
        <v>0</v>
      </c>
      <c r="E51" s="91">
        <f>IF(AND(IF('wk2'!C$5=Pat!$C$25,1,0),IF('wk2'!C33=Pat!C$27,1,0)),1,0)+IF(AND(IF('wk2'!D$5=Pat!$C$25,1,0),IF('wk2'!D33=Pat!C$27,1,0)),1,0)+IF(AND(IF('wk2'!E$5=Pat!$C$25,1,0),IF('wk2'!E33=Pat!C$27,1,0)),1,0)+IF(AND(IF('wk2'!F$5=Pat!$C$25,1,0),IF('wk2'!F33=Pat!C$27,1,0)),1,0)+IF(AND(IF('wk2'!G$5=Pat!$C$25,1,0),IF('wk2'!G33=Pat!C$27,1,0)),1,0)+IF(AND(IF('wk2'!H$5=Pat!$C$25,1,0),IF('wk2'!H33=Pat!C$27,1,0)),1,0)+IF(AND(IF('wk2'!B$5=Pat!$C$25,1,0),IF('wk2'!B33=Pat!C$27,1,0)),1,0)</f>
        <v>0</v>
      </c>
      <c r="F51" s="90">
        <f>IF(AND(IF('wk3'!B$5=Pat!$C$25,1,0),IF('wk3'!B33=Pat!B$27,1,0)),1,0)+IF(AND(IF('wk3'!C$5=Pat!$C$25,1,0),IF('wk3'!C33=Pat!B$27,1,0)),1,0)+IF(AND(IF('wk3'!D$5=Pat!$C$25,1,0),IF('wk3'!D33=Pat!B$27,1,0)),1,0)+IF(AND(IF('wk3'!E$5=Pat!$C$25,1,0),IF('wk3'!E33=Pat!B$27,1,0)),1,0)+IF(AND(IF('wk3'!F$5=Pat!$C$25,1,0),IF('wk3'!F33=Pat!B$27,1,0)),1,0)+IF(AND(IF('wk3'!G$5=Pat!$C$25,1,0),IF('wk3'!G33=Pat!B$27,1,0)),1,0)</f>
        <v>0</v>
      </c>
      <c r="G51" s="91">
        <f>IF(AND(IF('wk3'!C$5=Pat!$C$25,1,0),IF('wk3'!C33=Pat!C$27,1,0)),1,0)+IF(AND(IF('wk3'!D$5=Pat!$C$25,1,0),IF('wk3'!D33=Pat!C$27,1,0)),1,0)+IF(AND(IF('wk3'!E$5=Pat!$C$25,1,0),IF('wk3'!E33=Pat!C$27,1,0)),1,0)+IF(AND(IF('wk3'!F$5=Pat!$C$25,1,0),IF('wk3'!F33=Pat!C$27,1,0)),1,0)+IF(AND(IF('wk3'!G$5=Pat!$C$25,1,0),IF('wk3'!G33=Pat!C$27,1,0)),1,0)+IF(AND(IF('wk3'!H$5=Pat!$C$25,1,0),IF('wk3'!H33=Pat!C$27,1,0)),1,0)+IF(AND(IF('wk3'!B$5=Pat!$C$25,1,0),IF('wk3'!B33=Pat!C$27,1,0)),1,0)</f>
        <v>0</v>
      </c>
      <c r="H51" s="90">
        <f>IF(AND(IF('wk4'!B$5=Pat!$C$25,1,0),IF('wk4'!B33=Pat!B$27,1,0)),1,0)+IF(AND(IF('wk4'!C$5=Pat!$C$25,1,0),IF('wk4'!C33=Pat!B$27,1,0)),1,0)+IF(AND(IF('wk4'!D$5=Pat!$C$25,1,0),IF('wk4'!D33=Pat!B$27,1,0)),1,0)+IF(AND(IF('wk4'!E$5=Pat!$C$25,1,0),IF('wk4'!E33=Pat!B$27,1,0)),1,0)+IF(AND(IF('wk4'!F$5=Pat!$C$25,1,0),IF('wk4'!F33=Pat!B$27,1,0)),1,0)+IF(AND(IF('wk4'!G$5=Pat!$C$25,1,0),IF('wk4'!G33=Pat!B$27,1,0)),1,0)</f>
        <v>0</v>
      </c>
      <c r="I51" s="91">
        <f>IF(AND(IF('wk4'!C$5=Pat!$C$25,1,0),IF('wk4'!C33=Pat!C$27,1,0)),1,0)+IF(AND(IF('wk4'!D$5=Pat!$C$25,1,0),IF('wk4'!D33=Pat!C$27,1,0)),1,0)+IF(AND(IF('wk4'!E$5=Pat!$C$25,1,0),IF('wk4'!E33=Pat!C$27,1,0)),1,0)+IF(AND(IF('wk4'!F$5=Pat!$C$25,1,0),IF('wk4'!F33=Pat!C$27,1,0)),1,0)+IF(AND(IF('wk4'!G$5=Pat!$C$25,1,0),IF('wk4'!G33=Pat!C$27,1,0)),1,0)+IF(AND(IF('wk4'!H$5=Pat!$C$25,1,0),IF('wk4'!H33=Pat!C$27,1,0)),1,0)+IF(AND(IF('wk4'!B$5=Pat!$C$25,1,0),IF('wk4'!B33=Pat!C$27,1,0)),1,0)</f>
        <v>0</v>
      </c>
      <c r="J51" s="92">
        <f>IF(AND(IF('wk5'!B$5=Pat!$C$25,1,0),IF('wk5'!B33=Pat!B$27,1,0)),1,0)+IF(AND(IF('wk5'!C$5=Pat!$C$25,1,0),IF('wk5'!C33=Pat!B$27,1,0)),1,0)+IF(AND(IF('wk5'!D$5=Pat!$C$25,1,0),IF('wk5'!D33=Pat!B$27,1,0)),1,0)+IF(AND(IF('wk5'!E$5=Pat!$C$25,1,0),IF('wk5'!E33=Pat!B$27,1,0)),1,0)+IF(AND(IF('wk5'!F$5=Pat!$C$25,1,0),IF('wk5'!F33=Pat!B$27,1,0)),1,0)+IF(AND(IF('wk5'!G$5=Pat!$C$25,1,0),IF('wk5'!G33=Pat!B$27,1,0)),1,0)</f>
        <v>0</v>
      </c>
      <c r="K51" s="93">
        <f>IF(AND(IF('wk5'!C$5=Pat!$C$25,1,0),IF('wk5'!C33=Pat!C$27,1,0)),1,0)+IF(AND(IF('wk5'!D$5=Pat!$C$25,1,0),IF('wk5'!D33=Pat!C$27,1,0)),1,0)+IF(AND(IF('wk5'!E$5=Pat!$C$25,1,0),IF('wk5'!E33=Pat!C$27,1,0)),1,0)+IF(AND(IF('wk5'!F$5=Pat!$C$25,1,0),IF('wk5'!F33=Pat!C$27,1,0)),1,0)+IF(AND(IF('wk5'!G$5=Pat!$C$25,1,0),IF('wk5'!G33=Pat!C$27,1,0)),1,0)+IF(AND(IF('wk5'!H$5=Pat!$C$25,1,0),IF('wk5'!H33=Pat!C$27,1,0)),1,0)+IF(AND(IF('wk5'!B$5=Pat!$C$25,1,0),IF('wk5'!B33=Pat!C$27,1,0)),1,0)</f>
        <v>0</v>
      </c>
      <c r="L51" s="87"/>
      <c r="M51" s="87">
        <f t="shared" si="0"/>
        <v>0</v>
      </c>
      <c r="N51" s="89">
        <f t="shared" si="1"/>
        <v>0</v>
      </c>
      <c r="P51" s="95"/>
      <c r="Q51" s="96"/>
    </row>
    <row r="52" spans="1:17" ht="13.5" thickBot="1">
      <c r="A52" s="86" t="str">
        <f>'Members Data'!A26</f>
        <v>Páula</v>
      </c>
      <c r="B52" s="90">
        <f>IF(AND(IF('wk1'!B$5=Pat!$C$25,1,0),IF('wk1'!B34=Pat!B$27,1,0)),1,0)+IF(AND(IF('wk1'!D$5=Pat!$C$25,1,0),IF('wk1'!C34=Pat!B$27,1,0)),1,0)+IF(AND(IF('wk1'!D$5=Pat!$C$25,1,0),IF('wk1'!D34=Pat!B$27,1,0)),1,0)+IF(AND(IF('wk1'!E$5=Pat!$C$25,1,0),IF('wk1'!E34=Pat!B$27,1,0)),1,0)+IF(AND(IF('wk1'!F$5=Pat!$C$25,1,0),IF('wk1'!F34=Pat!B$27,1,0)),1,0)+IF(AND(IF('wk1'!G$5=Pat!$C$25,1,0),IF('wk1'!G34=Pat!B$27,1,0)),1,0)</f>
        <v>0</v>
      </c>
      <c r="C52" s="91">
        <f>IF(AND(IF('wk1'!D$5=Pat!$C$25,1,0),IF('wk1'!C34=Pat!C$27,1,0)),1,0)+IF(AND(IF('wk1'!D$5=Pat!$C$25,1,0),IF('wk1'!D34=Pat!C$27,1,0)),1,0)+IF(AND(IF('wk1'!E$5=Pat!$C$25,1,0),IF('wk1'!E34=Pat!C$27,1,0)),1,0)+IF(AND(IF('wk1'!F$5=Pat!$C$25,1,0),IF('wk1'!F34=Pat!C$27,1,0)),1,0)+IF(AND(IF('wk1'!G$5=Pat!$C$25,1,0),IF('wk1'!G34=Pat!C$27,1,0)),1,0)+IF(AND(IF('wk1'!H$5=Pat!$C$25,1,0),IF('wk1'!H34=Pat!C$27,1,0)),1,0)+IF(AND(IF('wk1'!B$5=Pat!$C$25,1,0),IF('wk1'!B34=Pat!C$27,1,0)),1,0)</f>
        <v>0</v>
      </c>
      <c r="D52" s="90">
        <f>IF(AND(IF('wk2'!B$5=Pat!$C$25,1,0),IF('wk2'!B34=Pat!B$27,1,0)),1,0)+IF(AND(IF('wk2'!C$5=Pat!$C$25,1,0),IF('wk2'!C34=Pat!B$27,1,0)),1,0)+IF(AND(IF('wk2'!D$5=Pat!$C$25,1,0),IF('wk2'!D34=Pat!B$27,1,0)),1,0)+IF(AND(IF('wk2'!E$5=Pat!$C$25,1,0),IF('wk2'!E34=Pat!B$27,1,0)),1,0)+IF(AND(IF('wk2'!F$5=Pat!$C$25,1,0),IF('wk2'!F34=Pat!B$27,1,0)),1,0)+IF(AND(IF('wk2'!G$5=Pat!$C$25,1,0),IF('wk2'!G34=Pat!B$27,1,0)),1,0)</f>
        <v>0</v>
      </c>
      <c r="E52" s="91">
        <f>IF(AND(IF('wk2'!C$5=Pat!$C$25,1,0),IF('wk2'!C34=Pat!C$27,1,0)),1,0)+IF(AND(IF('wk2'!D$5=Pat!$C$25,1,0),IF('wk2'!D34=Pat!C$27,1,0)),1,0)+IF(AND(IF('wk2'!E$5=Pat!$C$25,1,0),IF('wk2'!E34=Pat!C$27,1,0)),1,0)+IF(AND(IF('wk2'!F$5=Pat!$C$25,1,0),IF('wk2'!F34=Pat!C$27,1,0)),1,0)+IF(AND(IF('wk2'!G$5=Pat!$C$25,1,0),IF('wk2'!G34=Pat!C$27,1,0)),1,0)+IF(AND(IF('wk2'!H$5=Pat!$C$25,1,0),IF('wk2'!H34=Pat!C$27,1,0)),1,0)+IF(AND(IF('wk2'!B$5=Pat!$C$25,1,0),IF('wk2'!B34=Pat!C$27,1,0)),1,0)</f>
        <v>0</v>
      </c>
      <c r="F52" s="90">
        <f>IF(AND(IF('wk3'!B$5=Pat!$C$25,1,0),IF('wk3'!B34=Pat!B$27,1,0)),1,0)+IF(AND(IF('wk3'!C$5=Pat!$C$25,1,0),IF('wk3'!C34=Pat!B$27,1,0)),1,0)+IF(AND(IF('wk3'!D$5=Pat!$C$25,1,0),IF('wk3'!D34=Pat!B$27,1,0)),1,0)+IF(AND(IF('wk3'!E$5=Pat!$C$25,1,0),IF('wk3'!E34=Pat!B$27,1,0)),1,0)+IF(AND(IF('wk3'!F$5=Pat!$C$25,1,0),IF('wk3'!F34=Pat!B$27,1,0)),1,0)+IF(AND(IF('wk3'!G$5=Pat!$C$25,1,0),IF('wk3'!G34=Pat!B$27,1,0)),1,0)</f>
        <v>0</v>
      </c>
      <c r="G52" s="91">
        <f>IF(AND(IF('wk3'!C$5=Pat!$C$25,1,0),IF('wk3'!C34=Pat!C$27,1,0)),1,0)+IF(AND(IF('wk3'!D$5=Pat!$C$25,1,0),IF('wk3'!D34=Pat!C$27,1,0)),1,0)+IF(AND(IF('wk3'!E$5=Pat!$C$25,1,0),IF('wk3'!E34=Pat!C$27,1,0)),1,0)+IF(AND(IF('wk3'!F$5=Pat!$C$25,1,0),IF('wk3'!F34=Pat!C$27,1,0)),1,0)+IF(AND(IF('wk3'!G$5=Pat!$C$25,1,0),IF('wk3'!G34=Pat!C$27,1,0)),1,0)+IF(AND(IF('wk3'!H$5=Pat!$C$25,1,0),IF('wk3'!H34=Pat!C$27,1,0)),1,0)+IF(AND(IF('wk3'!B$5=Pat!$C$25,1,0),IF('wk3'!B34=Pat!C$27,1,0)),1,0)</f>
        <v>0</v>
      </c>
      <c r="H52" s="90">
        <f>IF(AND(IF('wk4'!B$5=Pat!$C$25,1,0),IF('wk4'!B34=Pat!B$27,1,0)),1,0)+IF(AND(IF('wk4'!C$5=Pat!$C$25,1,0),IF('wk4'!C34=Pat!B$27,1,0)),1,0)+IF(AND(IF('wk4'!D$5=Pat!$C$25,1,0),IF('wk4'!D34=Pat!B$27,1,0)),1,0)+IF(AND(IF('wk4'!E$5=Pat!$C$25,1,0),IF('wk4'!E34=Pat!B$27,1,0)),1,0)+IF(AND(IF('wk4'!F$5=Pat!$C$25,1,0),IF('wk4'!F34=Pat!B$27,1,0)),1,0)+IF(AND(IF('wk4'!G$5=Pat!$C$25,1,0),IF('wk4'!G34=Pat!B$27,1,0)),1,0)</f>
        <v>0</v>
      </c>
      <c r="I52" s="91">
        <f>IF(AND(IF('wk4'!C$5=Pat!$C$25,1,0),IF('wk4'!C34=Pat!C$27,1,0)),1,0)+IF(AND(IF('wk4'!D$5=Pat!$C$25,1,0),IF('wk4'!D34=Pat!C$27,1,0)),1,0)+IF(AND(IF('wk4'!E$5=Pat!$C$25,1,0),IF('wk4'!E34=Pat!C$27,1,0)),1,0)+IF(AND(IF('wk4'!F$5=Pat!$C$25,1,0),IF('wk4'!F34=Pat!C$27,1,0)),1,0)+IF(AND(IF('wk4'!G$5=Pat!$C$25,1,0),IF('wk4'!G34=Pat!C$27,1,0)),1,0)+IF(AND(IF('wk4'!H$5=Pat!$C$25,1,0),IF('wk4'!H34=Pat!C$27,1,0)),1,0)+IF(AND(IF('wk4'!B$5=Pat!$C$25,1,0),IF('wk4'!B34=Pat!C$27,1,0)),1,0)</f>
        <v>0</v>
      </c>
      <c r="J52" s="92">
        <f>IF(AND(IF('wk5'!B$5=Pat!$C$25,1,0),IF('wk5'!B34=Pat!B$27,1,0)),1,0)+IF(AND(IF('wk5'!C$5=Pat!$C$25,1,0),IF('wk5'!C34=Pat!B$27,1,0)),1,0)+IF(AND(IF('wk5'!D$5=Pat!$C$25,1,0),IF('wk5'!D34=Pat!B$27,1,0)),1,0)+IF(AND(IF('wk5'!E$5=Pat!$C$25,1,0),IF('wk5'!E34=Pat!B$27,1,0)),1,0)+IF(AND(IF('wk5'!F$5=Pat!$C$25,1,0),IF('wk5'!F34=Pat!B$27,1,0)),1,0)+IF(AND(IF('wk5'!G$5=Pat!$C$25,1,0),IF('wk5'!G34=Pat!B$27,1,0)),1,0)</f>
        <v>0</v>
      </c>
      <c r="K52" s="93">
        <f>IF(AND(IF('wk5'!C$5=Pat!$C$25,1,0),IF('wk5'!C34=Pat!C$27,1,0)),1,0)+IF(AND(IF('wk5'!D$5=Pat!$C$25,1,0),IF('wk5'!D34=Pat!C$27,1,0)),1,0)+IF(AND(IF('wk5'!E$5=Pat!$C$25,1,0),IF('wk5'!E34=Pat!C$27,1,0)),1,0)+IF(AND(IF('wk5'!F$5=Pat!$C$25,1,0),IF('wk5'!F34=Pat!C$27,1,0)),1,0)+IF(AND(IF('wk5'!G$5=Pat!$C$25,1,0),IF('wk5'!G34=Pat!C$27,1,0)),1,0)+IF(AND(IF('wk5'!H$5=Pat!$C$25,1,0),IF('wk5'!H34=Pat!C$27,1,0)),1,0)+IF(AND(IF('wk5'!B$5=Pat!$C$25,1,0),IF('wk5'!B34=Pat!C$27,1,0)),1,0)</f>
        <v>0</v>
      </c>
      <c r="L52" s="87"/>
      <c r="M52" s="87">
        <f t="shared" si="0"/>
        <v>0</v>
      </c>
      <c r="N52" s="89">
        <f t="shared" si="1"/>
        <v>0</v>
      </c>
      <c r="P52" s="95"/>
      <c r="Q52" s="96"/>
    </row>
    <row r="53" spans="1:17" ht="13.5" thickBot="1">
      <c r="A53" s="86" t="str">
        <f>'Members Data'!A27</f>
        <v>Quemzar</v>
      </c>
      <c r="B53" s="90">
        <f>IF(AND(IF('wk1'!B$5=Pat!$C$25,1,0),IF('wk1'!B35=Pat!B$27,1,0)),1,0)+IF(AND(IF('wk1'!D$5=Pat!$C$25,1,0),IF('wk1'!C35=Pat!B$27,1,0)),1,0)+IF(AND(IF('wk1'!D$5=Pat!$C$25,1,0),IF('wk1'!D35=Pat!B$27,1,0)),1,0)+IF(AND(IF('wk1'!E$5=Pat!$C$25,1,0),IF('wk1'!E35=Pat!B$27,1,0)),1,0)+IF(AND(IF('wk1'!F$5=Pat!$C$25,1,0),IF('wk1'!F35=Pat!B$27,1,0)),1,0)+IF(AND(IF('wk1'!G$5=Pat!$C$25,1,0),IF('wk1'!G35=Pat!B$27,1,0)),1,0)</f>
        <v>0</v>
      </c>
      <c r="C53" s="91">
        <f>IF(AND(IF('wk1'!D$5=Pat!$C$25,1,0),IF('wk1'!C35=Pat!C$27,1,0)),1,0)+IF(AND(IF('wk1'!D$5=Pat!$C$25,1,0),IF('wk1'!D35=Pat!C$27,1,0)),1,0)+IF(AND(IF('wk1'!E$5=Pat!$C$25,1,0),IF('wk1'!E35=Pat!C$27,1,0)),1,0)+IF(AND(IF('wk1'!F$5=Pat!$C$25,1,0),IF('wk1'!F35=Pat!C$27,1,0)),1,0)+IF(AND(IF('wk1'!G$5=Pat!$C$25,1,0),IF('wk1'!G35=Pat!C$27,1,0)),1,0)+IF(AND(IF('wk1'!H$5=Pat!$C$25,1,0),IF('wk1'!H35=Pat!C$27,1,0)),1,0)+IF(AND(IF('wk1'!B$5=Pat!$C$25,1,0),IF('wk1'!B35=Pat!C$27,1,0)),1,0)</f>
        <v>0</v>
      </c>
      <c r="D53" s="90">
        <f>IF(AND(IF('wk2'!B$5=Pat!$C$25,1,0),IF('wk2'!B35=Pat!B$27,1,0)),1,0)+IF(AND(IF('wk2'!C$5=Pat!$C$25,1,0),IF('wk2'!C35=Pat!B$27,1,0)),1,0)+IF(AND(IF('wk2'!D$5=Pat!$C$25,1,0),IF('wk2'!D35=Pat!B$27,1,0)),1,0)+IF(AND(IF('wk2'!E$5=Pat!$C$25,1,0),IF('wk2'!E35=Pat!B$27,1,0)),1,0)+IF(AND(IF('wk2'!F$5=Pat!$C$25,1,0),IF('wk2'!F35=Pat!B$27,1,0)),1,0)+IF(AND(IF('wk2'!G$5=Pat!$C$25,1,0),IF('wk2'!G35=Pat!B$27,1,0)),1,0)</f>
        <v>0</v>
      </c>
      <c r="E53" s="91">
        <f>IF(AND(IF('wk2'!C$5=Pat!$C$25,1,0),IF('wk2'!C35=Pat!C$27,1,0)),1,0)+IF(AND(IF('wk2'!D$5=Pat!$C$25,1,0),IF('wk2'!D35=Pat!C$27,1,0)),1,0)+IF(AND(IF('wk2'!E$5=Pat!$C$25,1,0),IF('wk2'!E35=Pat!C$27,1,0)),1,0)+IF(AND(IF('wk2'!F$5=Pat!$C$25,1,0),IF('wk2'!F35=Pat!C$27,1,0)),1,0)+IF(AND(IF('wk2'!G$5=Pat!$C$25,1,0),IF('wk2'!G35=Pat!C$27,1,0)),1,0)+IF(AND(IF('wk2'!H$5=Pat!$C$25,1,0),IF('wk2'!H35=Pat!C$27,1,0)),1,0)+IF(AND(IF('wk2'!B$5=Pat!$C$25,1,0),IF('wk2'!B35=Pat!C$27,1,0)),1,0)</f>
        <v>0</v>
      </c>
      <c r="F53" s="90">
        <f>IF(AND(IF('wk3'!B$5=Pat!$C$25,1,0),IF('wk3'!B35=Pat!B$27,1,0)),1,0)+IF(AND(IF('wk3'!C$5=Pat!$C$25,1,0),IF('wk3'!C35=Pat!B$27,1,0)),1,0)+IF(AND(IF('wk3'!D$5=Pat!$C$25,1,0),IF('wk3'!D35=Pat!B$27,1,0)),1,0)+IF(AND(IF('wk3'!E$5=Pat!$C$25,1,0),IF('wk3'!E35=Pat!B$27,1,0)),1,0)+IF(AND(IF('wk3'!F$5=Pat!$C$25,1,0),IF('wk3'!F35=Pat!B$27,1,0)),1,0)+IF(AND(IF('wk3'!G$5=Pat!$C$25,1,0),IF('wk3'!G35=Pat!B$27,1,0)),1,0)</f>
        <v>0</v>
      </c>
      <c r="G53" s="91">
        <f>IF(AND(IF('wk3'!C$5=Pat!$C$25,1,0),IF('wk3'!C35=Pat!C$27,1,0)),1,0)+IF(AND(IF('wk3'!D$5=Pat!$C$25,1,0),IF('wk3'!D35=Pat!C$27,1,0)),1,0)+IF(AND(IF('wk3'!E$5=Pat!$C$25,1,0),IF('wk3'!E35=Pat!C$27,1,0)),1,0)+IF(AND(IF('wk3'!F$5=Pat!$C$25,1,0),IF('wk3'!F35=Pat!C$27,1,0)),1,0)+IF(AND(IF('wk3'!G$5=Pat!$C$25,1,0),IF('wk3'!G35=Pat!C$27,1,0)),1,0)+IF(AND(IF('wk3'!H$5=Pat!$C$25,1,0),IF('wk3'!H35=Pat!C$27,1,0)),1,0)+IF(AND(IF('wk3'!B$5=Pat!$C$25,1,0),IF('wk3'!B35=Pat!C$27,1,0)),1,0)</f>
        <v>0</v>
      </c>
      <c r="H53" s="90">
        <f>IF(AND(IF('wk4'!B$5=Pat!$C$25,1,0),IF('wk4'!B35=Pat!B$27,1,0)),1,0)+IF(AND(IF('wk4'!C$5=Pat!$C$25,1,0),IF('wk4'!C35=Pat!B$27,1,0)),1,0)+IF(AND(IF('wk4'!D$5=Pat!$C$25,1,0),IF('wk4'!D35=Pat!B$27,1,0)),1,0)+IF(AND(IF('wk4'!E$5=Pat!$C$25,1,0),IF('wk4'!E35=Pat!B$27,1,0)),1,0)+IF(AND(IF('wk4'!F$5=Pat!$C$25,1,0),IF('wk4'!F35=Pat!B$27,1,0)),1,0)+IF(AND(IF('wk4'!G$5=Pat!$C$25,1,0),IF('wk4'!G35=Pat!B$27,1,0)),1,0)</f>
        <v>0</v>
      </c>
      <c r="I53" s="91">
        <f>IF(AND(IF('wk4'!C$5=Pat!$C$25,1,0),IF('wk4'!C35=Pat!C$27,1,0)),1,0)+IF(AND(IF('wk4'!D$5=Pat!$C$25,1,0),IF('wk4'!D35=Pat!C$27,1,0)),1,0)+IF(AND(IF('wk4'!E$5=Pat!$C$25,1,0),IF('wk4'!E35=Pat!C$27,1,0)),1,0)+IF(AND(IF('wk4'!F$5=Pat!$C$25,1,0),IF('wk4'!F35=Pat!C$27,1,0)),1,0)+IF(AND(IF('wk4'!G$5=Pat!$C$25,1,0),IF('wk4'!G35=Pat!C$27,1,0)),1,0)+IF(AND(IF('wk4'!H$5=Pat!$C$25,1,0),IF('wk4'!H35=Pat!C$27,1,0)),1,0)+IF(AND(IF('wk4'!B$5=Pat!$C$25,1,0),IF('wk4'!B35=Pat!C$27,1,0)),1,0)</f>
        <v>0</v>
      </c>
      <c r="J53" s="92">
        <f>IF(AND(IF('wk5'!B$5=Pat!$C$25,1,0),IF('wk5'!B35=Pat!B$27,1,0)),1,0)+IF(AND(IF('wk5'!C$5=Pat!$C$25,1,0),IF('wk5'!C35=Pat!B$27,1,0)),1,0)+IF(AND(IF('wk5'!D$5=Pat!$C$25,1,0),IF('wk5'!D35=Pat!B$27,1,0)),1,0)+IF(AND(IF('wk5'!E$5=Pat!$C$25,1,0),IF('wk5'!E35=Pat!B$27,1,0)),1,0)+IF(AND(IF('wk5'!F$5=Pat!$C$25,1,0),IF('wk5'!F35=Pat!B$27,1,0)),1,0)+IF(AND(IF('wk5'!G$5=Pat!$C$25,1,0),IF('wk5'!G35=Pat!B$27,1,0)),1,0)</f>
        <v>0</v>
      </c>
      <c r="K53" s="93">
        <f>IF(AND(IF('wk5'!C$5=Pat!$C$25,1,0),IF('wk5'!C35=Pat!C$27,1,0)),1,0)+IF(AND(IF('wk5'!D$5=Pat!$C$25,1,0),IF('wk5'!D35=Pat!C$27,1,0)),1,0)+IF(AND(IF('wk5'!E$5=Pat!$C$25,1,0),IF('wk5'!E35=Pat!C$27,1,0)),1,0)+IF(AND(IF('wk5'!F$5=Pat!$C$25,1,0),IF('wk5'!F35=Pat!C$27,1,0)),1,0)+IF(AND(IF('wk5'!G$5=Pat!$C$25,1,0),IF('wk5'!G35=Pat!C$27,1,0)),1,0)+IF(AND(IF('wk5'!H$5=Pat!$C$25,1,0),IF('wk5'!H35=Pat!C$27,1,0)),1,0)+IF(AND(IF('wk5'!B$5=Pat!$C$25,1,0),IF('wk5'!B35=Pat!C$27,1,0)),1,0)</f>
        <v>0</v>
      </c>
      <c r="L53" s="87"/>
      <c r="M53" s="87">
        <f t="shared" si="0"/>
        <v>0</v>
      </c>
      <c r="N53" s="89">
        <f t="shared" si="1"/>
        <v>0</v>
      </c>
      <c r="P53" s="95"/>
      <c r="Q53" s="96"/>
    </row>
    <row r="54" spans="1:17" ht="13.5" thickBot="1">
      <c r="A54" s="86" t="str">
        <f>'Members Data'!A28</f>
        <v>Rahwin</v>
      </c>
      <c r="B54" s="90">
        <f>IF(AND(IF('wk1'!B$5=Pat!$C$25,1,0),IF('wk1'!B36=Pat!B$27,1,0)),1,0)+IF(AND(IF('wk1'!D$5=Pat!$C$25,1,0),IF('wk1'!C36=Pat!B$27,1,0)),1,0)+IF(AND(IF('wk1'!D$5=Pat!$C$25,1,0),IF('wk1'!D36=Pat!B$27,1,0)),1,0)+IF(AND(IF('wk1'!E$5=Pat!$C$25,1,0),IF('wk1'!E36=Pat!B$27,1,0)),1,0)+IF(AND(IF('wk1'!F$5=Pat!$C$25,1,0),IF('wk1'!F36=Pat!B$27,1,0)),1,0)+IF(AND(IF('wk1'!G$5=Pat!$C$25,1,0),IF('wk1'!G36=Pat!B$27,1,0)),1,0)</f>
        <v>0</v>
      </c>
      <c r="C54" s="91">
        <f>IF(AND(IF('wk1'!D$5=Pat!$C$25,1,0),IF('wk1'!C36=Pat!C$27,1,0)),1,0)+IF(AND(IF('wk1'!D$5=Pat!$C$25,1,0),IF('wk1'!D36=Pat!C$27,1,0)),1,0)+IF(AND(IF('wk1'!E$5=Pat!$C$25,1,0),IF('wk1'!E36=Pat!C$27,1,0)),1,0)+IF(AND(IF('wk1'!F$5=Pat!$C$25,1,0),IF('wk1'!F36=Pat!C$27,1,0)),1,0)+IF(AND(IF('wk1'!G$5=Pat!$C$25,1,0),IF('wk1'!G36=Pat!C$27,1,0)),1,0)+IF(AND(IF('wk1'!H$5=Pat!$C$25,1,0),IF('wk1'!H36=Pat!C$27,1,0)),1,0)+IF(AND(IF('wk1'!B$5=Pat!$C$25,1,0),IF('wk1'!B36=Pat!C$27,1,0)),1,0)</f>
        <v>0</v>
      </c>
      <c r="D54" s="90">
        <f>IF(AND(IF('wk2'!B$5=Pat!$C$25,1,0),IF('wk2'!B36=Pat!B$27,1,0)),1,0)+IF(AND(IF('wk2'!C$5=Pat!$C$25,1,0),IF('wk2'!C36=Pat!B$27,1,0)),1,0)+IF(AND(IF('wk2'!D$5=Pat!$C$25,1,0),IF('wk2'!D36=Pat!B$27,1,0)),1,0)+IF(AND(IF('wk2'!E$5=Pat!$C$25,1,0),IF('wk2'!E36=Pat!B$27,1,0)),1,0)+IF(AND(IF('wk2'!F$5=Pat!$C$25,1,0),IF('wk2'!F36=Pat!B$27,1,0)),1,0)+IF(AND(IF('wk2'!G$5=Pat!$C$25,1,0),IF('wk2'!G36=Pat!B$27,1,0)),1,0)</f>
        <v>0</v>
      </c>
      <c r="E54" s="91">
        <f>IF(AND(IF('wk2'!C$5=Pat!$C$25,1,0),IF('wk2'!C36=Pat!C$27,1,0)),1,0)+IF(AND(IF('wk2'!D$5=Pat!$C$25,1,0),IF('wk2'!D36=Pat!C$27,1,0)),1,0)+IF(AND(IF('wk2'!E$5=Pat!$C$25,1,0),IF('wk2'!E36=Pat!C$27,1,0)),1,0)+IF(AND(IF('wk2'!F$5=Pat!$C$25,1,0),IF('wk2'!F36=Pat!C$27,1,0)),1,0)+IF(AND(IF('wk2'!G$5=Pat!$C$25,1,0),IF('wk2'!G36=Pat!C$27,1,0)),1,0)+IF(AND(IF('wk2'!H$5=Pat!$C$25,1,0),IF('wk2'!H36=Pat!C$27,1,0)),1,0)+IF(AND(IF('wk2'!B$5=Pat!$C$25,1,0),IF('wk2'!B36=Pat!C$27,1,0)),1,0)</f>
        <v>0</v>
      </c>
      <c r="F54" s="90">
        <f>IF(AND(IF('wk3'!B$5=Pat!$C$25,1,0),IF('wk3'!B36=Pat!B$27,1,0)),1,0)+IF(AND(IF('wk3'!C$5=Pat!$C$25,1,0),IF('wk3'!C36=Pat!B$27,1,0)),1,0)+IF(AND(IF('wk3'!D$5=Pat!$C$25,1,0),IF('wk3'!D36=Pat!B$27,1,0)),1,0)+IF(AND(IF('wk3'!E$5=Pat!$C$25,1,0),IF('wk3'!E36=Pat!B$27,1,0)),1,0)+IF(AND(IF('wk3'!F$5=Pat!$C$25,1,0),IF('wk3'!F36=Pat!B$27,1,0)),1,0)+IF(AND(IF('wk3'!G$5=Pat!$C$25,1,0),IF('wk3'!G36=Pat!B$27,1,0)),1,0)</f>
        <v>0</v>
      </c>
      <c r="G54" s="91">
        <f>IF(AND(IF('wk3'!C$5=Pat!$C$25,1,0),IF('wk3'!C36=Pat!C$27,1,0)),1,0)+IF(AND(IF('wk3'!D$5=Pat!$C$25,1,0),IF('wk3'!D36=Pat!C$27,1,0)),1,0)+IF(AND(IF('wk3'!E$5=Pat!$C$25,1,0),IF('wk3'!E36=Pat!C$27,1,0)),1,0)+IF(AND(IF('wk3'!F$5=Pat!$C$25,1,0),IF('wk3'!F36=Pat!C$27,1,0)),1,0)+IF(AND(IF('wk3'!G$5=Pat!$C$25,1,0),IF('wk3'!G36=Pat!C$27,1,0)),1,0)+IF(AND(IF('wk3'!H$5=Pat!$C$25,1,0),IF('wk3'!H36=Pat!C$27,1,0)),1,0)+IF(AND(IF('wk3'!B$5=Pat!$C$25,1,0),IF('wk3'!B36=Pat!C$27,1,0)),1,0)</f>
        <v>0</v>
      </c>
      <c r="H54" s="90">
        <f>IF(AND(IF('wk4'!B$5=Pat!$C$25,1,0),IF('wk4'!B36=Pat!B$27,1,0)),1,0)+IF(AND(IF('wk4'!C$5=Pat!$C$25,1,0),IF('wk4'!C36=Pat!B$27,1,0)),1,0)+IF(AND(IF('wk4'!D$5=Pat!$C$25,1,0),IF('wk4'!D36=Pat!B$27,1,0)),1,0)+IF(AND(IF('wk4'!E$5=Pat!$C$25,1,0),IF('wk4'!E36=Pat!B$27,1,0)),1,0)+IF(AND(IF('wk4'!F$5=Pat!$C$25,1,0),IF('wk4'!F36=Pat!B$27,1,0)),1,0)+IF(AND(IF('wk4'!G$5=Pat!$C$25,1,0),IF('wk4'!G36=Pat!B$27,1,0)),1,0)</f>
        <v>0</v>
      </c>
      <c r="I54" s="91">
        <f>IF(AND(IF('wk4'!C$5=Pat!$C$25,1,0),IF('wk4'!C36=Pat!C$27,1,0)),1,0)+IF(AND(IF('wk4'!D$5=Pat!$C$25,1,0),IF('wk4'!D36=Pat!C$27,1,0)),1,0)+IF(AND(IF('wk4'!E$5=Pat!$C$25,1,0),IF('wk4'!E36=Pat!C$27,1,0)),1,0)+IF(AND(IF('wk4'!F$5=Pat!$C$25,1,0),IF('wk4'!F36=Pat!C$27,1,0)),1,0)+IF(AND(IF('wk4'!G$5=Pat!$C$25,1,0),IF('wk4'!G36=Pat!C$27,1,0)),1,0)+IF(AND(IF('wk4'!H$5=Pat!$C$25,1,0),IF('wk4'!H36=Pat!C$27,1,0)),1,0)+IF(AND(IF('wk4'!B$5=Pat!$C$25,1,0),IF('wk4'!B36=Pat!C$27,1,0)),1,0)</f>
        <v>0</v>
      </c>
      <c r="J54" s="92">
        <f>IF(AND(IF('wk5'!B$5=Pat!$C$25,1,0),IF('wk5'!B36=Pat!B$27,1,0)),1,0)+IF(AND(IF('wk5'!C$5=Pat!$C$25,1,0),IF('wk5'!C36=Pat!B$27,1,0)),1,0)+IF(AND(IF('wk5'!D$5=Pat!$C$25,1,0),IF('wk5'!D36=Pat!B$27,1,0)),1,0)+IF(AND(IF('wk5'!E$5=Pat!$C$25,1,0),IF('wk5'!E36=Pat!B$27,1,0)),1,0)+IF(AND(IF('wk5'!F$5=Pat!$C$25,1,0),IF('wk5'!F36=Pat!B$27,1,0)),1,0)+IF(AND(IF('wk5'!G$5=Pat!$C$25,1,0),IF('wk5'!G36=Pat!B$27,1,0)),1,0)</f>
        <v>0</v>
      </c>
      <c r="K54" s="93">
        <f>IF(AND(IF('wk5'!C$5=Pat!$C$25,1,0),IF('wk5'!C36=Pat!C$27,1,0)),1,0)+IF(AND(IF('wk5'!D$5=Pat!$C$25,1,0),IF('wk5'!D36=Pat!C$27,1,0)),1,0)+IF(AND(IF('wk5'!E$5=Pat!$C$25,1,0),IF('wk5'!E36=Pat!C$27,1,0)),1,0)+IF(AND(IF('wk5'!F$5=Pat!$C$25,1,0),IF('wk5'!F36=Pat!C$27,1,0)),1,0)+IF(AND(IF('wk5'!G$5=Pat!$C$25,1,0),IF('wk5'!G36=Pat!C$27,1,0)),1,0)+IF(AND(IF('wk5'!H$5=Pat!$C$25,1,0),IF('wk5'!H36=Pat!C$27,1,0)),1,0)+IF(AND(IF('wk5'!B$5=Pat!$C$25,1,0),IF('wk5'!B36=Pat!C$27,1,0)),1,0)</f>
        <v>0</v>
      </c>
      <c r="L54" s="87"/>
      <c r="M54" s="87">
        <f t="shared" si="0"/>
        <v>0</v>
      </c>
      <c r="N54" s="89">
        <f t="shared" si="1"/>
        <v>0</v>
      </c>
      <c r="P54" s="95"/>
      <c r="Q54" s="96"/>
    </row>
    <row r="55" spans="1:17" ht="13.5" thickBot="1">
      <c r="A55" s="86" t="str">
        <f>'Members Data'!A29</f>
        <v>Raiyn</v>
      </c>
      <c r="B55" s="90">
        <f>IF(AND(IF('wk1'!B$5=Pat!$C$25,1,0),IF('wk1'!B37=Pat!B$27,1,0)),1,0)+IF(AND(IF('wk1'!D$5=Pat!$C$25,1,0),IF('wk1'!C37=Pat!B$27,1,0)),1,0)+IF(AND(IF('wk1'!D$5=Pat!$C$25,1,0),IF('wk1'!D37=Pat!B$27,1,0)),1,0)+IF(AND(IF('wk1'!E$5=Pat!$C$25,1,0),IF('wk1'!E37=Pat!B$27,1,0)),1,0)+IF(AND(IF('wk1'!F$5=Pat!$C$25,1,0),IF('wk1'!F37=Pat!B$27,1,0)),1,0)+IF(AND(IF('wk1'!G$5=Pat!$C$25,1,0),IF('wk1'!G37=Pat!B$27,1,0)),1,0)</f>
        <v>0</v>
      </c>
      <c r="C55" s="91">
        <f>IF(AND(IF('wk1'!D$5=Pat!$C$25,1,0),IF('wk1'!C37=Pat!C$27,1,0)),1,0)+IF(AND(IF('wk1'!D$5=Pat!$C$25,1,0),IF('wk1'!D37=Pat!C$27,1,0)),1,0)+IF(AND(IF('wk1'!E$5=Pat!$C$25,1,0),IF('wk1'!E37=Pat!C$27,1,0)),1,0)+IF(AND(IF('wk1'!F$5=Pat!$C$25,1,0),IF('wk1'!F37=Pat!C$27,1,0)),1,0)+IF(AND(IF('wk1'!G$5=Pat!$C$25,1,0),IF('wk1'!G37=Pat!C$27,1,0)),1,0)+IF(AND(IF('wk1'!H$5=Pat!$C$25,1,0),IF('wk1'!H37=Pat!C$27,1,0)),1,0)+IF(AND(IF('wk1'!B$5=Pat!$C$25,1,0),IF('wk1'!B37=Pat!C$27,1,0)),1,0)</f>
        <v>0</v>
      </c>
      <c r="D55" s="90">
        <f>IF(AND(IF('wk2'!B$5=Pat!$C$25,1,0),IF('wk2'!B37=Pat!B$27,1,0)),1,0)+IF(AND(IF('wk2'!C$5=Pat!$C$25,1,0),IF('wk2'!C37=Pat!B$27,1,0)),1,0)+IF(AND(IF('wk2'!D$5=Pat!$C$25,1,0),IF('wk2'!D37=Pat!B$27,1,0)),1,0)+IF(AND(IF('wk2'!E$5=Pat!$C$25,1,0),IF('wk2'!E37=Pat!B$27,1,0)),1,0)+IF(AND(IF('wk2'!F$5=Pat!$C$25,1,0),IF('wk2'!F37=Pat!B$27,1,0)),1,0)+IF(AND(IF('wk2'!G$5=Pat!$C$25,1,0),IF('wk2'!G37=Pat!B$27,1,0)),1,0)</f>
        <v>0</v>
      </c>
      <c r="E55" s="91">
        <f>IF(AND(IF('wk2'!C$5=Pat!$C$25,1,0),IF('wk2'!C37=Pat!C$27,1,0)),1,0)+IF(AND(IF('wk2'!D$5=Pat!$C$25,1,0),IF('wk2'!D37=Pat!C$27,1,0)),1,0)+IF(AND(IF('wk2'!E$5=Pat!$C$25,1,0),IF('wk2'!E37=Pat!C$27,1,0)),1,0)+IF(AND(IF('wk2'!F$5=Pat!$C$25,1,0),IF('wk2'!F37=Pat!C$27,1,0)),1,0)+IF(AND(IF('wk2'!G$5=Pat!$C$25,1,0),IF('wk2'!G37=Pat!C$27,1,0)),1,0)+IF(AND(IF('wk2'!H$5=Pat!$C$25,1,0),IF('wk2'!H37=Pat!C$27,1,0)),1,0)+IF(AND(IF('wk2'!B$5=Pat!$C$25,1,0),IF('wk2'!B37=Pat!C$27,1,0)),1,0)</f>
        <v>0</v>
      </c>
      <c r="F55" s="90">
        <f>IF(AND(IF('wk3'!B$5=Pat!$C$25,1,0),IF('wk3'!B37=Pat!B$27,1,0)),1,0)+IF(AND(IF('wk3'!C$5=Pat!$C$25,1,0),IF('wk3'!C37=Pat!B$27,1,0)),1,0)+IF(AND(IF('wk3'!D$5=Pat!$C$25,1,0),IF('wk3'!D37=Pat!B$27,1,0)),1,0)+IF(AND(IF('wk3'!E$5=Pat!$C$25,1,0),IF('wk3'!E37=Pat!B$27,1,0)),1,0)+IF(AND(IF('wk3'!F$5=Pat!$C$25,1,0),IF('wk3'!F37=Pat!B$27,1,0)),1,0)+IF(AND(IF('wk3'!G$5=Pat!$C$25,1,0),IF('wk3'!G37=Pat!B$27,1,0)),1,0)</f>
        <v>0</v>
      </c>
      <c r="G55" s="91">
        <f>IF(AND(IF('wk3'!C$5=Pat!$C$25,1,0),IF('wk3'!C37=Pat!C$27,1,0)),1,0)+IF(AND(IF('wk3'!D$5=Pat!$C$25,1,0),IF('wk3'!D37=Pat!C$27,1,0)),1,0)+IF(AND(IF('wk3'!E$5=Pat!$C$25,1,0),IF('wk3'!E37=Pat!C$27,1,0)),1,0)+IF(AND(IF('wk3'!F$5=Pat!$C$25,1,0),IF('wk3'!F37=Pat!C$27,1,0)),1,0)+IF(AND(IF('wk3'!G$5=Pat!$C$25,1,0),IF('wk3'!G37=Pat!C$27,1,0)),1,0)+IF(AND(IF('wk3'!H$5=Pat!$C$25,1,0),IF('wk3'!H37=Pat!C$27,1,0)),1,0)+IF(AND(IF('wk3'!B$5=Pat!$C$25,1,0),IF('wk3'!B37=Pat!C$27,1,0)),1,0)</f>
        <v>0</v>
      </c>
      <c r="H55" s="90">
        <f>IF(AND(IF('wk4'!B$5=Pat!$C$25,1,0),IF('wk4'!B37=Pat!B$27,1,0)),1,0)+IF(AND(IF('wk4'!C$5=Pat!$C$25,1,0),IF('wk4'!C37=Pat!B$27,1,0)),1,0)+IF(AND(IF('wk4'!D$5=Pat!$C$25,1,0),IF('wk4'!D37=Pat!B$27,1,0)),1,0)+IF(AND(IF('wk4'!E$5=Pat!$C$25,1,0),IF('wk4'!E37=Pat!B$27,1,0)),1,0)+IF(AND(IF('wk4'!F$5=Pat!$C$25,1,0),IF('wk4'!F37=Pat!B$27,1,0)),1,0)+IF(AND(IF('wk4'!G$5=Pat!$C$25,1,0),IF('wk4'!G37=Pat!B$27,1,0)),1,0)</f>
        <v>0</v>
      </c>
      <c r="I55" s="91">
        <f>IF(AND(IF('wk4'!C$5=Pat!$C$25,1,0),IF('wk4'!C37=Pat!C$27,1,0)),1,0)+IF(AND(IF('wk4'!D$5=Pat!$C$25,1,0),IF('wk4'!D37=Pat!C$27,1,0)),1,0)+IF(AND(IF('wk4'!E$5=Pat!$C$25,1,0),IF('wk4'!E37=Pat!C$27,1,0)),1,0)+IF(AND(IF('wk4'!F$5=Pat!$C$25,1,0),IF('wk4'!F37=Pat!C$27,1,0)),1,0)+IF(AND(IF('wk4'!G$5=Pat!$C$25,1,0),IF('wk4'!G37=Pat!C$27,1,0)),1,0)+IF(AND(IF('wk4'!H$5=Pat!$C$25,1,0),IF('wk4'!H37=Pat!C$27,1,0)),1,0)+IF(AND(IF('wk4'!B$5=Pat!$C$25,1,0),IF('wk4'!B37=Pat!C$27,1,0)),1,0)</f>
        <v>0</v>
      </c>
      <c r="J55" s="92">
        <f>IF(AND(IF('wk5'!B$5=Pat!$C$25,1,0),IF('wk5'!B37=Pat!B$27,1,0)),1,0)+IF(AND(IF('wk5'!C$5=Pat!$C$25,1,0),IF('wk5'!C37=Pat!B$27,1,0)),1,0)+IF(AND(IF('wk5'!D$5=Pat!$C$25,1,0),IF('wk5'!D37=Pat!B$27,1,0)),1,0)+IF(AND(IF('wk5'!E$5=Pat!$C$25,1,0),IF('wk5'!E37=Pat!B$27,1,0)),1,0)+IF(AND(IF('wk5'!F$5=Pat!$C$25,1,0),IF('wk5'!F37=Pat!B$27,1,0)),1,0)+IF(AND(IF('wk5'!G$5=Pat!$C$25,1,0),IF('wk5'!G37=Pat!B$27,1,0)),1,0)</f>
        <v>0</v>
      </c>
      <c r="K55" s="93">
        <f>IF(AND(IF('wk5'!C$5=Pat!$C$25,1,0),IF('wk5'!C37=Pat!C$27,1,0)),1,0)+IF(AND(IF('wk5'!D$5=Pat!$C$25,1,0),IF('wk5'!D37=Pat!C$27,1,0)),1,0)+IF(AND(IF('wk5'!E$5=Pat!$C$25,1,0),IF('wk5'!E37=Pat!C$27,1,0)),1,0)+IF(AND(IF('wk5'!F$5=Pat!$C$25,1,0),IF('wk5'!F37=Pat!C$27,1,0)),1,0)+IF(AND(IF('wk5'!G$5=Pat!$C$25,1,0),IF('wk5'!G37=Pat!C$27,1,0)),1,0)+IF(AND(IF('wk5'!H$5=Pat!$C$25,1,0),IF('wk5'!H37=Pat!C$27,1,0)),1,0)+IF(AND(IF('wk5'!B$5=Pat!$C$25,1,0),IF('wk5'!B37=Pat!C$27,1,0)),1,0)</f>
        <v>0</v>
      </c>
      <c r="L55" s="87"/>
      <c r="M55" s="87">
        <f t="shared" si="0"/>
        <v>0</v>
      </c>
      <c r="N55" s="89">
        <f t="shared" si="1"/>
        <v>0</v>
      </c>
      <c r="P55" s="95"/>
      <c r="Q55" s="81"/>
    </row>
    <row r="56" spans="1:17" ht="13.5" thickBot="1">
      <c r="A56" s="86" t="str">
        <f>'Members Data'!A30</f>
        <v>Rokthrol</v>
      </c>
      <c r="B56" s="90">
        <f>IF(AND(IF('wk1'!B$5=Pat!$C$25,1,0),IF('wk1'!B38=Pat!B$27,1,0)),1,0)+IF(AND(IF('wk1'!D$5=Pat!$C$25,1,0),IF('wk1'!C38=Pat!B$27,1,0)),1,0)+IF(AND(IF('wk1'!D$5=Pat!$C$25,1,0),IF('wk1'!D38=Pat!B$27,1,0)),1,0)+IF(AND(IF('wk1'!E$5=Pat!$C$25,1,0),IF('wk1'!E38=Pat!B$27,1,0)),1,0)+IF(AND(IF('wk1'!F$5=Pat!$C$25,1,0),IF('wk1'!F38=Pat!B$27,1,0)),1,0)+IF(AND(IF('wk1'!G$5=Pat!$C$25,1,0),IF('wk1'!G38=Pat!B$27,1,0)),1,0)</f>
        <v>0</v>
      </c>
      <c r="C56" s="91">
        <f>IF(AND(IF('wk1'!D$5=Pat!$C$25,1,0),IF('wk1'!C38=Pat!C$27,1,0)),1,0)+IF(AND(IF('wk1'!D$5=Pat!$C$25,1,0),IF('wk1'!D38=Pat!C$27,1,0)),1,0)+IF(AND(IF('wk1'!E$5=Pat!$C$25,1,0),IF('wk1'!E38=Pat!C$27,1,0)),1,0)+IF(AND(IF('wk1'!F$5=Pat!$C$25,1,0),IF('wk1'!F38=Pat!C$27,1,0)),1,0)+IF(AND(IF('wk1'!G$5=Pat!$C$25,1,0),IF('wk1'!G38=Pat!C$27,1,0)),1,0)+IF(AND(IF('wk1'!H$5=Pat!$C$25,1,0),IF('wk1'!H38=Pat!C$27,1,0)),1,0)+IF(AND(IF('wk1'!B$5=Pat!$C$25,1,0),IF('wk1'!B38=Pat!C$27,1,0)),1,0)</f>
        <v>0</v>
      </c>
      <c r="D56" s="90">
        <f>IF(AND(IF('wk2'!B$5=Pat!$C$25,1,0),IF('wk2'!B38=Pat!B$27,1,0)),1,0)+IF(AND(IF('wk2'!C$5=Pat!$C$25,1,0),IF('wk2'!C38=Pat!B$27,1,0)),1,0)+IF(AND(IF('wk2'!D$5=Pat!$C$25,1,0),IF('wk2'!D38=Pat!B$27,1,0)),1,0)+IF(AND(IF('wk2'!E$5=Pat!$C$25,1,0),IF('wk2'!E38=Pat!B$27,1,0)),1,0)+IF(AND(IF('wk2'!F$5=Pat!$C$25,1,0),IF('wk2'!F38=Pat!B$27,1,0)),1,0)+IF(AND(IF('wk2'!G$5=Pat!$C$25,1,0),IF('wk2'!G38=Pat!B$27,1,0)),1,0)</f>
        <v>0</v>
      </c>
      <c r="E56" s="91">
        <f>IF(AND(IF('wk2'!C$5=Pat!$C$25,1,0),IF('wk2'!C38=Pat!C$27,1,0)),1,0)+IF(AND(IF('wk2'!D$5=Pat!$C$25,1,0),IF('wk2'!D38=Pat!C$27,1,0)),1,0)+IF(AND(IF('wk2'!E$5=Pat!$C$25,1,0),IF('wk2'!E38=Pat!C$27,1,0)),1,0)+IF(AND(IF('wk2'!F$5=Pat!$C$25,1,0),IF('wk2'!F38=Pat!C$27,1,0)),1,0)+IF(AND(IF('wk2'!G$5=Pat!$C$25,1,0),IF('wk2'!G38=Pat!C$27,1,0)),1,0)+IF(AND(IF('wk2'!H$5=Pat!$C$25,1,0),IF('wk2'!H38=Pat!C$27,1,0)),1,0)+IF(AND(IF('wk2'!B$5=Pat!$C$25,1,0),IF('wk2'!B38=Pat!C$27,1,0)),1,0)</f>
        <v>0</v>
      </c>
      <c r="F56" s="90">
        <f>IF(AND(IF('wk3'!B$5=Pat!$C$25,1,0),IF('wk3'!B38=Pat!B$27,1,0)),1,0)+IF(AND(IF('wk3'!C$5=Pat!$C$25,1,0),IF('wk3'!C38=Pat!B$27,1,0)),1,0)+IF(AND(IF('wk3'!D$5=Pat!$C$25,1,0),IF('wk3'!D38=Pat!B$27,1,0)),1,0)+IF(AND(IF('wk3'!E$5=Pat!$C$25,1,0),IF('wk3'!E38=Pat!B$27,1,0)),1,0)+IF(AND(IF('wk3'!F$5=Pat!$C$25,1,0),IF('wk3'!F38=Pat!B$27,1,0)),1,0)+IF(AND(IF('wk3'!G$5=Pat!$C$25,1,0),IF('wk3'!G38=Pat!B$27,1,0)),1,0)</f>
        <v>0</v>
      </c>
      <c r="G56" s="91">
        <f>IF(AND(IF('wk3'!C$5=Pat!$C$25,1,0),IF('wk3'!C38=Pat!C$27,1,0)),1,0)+IF(AND(IF('wk3'!D$5=Pat!$C$25,1,0),IF('wk3'!D38=Pat!C$27,1,0)),1,0)+IF(AND(IF('wk3'!E$5=Pat!$C$25,1,0),IF('wk3'!E38=Pat!C$27,1,0)),1,0)+IF(AND(IF('wk3'!F$5=Pat!$C$25,1,0),IF('wk3'!F38=Pat!C$27,1,0)),1,0)+IF(AND(IF('wk3'!G$5=Pat!$C$25,1,0),IF('wk3'!G38=Pat!C$27,1,0)),1,0)+IF(AND(IF('wk3'!H$5=Pat!$C$25,1,0),IF('wk3'!H38=Pat!C$27,1,0)),1,0)+IF(AND(IF('wk3'!B$5=Pat!$C$25,1,0),IF('wk3'!B38=Pat!C$27,1,0)),1,0)</f>
        <v>0</v>
      </c>
      <c r="H56" s="90">
        <f>IF(AND(IF('wk4'!B$5=Pat!$C$25,1,0),IF('wk4'!B38=Pat!B$27,1,0)),1,0)+IF(AND(IF('wk4'!C$5=Pat!$C$25,1,0),IF('wk4'!C38=Pat!B$27,1,0)),1,0)+IF(AND(IF('wk4'!D$5=Pat!$C$25,1,0),IF('wk4'!D38=Pat!B$27,1,0)),1,0)+IF(AND(IF('wk4'!E$5=Pat!$C$25,1,0),IF('wk4'!E38=Pat!B$27,1,0)),1,0)+IF(AND(IF('wk4'!F$5=Pat!$C$25,1,0),IF('wk4'!F38=Pat!B$27,1,0)),1,0)+IF(AND(IF('wk4'!G$5=Pat!$C$25,1,0),IF('wk4'!G38=Pat!B$27,1,0)),1,0)</f>
        <v>0</v>
      </c>
      <c r="I56" s="91">
        <f>IF(AND(IF('wk4'!C$5=Pat!$C$25,1,0),IF('wk4'!C38=Pat!C$27,1,0)),1,0)+IF(AND(IF('wk4'!D$5=Pat!$C$25,1,0),IF('wk4'!D38=Pat!C$27,1,0)),1,0)+IF(AND(IF('wk4'!E$5=Pat!$C$25,1,0),IF('wk4'!E38=Pat!C$27,1,0)),1,0)+IF(AND(IF('wk4'!F$5=Pat!$C$25,1,0),IF('wk4'!F38=Pat!C$27,1,0)),1,0)+IF(AND(IF('wk4'!G$5=Pat!$C$25,1,0),IF('wk4'!G38=Pat!C$27,1,0)),1,0)+IF(AND(IF('wk4'!H$5=Pat!$C$25,1,0),IF('wk4'!H38=Pat!C$27,1,0)),1,0)+IF(AND(IF('wk4'!B$5=Pat!$C$25,1,0),IF('wk4'!B38=Pat!C$27,1,0)),1,0)</f>
        <v>0</v>
      </c>
      <c r="J56" s="92">
        <f>IF(AND(IF('wk5'!B$5=Pat!$C$25,1,0),IF('wk5'!B38=Pat!B$27,1,0)),1,0)+IF(AND(IF('wk5'!C$5=Pat!$C$25,1,0),IF('wk5'!C38=Pat!B$27,1,0)),1,0)+IF(AND(IF('wk5'!D$5=Pat!$C$25,1,0),IF('wk5'!D38=Pat!B$27,1,0)),1,0)+IF(AND(IF('wk5'!E$5=Pat!$C$25,1,0),IF('wk5'!E38=Pat!B$27,1,0)),1,0)+IF(AND(IF('wk5'!F$5=Pat!$C$25,1,0),IF('wk5'!F38=Pat!B$27,1,0)),1,0)+IF(AND(IF('wk5'!G$5=Pat!$C$25,1,0),IF('wk5'!G38=Pat!B$27,1,0)),1,0)</f>
        <v>0</v>
      </c>
      <c r="K56" s="93">
        <f>IF(AND(IF('wk5'!C$5=Pat!$C$25,1,0),IF('wk5'!C38=Pat!C$27,1,0)),1,0)+IF(AND(IF('wk5'!D$5=Pat!$C$25,1,0),IF('wk5'!D38=Pat!C$27,1,0)),1,0)+IF(AND(IF('wk5'!E$5=Pat!$C$25,1,0),IF('wk5'!E38=Pat!C$27,1,0)),1,0)+IF(AND(IF('wk5'!F$5=Pat!$C$25,1,0),IF('wk5'!F38=Pat!C$27,1,0)),1,0)+IF(AND(IF('wk5'!G$5=Pat!$C$25,1,0),IF('wk5'!G38=Pat!C$27,1,0)),1,0)+IF(AND(IF('wk5'!H$5=Pat!$C$25,1,0),IF('wk5'!H38=Pat!C$27,1,0)),1,0)+IF(AND(IF('wk5'!B$5=Pat!$C$25,1,0),IF('wk5'!B38=Pat!C$27,1,0)),1,0)</f>
        <v>0</v>
      </c>
      <c r="L56" s="87"/>
      <c r="M56" s="87">
        <f t="shared" si="0"/>
        <v>0</v>
      </c>
      <c r="N56" s="89">
        <f t="shared" si="1"/>
        <v>0</v>
      </c>
      <c r="P56" s="95"/>
      <c r="Q56" s="81"/>
    </row>
    <row r="57" spans="1:17" ht="13.5" thickBot="1">
      <c r="A57" s="86" t="str">
        <f>'Members Data'!A31</f>
        <v>Sáik</v>
      </c>
      <c r="B57" s="90">
        <f>IF(AND(IF('wk1'!B$5=Pat!$C$25,1,0),IF('wk1'!B39=Pat!B$27,1,0)),1,0)+IF(AND(IF('wk1'!D$5=Pat!$C$25,1,0),IF('wk1'!C39=Pat!B$27,1,0)),1,0)+IF(AND(IF('wk1'!D$5=Pat!$C$25,1,0),IF('wk1'!D39=Pat!B$27,1,0)),1,0)+IF(AND(IF('wk1'!E$5=Pat!$C$25,1,0),IF('wk1'!E39=Pat!B$27,1,0)),1,0)+IF(AND(IF('wk1'!F$5=Pat!$C$25,1,0),IF('wk1'!F39=Pat!B$27,1,0)),1,0)+IF(AND(IF('wk1'!G$5=Pat!$C$25,1,0),IF('wk1'!G39=Pat!B$27,1,0)),1,0)</f>
        <v>0</v>
      </c>
      <c r="C57" s="91">
        <f>IF(AND(IF('wk1'!D$5=Pat!$C$25,1,0),IF('wk1'!C39=Pat!C$27,1,0)),1,0)+IF(AND(IF('wk1'!D$5=Pat!$C$25,1,0),IF('wk1'!D39=Pat!C$27,1,0)),1,0)+IF(AND(IF('wk1'!E$5=Pat!$C$25,1,0),IF('wk1'!E39=Pat!C$27,1,0)),1,0)+IF(AND(IF('wk1'!F$5=Pat!$C$25,1,0),IF('wk1'!F39=Pat!C$27,1,0)),1,0)+IF(AND(IF('wk1'!G$5=Pat!$C$25,1,0),IF('wk1'!G39=Pat!C$27,1,0)),1,0)+IF(AND(IF('wk1'!H$5=Pat!$C$25,1,0),IF('wk1'!H39=Pat!C$27,1,0)),1,0)+IF(AND(IF('wk1'!B$5=Pat!$C$25,1,0),IF('wk1'!B39=Pat!C$27,1,0)),1,0)</f>
        <v>0</v>
      </c>
      <c r="D57" s="90">
        <f>IF(AND(IF('wk2'!B$5=Pat!$C$25,1,0),IF('wk2'!B39=Pat!B$27,1,0)),1,0)+IF(AND(IF('wk2'!C$5=Pat!$C$25,1,0),IF('wk2'!C39=Pat!B$27,1,0)),1,0)+IF(AND(IF('wk2'!D$5=Pat!$C$25,1,0),IF('wk2'!D39=Pat!B$27,1,0)),1,0)+IF(AND(IF('wk2'!E$5=Pat!$C$25,1,0),IF('wk2'!E39=Pat!B$27,1,0)),1,0)+IF(AND(IF('wk2'!F$5=Pat!$C$25,1,0),IF('wk2'!F39=Pat!B$27,1,0)),1,0)+IF(AND(IF('wk2'!G$5=Pat!$C$25,1,0),IF('wk2'!G39=Pat!B$27,1,0)),1,0)</f>
        <v>0</v>
      </c>
      <c r="E57" s="91">
        <f>IF(AND(IF('wk2'!C$5=Pat!$C$25,1,0),IF('wk2'!C39=Pat!C$27,1,0)),1,0)+IF(AND(IF('wk2'!D$5=Pat!$C$25,1,0),IF('wk2'!D39=Pat!C$27,1,0)),1,0)+IF(AND(IF('wk2'!E$5=Pat!$C$25,1,0),IF('wk2'!E39=Pat!C$27,1,0)),1,0)+IF(AND(IF('wk2'!F$5=Pat!$C$25,1,0),IF('wk2'!F39=Pat!C$27,1,0)),1,0)+IF(AND(IF('wk2'!G$5=Pat!$C$25,1,0),IF('wk2'!G39=Pat!C$27,1,0)),1,0)+IF(AND(IF('wk2'!H$5=Pat!$C$25,1,0),IF('wk2'!H39=Pat!C$27,1,0)),1,0)+IF(AND(IF('wk2'!B$5=Pat!$C$25,1,0),IF('wk2'!B39=Pat!C$27,1,0)),1,0)</f>
        <v>0</v>
      </c>
      <c r="F57" s="90">
        <f>IF(AND(IF('wk3'!B$5=Pat!$C$25,1,0),IF('wk3'!B39=Pat!B$27,1,0)),1,0)+IF(AND(IF('wk3'!C$5=Pat!$C$25,1,0),IF('wk3'!C39=Pat!B$27,1,0)),1,0)+IF(AND(IF('wk3'!D$5=Pat!$C$25,1,0),IF('wk3'!D39=Pat!B$27,1,0)),1,0)+IF(AND(IF('wk3'!E$5=Pat!$C$25,1,0),IF('wk3'!E39=Pat!B$27,1,0)),1,0)+IF(AND(IF('wk3'!F$5=Pat!$C$25,1,0),IF('wk3'!F39=Pat!B$27,1,0)),1,0)+IF(AND(IF('wk3'!G$5=Pat!$C$25,1,0),IF('wk3'!G39=Pat!B$27,1,0)),1,0)</f>
        <v>0</v>
      </c>
      <c r="G57" s="91">
        <f>IF(AND(IF('wk3'!C$5=Pat!$C$25,1,0),IF('wk3'!C39=Pat!C$27,1,0)),1,0)+IF(AND(IF('wk3'!D$5=Pat!$C$25,1,0),IF('wk3'!D39=Pat!C$27,1,0)),1,0)+IF(AND(IF('wk3'!E$5=Pat!$C$25,1,0),IF('wk3'!E39=Pat!C$27,1,0)),1,0)+IF(AND(IF('wk3'!F$5=Pat!$C$25,1,0),IF('wk3'!F39=Pat!C$27,1,0)),1,0)+IF(AND(IF('wk3'!G$5=Pat!$C$25,1,0),IF('wk3'!G39=Pat!C$27,1,0)),1,0)+IF(AND(IF('wk3'!H$5=Pat!$C$25,1,0),IF('wk3'!H39=Pat!C$27,1,0)),1,0)+IF(AND(IF('wk3'!B$5=Pat!$C$25,1,0),IF('wk3'!B39=Pat!C$27,1,0)),1,0)</f>
        <v>0</v>
      </c>
      <c r="H57" s="90">
        <f>IF(AND(IF('wk4'!B$5=Pat!$C$25,1,0),IF('wk4'!B39=Pat!B$27,1,0)),1,0)+IF(AND(IF('wk4'!C$5=Pat!$C$25,1,0),IF('wk4'!C39=Pat!B$27,1,0)),1,0)+IF(AND(IF('wk4'!D$5=Pat!$C$25,1,0),IF('wk4'!D39=Pat!B$27,1,0)),1,0)+IF(AND(IF('wk4'!E$5=Pat!$C$25,1,0),IF('wk4'!E39=Pat!B$27,1,0)),1,0)+IF(AND(IF('wk4'!F$5=Pat!$C$25,1,0),IF('wk4'!F39=Pat!B$27,1,0)),1,0)+IF(AND(IF('wk4'!G$5=Pat!$C$25,1,0),IF('wk4'!G39=Pat!B$27,1,0)),1,0)</f>
        <v>0</v>
      </c>
      <c r="I57" s="91">
        <f>IF(AND(IF('wk4'!C$5=Pat!$C$25,1,0),IF('wk4'!C39=Pat!C$27,1,0)),1,0)+IF(AND(IF('wk4'!D$5=Pat!$C$25,1,0),IF('wk4'!D39=Pat!C$27,1,0)),1,0)+IF(AND(IF('wk4'!E$5=Pat!$C$25,1,0),IF('wk4'!E39=Pat!C$27,1,0)),1,0)+IF(AND(IF('wk4'!F$5=Pat!$C$25,1,0),IF('wk4'!F39=Pat!C$27,1,0)),1,0)+IF(AND(IF('wk4'!G$5=Pat!$C$25,1,0),IF('wk4'!G39=Pat!C$27,1,0)),1,0)+IF(AND(IF('wk4'!H$5=Pat!$C$25,1,0),IF('wk4'!H39=Pat!C$27,1,0)),1,0)+IF(AND(IF('wk4'!B$5=Pat!$C$25,1,0),IF('wk4'!B39=Pat!C$27,1,0)),1,0)</f>
        <v>0</v>
      </c>
      <c r="J57" s="92">
        <f>IF(AND(IF('wk5'!B$5=Pat!$C$25,1,0),IF('wk5'!B39=Pat!B$27,1,0)),1,0)+IF(AND(IF('wk5'!C$5=Pat!$C$25,1,0),IF('wk5'!C39=Pat!B$27,1,0)),1,0)+IF(AND(IF('wk5'!D$5=Pat!$C$25,1,0),IF('wk5'!D39=Pat!B$27,1,0)),1,0)+IF(AND(IF('wk5'!E$5=Pat!$C$25,1,0),IF('wk5'!E39=Pat!B$27,1,0)),1,0)+IF(AND(IF('wk5'!F$5=Pat!$C$25,1,0),IF('wk5'!F39=Pat!B$27,1,0)),1,0)+IF(AND(IF('wk5'!G$5=Pat!$C$25,1,0),IF('wk5'!G39=Pat!B$27,1,0)),1,0)</f>
        <v>0</v>
      </c>
      <c r="K57" s="93">
        <f>IF(AND(IF('wk5'!C$5=Pat!$C$25,1,0),IF('wk5'!C39=Pat!C$27,1,0)),1,0)+IF(AND(IF('wk5'!D$5=Pat!$C$25,1,0),IF('wk5'!D39=Pat!C$27,1,0)),1,0)+IF(AND(IF('wk5'!E$5=Pat!$C$25,1,0),IF('wk5'!E39=Pat!C$27,1,0)),1,0)+IF(AND(IF('wk5'!F$5=Pat!$C$25,1,0),IF('wk5'!F39=Pat!C$27,1,0)),1,0)+IF(AND(IF('wk5'!G$5=Pat!$C$25,1,0),IF('wk5'!G39=Pat!C$27,1,0)),1,0)+IF(AND(IF('wk5'!H$5=Pat!$C$25,1,0),IF('wk5'!H39=Pat!C$27,1,0)),1,0)+IF(AND(IF('wk5'!B$5=Pat!$C$25,1,0),IF('wk5'!B39=Pat!C$27,1,0)),1,0)</f>
        <v>0</v>
      </c>
      <c r="L57" s="87"/>
      <c r="M57" s="87">
        <f t="shared" si="0"/>
        <v>0</v>
      </c>
      <c r="N57" s="89">
        <f t="shared" si="1"/>
        <v>0</v>
      </c>
      <c r="P57" s="95"/>
      <c r="Q57" s="81"/>
    </row>
    <row r="58" spans="1:17" ht="13.5" thickBot="1">
      <c r="A58" s="86" t="str">
        <f>'Members Data'!A32</f>
        <v>Seraphÿm</v>
      </c>
      <c r="B58" s="90">
        <f>IF(AND(IF('wk1'!B$5=Pat!$C$25,1,0),IF('wk1'!B40=Pat!B$27,1,0)),1,0)+IF(AND(IF('wk1'!D$5=Pat!$C$25,1,0),IF('wk1'!C40=Pat!B$27,1,0)),1,0)+IF(AND(IF('wk1'!D$5=Pat!$C$25,1,0),IF('wk1'!D40=Pat!B$27,1,0)),1,0)+IF(AND(IF('wk1'!E$5=Pat!$C$25,1,0),IF('wk1'!E40=Pat!B$27,1,0)),1,0)+IF(AND(IF('wk1'!F$5=Pat!$C$25,1,0),IF('wk1'!F40=Pat!B$27,1,0)),1,0)+IF(AND(IF('wk1'!G$5=Pat!$C$25,1,0),IF('wk1'!G40=Pat!B$27,1,0)),1,0)</f>
        <v>0</v>
      </c>
      <c r="C58" s="91">
        <f>IF(AND(IF('wk1'!D$5=Pat!$C$25,1,0),IF('wk1'!C40=Pat!C$27,1,0)),1,0)+IF(AND(IF('wk1'!D$5=Pat!$C$25,1,0),IF('wk1'!D40=Pat!C$27,1,0)),1,0)+IF(AND(IF('wk1'!E$5=Pat!$C$25,1,0),IF('wk1'!E40=Pat!C$27,1,0)),1,0)+IF(AND(IF('wk1'!F$5=Pat!$C$25,1,0),IF('wk1'!F40=Pat!C$27,1,0)),1,0)+IF(AND(IF('wk1'!G$5=Pat!$C$25,1,0),IF('wk1'!G40=Pat!C$27,1,0)),1,0)+IF(AND(IF('wk1'!H$5=Pat!$C$25,1,0),IF('wk1'!H40=Pat!C$27,1,0)),1,0)+IF(AND(IF('wk1'!B$5=Pat!$C$25,1,0),IF('wk1'!B40=Pat!C$27,1,0)),1,0)</f>
        <v>0</v>
      </c>
      <c r="D58" s="90">
        <f>IF(AND(IF('wk2'!B$5=Pat!$C$25,1,0),IF('wk2'!B40=Pat!B$27,1,0)),1,0)+IF(AND(IF('wk2'!C$5=Pat!$C$25,1,0),IF('wk2'!C40=Pat!B$27,1,0)),1,0)+IF(AND(IF('wk2'!D$5=Pat!$C$25,1,0),IF('wk2'!D40=Pat!B$27,1,0)),1,0)+IF(AND(IF('wk2'!E$5=Pat!$C$25,1,0),IF('wk2'!E40=Pat!B$27,1,0)),1,0)+IF(AND(IF('wk2'!F$5=Pat!$C$25,1,0),IF('wk2'!F40=Pat!B$27,1,0)),1,0)+IF(AND(IF('wk2'!G$5=Pat!$C$25,1,0),IF('wk2'!G40=Pat!B$27,1,0)),1,0)</f>
        <v>0</v>
      </c>
      <c r="E58" s="91">
        <f>IF(AND(IF('wk2'!C$5=Pat!$C$25,1,0),IF('wk2'!C40=Pat!C$27,1,0)),1,0)+IF(AND(IF('wk2'!D$5=Pat!$C$25,1,0),IF('wk2'!D40=Pat!C$27,1,0)),1,0)+IF(AND(IF('wk2'!E$5=Pat!$C$25,1,0),IF('wk2'!E40=Pat!C$27,1,0)),1,0)+IF(AND(IF('wk2'!F$5=Pat!$C$25,1,0),IF('wk2'!F40=Pat!C$27,1,0)),1,0)+IF(AND(IF('wk2'!G$5=Pat!$C$25,1,0),IF('wk2'!G40=Pat!C$27,1,0)),1,0)+IF(AND(IF('wk2'!H$5=Pat!$C$25,1,0),IF('wk2'!H40=Pat!C$27,1,0)),1,0)+IF(AND(IF('wk2'!B$5=Pat!$C$25,1,0),IF('wk2'!B40=Pat!C$27,1,0)),1,0)</f>
        <v>0</v>
      </c>
      <c r="F58" s="90">
        <f>IF(AND(IF('wk3'!B$5=Pat!$C$25,1,0),IF('wk3'!B40=Pat!B$27,1,0)),1,0)+IF(AND(IF('wk3'!C$5=Pat!$C$25,1,0),IF('wk3'!C40=Pat!B$27,1,0)),1,0)+IF(AND(IF('wk3'!D$5=Pat!$C$25,1,0),IF('wk3'!D40=Pat!B$27,1,0)),1,0)+IF(AND(IF('wk3'!E$5=Pat!$C$25,1,0),IF('wk3'!E40=Pat!B$27,1,0)),1,0)+IF(AND(IF('wk3'!F$5=Pat!$C$25,1,0),IF('wk3'!F40=Pat!B$27,1,0)),1,0)+IF(AND(IF('wk3'!G$5=Pat!$C$25,1,0),IF('wk3'!G40=Pat!B$27,1,0)),1,0)</f>
        <v>0</v>
      </c>
      <c r="G58" s="91">
        <f>IF(AND(IF('wk3'!C$5=Pat!$C$25,1,0),IF('wk3'!C40=Pat!C$27,1,0)),1,0)+IF(AND(IF('wk3'!D$5=Pat!$C$25,1,0),IF('wk3'!D40=Pat!C$27,1,0)),1,0)+IF(AND(IF('wk3'!E$5=Pat!$C$25,1,0),IF('wk3'!E40=Pat!C$27,1,0)),1,0)+IF(AND(IF('wk3'!F$5=Pat!$C$25,1,0),IF('wk3'!F40=Pat!C$27,1,0)),1,0)+IF(AND(IF('wk3'!G$5=Pat!$C$25,1,0),IF('wk3'!G40=Pat!C$27,1,0)),1,0)+IF(AND(IF('wk3'!H$5=Pat!$C$25,1,0),IF('wk3'!H40=Pat!C$27,1,0)),1,0)+IF(AND(IF('wk3'!B$5=Pat!$C$25,1,0),IF('wk3'!B40=Pat!C$27,1,0)),1,0)</f>
        <v>0</v>
      </c>
      <c r="H58" s="90">
        <f>IF(AND(IF('wk4'!B$5=Pat!$C$25,1,0),IF('wk4'!B40=Pat!B$27,1,0)),1,0)+IF(AND(IF('wk4'!C$5=Pat!$C$25,1,0),IF('wk4'!C40=Pat!B$27,1,0)),1,0)+IF(AND(IF('wk4'!D$5=Pat!$C$25,1,0),IF('wk4'!D40=Pat!B$27,1,0)),1,0)+IF(AND(IF('wk4'!E$5=Pat!$C$25,1,0),IF('wk4'!E40=Pat!B$27,1,0)),1,0)+IF(AND(IF('wk4'!F$5=Pat!$C$25,1,0),IF('wk4'!F40=Pat!B$27,1,0)),1,0)+IF(AND(IF('wk4'!G$5=Pat!$C$25,1,0),IF('wk4'!G40=Pat!B$27,1,0)),1,0)</f>
        <v>0</v>
      </c>
      <c r="I58" s="91">
        <f>IF(AND(IF('wk4'!C$5=Pat!$C$25,1,0),IF('wk4'!C40=Pat!C$27,1,0)),1,0)+IF(AND(IF('wk4'!D$5=Pat!$C$25,1,0),IF('wk4'!D40=Pat!C$27,1,0)),1,0)+IF(AND(IF('wk4'!E$5=Pat!$C$25,1,0),IF('wk4'!E40=Pat!C$27,1,0)),1,0)+IF(AND(IF('wk4'!F$5=Pat!$C$25,1,0),IF('wk4'!F40=Pat!C$27,1,0)),1,0)+IF(AND(IF('wk4'!G$5=Pat!$C$25,1,0),IF('wk4'!G40=Pat!C$27,1,0)),1,0)+IF(AND(IF('wk4'!H$5=Pat!$C$25,1,0),IF('wk4'!H40=Pat!C$27,1,0)),1,0)+IF(AND(IF('wk4'!B$5=Pat!$C$25,1,0),IF('wk4'!B40=Pat!C$27,1,0)),1,0)</f>
        <v>0</v>
      </c>
      <c r="J58" s="92">
        <f>IF(AND(IF('wk5'!B$5=Pat!$C$25,1,0),IF('wk5'!B40=Pat!B$27,1,0)),1,0)+IF(AND(IF('wk5'!C$5=Pat!$C$25,1,0),IF('wk5'!C40=Pat!B$27,1,0)),1,0)+IF(AND(IF('wk5'!D$5=Pat!$C$25,1,0),IF('wk5'!D40=Pat!B$27,1,0)),1,0)+IF(AND(IF('wk5'!E$5=Pat!$C$25,1,0),IF('wk5'!E40=Pat!B$27,1,0)),1,0)+IF(AND(IF('wk5'!F$5=Pat!$C$25,1,0),IF('wk5'!F40=Pat!B$27,1,0)),1,0)+IF(AND(IF('wk5'!G$5=Pat!$C$25,1,0),IF('wk5'!G40=Pat!B$27,1,0)),1,0)</f>
        <v>0</v>
      </c>
      <c r="K58" s="93">
        <f>IF(AND(IF('wk5'!C$5=Pat!$C$25,1,0),IF('wk5'!C40=Pat!C$27,1,0)),1,0)+IF(AND(IF('wk5'!D$5=Pat!$C$25,1,0),IF('wk5'!D40=Pat!C$27,1,0)),1,0)+IF(AND(IF('wk5'!E$5=Pat!$C$25,1,0),IF('wk5'!E40=Pat!C$27,1,0)),1,0)+IF(AND(IF('wk5'!F$5=Pat!$C$25,1,0),IF('wk5'!F40=Pat!C$27,1,0)),1,0)+IF(AND(IF('wk5'!G$5=Pat!$C$25,1,0),IF('wk5'!G40=Pat!C$27,1,0)),1,0)+IF(AND(IF('wk5'!H$5=Pat!$C$25,1,0),IF('wk5'!H40=Pat!C$27,1,0)),1,0)+IF(AND(IF('wk5'!B$5=Pat!$C$25,1,0),IF('wk5'!B40=Pat!C$27,1,0)),1,0)</f>
        <v>0</v>
      </c>
      <c r="L58" s="87"/>
      <c r="M58" s="87">
        <f t="shared" si="0"/>
        <v>0</v>
      </c>
      <c r="N58" s="89">
        <f t="shared" si="1"/>
        <v>0</v>
      </c>
      <c r="P58" s="95"/>
      <c r="Q58" s="81"/>
    </row>
    <row r="59" spans="1:17" ht="13.5" thickBot="1">
      <c r="A59" s="86" t="str">
        <f>'Members Data'!A33</f>
        <v>Shinkai</v>
      </c>
      <c r="B59" s="90">
        <f>IF(AND(IF('wk1'!B$5=Pat!$C$25,1,0),IF('wk1'!B41=Pat!B$27,1,0)),1,0)+IF(AND(IF('wk1'!D$5=Pat!$C$25,1,0),IF('wk1'!C41=Pat!B$27,1,0)),1,0)+IF(AND(IF('wk1'!D$5=Pat!$C$25,1,0),IF('wk1'!D41=Pat!B$27,1,0)),1,0)+IF(AND(IF('wk1'!E$5=Pat!$C$25,1,0),IF('wk1'!E41=Pat!B$27,1,0)),1,0)+IF(AND(IF('wk1'!F$5=Pat!$C$25,1,0),IF('wk1'!F41=Pat!B$27,1,0)),1,0)+IF(AND(IF('wk1'!G$5=Pat!$C$25,1,0),IF('wk1'!G41=Pat!B$27,1,0)),1,0)</f>
        <v>0</v>
      </c>
      <c r="C59" s="91">
        <f>IF(AND(IF('wk1'!D$5=Pat!$C$25,1,0),IF('wk1'!C41=Pat!C$27,1,0)),1,0)+IF(AND(IF('wk1'!D$5=Pat!$C$25,1,0),IF('wk1'!D41=Pat!C$27,1,0)),1,0)+IF(AND(IF('wk1'!E$5=Pat!$C$25,1,0),IF('wk1'!E41=Pat!C$27,1,0)),1,0)+IF(AND(IF('wk1'!F$5=Pat!$C$25,1,0),IF('wk1'!F41=Pat!C$27,1,0)),1,0)+IF(AND(IF('wk1'!G$5=Pat!$C$25,1,0),IF('wk1'!G41=Pat!C$27,1,0)),1,0)+IF(AND(IF('wk1'!H$5=Pat!$C$25,1,0),IF('wk1'!H41=Pat!C$27,1,0)),1,0)+IF(AND(IF('wk1'!B$5=Pat!$C$25,1,0),IF('wk1'!B41=Pat!C$27,1,0)),1,0)</f>
        <v>0</v>
      </c>
      <c r="D59" s="90">
        <f>IF(AND(IF('wk2'!B$5=Pat!$C$25,1,0),IF('wk2'!B41=Pat!B$27,1,0)),1,0)+IF(AND(IF('wk2'!C$5=Pat!$C$25,1,0),IF('wk2'!C41=Pat!B$27,1,0)),1,0)+IF(AND(IF('wk2'!D$5=Pat!$C$25,1,0),IF('wk2'!D41=Pat!B$27,1,0)),1,0)+IF(AND(IF('wk2'!E$5=Pat!$C$25,1,0),IF('wk2'!E41=Pat!B$27,1,0)),1,0)+IF(AND(IF('wk2'!F$5=Pat!$C$25,1,0),IF('wk2'!F41=Pat!B$27,1,0)),1,0)+IF(AND(IF('wk2'!G$5=Pat!$C$25,1,0),IF('wk2'!G41=Pat!B$27,1,0)),1,0)</f>
        <v>0</v>
      </c>
      <c r="E59" s="91">
        <f>IF(AND(IF('wk2'!C$5=Pat!$C$25,1,0),IF('wk2'!C41=Pat!C$27,1,0)),1,0)+IF(AND(IF('wk2'!D$5=Pat!$C$25,1,0),IF('wk2'!D41=Pat!C$27,1,0)),1,0)+IF(AND(IF('wk2'!E$5=Pat!$C$25,1,0),IF('wk2'!E41=Pat!C$27,1,0)),1,0)+IF(AND(IF('wk2'!F$5=Pat!$C$25,1,0),IF('wk2'!F41=Pat!C$27,1,0)),1,0)+IF(AND(IF('wk2'!G$5=Pat!$C$25,1,0),IF('wk2'!G41=Pat!C$27,1,0)),1,0)+IF(AND(IF('wk2'!H$5=Pat!$C$25,1,0),IF('wk2'!H41=Pat!C$27,1,0)),1,0)+IF(AND(IF('wk2'!B$5=Pat!$C$25,1,0),IF('wk2'!B41=Pat!C$27,1,0)),1,0)</f>
        <v>0</v>
      </c>
      <c r="F59" s="90">
        <f>IF(AND(IF('wk3'!B$5=Pat!$C$25,1,0),IF('wk3'!B41=Pat!B$27,1,0)),1,0)+IF(AND(IF('wk3'!C$5=Pat!$C$25,1,0),IF('wk3'!C41=Pat!B$27,1,0)),1,0)+IF(AND(IF('wk3'!D$5=Pat!$C$25,1,0),IF('wk3'!D41=Pat!B$27,1,0)),1,0)+IF(AND(IF('wk3'!E$5=Pat!$C$25,1,0),IF('wk3'!E41=Pat!B$27,1,0)),1,0)+IF(AND(IF('wk3'!F$5=Pat!$C$25,1,0),IF('wk3'!F41=Pat!B$27,1,0)),1,0)+IF(AND(IF('wk3'!G$5=Pat!$C$25,1,0),IF('wk3'!G41=Pat!B$27,1,0)),1,0)</f>
        <v>0</v>
      </c>
      <c r="G59" s="91">
        <f>IF(AND(IF('wk3'!C$5=Pat!$C$25,1,0),IF('wk3'!C41=Pat!C$27,1,0)),1,0)+IF(AND(IF('wk3'!D$5=Pat!$C$25,1,0),IF('wk3'!D41=Pat!C$27,1,0)),1,0)+IF(AND(IF('wk3'!E$5=Pat!$C$25,1,0),IF('wk3'!E41=Pat!C$27,1,0)),1,0)+IF(AND(IF('wk3'!F$5=Pat!$C$25,1,0),IF('wk3'!F41=Pat!C$27,1,0)),1,0)+IF(AND(IF('wk3'!G$5=Pat!$C$25,1,0),IF('wk3'!G41=Pat!C$27,1,0)),1,0)+IF(AND(IF('wk3'!H$5=Pat!$C$25,1,0),IF('wk3'!H41=Pat!C$27,1,0)),1,0)+IF(AND(IF('wk3'!B$5=Pat!$C$25,1,0),IF('wk3'!B41=Pat!C$27,1,0)),1,0)</f>
        <v>0</v>
      </c>
      <c r="H59" s="90">
        <f>IF(AND(IF('wk4'!B$5=Pat!$C$25,1,0),IF('wk4'!B41=Pat!B$27,1,0)),1,0)+IF(AND(IF('wk4'!C$5=Pat!$C$25,1,0),IF('wk4'!C41=Pat!B$27,1,0)),1,0)+IF(AND(IF('wk4'!D$5=Pat!$C$25,1,0),IF('wk4'!D41=Pat!B$27,1,0)),1,0)+IF(AND(IF('wk4'!E$5=Pat!$C$25,1,0),IF('wk4'!E41=Pat!B$27,1,0)),1,0)+IF(AND(IF('wk4'!F$5=Pat!$C$25,1,0),IF('wk4'!F41=Pat!B$27,1,0)),1,0)+IF(AND(IF('wk4'!G$5=Pat!$C$25,1,0),IF('wk4'!G41=Pat!B$27,1,0)),1,0)</f>
        <v>0</v>
      </c>
      <c r="I59" s="91">
        <f>IF(AND(IF('wk4'!C$5=Pat!$C$25,1,0),IF('wk4'!C41=Pat!C$27,1,0)),1,0)+IF(AND(IF('wk4'!D$5=Pat!$C$25,1,0),IF('wk4'!D41=Pat!C$27,1,0)),1,0)+IF(AND(IF('wk4'!E$5=Pat!$C$25,1,0),IF('wk4'!E41=Pat!C$27,1,0)),1,0)+IF(AND(IF('wk4'!F$5=Pat!$C$25,1,0),IF('wk4'!F41=Pat!C$27,1,0)),1,0)+IF(AND(IF('wk4'!G$5=Pat!$C$25,1,0),IF('wk4'!G41=Pat!C$27,1,0)),1,0)+IF(AND(IF('wk4'!H$5=Pat!$C$25,1,0),IF('wk4'!H41=Pat!C$27,1,0)),1,0)+IF(AND(IF('wk4'!B$5=Pat!$C$25,1,0),IF('wk4'!B41=Pat!C$27,1,0)),1,0)</f>
        <v>0</v>
      </c>
      <c r="J59" s="92">
        <f>IF(AND(IF('wk5'!B$5=Pat!$C$25,1,0),IF('wk5'!B41=Pat!B$27,1,0)),1,0)+IF(AND(IF('wk5'!C$5=Pat!$C$25,1,0),IF('wk5'!C41=Pat!B$27,1,0)),1,0)+IF(AND(IF('wk5'!D$5=Pat!$C$25,1,0),IF('wk5'!D41=Pat!B$27,1,0)),1,0)+IF(AND(IF('wk5'!E$5=Pat!$C$25,1,0),IF('wk5'!E41=Pat!B$27,1,0)),1,0)+IF(AND(IF('wk5'!F$5=Pat!$C$25,1,0),IF('wk5'!F41=Pat!B$27,1,0)),1,0)+IF(AND(IF('wk5'!G$5=Pat!$C$25,1,0),IF('wk5'!G41=Pat!B$27,1,0)),1,0)</f>
        <v>0</v>
      </c>
      <c r="K59" s="93">
        <f>IF(AND(IF('wk5'!C$5=Pat!$C$25,1,0),IF('wk5'!C41=Pat!C$27,1,0)),1,0)+IF(AND(IF('wk5'!D$5=Pat!$C$25,1,0),IF('wk5'!D41=Pat!C$27,1,0)),1,0)+IF(AND(IF('wk5'!E$5=Pat!$C$25,1,0),IF('wk5'!E41=Pat!C$27,1,0)),1,0)+IF(AND(IF('wk5'!F$5=Pat!$C$25,1,0),IF('wk5'!F41=Pat!C$27,1,0)),1,0)+IF(AND(IF('wk5'!G$5=Pat!$C$25,1,0),IF('wk5'!G41=Pat!C$27,1,0)),1,0)+IF(AND(IF('wk5'!H$5=Pat!$C$25,1,0),IF('wk5'!H41=Pat!C$27,1,0)),1,0)+IF(AND(IF('wk5'!B$5=Pat!$C$25,1,0),IF('wk5'!B41=Pat!C$27,1,0)),1,0)</f>
        <v>0</v>
      </c>
      <c r="L59" s="87"/>
      <c r="M59" s="87">
        <f t="shared" si="0"/>
        <v>0</v>
      </c>
      <c r="N59" s="89">
        <f t="shared" si="1"/>
        <v>0</v>
      </c>
      <c r="P59" s="95"/>
      <c r="Q59" s="81"/>
    </row>
    <row r="60" spans="1:17" ht="13.5" thickBot="1">
      <c r="A60" s="86" t="str">
        <f>'Members Data'!A34</f>
        <v>Yaodeng</v>
      </c>
      <c r="B60" s="90">
        <f>IF(AND(IF('wk1'!B$5=Pat!$C$25,1,0),IF('wk1'!B42=Pat!B$27,1,0)),1,0)+IF(AND(IF('wk1'!D$5=Pat!$C$25,1,0),IF('wk1'!C42=Pat!B$27,1,0)),1,0)+IF(AND(IF('wk1'!D$5=Pat!$C$25,1,0),IF('wk1'!D42=Pat!B$27,1,0)),1,0)+IF(AND(IF('wk1'!E$5=Pat!$C$25,1,0),IF('wk1'!E42=Pat!B$27,1,0)),1,0)+IF(AND(IF('wk1'!F$5=Pat!$C$25,1,0),IF('wk1'!F42=Pat!B$27,1,0)),1,0)+IF(AND(IF('wk1'!G$5=Pat!$C$25,1,0),IF('wk1'!G42=Pat!B$27,1,0)),1,0)</f>
        <v>0</v>
      </c>
      <c r="C60" s="91">
        <f>IF(AND(IF('wk1'!D$5=Pat!$C$25,1,0),IF('wk1'!C42=Pat!C$27,1,0)),1,0)+IF(AND(IF('wk1'!D$5=Pat!$C$25,1,0),IF('wk1'!D42=Pat!C$27,1,0)),1,0)+IF(AND(IF('wk1'!E$5=Pat!$C$25,1,0),IF('wk1'!E42=Pat!C$27,1,0)),1,0)+IF(AND(IF('wk1'!F$5=Pat!$C$25,1,0),IF('wk1'!F42=Pat!C$27,1,0)),1,0)+IF(AND(IF('wk1'!G$5=Pat!$C$25,1,0),IF('wk1'!G42=Pat!C$27,1,0)),1,0)+IF(AND(IF('wk1'!H$5=Pat!$C$25,1,0),IF('wk1'!H42=Pat!C$27,1,0)),1,0)+IF(AND(IF('wk1'!B$5=Pat!$C$25,1,0),IF('wk1'!B42=Pat!C$27,1,0)),1,0)</f>
        <v>0</v>
      </c>
      <c r="D60" s="90">
        <f>IF(AND(IF('wk2'!B$5=Pat!$C$25,1,0),IF('wk2'!B42=Pat!B$27,1,0)),1,0)+IF(AND(IF('wk2'!C$5=Pat!$C$25,1,0),IF('wk2'!C42=Pat!B$27,1,0)),1,0)+IF(AND(IF('wk2'!D$5=Pat!$C$25,1,0),IF('wk2'!D42=Pat!B$27,1,0)),1,0)+IF(AND(IF('wk2'!E$5=Pat!$C$25,1,0),IF('wk2'!E42=Pat!B$27,1,0)),1,0)+IF(AND(IF('wk2'!F$5=Pat!$C$25,1,0),IF('wk2'!F42=Pat!B$27,1,0)),1,0)+IF(AND(IF('wk2'!G$5=Pat!$C$25,1,0),IF('wk2'!G42=Pat!B$27,1,0)),1,0)</f>
        <v>0</v>
      </c>
      <c r="E60" s="91">
        <f>IF(AND(IF('wk2'!C$5=Pat!$C$25,1,0),IF('wk2'!C42=Pat!C$27,1,0)),1,0)+IF(AND(IF('wk2'!D$5=Pat!$C$25,1,0),IF('wk2'!D42=Pat!C$27,1,0)),1,0)+IF(AND(IF('wk2'!E$5=Pat!$C$25,1,0),IF('wk2'!E42=Pat!C$27,1,0)),1,0)+IF(AND(IF('wk2'!F$5=Pat!$C$25,1,0),IF('wk2'!F42=Pat!C$27,1,0)),1,0)+IF(AND(IF('wk2'!G$5=Pat!$C$25,1,0),IF('wk2'!G42=Pat!C$27,1,0)),1,0)+IF(AND(IF('wk2'!H$5=Pat!$C$25,1,0),IF('wk2'!H42=Pat!C$27,1,0)),1,0)+IF(AND(IF('wk2'!B$5=Pat!$C$25,1,0),IF('wk2'!B42=Pat!C$27,1,0)),1,0)</f>
        <v>0</v>
      </c>
      <c r="F60" s="90">
        <f>IF(AND(IF('wk3'!B$5=Pat!$C$25,1,0),IF('wk3'!B42=Pat!B$27,1,0)),1,0)+IF(AND(IF('wk3'!C$5=Pat!$C$25,1,0),IF('wk3'!C42=Pat!B$27,1,0)),1,0)+IF(AND(IF('wk3'!D$5=Pat!$C$25,1,0),IF('wk3'!D42=Pat!B$27,1,0)),1,0)+IF(AND(IF('wk3'!E$5=Pat!$C$25,1,0),IF('wk3'!E42=Pat!B$27,1,0)),1,0)+IF(AND(IF('wk3'!F$5=Pat!$C$25,1,0),IF('wk3'!F42=Pat!B$27,1,0)),1,0)+IF(AND(IF('wk3'!G$5=Pat!$C$25,1,0),IF('wk3'!G42=Pat!B$27,1,0)),1,0)</f>
        <v>0</v>
      </c>
      <c r="G60" s="91">
        <f>IF(AND(IF('wk3'!C$5=Pat!$C$25,1,0),IF('wk3'!C42=Pat!C$27,1,0)),1,0)+IF(AND(IF('wk3'!D$5=Pat!$C$25,1,0),IF('wk3'!D42=Pat!C$27,1,0)),1,0)+IF(AND(IF('wk3'!E$5=Pat!$C$25,1,0),IF('wk3'!E42=Pat!C$27,1,0)),1,0)+IF(AND(IF('wk3'!F$5=Pat!$C$25,1,0),IF('wk3'!F42=Pat!C$27,1,0)),1,0)+IF(AND(IF('wk3'!G$5=Pat!$C$25,1,0),IF('wk3'!G42=Pat!C$27,1,0)),1,0)+IF(AND(IF('wk3'!H$5=Pat!$C$25,1,0),IF('wk3'!H42=Pat!C$27,1,0)),1,0)+IF(AND(IF('wk3'!B$5=Pat!$C$25,1,0),IF('wk3'!B42=Pat!C$27,1,0)),1,0)</f>
        <v>0</v>
      </c>
      <c r="H60" s="90">
        <f>IF(AND(IF('wk4'!B$5=Pat!$C$25,1,0),IF('wk4'!B42=Pat!B$27,1,0)),1,0)+IF(AND(IF('wk4'!C$5=Pat!$C$25,1,0),IF('wk4'!C42=Pat!B$27,1,0)),1,0)+IF(AND(IF('wk4'!D$5=Pat!$C$25,1,0),IF('wk4'!D42=Pat!B$27,1,0)),1,0)+IF(AND(IF('wk4'!E$5=Pat!$C$25,1,0),IF('wk4'!E42=Pat!B$27,1,0)),1,0)+IF(AND(IF('wk4'!F$5=Pat!$C$25,1,0),IF('wk4'!F42=Pat!B$27,1,0)),1,0)+IF(AND(IF('wk4'!G$5=Pat!$C$25,1,0),IF('wk4'!G42=Pat!B$27,1,0)),1,0)</f>
        <v>0</v>
      </c>
      <c r="I60" s="91">
        <f>IF(AND(IF('wk4'!C$5=Pat!$C$25,1,0),IF('wk4'!C42=Pat!C$27,1,0)),1,0)+IF(AND(IF('wk4'!D$5=Pat!$C$25,1,0),IF('wk4'!D42=Pat!C$27,1,0)),1,0)+IF(AND(IF('wk4'!E$5=Pat!$C$25,1,0),IF('wk4'!E42=Pat!C$27,1,0)),1,0)+IF(AND(IF('wk4'!F$5=Pat!$C$25,1,0),IF('wk4'!F42=Pat!C$27,1,0)),1,0)+IF(AND(IF('wk4'!G$5=Pat!$C$25,1,0),IF('wk4'!G42=Pat!C$27,1,0)),1,0)+IF(AND(IF('wk4'!H$5=Pat!$C$25,1,0),IF('wk4'!H42=Pat!C$27,1,0)),1,0)+IF(AND(IF('wk4'!B$5=Pat!$C$25,1,0),IF('wk4'!B42=Pat!C$27,1,0)),1,0)</f>
        <v>0</v>
      </c>
      <c r="J60" s="92">
        <f>IF(AND(IF('wk5'!B$5=Pat!$C$25,1,0),IF('wk5'!B42=Pat!B$27,1,0)),1,0)+IF(AND(IF('wk5'!C$5=Pat!$C$25,1,0),IF('wk5'!C42=Pat!B$27,1,0)),1,0)+IF(AND(IF('wk5'!D$5=Pat!$C$25,1,0),IF('wk5'!D42=Pat!B$27,1,0)),1,0)+IF(AND(IF('wk5'!E$5=Pat!$C$25,1,0),IF('wk5'!E42=Pat!B$27,1,0)),1,0)+IF(AND(IF('wk5'!F$5=Pat!$C$25,1,0),IF('wk5'!F42=Pat!B$27,1,0)),1,0)+IF(AND(IF('wk5'!G$5=Pat!$C$25,1,0),IF('wk5'!G42=Pat!B$27,1,0)),1,0)</f>
        <v>0</v>
      </c>
      <c r="K60" s="93">
        <f>IF(AND(IF('wk5'!C$5=Pat!$C$25,1,0),IF('wk5'!C42=Pat!C$27,1,0)),1,0)+IF(AND(IF('wk5'!D$5=Pat!$C$25,1,0),IF('wk5'!D42=Pat!C$27,1,0)),1,0)+IF(AND(IF('wk5'!E$5=Pat!$C$25,1,0),IF('wk5'!E42=Pat!C$27,1,0)),1,0)+IF(AND(IF('wk5'!F$5=Pat!$C$25,1,0),IF('wk5'!F42=Pat!C$27,1,0)),1,0)+IF(AND(IF('wk5'!G$5=Pat!$C$25,1,0),IF('wk5'!G42=Pat!C$27,1,0)),1,0)+IF(AND(IF('wk5'!H$5=Pat!$C$25,1,0),IF('wk5'!H42=Pat!C$27,1,0)),1,0)+IF(AND(IF('wk5'!B$5=Pat!$C$25,1,0),IF('wk5'!B42=Pat!C$27,1,0)),1,0)</f>
        <v>0</v>
      </c>
      <c r="L60" s="87"/>
      <c r="M60" s="87">
        <f t="shared" ref="M60:M87" si="2">B60+D60+F60+H60+J60</f>
        <v>0</v>
      </c>
      <c r="N60" s="89">
        <f t="shared" ref="N60:N87" si="3">C60+E60+G60+I60+K60</f>
        <v>0</v>
      </c>
      <c r="Q60" s="81"/>
    </row>
    <row r="61" spans="1:17" ht="13.5" thickBot="1">
      <c r="A61" s="86" t="str">
        <f>'Members Data'!A35</f>
        <v>Zerobabe</v>
      </c>
      <c r="B61" s="90">
        <f>IF(AND(IF('wk1'!B$5=Pat!$C$25,1,0),IF('wk1'!B43=Pat!B$27,1,0)),1,0)+IF(AND(IF('wk1'!D$5=Pat!$C$25,1,0),IF('wk1'!C43=Pat!B$27,1,0)),1,0)+IF(AND(IF('wk1'!D$5=Pat!$C$25,1,0),IF('wk1'!D43=Pat!B$27,1,0)),1,0)+IF(AND(IF('wk1'!E$5=Pat!$C$25,1,0),IF('wk1'!E43=Pat!B$27,1,0)),1,0)+IF(AND(IF('wk1'!F$5=Pat!$C$25,1,0),IF('wk1'!F43=Pat!B$27,1,0)),1,0)+IF(AND(IF('wk1'!G$5=Pat!$C$25,1,0),IF('wk1'!G43=Pat!B$27,1,0)),1,0)</f>
        <v>0</v>
      </c>
      <c r="C61" s="91">
        <f>IF(AND(IF('wk1'!D$5=Pat!$C$25,1,0),IF('wk1'!C43=Pat!C$27,1,0)),1,0)+IF(AND(IF('wk1'!D$5=Pat!$C$25,1,0),IF('wk1'!D43=Pat!C$27,1,0)),1,0)+IF(AND(IF('wk1'!E$5=Pat!$C$25,1,0),IF('wk1'!E43=Pat!C$27,1,0)),1,0)+IF(AND(IF('wk1'!F$5=Pat!$C$25,1,0),IF('wk1'!F43=Pat!C$27,1,0)),1,0)+IF(AND(IF('wk1'!G$5=Pat!$C$25,1,0),IF('wk1'!G43=Pat!C$27,1,0)),1,0)+IF(AND(IF('wk1'!H$5=Pat!$C$25,1,0),IF('wk1'!H43=Pat!C$27,1,0)),1,0)+IF(AND(IF('wk1'!B$5=Pat!$C$25,1,0),IF('wk1'!B43=Pat!C$27,1,0)),1,0)</f>
        <v>0</v>
      </c>
      <c r="D61" s="90">
        <f>IF(AND(IF('wk2'!B$5=Pat!$C$25,1,0),IF('wk2'!B43=Pat!B$27,1,0)),1,0)+IF(AND(IF('wk2'!C$5=Pat!$C$25,1,0),IF('wk2'!C43=Pat!B$27,1,0)),1,0)+IF(AND(IF('wk2'!D$5=Pat!$C$25,1,0),IF('wk2'!D43=Pat!B$27,1,0)),1,0)+IF(AND(IF('wk2'!E$5=Pat!$C$25,1,0),IF('wk2'!E43=Pat!B$27,1,0)),1,0)+IF(AND(IF('wk2'!F$5=Pat!$C$25,1,0),IF('wk2'!F43=Pat!B$27,1,0)),1,0)+IF(AND(IF('wk2'!G$5=Pat!$C$25,1,0),IF('wk2'!G43=Pat!B$27,1,0)),1,0)</f>
        <v>0</v>
      </c>
      <c r="E61" s="91">
        <f>IF(AND(IF('wk2'!C$5=Pat!$C$25,1,0),IF('wk2'!C43=Pat!C$27,1,0)),1,0)+IF(AND(IF('wk2'!D$5=Pat!$C$25,1,0),IF('wk2'!D43=Pat!C$27,1,0)),1,0)+IF(AND(IF('wk2'!E$5=Pat!$C$25,1,0),IF('wk2'!E43=Pat!C$27,1,0)),1,0)+IF(AND(IF('wk2'!F$5=Pat!$C$25,1,0),IF('wk2'!F43=Pat!C$27,1,0)),1,0)+IF(AND(IF('wk2'!G$5=Pat!$C$25,1,0),IF('wk2'!G43=Pat!C$27,1,0)),1,0)+IF(AND(IF('wk2'!H$5=Pat!$C$25,1,0),IF('wk2'!H43=Pat!C$27,1,0)),1,0)+IF(AND(IF('wk2'!B$5=Pat!$C$25,1,0),IF('wk2'!B43=Pat!C$27,1,0)),1,0)</f>
        <v>0</v>
      </c>
      <c r="F61" s="90">
        <f>IF(AND(IF('wk3'!B$5=Pat!$C$25,1,0),IF('wk3'!B43=Pat!B$27,1,0)),1,0)+IF(AND(IF('wk3'!C$5=Pat!$C$25,1,0),IF('wk3'!C43=Pat!B$27,1,0)),1,0)+IF(AND(IF('wk3'!D$5=Pat!$C$25,1,0),IF('wk3'!D43=Pat!B$27,1,0)),1,0)+IF(AND(IF('wk3'!E$5=Pat!$C$25,1,0),IF('wk3'!E43=Pat!B$27,1,0)),1,0)+IF(AND(IF('wk3'!F$5=Pat!$C$25,1,0),IF('wk3'!F43=Pat!B$27,1,0)),1,0)+IF(AND(IF('wk3'!G$5=Pat!$C$25,1,0),IF('wk3'!G43=Pat!B$27,1,0)),1,0)</f>
        <v>0</v>
      </c>
      <c r="G61" s="91">
        <f>IF(AND(IF('wk3'!C$5=Pat!$C$25,1,0),IF('wk3'!C43=Pat!C$27,1,0)),1,0)+IF(AND(IF('wk3'!D$5=Pat!$C$25,1,0),IF('wk3'!D43=Pat!C$27,1,0)),1,0)+IF(AND(IF('wk3'!E$5=Pat!$C$25,1,0),IF('wk3'!E43=Pat!C$27,1,0)),1,0)+IF(AND(IF('wk3'!F$5=Pat!$C$25,1,0),IF('wk3'!F43=Pat!C$27,1,0)),1,0)+IF(AND(IF('wk3'!G$5=Pat!$C$25,1,0),IF('wk3'!G43=Pat!C$27,1,0)),1,0)+IF(AND(IF('wk3'!H$5=Pat!$C$25,1,0),IF('wk3'!H43=Pat!C$27,1,0)),1,0)+IF(AND(IF('wk3'!B$5=Pat!$C$25,1,0),IF('wk3'!B43=Pat!C$27,1,0)),1,0)</f>
        <v>0</v>
      </c>
      <c r="H61" s="90">
        <f>IF(AND(IF('wk4'!B$5=Pat!$C$25,1,0),IF('wk4'!B43=Pat!B$27,1,0)),1,0)+IF(AND(IF('wk4'!C$5=Pat!$C$25,1,0),IF('wk4'!C43=Pat!B$27,1,0)),1,0)+IF(AND(IF('wk4'!D$5=Pat!$C$25,1,0),IF('wk4'!D43=Pat!B$27,1,0)),1,0)+IF(AND(IF('wk4'!E$5=Pat!$C$25,1,0),IF('wk4'!E43=Pat!B$27,1,0)),1,0)+IF(AND(IF('wk4'!F$5=Pat!$C$25,1,0),IF('wk4'!F43=Pat!B$27,1,0)),1,0)+IF(AND(IF('wk4'!G$5=Pat!$C$25,1,0),IF('wk4'!G43=Pat!B$27,1,0)),1,0)</f>
        <v>0</v>
      </c>
      <c r="I61" s="91">
        <f>IF(AND(IF('wk4'!C$5=Pat!$C$25,1,0),IF('wk4'!C43=Pat!C$27,1,0)),1,0)+IF(AND(IF('wk4'!D$5=Pat!$C$25,1,0),IF('wk4'!D43=Pat!C$27,1,0)),1,0)+IF(AND(IF('wk4'!E$5=Pat!$C$25,1,0),IF('wk4'!E43=Pat!C$27,1,0)),1,0)+IF(AND(IF('wk4'!F$5=Pat!$C$25,1,0),IF('wk4'!F43=Pat!C$27,1,0)),1,0)+IF(AND(IF('wk4'!G$5=Pat!$C$25,1,0),IF('wk4'!G43=Pat!C$27,1,0)),1,0)+IF(AND(IF('wk4'!H$5=Pat!$C$25,1,0),IF('wk4'!H43=Pat!C$27,1,0)),1,0)+IF(AND(IF('wk4'!B$5=Pat!$C$25,1,0),IF('wk4'!B43=Pat!C$27,1,0)),1,0)</f>
        <v>0</v>
      </c>
      <c r="J61" s="92">
        <f>IF(AND(IF('wk5'!B$5=Pat!$C$25,1,0),IF('wk5'!B43=Pat!B$27,1,0)),1,0)+IF(AND(IF('wk5'!C$5=Pat!$C$25,1,0),IF('wk5'!C43=Pat!B$27,1,0)),1,0)+IF(AND(IF('wk5'!D$5=Pat!$C$25,1,0),IF('wk5'!D43=Pat!B$27,1,0)),1,0)+IF(AND(IF('wk5'!E$5=Pat!$C$25,1,0),IF('wk5'!E43=Pat!B$27,1,0)),1,0)+IF(AND(IF('wk5'!F$5=Pat!$C$25,1,0),IF('wk5'!F43=Pat!B$27,1,0)),1,0)+IF(AND(IF('wk5'!G$5=Pat!$C$25,1,0),IF('wk5'!G43=Pat!B$27,1,0)),1,0)</f>
        <v>0</v>
      </c>
      <c r="K61" s="93">
        <f>IF(AND(IF('wk5'!C$5=Pat!$C$25,1,0),IF('wk5'!C43=Pat!C$27,1,0)),1,0)+IF(AND(IF('wk5'!D$5=Pat!$C$25,1,0),IF('wk5'!D43=Pat!C$27,1,0)),1,0)+IF(AND(IF('wk5'!E$5=Pat!$C$25,1,0),IF('wk5'!E43=Pat!C$27,1,0)),1,0)+IF(AND(IF('wk5'!F$5=Pat!$C$25,1,0),IF('wk5'!F43=Pat!C$27,1,0)),1,0)+IF(AND(IF('wk5'!G$5=Pat!$C$25,1,0),IF('wk5'!G43=Pat!C$27,1,0)),1,0)+IF(AND(IF('wk5'!H$5=Pat!$C$25,1,0),IF('wk5'!H43=Pat!C$27,1,0)),1,0)+IF(AND(IF('wk5'!B$5=Pat!$C$25,1,0),IF('wk5'!B43=Pat!C$27,1,0)),1,0)</f>
        <v>0</v>
      </c>
      <c r="L61" s="87"/>
      <c r="M61" s="87">
        <f t="shared" si="2"/>
        <v>0</v>
      </c>
      <c r="N61" s="89">
        <f t="shared" si="3"/>
        <v>0</v>
      </c>
      <c r="P61" s="95"/>
      <c r="Q61" s="81"/>
    </row>
    <row r="62" spans="1:17" ht="13.5" thickBot="1">
      <c r="A62" s="86" t="str">
        <f>'Members Data'!A36</f>
        <v>Zorrg</v>
      </c>
      <c r="B62" s="90">
        <f>IF(AND(IF('wk1'!B$5=Pat!$C$25,1,0),IF('wk1'!B44=Pat!B$27,1,0)),1,0)+IF(AND(IF('wk1'!D$5=Pat!$C$25,1,0),IF('wk1'!C44=Pat!B$27,1,0)),1,0)+IF(AND(IF('wk1'!D$5=Pat!$C$25,1,0),IF('wk1'!D44=Pat!B$27,1,0)),1,0)+IF(AND(IF('wk1'!E$5=Pat!$C$25,1,0),IF('wk1'!E44=Pat!B$27,1,0)),1,0)+IF(AND(IF('wk1'!F$5=Pat!$C$25,1,0),IF('wk1'!F44=Pat!B$27,1,0)),1,0)+IF(AND(IF('wk1'!G$5=Pat!$C$25,1,0),IF('wk1'!G44=Pat!B$27,1,0)),1,0)</f>
        <v>0</v>
      </c>
      <c r="C62" s="91">
        <f>IF(AND(IF('wk1'!D$5=Pat!$C$25,1,0),IF('wk1'!C44=Pat!C$27,1,0)),1,0)+IF(AND(IF('wk1'!D$5=Pat!$C$25,1,0),IF('wk1'!D44=Pat!C$27,1,0)),1,0)+IF(AND(IF('wk1'!E$5=Pat!$C$25,1,0),IF('wk1'!E44=Pat!C$27,1,0)),1,0)+IF(AND(IF('wk1'!F$5=Pat!$C$25,1,0),IF('wk1'!F44=Pat!C$27,1,0)),1,0)+IF(AND(IF('wk1'!G$5=Pat!$C$25,1,0),IF('wk1'!G44=Pat!C$27,1,0)),1,0)+IF(AND(IF('wk1'!H$5=Pat!$C$25,1,0),IF('wk1'!H44=Pat!C$27,1,0)),1,0)+IF(AND(IF('wk1'!B$5=Pat!$C$25,1,0),IF('wk1'!B44=Pat!C$27,1,0)),1,0)</f>
        <v>0</v>
      </c>
      <c r="D62" s="90">
        <f>IF(AND(IF('wk2'!B$5=Pat!$C$25,1,0),IF('wk2'!B44=Pat!B$27,1,0)),1,0)+IF(AND(IF('wk2'!C$5=Pat!$C$25,1,0),IF('wk2'!C44=Pat!B$27,1,0)),1,0)+IF(AND(IF('wk2'!D$5=Pat!$C$25,1,0),IF('wk2'!D44=Pat!B$27,1,0)),1,0)+IF(AND(IF('wk2'!E$5=Pat!$C$25,1,0),IF('wk2'!E44=Pat!B$27,1,0)),1,0)+IF(AND(IF('wk2'!F$5=Pat!$C$25,1,0),IF('wk2'!F44=Pat!B$27,1,0)),1,0)+IF(AND(IF('wk2'!G$5=Pat!$C$25,1,0),IF('wk2'!G44=Pat!B$27,1,0)),1,0)</f>
        <v>0</v>
      </c>
      <c r="E62" s="91">
        <f>IF(AND(IF('wk2'!C$5=Pat!$C$25,1,0),IF('wk2'!C44=Pat!C$27,1,0)),1,0)+IF(AND(IF('wk2'!D$5=Pat!$C$25,1,0),IF('wk2'!D44=Pat!C$27,1,0)),1,0)+IF(AND(IF('wk2'!E$5=Pat!$C$25,1,0),IF('wk2'!E44=Pat!C$27,1,0)),1,0)+IF(AND(IF('wk2'!F$5=Pat!$C$25,1,0),IF('wk2'!F44=Pat!C$27,1,0)),1,0)+IF(AND(IF('wk2'!G$5=Pat!$C$25,1,0),IF('wk2'!G44=Pat!C$27,1,0)),1,0)+IF(AND(IF('wk2'!H$5=Pat!$C$25,1,0),IF('wk2'!H44=Pat!C$27,1,0)),1,0)+IF(AND(IF('wk2'!B$5=Pat!$C$25,1,0),IF('wk2'!B44=Pat!C$27,1,0)),1,0)</f>
        <v>0</v>
      </c>
      <c r="F62" s="90">
        <f>IF(AND(IF('wk3'!B$5=Pat!$C$25,1,0),IF('wk3'!B44=Pat!B$27,1,0)),1,0)+IF(AND(IF('wk3'!C$5=Pat!$C$25,1,0),IF('wk3'!C44=Pat!B$27,1,0)),1,0)+IF(AND(IF('wk3'!D$5=Pat!$C$25,1,0),IF('wk3'!D44=Pat!B$27,1,0)),1,0)+IF(AND(IF('wk3'!E$5=Pat!$C$25,1,0),IF('wk3'!E44=Pat!B$27,1,0)),1,0)+IF(AND(IF('wk3'!F$5=Pat!$C$25,1,0),IF('wk3'!F44=Pat!B$27,1,0)),1,0)+IF(AND(IF('wk3'!G$5=Pat!$C$25,1,0),IF('wk3'!G44=Pat!B$27,1,0)),1,0)</f>
        <v>0</v>
      </c>
      <c r="G62" s="91">
        <f>IF(AND(IF('wk3'!C$5=Pat!$C$25,1,0),IF('wk3'!C44=Pat!C$27,1,0)),1,0)+IF(AND(IF('wk3'!D$5=Pat!$C$25,1,0),IF('wk3'!D44=Pat!C$27,1,0)),1,0)+IF(AND(IF('wk3'!E$5=Pat!$C$25,1,0),IF('wk3'!E44=Pat!C$27,1,0)),1,0)+IF(AND(IF('wk3'!F$5=Pat!$C$25,1,0),IF('wk3'!F44=Pat!C$27,1,0)),1,0)+IF(AND(IF('wk3'!G$5=Pat!$C$25,1,0),IF('wk3'!G44=Pat!C$27,1,0)),1,0)+IF(AND(IF('wk3'!H$5=Pat!$C$25,1,0),IF('wk3'!H44=Pat!C$27,1,0)),1,0)+IF(AND(IF('wk3'!B$5=Pat!$C$25,1,0),IF('wk3'!B44=Pat!C$27,1,0)),1,0)</f>
        <v>0</v>
      </c>
      <c r="H62" s="90">
        <f>IF(AND(IF('wk4'!B$5=Pat!$C$25,1,0),IF('wk4'!B44=Pat!B$27,1,0)),1,0)+IF(AND(IF('wk4'!C$5=Pat!$C$25,1,0),IF('wk4'!C44=Pat!B$27,1,0)),1,0)+IF(AND(IF('wk4'!D$5=Pat!$C$25,1,0),IF('wk4'!D44=Pat!B$27,1,0)),1,0)+IF(AND(IF('wk4'!E$5=Pat!$C$25,1,0),IF('wk4'!E44=Pat!B$27,1,0)),1,0)+IF(AND(IF('wk4'!F$5=Pat!$C$25,1,0),IF('wk4'!F44=Pat!B$27,1,0)),1,0)+IF(AND(IF('wk4'!G$5=Pat!$C$25,1,0),IF('wk4'!G44=Pat!B$27,1,0)),1,0)</f>
        <v>0</v>
      </c>
      <c r="I62" s="91">
        <f>IF(AND(IF('wk4'!C$5=Pat!$C$25,1,0),IF('wk4'!C44=Pat!C$27,1,0)),1,0)+IF(AND(IF('wk4'!D$5=Pat!$C$25,1,0),IF('wk4'!D44=Pat!C$27,1,0)),1,0)+IF(AND(IF('wk4'!E$5=Pat!$C$25,1,0),IF('wk4'!E44=Pat!C$27,1,0)),1,0)+IF(AND(IF('wk4'!F$5=Pat!$C$25,1,0),IF('wk4'!F44=Pat!C$27,1,0)),1,0)+IF(AND(IF('wk4'!G$5=Pat!$C$25,1,0),IF('wk4'!G44=Pat!C$27,1,0)),1,0)+IF(AND(IF('wk4'!H$5=Pat!$C$25,1,0),IF('wk4'!H44=Pat!C$27,1,0)),1,0)+IF(AND(IF('wk4'!B$5=Pat!$C$25,1,0),IF('wk4'!B44=Pat!C$27,1,0)),1,0)</f>
        <v>0</v>
      </c>
      <c r="J62" s="92">
        <f>IF(AND(IF('wk5'!B$5=Pat!$C$25,1,0),IF('wk5'!B44=Pat!B$27,1,0)),1,0)+IF(AND(IF('wk5'!C$5=Pat!$C$25,1,0),IF('wk5'!C44=Pat!B$27,1,0)),1,0)+IF(AND(IF('wk5'!D$5=Pat!$C$25,1,0),IF('wk5'!D44=Pat!B$27,1,0)),1,0)+IF(AND(IF('wk5'!E$5=Pat!$C$25,1,0),IF('wk5'!E44=Pat!B$27,1,0)),1,0)+IF(AND(IF('wk5'!F$5=Pat!$C$25,1,0),IF('wk5'!F44=Pat!B$27,1,0)),1,0)+IF(AND(IF('wk5'!G$5=Pat!$C$25,1,0),IF('wk5'!G44=Pat!B$27,1,0)),1,0)</f>
        <v>0</v>
      </c>
      <c r="K62" s="93">
        <f>IF(AND(IF('wk5'!C$5=Pat!$C$25,1,0),IF('wk5'!C44=Pat!C$27,1,0)),1,0)+IF(AND(IF('wk5'!D$5=Pat!$C$25,1,0),IF('wk5'!D44=Pat!C$27,1,0)),1,0)+IF(AND(IF('wk5'!E$5=Pat!$C$25,1,0),IF('wk5'!E44=Pat!C$27,1,0)),1,0)+IF(AND(IF('wk5'!F$5=Pat!$C$25,1,0),IF('wk5'!F44=Pat!C$27,1,0)),1,0)+IF(AND(IF('wk5'!G$5=Pat!$C$25,1,0),IF('wk5'!G44=Pat!C$27,1,0)),1,0)+IF(AND(IF('wk5'!H$5=Pat!$C$25,1,0),IF('wk5'!H44=Pat!C$27,1,0)),1,0)+IF(AND(IF('wk5'!B$5=Pat!$C$25,1,0),IF('wk5'!B44=Pat!C$27,1,0)),1,0)</f>
        <v>0</v>
      </c>
      <c r="L62" s="87"/>
      <c r="M62" s="87">
        <f t="shared" si="2"/>
        <v>0</v>
      </c>
      <c r="N62" s="89">
        <f t="shared" si="3"/>
        <v>0</v>
      </c>
      <c r="Q62" s="81"/>
    </row>
    <row r="63" spans="1:17" ht="13.5" thickBot="1">
      <c r="A63" s="86" t="str">
        <f>'Members Data'!A37</f>
        <v>Volson</v>
      </c>
      <c r="B63" s="90">
        <f>IF(AND(IF('wk1'!B$5=Pat!$C$25,1,0),IF('wk1'!B45=Pat!B$27,1,0)),1,0)+IF(AND(IF('wk1'!D$5=Pat!$C$25,1,0),IF('wk1'!C45=Pat!B$27,1,0)),1,0)+IF(AND(IF('wk1'!D$5=Pat!$C$25,1,0),IF('wk1'!D45=Pat!B$27,1,0)),1,0)+IF(AND(IF('wk1'!E$5=Pat!$C$25,1,0),IF('wk1'!E45=Pat!B$27,1,0)),1,0)+IF(AND(IF('wk1'!F$5=Pat!$C$25,1,0),IF('wk1'!F45=Pat!B$27,1,0)),1,0)+IF(AND(IF('wk1'!G$5=Pat!$C$25,1,0),IF('wk1'!G45=Pat!B$27,1,0)),1,0)</f>
        <v>0</v>
      </c>
      <c r="C63" s="91">
        <f>IF(AND(IF('wk1'!D$5=Pat!$C$25,1,0),IF('wk1'!C45=Pat!C$27,1,0)),1,0)+IF(AND(IF('wk1'!D$5=Pat!$C$25,1,0),IF('wk1'!D45=Pat!C$27,1,0)),1,0)+IF(AND(IF('wk1'!E$5=Pat!$C$25,1,0),IF('wk1'!E45=Pat!C$27,1,0)),1,0)+IF(AND(IF('wk1'!F$5=Pat!$C$25,1,0),IF('wk1'!F45=Pat!C$27,1,0)),1,0)+IF(AND(IF('wk1'!G$5=Pat!$C$25,1,0),IF('wk1'!G45=Pat!C$27,1,0)),1,0)+IF(AND(IF('wk1'!H$5=Pat!$C$25,1,0),IF('wk1'!H45=Pat!C$27,1,0)),1,0)+IF(AND(IF('wk1'!B$5=Pat!$C$25,1,0),IF('wk1'!B45=Pat!C$27,1,0)),1,0)</f>
        <v>0</v>
      </c>
      <c r="D63" s="90">
        <f>IF(AND(IF('wk2'!B$5=Pat!$C$25,1,0),IF('wk2'!B45=Pat!B$27,1,0)),1,0)+IF(AND(IF('wk2'!C$5=Pat!$C$25,1,0),IF('wk2'!C45=Pat!B$27,1,0)),1,0)+IF(AND(IF('wk2'!D$5=Pat!$C$25,1,0),IF('wk2'!D45=Pat!B$27,1,0)),1,0)+IF(AND(IF('wk2'!E$5=Pat!$C$25,1,0),IF('wk2'!E45=Pat!B$27,1,0)),1,0)+IF(AND(IF('wk2'!F$5=Pat!$C$25,1,0),IF('wk2'!F45=Pat!B$27,1,0)),1,0)+IF(AND(IF('wk2'!G$5=Pat!$C$25,1,0),IF('wk2'!G45=Pat!B$27,1,0)),1,0)</f>
        <v>0</v>
      </c>
      <c r="E63" s="91">
        <f>IF(AND(IF('wk2'!C$5=Pat!$C$25,1,0),IF('wk2'!C45=Pat!C$27,1,0)),1,0)+IF(AND(IF('wk2'!D$5=Pat!$C$25,1,0),IF('wk2'!D45=Pat!C$27,1,0)),1,0)+IF(AND(IF('wk2'!E$5=Pat!$C$25,1,0),IF('wk2'!E45=Pat!C$27,1,0)),1,0)+IF(AND(IF('wk2'!F$5=Pat!$C$25,1,0),IF('wk2'!F45=Pat!C$27,1,0)),1,0)+IF(AND(IF('wk2'!G$5=Pat!$C$25,1,0),IF('wk2'!G45=Pat!C$27,1,0)),1,0)+IF(AND(IF('wk2'!H$5=Pat!$C$25,1,0),IF('wk2'!H45=Pat!C$27,1,0)),1,0)+IF(AND(IF('wk2'!B$5=Pat!$C$25,1,0),IF('wk2'!B45=Pat!C$27,1,0)),1,0)</f>
        <v>0</v>
      </c>
      <c r="F63" s="90">
        <f>IF(AND(IF('wk3'!B$5=Pat!$C$25,1,0),IF('wk3'!B45=Pat!B$27,1,0)),1,0)+IF(AND(IF('wk3'!C$5=Pat!$C$25,1,0),IF('wk3'!C45=Pat!B$27,1,0)),1,0)+IF(AND(IF('wk3'!D$5=Pat!$C$25,1,0),IF('wk3'!D45=Pat!B$27,1,0)),1,0)+IF(AND(IF('wk3'!E$5=Pat!$C$25,1,0),IF('wk3'!E45=Pat!B$27,1,0)),1,0)+IF(AND(IF('wk3'!F$5=Pat!$C$25,1,0),IF('wk3'!F45=Pat!B$27,1,0)),1,0)+IF(AND(IF('wk3'!G$5=Pat!$C$25,1,0),IF('wk3'!G45=Pat!B$27,1,0)),1,0)</f>
        <v>0</v>
      </c>
      <c r="G63" s="91">
        <f>IF(AND(IF('wk3'!C$5=Pat!$C$25,1,0),IF('wk3'!C45=Pat!C$27,1,0)),1,0)+IF(AND(IF('wk3'!D$5=Pat!$C$25,1,0),IF('wk3'!D45=Pat!C$27,1,0)),1,0)+IF(AND(IF('wk3'!E$5=Pat!$C$25,1,0),IF('wk3'!E45=Pat!C$27,1,0)),1,0)+IF(AND(IF('wk3'!F$5=Pat!$C$25,1,0),IF('wk3'!F45=Pat!C$27,1,0)),1,0)+IF(AND(IF('wk3'!G$5=Pat!$C$25,1,0),IF('wk3'!G45=Pat!C$27,1,0)),1,0)+IF(AND(IF('wk3'!H$5=Pat!$C$25,1,0),IF('wk3'!H45=Pat!C$27,1,0)),1,0)+IF(AND(IF('wk3'!B$5=Pat!$C$25,1,0),IF('wk3'!B45=Pat!C$27,1,0)),1,0)</f>
        <v>0</v>
      </c>
      <c r="H63" s="90">
        <f>IF(AND(IF('wk4'!B$5=Pat!$C$25,1,0),IF('wk4'!B45=Pat!B$27,1,0)),1,0)+IF(AND(IF('wk4'!C$5=Pat!$C$25,1,0),IF('wk4'!C45=Pat!B$27,1,0)),1,0)+IF(AND(IF('wk4'!D$5=Pat!$C$25,1,0),IF('wk4'!D45=Pat!B$27,1,0)),1,0)+IF(AND(IF('wk4'!E$5=Pat!$C$25,1,0),IF('wk4'!E45=Pat!B$27,1,0)),1,0)+IF(AND(IF('wk4'!F$5=Pat!$C$25,1,0),IF('wk4'!F45=Pat!B$27,1,0)),1,0)+IF(AND(IF('wk4'!G$5=Pat!$C$25,1,0),IF('wk4'!G45=Pat!B$27,1,0)),1,0)</f>
        <v>0</v>
      </c>
      <c r="I63" s="91">
        <f>IF(AND(IF('wk4'!C$5=Pat!$C$25,1,0),IF('wk4'!C45=Pat!C$27,1,0)),1,0)+IF(AND(IF('wk4'!D$5=Pat!$C$25,1,0),IF('wk4'!D45=Pat!C$27,1,0)),1,0)+IF(AND(IF('wk4'!E$5=Pat!$C$25,1,0),IF('wk4'!E45=Pat!C$27,1,0)),1,0)+IF(AND(IF('wk4'!F$5=Pat!$C$25,1,0),IF('wk4'!F45=Pat!C$27,1,0)),1,0)+IF(AND(IF('wk4'!G$5=Pat!$C$25,1,0),IF('wk4'!G45=Pat!C$27,1,0)),1,0)+IF(AND(IF('wk4'!H$5=Pat!$C$25,1,0),IF('wk4'!H45=Pat!C$27,1,0)),1,0)+IF(AND(IF('wk4'!B$5=Pat!$C$25,1,0),IF('wk4'!B45=Pat!C$27,1,0)),1,0)</f>
        <v>0</v>
      </c>
      <c r="J63" s="92">
        <f>IF(AND(IF('wk5'!B$5=Pat!$C$25,1,0),IF('wk5'!B45=Pat!B$27,1,0)),1,0)+IF(AND(IF('wk5'!C$5=Pat!$C$25,1,0),IF('wk5'!C45=Pat!B$27,1,0)),1,0)+IF(AND(IF('wk5'!D$5=Pat!$C$25,1,0),IF('wk5'!D45=Pat!B$27,1,0)),1,0)+IF(AND(IF('wk5'!E$5=Pat!$C$25,1,0),IF('wk5'!E45=Pat!B$27,1,0)),1,0)+IF(AND(IF('wk5'!F$5=Pat!$C$25,1,0),IF('wk5'!F45=Pat!B$27,1,0)),1,0)+IF(AND(IF('wk5'!G$5=Pat!$C$25,1,0),IF('wk5'!G45=Pat!B$27,1,0)),1,0)</f>
        <v>0</v>
      </c>
      <c r="K63" s="93">
        <f>IF(AND(IF('wk5'!C$5=Pat!$C$25,1,0),IF('wk5'!C45=Pat!C$27,1,0)),1,0)+IF(AND(IF('wk5'!D$5=Pat!$C$25,1,0),IF('wk5'!D45=Pat!C$27,1,0)),1,0)+IF(AND(IF('wk5'!E$5=Pat!$C$25,1,0),IF('wk5'!E45=Pat!C$27,1,0)),1,0)+IF(AND(IF('wk5'!F$5=Pat!$C$25,1,0),IF('wk5'!F45=Pat!C$27,1,0)),1,0)+IF(AND(IF('wk5'!G$5=Pat!$C$25,1,0),IF('wk5'!G45=Pat!C$27,1,0)),1,0)+IF(AND(IF('wk5'!H$5=Pat!$C$25,1,0),IF('wk5'!H45=Pat!C$27,1,0)),1,0)+IF(AND(IF('wk5'!B$5=Pat!$C$25,1,0),IF('wk5'!B45=Pat!C$27,1,0)),1,0)</f>
        <v>0</v>
      </c>
      <c r="L63" s="87"/>
      <c r="M63" s="87">
        <f t="shared" si="2"/>
        <v>0</v>
      </c>
      <c r="N63" s="89">
        <f t="shared" si="3"/>
        <v>0</v>
      </c>
      <c r="Q63" s="81"/>
    </row>
    <row r="64" spans="1:17" ht="13.5" thickBot="1">
      <c r="A64" s="86">
        <f>'Members Data'!A38</f>
        <v>0</v>
      </c>
      <c r="B64" s="90">
        <f>IF(AND(IF('wk1'!B$5=Pat!$C$25,1,0),IF('wk1'!B46=Pat!B$27,1,0)),1,0)+IF(AND(IF('wk1'!D$5=Pat!$C$25,1,0),IF('wk1'!C46=Pat!B$27,1,0)),1,0)+IF(AND(IF('wk1'!D$5=Pat!$C$25,1,0),IF('wk1'!D46=Pat!B$27,1,0)),1,0)+IF(AND(IF('wk1'!E$5=Pat!$C$25,1,0),IF('wk1'!E46=Pat!B$27,1,0)),1,0)+IF(AND(IF('wk1'!F$5=Pat!$C$25,1,0),IF('wk1'!F46=Pat!B$27,1,0)),1,0)+IF(AND(IF('wk1'!G$5=Pat!$C$25,1,0),IF('wk1'!G46=Pat!B$27,1,0)),1,0)</f>
        <v>0</v>
      </c>
      <c r="C64" s="91">
        <f>IF(AND(IF('wk1'!D$5=Pat!$C$25,1,0),IF('wk1'!C46=Pat!C$27,1,0)),1,0)+IF(AND(IF('wk1'!D$5=Pat!$C$25,1,0),IF('wk1'!D46=Pat!C$27,1,0)),1,0)+IF(AND(IF('wk1'!E$5=Pat!$C$25,1,0),IF('wk1'!E46=Pat!C$27,1,0)),1,0)+IF(AND(IF('wk1'!F$5=Pat!$C$25,1,0),IF('wk1'!F46=Pat!C$27,1,0)),1,0)+IF(AND(IF('wk1'!G$5=Pat!$C$25,1,0),IF('wk1'!G46=Pat!C$27,1,0)),1,0)+IF(AND(IF('wk1'!H$5=Pat!$C$25,1,0),IF('wk1'!H46=Pat!C$27,1,0)),1,0)+IF(AND(IF('wk1'!B$5=Pat!$C$25,1,0),IF('wk1'!B46=Pat!C$27,1,0)),1,0)</f>
        <v>0</v>
      </c>
      <c r="D64" s="90">
        <f>IF(AND(IF('wk2'!B$5=Pat!$C$25,1,0),IF('wk2'!B46=Pat!B$27,1,0)),1,0)+IF(AND(IF('wk2'!C$5=Pat!$C$25,1,0),IF('wk2'!C46=Pat!B$27,1,0)),1,0)+IF(AND(IF('wk2'!D$5=Pat!$C$25,1,0),IF('wk2'!D46=Pat!B$27,1,0)),1,0)+IF(AND(IF('wk2'!E$5=Pat!$C$25,1,0),IF('wk2'!E46=Pat!B$27,1,0)),1,0)+IF(AND(IF('wk2'!F$5=Pat!$C$25,1,0),IF('wk2'!F46=Pat!B$27,1,0)),1,0)+IF(AND(IF('wk2'!G$5=Pat!$C$25,1,0),IF('wk2'!G46=Pat!B$27,1,0)),1,0)</f>
        <v>0</v>
      </c>
      <c r="E64" s="91">
        <f>IF(AND(IF('wk2'!C$5=Pat!$C$25,1,0),IF('wk2'!C46=Pat!C$27,1,0)),1,0)+IF(AND(IF('wk2'!D$5=Pat!$C$25,1,0),IF('wk2'!D46=Pat!C$27,1,0)),1,0)+IF(AND(IF('wk2'!E$5=Pat!$C$25,1,0),IF('wk2'!E46=Pat!C$27,1,0)),1,0)+IF(AND(IF('wk2'!F$5=Pat!$C$25,1,0),IF('wk2'!F46=Pat!C$27,1,0)),1,0)+IF(AND(IF('wk2'!G$5=Pat!$C$25,1,0),IF('wk2'!G46=Pat!C$27,1,0)),1,0)+IF(AND(IF('wk2'!H$5=Pat!$C$25,1,0),IF('wk2'!H46=Pat!C$27,1,0)),1,0)+IF(AND(IF('wk2'!B$5=Pat!$C$25,1,0),IF('wk2'!B46=Pat!C$27,1,0)),1,0)</f>
        <v>0</v>
      </c>
      <c r="F64" s="90">
        <f>IF(AND(IF('wk3'!B$5=Pat!$C$25,1,0),IF('wk3'!B46=Pat!B$27,1,0)),1,0)+IF(AND(IF('wk3'!C$5=Pat!$C$25,1,0),IF('wk3'!C46=Pat!B$27,1,0)),1,0)+IF(AND(IF('wk3'!D$5=Pat!$C$25,1,0),IF('wk3'!D46=Pat!B$27,1,0)),1,0)+IF(AND(IF('wk3'!E$5=Pat!$C$25,1,0),IF('wk3'!E46=Pat!B$27,1,0)),1,0)+IF(AND(IF('wk3'!F$5=Pat!$C$25,1,0),IF('wk3'!F46=Pat!B$27,1,0)),1,0)+IF(AND(IF('wk3'!G$5=Pat!$C$25,1,0),IF('wk3'!G46=Pat!B$27,1,0)),1,0)</f>
        <v>0</v>
      </c>
      <c r="G64" s="91">
        <f>IF(AND(IF('wk3'!C$5=Pat!$C$25,1,0),IF('wk3'!C46=Pat!C$27,1,0)),1,0)+IF(AND(IF('wk3'!D$5=Pat!$C$25,1,0),IF('wk3'!D46=Pat!C$27,1,0)),1,0)+IF(AND(IF('wk3'!E$5=Pat!$C$25,1,0),IF('wk3'!E46=Pat!C$27,1,0)),1,0)+IF(AND(IF('wk3'!F$5=Pat!$C$25,1,0),IF('wk3'!F46=Pat!C$27,1,0)),1,0)+IF(AND(IF('wk3'!G$5=Pat!$C$25,1,0),IF('wk3'!G46=Pat!C$27,1,0)),1,0)+IF(AND(IF('wk3'!H$5=Pat!$C$25,1,0),IF('wk3'!H46=Pat!C$27,1,0)),1,0)+IF(AND(IF('wk3'!B$5=Pat!$C$25,1,0),IF('wk3'!B46=Pat!C$27,1,0)),1,0)</f>
        <v>0</v>
      </c>
      <c r="H64" s="90">
        <f>IF(AND(IF('wk4'!B$5=Pat!$C$25,1,0),IF('wk4'!B46=Pat!B$27,1,0)),1,0)+IF(AND(IF('wk4'!C$5=Pat!$C$25,1,0),IF('wk4'!C46=Pat!B$27,1,0)),1,0)+IF(AND(IF('wk4'!D$5=Pat!$C$25,1,0),IF('wk4'!D46=Pat!B$27,1,0)),1,0)+IF(AND(IF('wk4'!E$5=Pat!$C$25,1,0),IF('wk4'!E46=Pat!B$27,1,0)),1,0)+IF(AND(IF('wk4'!F$5=Pat!$C$25,1,0),IF('wk4'!F46=Pat!B$27,1,0)),1,0)+IF(AND(IF('wk4'!G$5=Pat!$C$25,1,0),IF('wk4'!G46=Pat!B$27,1,0)),1,0)</f>
        <v>0</v>
      </c>
      <c r="I64" s="91">
        <f>IF(AND(IF('wk4'!C$5=Pat!$C$25,1,0),IF('wk4'!C46=Pat!C$27,1,0)),1,0)+IF(AND(IF('wk4'!D$5=Pat!$C$25,1,0),IF('wk4'!D46=Pat!C$27,1,0)),1,0)+IF(AND(IF('wk4'!E$5=Pat!$C$25,1,0),IF('wk4'!E46=Pat!C$27,1,0)),1,0)+IF(AND(IF('wk4'!F$5=Pat!$C$25,1,0),IF('wk4'!F46=Pat!C$27,1,0)),1,0)+IF(AND(IF('wk4'!G$5=Pat!$C$25,1,0),IF('wk4'!G46=Pat!C$27,1,0)),1,0)+IF(AND(IF('wk4'!H$5=Pat!$C$25,1,0),IF('wk4'!H46=Pat!C$27,1,0)),1,0)+IF(AND(IF('wk4'!B$5=Pat!$C$25,1,0),IF('wk4'!B46=Pat!C$27,1,0)),1,0)</f>
        <v>0</v>
      </c>
      <c r="J64" s="92">
        <f>IF(AND(IF('wk5'!B$5=Pat!$C$25,1,0),IF('wk5'!B46=Pat!B$27,1,0)),1,0)+IF(AND(IF('wk5'!C$5=Pat!$C$25,1,0),IF('wk5'!C46=Pat!B$27,1,0)),1,0)+IF(AND(IF('wk5'!D$5=Pat!$C$25,1,0),IF('wk5'!D46=Pat!B$27,1,0)),1,0)+IF(AND(IF('wk5'!E$5=Pat!$C$25,1,0),IF('wk5'!E46=Pat!B$27,1,0)),1,0)+IF(AND(IF('wk5'!F$5=Pat!$C$25,1,0),IF('wk5'!F46=Pat!B$27,1,0)),1,0)+IF(AND(IF('wk5'!G$5=Pat!$C$25,1,0),IF('wk5'!G46=Pat!B$27,1,0)),1,0)</f>
        <v>0</v>
      </c>
      <c r="K64" s="93">
        <f>IF(AND(IF('wk5'!C$5=Pat!$C$25,1,0),IF('wk5'!C46=Pat!C$27,1,0)),1,0)+IF(AND(IF('wk5'!D$5=Pat!$C$25,1,0),IF('wk5'!D46=Pat!C$27,1,0)),1,0)+IF(AND(IF('wk5'!E$5=Pat!$C$25,1,0),IF('wk5'!E46=Pat!C$27,1,0)),1,0)+IF(AND(IF('wk5'!F$5=Pat!$C$25,1,0),IF('wk5'!F46=Pat!C$27,1,0)),1,0)+IF(AND(IF('wk5'!G$5=Pat!$C$25,1,0),IF('wk5'!G46=Pat!C$27,1,0)),1,0)+IF(AND(IF('wk5'!H$5=Pat!$C$25,1,0),IF('wk5'!H46=Pat!C$27,1,0)),1,0)+IF(AND(IF('wk5'!B$5=Pat!$C$25,1,0),IF('wk5'!B46=Pat!C$27,1,0)),1,0)</f>
        <v>0</v>
      </c>
      <c r="L64" s="87"/>
      <c r="M64" s="87">
        <f t="shared" si="2"/>
        <v>0</v>
      </c>
      <c r="N64" s="89">
        <f t="shared" si="3"/>
        <v>0</v>
      </c>
      <c r="Q64" s="81"/>
    </row>
    <row r="65" spans="1:17" ht="13.5" thickBot="1">
      <c r="A65" s="86">
        <f>'Members Data'!A39</f>
        <v>0</v>
      </c>
      <c r="B65" s="90">
        <f>IF(AND(IF('wk1'!B$5=Pat!$C$25,1,0),IF('wk1'!B47=Pat!B$27,1,0)),1,0)+IF(AND(IF('wk1'!D$5=Pat!$C$25,1,0),IF('wk1'!C47=Pat!B$27,1,0)),1,0)+IF(AND(IF('wk1'!D$5=Pat!$C$25,1,0),IF('wk1'!D47=Pat!B$27,1,0)),1,0)+IF(AND(IF('wk1'!E$5=Pat!$C$25,1,0),IF('wk1'!E47=Pat!B$27,1,0)),1,0)+IF(AND(IF('wk1'!F$5=Pat!$C$25,1,0),IF('wk1'!F47=Pat!B$27,1,0)),1,0)+IF(AND(IF('wk1'!G$5=Pat!$C$25,1,0),IF('wk1'!G47=Pat!B$27,1,0)),1,0)</f>
        <v>0</v>
      </c>
      <c r="C65" s="91">
        <f>IF(AND(IF('wk1'!D$5=Pat!$C$25,1,0),IF('wk1'!C47=Pat!C$27,1,0)),1,0)+IF(AND(IF('wk1'!D$5=Pat!$C$25,1,0),IF('wk1'!D47=Pat!C$27,1,0)),1,0)+IF(AND(IF('wk1'!E$5=Pat!$C$25,1,0),IF('wk1'!E47=Pat!C$27,1,0)),1,0)+IF(AND(IF('wk1'!F$5=Pat!$C$25,1,0),IF('wk1'!F47=Pat!C$27,1,0)),1,0)+IF(AND(IF('wk1'!G$5=Pat!$C$25,1,0),IF('wk1'!G47=Pat!C$27,1,0)),1,0)+IF(AND(IF('wk1'!H$5=Pat!$C$25,1,0),IF('wk1'!H47=Pat!C$27,1,0)),1,0)+IF(AND(IF('wk1'!B$5=Pat!$C$25,1,0),IF('wk1'!B47=Pat!C$27,1,0)),1,0)</f>
        <v>0</v>
      </c>
      <c r="D65" s="90">
        <f>IF(AND(IF('wk2'!B$5=Pat!$C$25,1,0),IF('wk2'!B47=Pat!B$27,1,0)),1,0)+IF(AND(IF('wk2'!C$5=Pat!$C$25,1,0),IF('wk2'!C47=Pat!B$27,1,0)),1,0)+IF(AND(IF('wk2'!D$5=Pat!$C$25,1,0),IF('wk2'!D47=Pat!B$27,1,0)),1,0)+IF(AND(IF('wk2'!E$5=Pat!$C$25,1,0),IF('wk2'!E47=Pat!B$27,1,0)),1,0)+IF(AND(IF('wk2'!F$5=Pat!$C$25,1,0),IF('wk2'!F47=Pat!B$27,1,0)),1,0)+IF(AND(IF('wk2'!G$5=Pat!$C$25,1,0),IF('wk2'!G47=Pat!B$27,1,0)),1,0)</f>
        <v>0</v>
      </c>
      <c r="E65" s="91">
        <f>IF(AND(IF('wk2'!C$5=Pat!$C$25,1,0),IF('wk2'!C47=Pat!C$27,1,0)),1,0)+IF(AND(IF('wk2'!D$5=Pat!$C$25,1,0),IF('wk2'!D47=Pat!C$27,1,0)),1,0)+IF(AND(IF('wk2'!E$5=Pat!$C$25,1,0),IF('wk2'!E47=Pat!C$27,1,0)),1,0)+IF(AND(IF('wk2'!F$5=Pat!$C$25,1,0),IF('wk2'!F47=Pat!C$27,1,0)),1,0)+IF(AND(IF('wk2'!G$5=Pat!$C$25,1,0),IF('wk2'!G47=Pat!C$27,1,0)),1,0)+IF(AND(IF('wk2'!H$5=Pat!$C$25,1,0),IF('wk2'!H47=Pat!C$27,1,0)),1,0)+IF(AND(IF('wk2'!B$5=Pat!$C$25,1,0),IF('wk2'!B47=Pat!C$27,1,0)),1,0)</f>
        <v>0</v>
      </c>
      <c r="F65" s="90">
        <f>IF(AND(IF('wk3'!B$5=Pat!$C$25,1,0),IF('wk3'!B47=Pat!B$27,1,0)),1,0)+IF(AND(IF('wk3'!C$5=Pat!$C$25,1,0),IF('wk3'!C47=Pat!B$27,1,0)),1,0)+IF(AND(IF('wk3'!D$5=Pat!$C$25,1,0),IF('wk3'!D47=Pat!B$27,1,0)),1,0)+IF(AND(IF('wk3'!E$5=Pat!$C$25,1,0),IF('wk3'!E47=Pat!B$27,1,0)),1,0)+IF(AND(IF('wk3'!F$5=Pat!$C$25,1,0),IF('wk3'!F47=Pat!B$27,1,0)),1,0)+IF(AND(IF('wk3'!G$5=Pat!$C$25,1,0),IF('wk3'!G47=Pat!B$27,1,0)),1,0)</f>
        <v>0</v>
      </c>
      <c r="G65" s="91">
        <f>IF(AND(IF('wk3'!C$5=Pat!$C$25,1,0),IF('wk3'!C47=Pat!C$27,1,0)),1,0)+IF(AND(IF('wk3'!D$5=Pat!$C$25,1,0),IF('wk3'!D47=Pat!C$27,1,0)),1,0)+IF(AND(IF('wk3'!E$5=Pat!$C$25,1,0),IF('wk3'!E47=Pat!C$27,1,0)),1,0)+IF(AND(IF('wk3'!F$5=Pat!$C$25,1,0),IF('wk3'!F47=Pat!C$27,1,0)),1,0)+IF(AND(IF('wk3'!G$5=Pat!$C$25,1,0),IF('wk3'!G47=Pat!C$27,1,0)),1,0)+IF(AND(IF('wk3'!H$5=Pat!$C$25,1,0),IF('wk3'!H47=Pat!C$27,1,0)),1,0)+IF(AND(IF('wk3'!B$5=Pat!$C$25,1,0),IF('wk3'!B47=Pat!C$27,1,0)),1,0)</f>
        <v>0</v>
      </c>
      <c r="H65" s="90">
        <f>IF(AND(IF('wk4'!B$5=Pat!$C$25,1,0),IF('wk4'!B47=Pat!B$27,1,0)),1,0)+IF(AND(IF('wk4'!C$5=Pat!$C$25,1,0),IF('wk4'!C47=Pat!B$27,1,0)),1,0)+IF(AND(IF('wk4'!D$5=Pat!$C$25,1,0),IF('wk4'!D47=Pat!B$27,1,0)),1,0)+IF(AND(IF('wk4'!E$5=Pat!$C$25,1,0),IF('wk4'!E47=Pat!B$27,1,0)),1,0)+IF(AND(IF('wk4'!F$5=Pat!$C$25,1,0),IF('wk4'!F47=Pat!B$27,1,0)),1,0)+IF(AND(IF('wk4'!G$5=Pat!$C$25,1,0),IF('wk4'!G47=Pat!B$27,1,0)),1,0)</f>
        <v>0</v>
      </c>
      <c r="I65" s="91">
        <f>IF(AND(IF('wk4'!C$5=Pat!$C$25,1,0),IF('wk4'!C47=Pat!C$27,1,0)),1,0)+IF(AND(IF('wk4'!D$5=Pat!$C$25,1,0),IF('wk4'!D47=Pat!C$27,1,0)),1,0)+IF(AND(IF('wk4'!E$5=Pat!$C$25,1,0),IF('wk4'!E47=Pat!C$27,1,0)),1,0)+IF(AND(IF('wk4'!F$5=Pat!$C$25,1,0),IF('wk4'!F47=Pat!C$27,1,0)),1,0)+IF(AND(IF('wk4'!G$5=Pat!$C$25,1,0),IF('wk4'!G47=Pat!C$27,1,0)),1,0)+IF(AND(IF('wk4'!H$5=Pat!$C$25,1,0),IF('wk4'!H47=Pat!C$27,1,0)),1,0)+IF(AND(IF('wk4'!B$5=Pat!$C$25,1,0),IF('wk4'!B47=Pat!C$27,1,0)),1,0)</f>
        <v>0</v>
      </c>
      <c r="J65" s="92">
        <f>IF(AND(IF('wk5'!B$5=Pat!$C$25,1,0),IF('wk5'!B47=Pat!B$27,1,0)),1,0)+IF(AND(IF('wk5'!C$5=Pat!$C$25,1,0),IF('wk5'!C47=Pat!B$27,1,0)),1,0)+IF(AND(IF('wk5'!D$5=Pat!$C$25,1,0),IF('wk5'!D47=Pat!B$27,1,0)),1,0)+IF(AND(IF('wk5'!E$5=Pat!$C$25,1,0),IF('wk5'!E47=Pat!B$27,1,0)),1,0)+IF(AND(IF('wk5'!F$5=Pat!$C$25,1,0),IF('wk5'!F47=Pat!B$27,1,0)),1,0)+IF(AND(IF('wk5'!G$5=Pat!$C$25,1,0),IF('wk5'!G47=Pat!B$27,1,0)),1,0)</f>
        <v>0</v>
      </c>
      <c r="K65" s="93">
        <f>IF(AND(IF('wk5'!C$5=Pat!$C$25,1,0),IF('wk5'!C47=Pat!C$27,1,0)),1,0)+IF(AND(IF('wk5'!D$5=Pat!$C$25,1,0),IF('wk5'!D47=Pat!C$27,1,0)),1,0)+IF(AND(IF('wk5'!E$5=Pat!$C$25,1,0),IF('wk5'!E47=Pat!C$27,1,0)),1,0)+IF(AND(IF('wk5'!F$5=Pat!$C$25,1,0),IF('wk5'!F47=Pat!C$27,1,0)),1,0)+IF(AND(IF('wk5'!G$5=Pat!$C$25,1,0),IF('wk5'!G47=Pat!C$27,1,0)),1,0)+IF(AND(IF('wk5'!H$5=Pat!$C$25,1,0),IF('wk5'!H47=Pat!C$27,1,0)),1,0)+IF(AND(IF('wk5'!B$5=Pat!$C$25,1,0),IF('wk5'!B47=Pat!C$27,1,0)),1,0)</f>
        <v>0</v>
      </c>
      <c r="L65" s="87"/>
      <c r="M65" s="87">
        <f t="shared" si="2"/>
        <v>0</v>
      </c>
      <c r="N65" s="89">
        <f t="shared" si="3"/>
        <v>0</v>
      </c>
      <c r="Q65" s="81"/>
    </row>
    <row r="66" spans="1:17" ht="13.5" thickBot="1">
      <c r="A66" s="86">
        <f>'Members Data'!A40</f>
        <v>0</v>
      </c>
      <c r="B66" s="90">
        <f>IF(AND(IF('wk1'!B$5=Pat!$C$25,1,0),IF('wk1'!B48=Pat!B$27,1,0)),1,0)+IF(AND(IF('wk1'!D$5=Pat!$C$25,1,0),IF('wk1'!C48=Pat!B$27,1,0)),1,0)+IF(AND(IF('wk1'!D$5=Pat!$C$25,1,0),IF('wk1'!D48=Pat!B$27,1,0)),1,0)+IF(AND(IF('wk1'!E$5=Pat!$C$25,1,0),IF('wk1'!E48=Pat!B$27,1,0)),1,0)+IF(AND(IF('wk1'!F$5=Pat!$C$25,1,0),IF('wk1'!F48=Pat!B$27,1,0)),1,0)+IF(AND(IF('wk1'!G$5=Pat!$C$25,1,0),IF('wk1'!G48=Pat!B$27,1,0)),1,0)</f>
        <v>0</v>
      </c>
      <c r="C66" s="91">
        <f>IF(AND(IF('wk1'!D$5=Pat!$C$25,1,0),IF('wk1'!C48=Pat!C$27,1,0)),1,0)+IF(AND(IF('wk1'!D$5=Pat!$C$25,1,0),IF('wk1'!D48=Pat!C$27,1,0)),1,0)+IF(AND(IF('wk1'!E$5=Pat!$C$25,1,0),IF('wk1'!E48=Pat!C$27,1,0)),1,0)+IF(AND(IF('wk1'!F$5=Pat!$C$25,1,0),IF('wk1'!F48=Pat!C$27,1,0)),1,0)+IF(AND(IF('wk1'!G$5=Pat!$C$25,1,0),IF('wk1'!G48=Pat!C$27,1,0)),1,0)+IF(AND(IF('wk1'!H$5=Pat!$C$25,1,0),IF('wk1'!H48=Pat!C$27,1,0)),1,0)+IF(AND(IF('wk1'!B$5=Pat!$C$25,1,0),IF('wk1'!B48=Pat!C$27,1,0)),1,0)</f>
        <v>0</v>
      </c>
      <c r="D66" s="90">
        <f>IF(AND(IF('wk2'!B$5=Pat!$C$25,1,0),IF('wk2'!B48=Pat!B$27,1,0)),1,0)+IF(AND(IF('wk2'!C$5=Pat!$C$25,1,0),IF('wk2'!C48=Pat!B$27,1,0)),1,0)+IF(AND(IF('wk2'!D$5=Pat!$C$25,1,0),IF('wk2'!D48=Pat!B$27,1,0)),1,0)+IF(AND(IF('wk2'!E$5=Pat!$C$25,1,0),IF('wk2'!E48=Pat!B$27,1,0)),1,0)+IF(AND(IF('wk2'!F$5=Pat!$C$25,1,0),IF('wk2'!F48=Pat!B$27,1,0)),1,0)+IF(AND(IF('wk2'!G$5=Pat!$C$25,1,0),IF('wk2'!G48=Pat!B$27,1,0)),1,0)</f>
        <v>0</v>
      </c>
      <c r="E66" s="91">
        <f>IF(AND(IF('wk2'!C$5=Pat!$C$25,1,0),IF('wk2'!C48=Pat!C$27,1,0)),1,0)+IF(AND(IF('wk2'!D$5=Pat!$C$25,1,0),IF('wk2'!D48=Pat!C$27,1,0)),1,0)+IF(AND(IF('wk2'!E$5=Pat!$C$25,1,0),IF('wk2'!E48=Pat!C$27,1,0)),1,0)+IF(AND(IF('wk2'!F$5=Pat!$C$25,1,0),IF('wk2'!F48=Pat!C$27,1,0)),1,0)+IF(AND(IF('wk2'!G$5=Pat!$C$25,1,0),IF('wk2'!G48=Pat!C$27,1,0)),1,0)+IF(AND(IF('wk2'!H$5=Pat!$C$25,1,0),IF('wk2'!H48=Pat!C$27,1,0)),1,0)+IF(AND(IF('wk2'!B$5=Pat!$C$25,1,0),IF('wk2'!B48=Pat!C$27,1,0)),1,0)</f>
        <v>0</v>
      </c>
      <c r="F66" s="90">
        <f>IF(AND(IF('wk3'!B$5=Pat!$C$25,1,0),IF('wk3'!B48=Pat!B$27,1,0)),1,0)+IF(AND(IF('wk3'!C$5=Pat!$C$25,1,0),IF('wk3'!C48=Pat!B$27,1,0)),1,0)+IF(AND(IF('wk3'!D$5=Pat!$C$25,1,0),IF('wk3'!D48=Pat!B$27,1,0)),1,0)+IF(AND(IF('wk3'!E$5=Pat!$C$25,1,0),IF('wk3'!E48=Pat!B$27,1,0)),1,0)+IF(AND(IF('wk3'!F$5=Pat!$C$25,1,0),IF('wk3'!F48=Pat!B$27,1,0)),1,0)+IF(AND(IF('wk3'!G$5=Pat!$C$25,1,0),IF('wk3'!G48=Pat!B$27,1,0)),1,0)</f>
        <v>0</v>
      </c>
      <c r="G66" s="91">
        <f>IF(AND(IF('wk3'!C$5=Pat!$C$25,1,0),IF('wk3'!C48=Pat!C$27,1,0)),1,0)+IF(AND(IF('wk3'!D$5=Pat!$C$25,1,0),IF('wk3'!D48=Pat!C$27,1,0)),1,0)+IF(AND(IF('wk3'!E$5=Pat!$C$25,1,0),IF('wk3'!E48=Pat!C$27,1,0)),1,0)+IF(AND(IF('wk3'!F$5=Pat!$C$25,1,0),IF('wk3'!F48=Pat!C$27,1,0)),1,0)+IF(AND(IF('wk3'!G$5=Pat!$C$25,1,0),IF('wk3'!G48=Pat!C$27,1,0)),1,0)+IF(AND(IF('wk3'!H$5=Pat!$C$25,1,0),IF('wk3'!H48=Pat!C$27,1,0)),1,0)+IF(AND(IF('wk3'!B$5=Pat!$C$25,1,0),IF('wk3'!B48=Pat!C$27,1,0)),1,0)</f>
        <v>0</v>
      </c>
      <c r="H66" s="90">
        <f>IF(AND(IF('wk4'!B$5=Pat!$C$25,1,0),IF('wk4'!B48=Pat!B$27,1,0)),1,0)+IF(AND(IF('wk4'!C$5=Pat!$C$25,1,0),IF('wk4'!C48=Pat!B$27,1,0)),1,0)+IF(AND(IF('wk4'!D$5=Pat!$C$25,1,0),IF('wk4'!D48=Pat!B$27,1,0)),1,0)+IF(AND(IF('wk4'!E$5=Pat!$C$25,1,0),IF('wk4'!E48=Pat!B$27,1,0)),1,0)+IF(AND(IF('wk4'!F$5=Pat!$C$25,1,0),IF('wk4'!F48=Pat!B$27,1,0)),1,0)+IF(AND(IF('wk4'!G$5=Pat!$C$25,1,0),IF('wk4'!G48=Pat!B$27,1,0)),1,0)</f>
        <v>0</v>
      </c>
      <c r="I66" s="91">
        <f>IF(AND(IF('wk4'!C$5=Pat!$C$25,1,0),IF('wk4'!C48=Pat!C$27,1,0)),1,0)+IF(AND(IF('wk4'!D$5=Pat!$C$25,1,0),IF('wk4'!D48=Pat!C$27,1,0)),1,0)+IF(AND(IF('wk4'!E$5=Pat!$C$25,1,0),IF('wk4'!E48=Pat!C$27,1,0)),1,0)+IF(AND(IF('wk4'!F$5=Pat!$C$25,1,0),IF('wk4'!F48=Pat!C$27,1,0)),1,0)+IF(AND(IF('wk4'!G$5=Pat!$C$25,1,0),IF('wk4'!G48=Pat!C$27,1,0)),1,0)+IF(AND(IF('wk4'!H$5=Pat!$C$25,1,0),IF('wk4'!H48=Pat!C$27,1,0)),1,0)+IF(AND(IF('wk4'!B$5=Pat!$C$25,1,0),IF('wk4'!B48=Pat!C$27,1,0)),1,0)</f>
        <v>0</v>
      </c>
      <c r="J66" s="92">
        <f>IF(AND(IF('wk5'!B$5=Pat!$C$25,1,0),IF('wk5'!B48=Pat!B$27,1,0)),1,0)+IF(AND(IF('wk5'!C$5=Pat!$C$25,1,0),IF('wk5'!C48=Pat!B$27,1,0)),1,0)+IF(AND(IF('wk5'!D$5=Pat!$C$25,1,0),IF('wk5'!D48=Pat!B$27,1,0)),1,0)+IF(AND(IF('wk5'!E$5=Pat!$C$25,1,0),IF('wk5'!E48=Pat!B$27,1,0)),1,0)+IF(AND(IF('wk5'!F$5=Pat!$C$25,1,0),IF('wk5'!F48=Pat!B$27,1,0)),1,0)+IF(AND(IF('wk5'!G$5=Pat!$C$25,1,0),IF('wk5'!G48=Pat!B$27,1,0)),1,0)</f>
        <v>0</v>
      </c>
      <c r="K66" s="93">
        <f>IF(AND(IF('wk5'!C$5=Pat!$C$25,1,0),IF('wk5'!C48=Pat!C$27,1,0)),1,0)+IF(AND(IF('wk5'!D$5=Pat!$C$25,1,0),IF('wk5'!D48=Pat!C$27,1,0)),1,0)+IF(AND(IF('wk5'!E$5=Pat!$C$25,1,0),IF('wk5'!E48=Pat!C$27,1,0)),1,0)+IF(AND(IF('wk5'!F$5=Pat!$C$25,1,0),IF('wk5'!F48=Pat!C$27,1,0)),1,0)+IF(AND(IF('wk5'!G$5=Pat!$C$25,1,0),IF('wk5'!G48=Pat!C$27,1,0)),1,0)+IF(AND(IF('wk5'!H$5=Pat!$C$25,1,0),IF('wk5'!H48=Pat!C$27,1,0)),1,0)+IF(AND(IF('wk5'!B$5=Pat!$C$25,1,0),IF('wk5'!B48=Pat!C$27,1,0)),1,0)</f>
        <v>0</v>
      </c>
      <c r="L66" s="87"/>
      <c r="M66" s="87">
        <f t="shared" si="2"/>
        <v>0</v>
      </c>
      <c r="N66" s="89">
        <f t="shared" si="3"/>
        <v>0</v>
      </c>
      <c r="Q66" s="81"/>
    </row>
    <row r="67" spans="1:17" ht="13.5" thickBot="1">
      <c r="A67" s="86">
        <f>'Members Data'!A41</f>
        <v>0</v>
      </c>
      <c r="B67" s="90">
        <f>IF(AND(IF('wk1'!B$5=Pat!$C$25,1,0),IF('wk1'!B49=Pat!B$27,1,0)),1,0)+IF(AND(IF('wk1'!D$5=Pat!$C$25,1,0),IF('wk1'!C49=Pat!B$27,1,0)),1,0)+IF(AND(IF('wk1'!D$5=Pat!$C$25,1,0),IF('wk1'!D49=Pat!B$27,1,0)),1,0)+IF(AND(IF('wk1'!E$5=Pat!$C$25,1,0),IF('wk1'!E49=Pat!B$27,1,0)),1,0)+IF(AND(IF('wk1'!F$5=Pat!$C$25,1,0),IF('wk1'!F49=Pat!B$27,1,0)),1,0)+IF(AND(IF('wk1'!G$5=Pat!$C$25,1,0),IF('wk1'!G49=Pat!B$27,1,0)),1,0)</f>
        <v>0</v>
      </c>
      <c r="C67" s="91">
        <f>IF(AND(IF('wk1'!D$5=Pat!$C$25,1,0),IF('wk1'!C49=Pat!C$27,1,0)),1,0)+IF(AND(IF('wk1'!D$5=Pat!$C$25,1,0),IF('wk1'!D49=Pat!C$27,1,0)),1,0)+IF(AND(IF('wk1'!E$5=Pat!$C$25,1,0),IF('wk1'!E49=Pat!C$27,1,0)),1,0)+IF(AND(IF('wk1'!F$5=Pat!$C$25,1,0),IF('wk1'!F49=Pat!C$27,1,0)),1,0)+IF(AND(IF('wk1'!G$5=Pat!$C$25,1,0),IF('wk1'!G49=Pat!C$27,1,0)),1,0)+IF(AND(IF('wk1'!H$5=Pat!$C$25,1,0),IF('wk1'!H49=Pat!C$27,1,0)),1,0)+IF(AND(IF('wk1'!B$5=Pat!$C$25,1,0),IF('wk1'!B49=Pat!C$27,1,0)),1,0)</f>
        <v>0</v>
      </c>
      <c r="D67" s="90">
        <f>IF(AND(IF('wk2'!B$5=Pat!$C$25,1,0),IF('wk2'!B49=Pat!B$27,1,0)),1,0)+IF(AND(IF('wk2'!C$5=Pat!$C$25,1,0),IF('wk2'!C49=Pat!B$27,1,0)),1,0)+IF(AND(IF('wk2'!D$5=Pat!$C$25,1,0),IF('wk2'!D49=Pat!B$27,1,0)),1,0)+IF(AND(IF('wk2'!E$5=Pat!$C$25,1,0),IF('wk2'!E49=Pat!B$27,1,0)),1,0)+IF(AND(IF('wk2'!F$5=Pat!$C$25,1,0),IF('wk2'!F49=Pat!B$27,1,0)),1,0)+IF(AND(IF('wk2'!G$5=Pat!$C$25,1,0),IF('wk2'!G49=Pat!B$27,1,0)),1,0)</f>
        <v>0</v>
      </c>
      <c r="E67" s="91">
        <f>IF(AND(IF('wk2'!C$5=Pat!$C$25,1,0),IF('wk2'!C49=Pat!C$27,1,0)),1,0)+IF(AND(IF('wk2'!D$5=Pat!$C$25,1,0),IF('wk2'!D49=Pat!C$27,1,0)),1,0)+IF(AND(IF('wk2'!E$5=Pat!$C$25,1,0),IF('wk2'!E49=Pat!C$27,1,0)),1,0)+IF(AND(IF('wk2'!F$5=Pat!$C$25,1,0),IF('wk2'!F49=Pat!C$27,1,0)),1,0)+IF(AND(IF('wk2'!G$5=Pat!$C$25,1,0),IF('wk2'!G49=Pat!C$27,1,0)),1,0)+IF(AND(IF('wk2'!H$5=Pat!$C$25,1,0),IF('wk2'!H49=Pat!C$27,1,0)),1,0)+IF(AND(IF('wk2'!B$5=Pat!$C$25,1,0),IF('wk2'!B49=Pat!C$27,1,0)),1,0)</f>
        <v>0</v>
      </c>
      <c r="F67" s="90">
        <f>IF(AND(IF('wk3'!B$5=Pat!$C$25,1,0),IF('wk3'!B49=Pat!B$27,1,0)),1,0)+IF(AND(IF('wk3'!C$5=Pat!$C$25,1,0),IF('wk3'!C49=Pat!B$27,1,0)),1,0)+IF(AND(IF('wk3'!D$5=Pat!$C$25,1,0),IF('wk3'!D49=Pat!B$27,1,0)),1,0)+IF(AND(IF('wk3'!E$5=Pat!$C$25,1,0),IF('wk3'!E49=Pat!B$27,1,0)),1,0)+IF(AND(IF('wk3'!F$5=Pat!$C$25,1,0),IF('wk3'!F49=Pat!B$27,1,0)),1,0)+IF(AND(IF('wk3'!G$5=Pat!$C$25,1,0),IF('wk3'!G49=Pat!B$27,1,0)),1,0)</f>
        <v>0</v>
      </c>
      <c r="G67" s="91">
        <f>IF(AND(IF('wk3'!C$5=Pat!$C$25,1,0),IF('wk3'!C49=Pat!C$27,1,0)),1,0)+IF(AND(IF('wk3'!D$5=Pat!$C$25,1,0),IF('wk3'!D49=Pat!C$27,1,0)),1,0)+IF(AND(IF('wk3'!E$5=Pat!$C$25,1,0),IF('wk3'!E49=Pat!C$27,1,0)),1,0)+IF(AND(IF('wk3'!F$5=Pat!$C$25,1,0),IF('wk3'!F49=Pat!C$27,1,0)),1,0)+IF(AND(IF('wk3'!G$5=Pat!$C$25,1,0),IF('wk3'!G49=Pat!C$27,1,0)),1,0)+IF(AND(IF('wk3'!H$5=Pat!$C$25,1,0),IF('wk3'!H49=Pat!C$27,1,0)),1,0)+IF(AND(IF('wk3'!B$5=Pat!$C$25,1,0),IF('wk3'!B49=Pat!C$27,1,0)),1,0)</f>
        <v>0</v>
      </c>
      <c r="H67" s="90">
        <f>IF(AND(IF('wk4'!B$5=Pat!$C$25,1,0),IF('wk4'!B49=Pat!B$27,1,0)),1,0)+IF(AND(IF('wk4'!C$5=Pat!$C$25,1,0),IF('wk4'!C49=Pat!B$27,1,0)),1,0)+IF(AND(IF('wk4'!D$5=Pat!$C$25,1,0),IF('wk4'!D49=Pat!B$27,1,0)),1,0)+IF(AND(IF('wk4'!E$5=Pat!$C$25,1,0),IF('wk4'!E49=Pat!B$27,1,0)),1,0)+IF(AND(IF('wk4'!F$5=Pat!$C$25,1,0),IF('wk4'!F49=Pat!B$27,1,0)),1,0)+IF(AND(IF('wk4'!G$5=Pat!$C$25,1,0),IF('wk4'!G49=Pat!B$27,1,0)),1,0)</f>
        <v>0</v>
      </c>
      <c r="I67" s="91">
        <f>IF(AND(IF('wk4'!C$5=Pat!$C$25,1,0),IF('wk4'!C49=Pat!C$27,1,0)),1,0)+IF(AND(IF('wk4'!D$5=Pat!$C$25,1,0),IF('wk4'!D49=Pat!C$27,1,0)),1,0)+IF(AND(IF('wk4'!E$5=Pat!$C$25,1,0),IF('wk4'!E49=Pat!C$27,1,0)),1,0)+IF(AND(IF('wk4'!F$5=Pat!$C$25,1,0),IF('wk4'!F49=Pat!C$27,1,0)),1,0)+IF(AND(IF('wk4'!G$5=Pat!$C$25,1,0),IF('wk4'!G49=Pat!C$27,1,0)),1,0)+IF(AND(IF('wk4'!H$5=Pat!$C$25,1,0),IF('wk4'!H49=Pat!C$27,1,0)),1,0)+IF(AND(IF('wk4'!B$5=Pat!$C$25,1,0),IF('wk4'!B49=Pat!C$27,1,0)),1,0)</f>
        <v>0</v>
      </c>
      <c r="J67" s="92">
        <f>IF(AND(IF('wk5'!B$5=Pat!$C$25,1,0),IF('wk5'!B49=Pat!B$27,1,0)),1,0)+IF(AND(IF('wk5'!C$5=Pat!$C$25,1,0),IF('wk5'!C49=Pat!B$27,1,0)),1,0)+IF(AND(IF('wk5'!D$5=Pat!$C$25,1,0),IF('wk5'!D49=Pat!B$27,1,0)),1,0)+IF(AND(IF('wk5'!E$5=Pat!$C$25,1,0),IF('wk5'!E49=Pat!B$27,1,0)),1,0)+IF(AND(IF('wk5'!F$5=Pat!$C$25,1,0),IF('wk5'!F49=Pat!B$27,1,0)),1,0)+IF(AND(IF('wk5'!G$5=Pat!$C$25,1,0),IF('wk5'!G49=Pat!B$27,1,0)),1,0)</f>
        <v>0</v>
      </c>
      <c r="K67" s="93">
        <f>IF(AND(IF('wk5'!C$5=Pat!$C$25,1,0),IF('wk5'!C49=Pat!C$27,1,0)),1,0)+IF(AND(IF('wk5'!D$5=Pat!$C$25,1,0),IF('wk5'!D49=Pat!C$27,1,0)),1,0)+IF(AND(IF('wk5'!E$5=Pat!$C$25,1,0),IF('wk5'!E49=Pat!C$27,1,0)),1,0)+IF(AND(IF('wk5'!F$5=Pat!$C$25,1,0),IF('wk5'!F49=Pat!C$27,1,0)),1,0)+IF(AND(IF('wk5'!G$5=Pat!$C$25,1,0),IF('wk5'!G49=Pat!C$27,1,0)),1,0)+IF(AND(IF('wk5'!H$5=Pat!$C$25,1,0),IF('wk5'!H49=Pat!C$27,1,0)),1,0)+IF(AND(IF('wk5'!B$5=Pat!$C$25,1,0),IF('wk5'!B49=Pat!C$27,1,0)),1,0)</f>
        <v>0</v>
      </c>
      <c r="L67" s="87"/>
      <c r="M67" s="87">
        <f t="shared" si="2"/>
        <v>0</v>
      </c>
      <c r="N67" s="89">
        <f t="shared" si="3"/>
        <v>0</v>
      </c>
      <c r="Q67" s="81"/>
    </row>
    <row r="68" spans="1:17" ht="13.5" thickBot="1">
      <c r="A68" s="86">
        <f>'Members Data'!A42</f>
        <v>0</v>
      </c>
      <c r="B68" s="90">
        <f>IF(AND(IF('wk1'!B$5=Pat!$C$25,1,0),IF('wk1'!B50=Pat!B$27,1,0)),1,0)+IF(AND(IF('wk1'!D$5=Pat!$C$25,1,0),IF('wk1'!C50=Pat!B$27,1,0)),1,0)+IF(AND(IF('wk1'!D$5=Pat!$C$25,1,0),IF('wk1'!D50=Pat!B$27,1,0)),1,0)+IF(AND(IF('wk1'!E$5=Pat!$C$25,1,0),IF('wk1'!E50=Pat!B$27,1,0)),1,0)+IF(AND(IF('wk1'!F$5=Pat!$C$25,1,0),IF('wk1'!F50=Pat!B$27,1,0)),1,0)+IF(AND(IF('wk1'!G$5=Pat!$C$25,1,0),IF('wk1'!G50=Pat!B$27,1,0)),1,0)</f>
        <v>0</v>
      </c>
      <c r="C68" s="91">
        <f>IF(AND(IF('wk1'!D$5=Pat!$C$25,1,0),IF('wk1'!C50=Pat!C$27,1,0)),1,0)+IF(AND(IF('wk1'!D$5=Pat!$C$25,1,0),IF('wk1'!D50=Pat!C$27,1,0)),1,0)+IF(AND(IF('wk1'!E$5=Pat!$C$25,1,0),IF('wk1'!E50=Pat!C$27,1,0)),1,0)+IF(AND(IF('wk1'!F$5=Pat!$C$25,1,0),IF('wk1'!F50=Pat!C$27,1,0)),1,0)+IF(AND(IF('wk1'!G$5=Pat!$C$25,1,0),IF('wk1'!G50=Pat!C$27,1,0)),1,0)+IF(AND(IF('wk1'!H$5=Pat!$C$25,1,0),IF('wk1'!H50=Pat!C$27,1,0)),1,0)+IF(AND(IF('wk1'!B$5=Pat!$C$25,1,0),IF('wk1'!B50=Pat!C$27,1,0)),1,0)</f>
        <v>0</v>
      </c>
      <c r="D68" s="90">
        <f>IF(AND(IF('wk2'!B$5=Pat!$C$25,1,0),IF('wk2'!B50=Pat!B$27,1,0)),1,0)+IF(AND(IF('wk2'!C$5=Pat!$C$25,1,0),IF('wk2'!C50=Pat!B$27,1,0)),1,0)+IF(AND(IF('wk2'!D$5=Pat!$C$25,1,0),IF('wk2'!D50=Pat!B$27,1,0)),1,0)+IF(AND(IF('wk2'!E$5=Pat!$C$25,1,0),IF('wk2'!E50=Pat!B$27,1,0)),1,0)+IF(AND(IF('wk2'!F$5=Pat!$C$25,1,0),IF('wk2'!F50=Pat!B$27,1,0)),1,0)+IF(AND(IF('wk2'!G$5=Pat!$C$25,1,0),IF('wk2'!G50=Pat!B$27,1,0)),1,0)</f>
        <v>0</v>
      </c>
      <c r="E68" s="91">
        <f>IF(AND(IF('wk2'!C$5=Pat!$C$25,1,0),IF('wk2'!C50=Pat!C$27,1,0)),1,0)+IF(AND(IF('wk2'!D$5=Pat!$C$25,1,0),IF('wk2'!D50=Pat!C$27,1,0)),1,0)+IF(AND(IF('wk2'!E$5=Pat!$C$25,1,0),IF('wk2'!E50=Pat!C$27,1,0)),1,0)+IF(AND(IF('wk2'!F$5=Pat!$C$25,1,0),IF('wk2'!F50=Pat!C$27,1,0)),1,0)+IF(AND(IF('wk2'!G$5=Pat!$C$25,1,0),IF('wk2'!G50=Pat!C$27,1,0)),1,0)+IF(AND(IF('wk2'!H$5=Pat!$C$25,1,0),IF('wk2'!H50=Pat!C$27,1,0)),1,0)+IF(AND(IF('wk2'!B$5=Pat!$C$25,1,0),IF('wk2'!B50=Pat!C$27,1,0)),1,0)</f>
        <v>0</v>
      </c>
      <c r="F68" s="90">
        <f>IF(AND(IF('wk3'!B$5=Pat!$C$25,1,0),IF('wk3'!B50=Pat!B$27,1,0)),1,0)+IF(AND(IF('wk3'!C$5=Pat!$C$25,1,0),IF('wk3'!C50=Pat!B$27,1,0)),1,0)+IF(AND(IF('wk3'!D$5=Pat!$C$25,1,0),IF('wk3'!D50=Pat!B$27,1,0)),1,0)+IF(AND(IF('wk3'!E$5=Pat!$C$25,1,0),IF('wk3'!E50=Pat!B$27,1,0)),1,0)+IF(AND(IF('wk3'!F$5=Pat!$C$25,1,0),IF('wk3'!F50=Pat!B$27,1,0)),1,0)+IF(AND(IF('wk3'!G$5=Pat!$C$25,1,0),IF('wk3'!G50=Pat!B$27,1,0)),1,0)</f>
        <v>0</v>
      </c>
      <c r="G68" s="91">
        <f>IF(AND(IF('wk3'!C$5=Pat!$C$25,1,0),IF('wk3'!C50=Pat!C$27,1,0)),1,0)+IF(AND(IF('wk3'!D$5=Pat!$C$25,1,0),IF('wk3'!D50=Pat!C$27,1,0)),1,0)+IF(AND(IF('wk3'!E$5=Pat!$C$25,1,0),IF('wk3'!E50=Pat!C$27,1,0)),1,0)+IF(AND(IF('wk3'!F$5=Pat!$C$25,1,0),IF('wk3'!F50=Pat!C$27,1,0)),1,0)+IF(AND(IF('wk3'!G$5=Pat!$C$25,1,0),IF('wk3'!G50=Pat!C$27,1,0)),1,0)+IF(AND(IF('wk3'!H$5=Pat!$C$25,1,0),IF('wk3'!H50=Pat!C$27,1,0)),1,0)+IF(AND(IF('wk3'!B$5=Pat!$C$25,1,0),IF('wk3'!B50=Pat!C$27,1,0)),1,0)</f>
        <v>0</v>
      </c>
      <c r="H68" s="90">
        <f>IF(AND(IF('wk4'!B$5=Pat!$C$25,1,0),IF('wk4'!B50=Pat!B$27,1,0)),1,0)+IF(AND(IF('wk4'!C$5=Pat!$C$25,1,0),IF('wk4'!C50=Pat!B$27,1,0)),1,0)+IF(AND(IF('wk4'!D$5=Pat!$C$25,1,0),IF('wk4'!D50=Pat!B$27,1,0)),1,0)+IF(AND(IF('wk4'!E$5=Pat!$C$25,1,0),IF('wk4'!E50=Pat!B$27,1,0)),1,0)+IF(AND(IF('wk4'!F$5=Pat!$C$25,1,0),IF('wk4'!F50=Pat!B$27,1,0)),1,0)+IF(AND(IF('wk4'!G$5=Pat!$C$25,1,0),IF('wk4'!G50=Pat!B$27,1,0)),1,0)</f>
        <v>0</v>
      </c>
      <c r="I68" s="91">
        <f>IF(AND(IF('wk4'!C$5=Pat!$C$25,1,0),IF('wk4'!C50=Pat!C$27,1,0)),1,0)+IF(AND(IF('wk4'!D$5=Pat!$C$25,1,0),IF('wk4'!D50=Pat!C$27,1,0)),1,0)+IF(AND(IF('wk4'!E$5=Pat!$C$25,1,0),IF('wk4'!E50=Pat!C$27,1,0)),1,0)+IF(AND(IF('wk4'!F$5=Pat!$C$25,1,0),IF('wk4'!F50=Pat!C$27,1,0)),1,0)+IF(AND(IF('wk4'!G$5=Pat!$C$25,1,0),IF('wk4'!G50=Pat!C$27,1,0)),1,0)+IF(AND(IF('wk4'!H$5=Pat!$C$25,1,0),IF('wk4'!H50=Pat!C$27,1,0)),1,0)+IF(AND(IF('wk4'!B$5=Pat!$C$25,1,0),IF('wk4'!B50=Pat!C$27,1,0)),1,0)</f>
        <v>0</v>
      </c>
      <c r="J68" s="92">
        <f>IF(AND(IF('wk5'!B$5=Pat!$C$25,1,0),IF('wk5'!B50=Pat!B$27,1,0)),1,0)+IF(AND(IF('wk5'!C$5=Pat!$C$25,1,0),IF('wk5'!C50=Pat!B$27,1,0)),1,0)+IF(AND(IF('wk5'!D$5=Pat!$C$25,1,0),IF('wk5'!D50=Pat!B$27,1,0)),1,0)+IF(AND(IF('wk5'!E$5=Pat!$C$25,1,0),IF('wk5'!E50=Pat!B$27,1,0)),1,0)+IF(AND(IF('wk5'!F$5=Pat!$C$25,1,0),IF('wk5'!F50=Pat!B$27,1,0)),1,0)+IF(AND(IF('wk5'!G$5=Pat!$C$25,1,0),IF('wk5'!G50=Pat!B$27,1,0)),1,0)</f>
        <v>0</v>
      </c>
      <c r="K68" s="93">
        <f>IF(AND(IF('wk5'!C$5=Pat!$C$25,1,0),IF('wk5'!C50=Pat!C$27,1,0)),1,0)+IF(AND(IF('wk5'!D$5=Pat!$C$25,1,0),IF('wk5'!D50=Pat!C$27,1,0)),1,0)+IF(AND(IF('wk5'!E$5=Pat!$C$25,1,0),IF('wk5'!E50=Pat!C$27,1,0)),1,0)+IF(AND(IF('wk5'!F$5=Pat!$C$25,1,0),IF('wk5'!F50=Pat!C$27,1,0)),1,0)+IF(AND(IF('wk5'!G$5=Pat!$C$25,1,0),IF('wk5'!G50=Pat!C$27,1,0)),1,0)+IF(AND(IF('wk5'!H$5=Pat!$C$25,1,0),IF('wk5'!H50=Pat!C$27,1,0)),1,0)+IF(AND(IF('wk5'!B$5=Pat!$C$25,1,0),IF('wk5'!B50=Pat!C$27,1,0)),1,0)</f>
        <v>0</v>
      </c>
      <c r="L68" s="87"/>
      <c r="M68" s="87">
        <f t="shared" si="2"/>
        <v>0</v>
      </c>
      <c r="N68" s="89">
        <f t="shared" si="3"/>
        <v>0</v>
      </c>
      <c r="Q68" s="81"/>
    </row>
    <row r="69" spans="1:17" ht="13.5" thickBot="1">
      <c r="A69" s="86">
        <f>'Members Data'!A43</f>
        <v>0</v>
      </c>
      <c r="B69" s="90">
        <f>IF(AND(IF('wk1'!B$5=Pat!$C$25,1,0),IF('wk1'!B51=Pat!B$27,1,0)),1,0)+IF(AND(IF('wk1'!D$5=Pat!$C$25,1,0),IF('wk1'!C51=Pat!B$27,1,0)),1,0)+IF(AND(IF('wk1'!D$5=Pat!$C$25,1,0),IF('wk1'!D51=Pat!B$27,1,0)),1,0)+IF(AND(IF('wk1'!E$5=Pat!$C$25,1,0),IF('wk1'!E51=Pat!B$27,1,0)),1,0)+IF(AND(IF('wk1'!F$5=Pat!$C$25,1,0),IF('wk1'!F51=Pat!B$27,1,0)),1,0)+IF(AND(IF('wk1'!G$5=Pat!$C$25,1,0),IF('wk1'!G51=Pat!B$27,1,0)),1,0)</f>
        <v>0</v>
      </c>
      <c r="C69" s="91">
        <f>IF(AND(IF('wk1'!D$5=Pat!$C$25,1,0),IF('wk1'!C51=Pat!C$27,1,0)),1,0)+IF(AND(IF('wk1'!D$5=Pat!$C$25,1,0),IF('wk1'!D51=Pat!C$27,1,0)),1,0)+IF(AND(IF('wk1'!E$5=Pat!$C$25,1,0),IF('wk1'!E51=Pat!C$27,1,0)),1,0)+IF(AND(IF('wk1'!F$5=Pat!$C$25,1,0),IF('wk1'!F51=Pat!C$27,1,0)),1,0)+IF(AND(IF('wk1'!G$5=Pat!$C$25,1,0),IF('wk1'!G51=Pat!C$27,1,0)),1,0)+IF(AND(IF('wk1'!H$5=Pat!$C$25,1,0),IF('wk1'!H51=Pat!C$27,1,0)),1,0)+IF(AND(IF('wk1'!B$5=Pat!$C$25,1,0),IF('wk1'!B51=Pat!C$27,1,0)),1,0)</f>
        <v>0</v>
      </c>
      <c r="D69" s="90">
        <f>IF(AND(IF('wk2'!B$5=Pat!$C$25,1,0),IF('wk2'!B51=Pat!B$27,1,0)),1,0)+IF(AND(IF('wk2'!C$5=Pat!$C$25,1,0),IF('wk2'!C51=Pat!B$27,1,0)),1,0)+IF(AND(IF('wk2'!D$5=Pat!$C$25,1,0),IF('wk2'!D51=Pat!B$27,1,0)),1,0)+IF(AND(IF('wk2'!E$5=Pat!$C$25,1,0),IF('wk2'!E51=Pat!B$27,1,0)),1,0)+IF(AND(IF('wk2'!F$5=Pat!$C$25,1,0),IF('wk2'!F51=Pat!B$27,1,0)),1,0)+IF(AND(IF('wk2'!G$5=Pat!$C$25,1,0),IF('wk2'!G51=Pat!B$27,1,0)),1,0)</f>
        <v>0</v>
      </c>
      <c r="E69" s="91">
        <f>IF(AND(IF('wk2'!C$5=Pat!$C$25,1,0),IF('wk2'!C51=Pat!C$27,1,0)),1,0)+IF(AND(IF('wk2'!D$5=Pat!$C$25,1,0),IF('wk2'!D51=Pat!C$27,1,0)),1,0)+IF(AND(IF('wk2'!E$5=Pat!$C$25,1,0),IF('wk2'!E51=Pat!C$27,1,0)),1,0)+IF(AND(IF('wk2'!F$5=Pat!$C$25,1,0),IF('wk2'!F51=Pat!C$27,1,0)),1,0)+IF(AND(IF('wk2'!G$5=Pat!$C$25,1,0),IF('wk2'!G51=Pat!C$27,1,0)),1,0)+IF(AND(IF('wk2'!H$5=Pat!$C$25,1,0),IF('wk2'!H51=Pat!C$27,1,0)),1,0)+IF(AND(IF('wk2'!B$5=Pat!$C$25,1,0),IF('wk2'!B51=Pat!C$27,1,0)),1,0)</f>
        <v>0</v>
      </c>
      <c r="F69" s="90">
        <f>IF(AND(IF('wk3'!B$5=Pat!$C$25,1,0),IF('wk3'!B51=Pat!B$27,1,0)),1,0)+IF(AND(IF('wk3'!C$5=Pat!$C$25,1,0),IF('wk3'!C51=Pat!B$27,1,0)),1,0)+IF(AND(IF('wk3'!D$5=Pat!$C$25,1,0),IF('wk3'!D51=Pat!B$27,1,0)),1,0)+IF(AND(IF('wk3'!E$5=Pat!$C$25,1,0),IF('wk3'!E51=Pat!B$27,1,0)),1,0)+IF(AND(IF('wk3'!F$5=Pat!$C$25,1,0),IF('wk3'!F51=Pat!B$27,1,0)),1,0)+IF(AND(IF('wk3'!G$5=Pat!$C$25,1,0),IF('wk3'!G51=Pat!B$27,1,0)),1,0)</f>
        <v>0</v>
      </c>
      <c r="G69" s="91">
        <f>IF(AND(IF('wk3'!C$5=Pat!$C$25,1,0),IF('wk3'!C51=Pat!C$27,1,0)),1,0)+IF(AND(IF('wk3'!D$5=Pat!$C$25,1,0),IF('wk3'!D51=Pat!C$27,1,0)),1,0)+IF(AND(IF('wk3'!E$5=Pat!$C$25,1,0),IF('wk3'!E51=Pat!C$27,1,0)),1,0)+IF(AND(IF('wk3'!F$5=Pat!$C$25,1,0),IF('wk3'!F51=Pat!C$27,1,0)),1,0)+IF(AND(IF('wk3'!G$5=Pat!$C$25,1,0),IF('wk3'!G51=Pat!C$27,1,0)),1,0)+IF(AND(IF('wk3'!H$5=Pat!$C$25,1,0),IF('wk3'!H51=Pat!C$27,1,0)),1,0)+IF(AND(IF('wk3'!B$5=Pat!$C$25,1,0),IF('wk3'!B51=Pat!C$27,1,0)),1,0)</f>
        <v>0</v>
      </c>
      <c r="H69" s="90">
        <f>IF(AND(IF('wk4'!B$5=Pat!$C$25,1,0),IF('wk4'!B51=Pat!B$27,1,0)),1,0)+IF(AND(IF('wk4'!C$5=Pat!$C$25,1,0),IF('wk4'!C51=Pat!B$27,1,0)),1,0)+IF(AND(IF('wk4'!D$5=Pat!$C$25,1,0),IF('wk4'!D51=Pat!B$27,1,0)),1,0)+IF(AND(IF('wk4'!E$5=Pat!$C$25,1,0),IF('wk4'!E51=Pat!B$27,1,0)),1,0)+IF(AND(IF('wk4'!F$5=Pat!$C$25,1,0),IF('wk4'!F51=Pat!B$27,1,0)),1,0)+IF(AND(IF('wk4'!G$5=Pat!$C$25,1,0),IF('wk4'!G51=Pat!B$27,1,0)),1,0)</f>
        <v>0</v>
      </c>
      <c r="I69" s="91">
        <f>IF(AND(IF('wk4'!C$5=Pat!$C$25,1,0),IF('wk4'!C51=Pat!C$27,1,0)),1,0)+IF(AND(IF('wk4'!D$5=Pat!$C$25,1,0),IF('wk4'!D51=Pat!C$27,1,0)),1,0)+IF(AND(IF('wk4'!E$5=Pat!$C$25,1,0),IF('wk4'!E51=Pat!C$27,1,0)),1,0)+IF(AND(IF('wk4'!F$5=Pat!$C$25,1,0),IF('wk4'!F51=Pat!C$27,1,0)),1,0)+IF(AND(IF('wk4'!G$5=Pat!$C$25,1,0),IF('wk4'!G51=Pat!C$27,1,0)),1,0)+IF(AND(IF('wk4'!H$5=Pat!$C$25,1,0),IF('wk4'!H51=Pat!C$27,1,0)),1,0)+IF(AND(IF('wk4'!B$5=Pat!$C$25,1,0),IF('wk4'!B51=Pat!C$27,1,0)),1,0)</f>
        <v>0</v>
      </c>
      <c r="J69" s="92">
        <f>IF(AND(IF('wk5'!B$5=Pat!$C$25,1,0),IF('wk5'!B51=Pat!B$27,1,0)),1,0)+IF(AND(IF('wk5'!C$5=Pat!$C$25,1,0),IF('wk5'!C51=Pat!B$27,1,0)),1,0)+IF(AND(IF('wk5'!D$5=Pat!$C$25,1,0),IF('wk5'!D51=Pat!B$27,1,0)),1,0)+IF(AND(IF('wk5'!E$5=Pat!$C$25,1,0),IF('wk5'!E51=Pat!B$27,1,0)),1,0)+IF(AND(IF('wk5'!F$5=Pat!$C$25,1,0),IF('wk5'!F51=Pat!B$27,1,0)),1,0)+IF(AND(IF('wk5'!G$5=Pat!$C$25,1,0),IF('wk5'!G51=Pat!B$27,1,0)),1,0)</f>
        <v>0</v>
      </c>
      <c r="K69" s="93">
        <f>IF(AND(IF('wk5'!C$5=Pat!$C$25,1,0),IF('wk5'!C51=Pat!C$27,1,0)),1,0)+IF(AND(IF('wk5'!D$5=Pat!$C$25,1,0),IF('wk5'!D51=Pat!C$27,1,0)),1,0)+IF(AND(IF('wk5'!E$5=Pat!$C$25,1,0),IF('wk5'!E51=Pat!C$27,1,0)),1,0)+IF(AND(IF('wk5'!F$5=Pat!$C$25,1,0),IF('wk5'!F51=Pat!C$27,1,0)),1,0)+IF(AND(IF('wk5'!G$5=Pat!$C$25,1,0),IF('wk5'!G51=Pat!C$27,1,0)),1,0)+IF(AND(IF('wk5'!H$5=Pat!$C$25,1,0),IF('wk5'!H51=Pat!C$27,1,0)),1,0)+IF(AND(IF('wk5'!B$5=Pat!$C$25,1,0),IF('wk5'!B51=Pat!C$27,1,0)),1,0)</f>
        <v>0</v>
      </c>
      <c r="L69" s="87"/>
      <c r="M69" s="87">
        <f t="shared" si="2"/>
        <v>0</v>
      </c>
      <c r="N69" s="89">
        <f t="shared" si="3"/>
        <v>0</v>
      </c>
      <c r="Q69" s="81"/>
    </row>
    <row r="70" spans="1:17" ht="13.5" thickBot="1">
      <c r="A70" s="86">
        <f>'Members Data'!A44</f>
        <v>0</v>
      </c>
      <c r="B70" s="90">
        <f>IF(AND(IF('wk1'!B$5=Pat!$C$25,1,0),IF('wk1'!B52=Pat!B$27,1,0)),1,0)+IF(AND(IF('wk1'!D$5=Pat!$C$25,1,0),IF('wk1'!C52=Pat!B$27,1,0)),1,0)+IF(AND(IF('wk1'!D$5=Pat!$C$25,1,0),IF('wk1'!D52=Pat!B$27,1,0)),1,0)+IF(AND(IF('wk1'!E$5=Pat!$C$25,1,0),IF('wk1'!E52=Pat!B$27,1,0)),1,0)+IF(AND(IF('wk1'!F$5=Pat!$C$25,1,0),IF('wk1'!F52=Pat!B$27,1,0)),1,0)+IF(AND(IF('wk1'!G$5=Pat!$C$25,1,0),IF('wk1'!G52=Pat!B$27,1,0)),1,0)</f>
        <v>0</v>
      </c>
      <c r="C70" s="91">
        <f>IF(AND(IF('wk1'!D$5=Pat!$C$25,1,0),IF('wk1'!C52=Pat!C$27,1,0)),1,0)+IF(AND(IF('wk1'!D$5=Pat!$C$25,1,0),IF('wk1'!D52=Pat!C$27,1,0)),1,0)+IF(AND(IF('wk1'!E$5=Pat!$C$25,1,0),IF('wk1'!E52=Pat!C$27,1,0)),1,0)+IF(AND(IF('wk1'!F$5=Pat!$C$25,1,0),IF('wk1'!F52=Pat!C$27,1,0)),1,0)+IF(AND(IF('wk1'!G$5=Pat!$C$25,1,0),IF('wk1'!G52=Pat!C$27,1,0)),1,0)+IF(AND(IF('wk1'!H$5=Pat!$C$25,1,0),IF('wk1'!H52=Pat!C$27,1,0)),1,0)+IF(AND(IF('wk1'!B$5=Pat!$C$25,1,0),IF('wk1'!B52=Pat!C$27,1,0)),1,0)</f>
        <v>0</v>
      </c>
      <c r="D70" s="90">
        <f>IF(AND(IF('wk2'!B$5=Pat!$C$25,1,0),IF('wk2'!B52=Pat!B$27,1,0)),1,0)+IF(AND(IF('wk2'!C$5=Pat!$C$25,1,0),IF('wk2'!C52=Pat!B$27,1,0)),1,0)+IF(AND(IF('wk2'!D$5=Pat!$C$25,1,0),IF('wk2'!D52=Pat!B$27,1,0)),1,0)+IF(AND(IF('wk2'!E$5=Pat!$C$25,1,0),IF('wk2'!E52=Pat!B$27,1,0)),1,0)+IF(AND(IF('wk2'!F$5=Pat!$C$25,1,0),IF('wk2'!F52=Pat!B$27,1,0)),1,0)+IF(AND(IF('wk2'!G$5=Pat!$C$25,1,0),IF('wk2'!G52=Pat!B$27,1,0)),1,0)</f>
        <v>0</v>
      </c>
      <c r="E70" s="91">
        <f>IF(AND(IF('wk2'!C$5=Pat!$C$25,1,0),IF('wk2'!C52=Pat!C$27,1,0)),1,0)+IF(AND(IF('wk2'!D$5=Pat!$C$25,1,0),IF('wk2'!D52=Pat!C$27,1,0)),1,0)+IF(AND(IF('wk2'!E$5=Pat!$C$25,1,0),IF('wk2'!E52=Pat!C$27,1,0)),1,0)+IF(AND(IF('wk2'!F$5=Pat!$C$25,1,0),IF('wk2'!F52=Pat!C$27,1,0)),1,0)+IF(AND(IF('wk2'!G$5=Pat!$C$25,1,0),IF('wk2'!G52=Pat!C$27,1,0)),1,0)+IF(AND(IF('wk2'!H$5=Pat!$C$25,1,0),IF('wk2'!H52=Pat!C$27,1,0)),1,0)+IF(AND(IF('wk2'!B$5=Pat!$C$25,1,0),IF('wk2'!B52=Pat!C$27,1,0)),1,0)</f>
        <v>0</v>
      </c>
      <c r="F70" s="90">
        <f>IF(AND(IF('wk3'!B$5=Pat!$C$25,1,0),IF('wk3'!B52=Pat!B$27,1,0)),1,0)+IF(AND(IF('wk3'!C$5=Pat!$C$25,1,0),IF('wk3'!C52=Pat!B$27,1,0)),1,0)+IF(AND(IF('wk3'!D$5=Pat!$C$25,1,0),IF('wk3'!D52=Pat!B$27,1,0)),1,0)+IF(AND(IF('wk3'!E$5=Pat!$C$25,1,0),IF('wk3'!E52=Pat!B$27,1,0)),1,0)+IF(AND(IF('wk3'!F$5=Pat!$C$25,1,0),IF('wk3'!F52=Pat!B$27,1,0)),1,0)+IF(AND(IF('wk3'!G$5=Pat!$C$25,1,0),IF('wk3'!G52=Pat!B$27,1,0)),1,0)</f>
        <v>0</v>
      </c>
      <c r="G70" s="91">
        <f>IF(AND(IF('wk3'!C$5=Pat!$C$25,1,0),IF('wk3'!C52=Pat!C$27,1,0)),1,0)+IF(AND(IF('wk3'!D$5=Pat!$C$25,1,0),IF('wk3'!D52=Pat!C$27,1,0)),1,0)+IF(AND(IF('wk3'!E$5=Pat!$C$25,1,0),IF('wk3'!E52=Pat!C$27,1,0)),1,0)+IF(AND(IF('wk3'!F$5=Pat!$C$25,1,0),IF('wk3'!F52=Pat!C$27,1,0)),1,0)+IF(AND(IF('wk3'!G$5=Pat!$C$25,1,0),IF('wk3'!G52=Pat!C$27,1,0)),1,0)+IF(AND(IF('wk3'!H$5=Pat!$C$25,1,0),IF('wk3'!H52=Pat!C$27,1,0)),1,0)+IF(AND(IF('wk3'!B$5=Pat!$C$25,1,0),IF('wk3'!B52=Pat!C$27,1,0)),1,0)</f>
        <v>0</v>
      </c>
      <c r="H70" s="90">
        <f>IF(AND(IF('wk4'!B$5=Pat!$C$25,1,0),IF('wk4'!B52=Pat!B$27,1,0)),1,0)+IF(AND(IF('wk4'!C$5=Pat!$C$25,1,0),IF('wk4'!C52=Pat!B$27,1,0)),1,0)+IF(AND(IF('wk4'!D$5=Pat!$C$25,1,0),IF('wk4'!D52=Pat!B$27,1,0)),1,0)+IF(AND(IF('wk4'!E$5=Pat!$C$25,1,0),IF('wk4'!E52=Pat!B$27,1,0)),1,0)+IF(AND(IF('wk4'!F$5=Pat!$C$25,1,0),IF('wk4'!F52=Pat!B$27,1,0)),1,0)+IF(AND(IF('wk4'!G$5=Pat!$C$25,1,0),IF('wk4'!G52=Pat!B$27,1,0)),1,0)</f>
        <v>0</v>
      </c>
      <c r="I70" s="91">
        <f>IF(AND(IF('wk4'!C$5=Pat!$C$25,1,0),IF('wk4'!C52=Pat!C$27,1,0)),1,0)+IF(AND(IF('wk4'!D$5=Pat!$C$25,1,0),IF('wk4'!D52=Pat!C$27,1,0)),1,0)+IF(AND(IF('wk4'!E$5=Pat!$C$25,1,0),IF('wk4'!E52=Pat!C$27,1,0)),1,0)+IF(AND(IF('wk4'!F$5=Pat!$C$25,1,0),IF('wk4'!F52=Pat!C$27,1,0)),1,0)+IF(AND(IF('wk4'!G$5=Pat!$C$25,1,0),IF('wk4'!G52=Pat!C$27,1,0)),1,0)+IF(AND(IF('wk4'!H$5=Pat!$C$25,1,0),IF('wk4'!H52=Pat!C$27,1,0)),1,0)+IF(AND(IF('wk4'!B$5=Pat!$C$25,1,0),IF('wk4'!B52=Pat!C$27,1,0)),1,0)</f>
        <v>0</v>
      </c>
      <c r="J70" s="92">
        <f>IF(AND(IF('wk5'!B$5=Pat!$C$25,1,0),IF('wk5'!B52=Pat!B$27,1,0)),1,0)+IF(AND(IF('wk5'!C$5=Pat!$C$25,1,0),IF('wk5'!C52=Pat!B$27,1,0)),1,0)+IF(AND(IF('wk5'!D$5=Pat!$C$25,1,0),IF('wk5'!D52=Pat!B$27,1,0)),1,0)+IF(AND(IF('wk5'!E$5=Pat!$C$25,1,0),IF('wk5'!E52=Pat!B$27,1,0)),1,0)+IF(AND(IF('wk5'!F$5=Pat!$C$25,1,0),IF('wk5'!F52=Pat!B$27,1,0)),1,0)+IF(AND(IF('wk5'!G$5=Pat!$C$25,1,0),IF('wk5'!G52=Pat!B$27,1,0)),1,0)</f>
        <v>0</v>
      </c>
      <c r="K70" s="93">
        <f>IF(AND(IF('wk5'!C$5=Pat!$C$25,1,0),IF('wk5'!C52=Pat!C$27,1,0)),1,0)+IF(AND(IF('wk5'!D$5=Pat!$C$25,1,0),IF('wk5'!D52=Pat!C$27,1,0)),1,0)+IF(AND(IF('wk5'!E$5=Pat!$C$25,1,0),IF('wk5'!E52=Pat!C$27,1,0)),1,0)+IF(AND(IF('wk5'!F$5=Pat!$C$25,1,0),IF('wk5'!F52=Pat!C$27,1,0)),1,0)+IF(AND(IF('wk5'!G$5=Pat!$C$25,1,0),IF('wk5'!G52=Pat!C$27,1,0)),1,0)+IF(AND(IF('wk5'!H$5=Pat!$C$25,1,0),IF('wk5'!H52=Pat!C$27,1,0)),1,0)+IF(AND(IF('wk5'!B$5=Pat!$C$25,1,0),IF('wk5'!B52=Pat!C$27,1,0)),1,0)</f>
        <v>0</v>
      </c>
      <c r="L70" s="87"/>
      <c r="M70" s="87">
        <f t="shared" si="2"/>
        <v>0</v>
      </c>
      <c r="N70" s="89">
        <f t="shared" si="3"/>
        <v>0</v>
      </c>
    </row>
    <row r="71" spans="1:17" ht="13.5" thickBot="1">
      <c r="A71" s="86">
        <f>'Members Data'!A45</f>
        <v>0</v>
      </c>
      <c r="B71" s="90">
        <f>IF(AND(IF('wk1'!B$5=Pat!$C$25,1,0),IF('wk1'!B53=Pat!B$27,1,0)),1,0)+IF(AND(IF('wk1'!D$5=Pat!$C$25,1,0),IF('wk1'!C53=Pat!B$27,1,0)),1,0)+IF(AND(IF('wk1'!D$5=Pat!$C$25,1,0),IF('wk1'!D53=Pat!B$27,1,0)),1,0)+IF(AND(IF('wk1'!E$5=Pat!$C$25,1,0),IF('wk1'!E53=Pat!B$27,1,0)),1,0)+IF(AND(IF('wk1'!F$5=Pat!$C$25,1,0),IF('wk1'!F53=Pat!B$27,1,0)),1,0)+IF(AND(IF('wk1'!G$5=Pat!$C$25,1,0),IF('wk1'!G53=Pat!B$27,1,0)),1,0)</f>
        <v>0</v>
      </c>
      <c r="C71" s="91">
        <f>IF(AND(IF('wk1'!D$5=Pat!$C$25,1,0),IF('wk1'!C53=Pat!C$27,1,0)),1,0)+IF(AND(IF('wk1'!D$5=Pat!$C$25,1,0),IF('wk1'!D53=Pat!C$27,1,0)),1,0)+IF(AND(IF('wk1'!E$5=Pat!$C$25,1,0),IF('wk1'!E53=Pat!C$27,1,0)),1,0)+IF(AND(IF('wk1'!F$5=Pat!$C$25,1,0),IF('wk1'!F53=Pat!C$27,1,0)),1,0)+IF(AND(IF('wk1'!G$5=Pat!$C$25,1,0),IF('wk1'!G53=Pat!C$27,1,0)),1,0)+IF(AND(IF('wk1'!H$5=Pat!$C$25,1,0),IF('wk1'!H53=Pat!C$27,1,0)),1,0)+IF(AND(IF('wk1'!B$5=Pat!$C$25,1,0),IF('wk1'!B53=Pat!C$27,1,0)),1,0)</f>
        <v>0</v>
      </c>
      <c r="D71" s="90">
        <f>IF(AND(IF('wk2'!B$5=Pat!$C$25,1,0),IF('wk2'!B53=Pat!B$27,1,0)),1,0)+IF(AND(IF('wk2'!C$5=Pat!$C$25,1,0),IF('wk2'!C53=Pat!B$27,1,0)),1,0)+IF(AND(IF('wk2'!D$5=Pat!$C$25,1,0),IF('wk2'!D53=Pat!B$27,1,0)),1,0)+IF(AND(IF('wk2'!E$5=Pat!$C$25,1,0),IF('wk2'!E53=Pat!B$27,1,0)),1,0)+IF(AND(IF('wk2'!F$5=Pat!$C$25,1,0),IF('wk2'!F53=Pat!B$27,1,0)),1,0)+IF(AND(IF('wk2'!G$5=Pat!$C$25,1,0),IF('wk2'!G53=Pat!B$27,1,0)),1,0)</f>
        <v>0</v>
      </c>
      <c r="E71" s="91">
        <f>IF(AND(IF('wk2'!C$5=Pat!$C$25,1,0),IF('wk2'!C53=Pat!C$27,1,0)),1,0)+IF(AND(IF('wk2'!D$5=Pat!$C$25,1,0),IF('wk2'!D53=Pat!C$27,1,0)),1,0)+IF(AND(IF('wk2'!E$5=Pat!$C$25,1,0),IF('wk2'!E53=Pat!C$27,1,0)),1,0)+IF(AND(IF('wk2'!F$5=Pat!$C$25,1,0),IF('wk2'!F53=Pat!C$27,1,0)),1,0)+IF(AND(IF('wk2'!G$5=Pat!$C$25,1,0),IF('wk2'!G53=Pat!C$27,1,0)),1,0)+IF(AND(IF('wk2'!H$5=Pat!$C$25,1,0),IF('wk2'!H53=Pat!C$27,1,0)),1,0)+IF(AND(IF('wk2'!B$5=Pat!$C$25,1,0),IF('wk2'!B53=Pat!C$27,1,0)),1,0)</f>
        <v>0</v>
      </c>
      <c r="F71" s="90">
        <f>IF(AND(IF('wk3'!B$5=Pat!$C$25,1,0),IF('wk3'!B53=Pat!B$27,1,0)),1,0)+IF(AND(IF('wk3'!C$5=Pat!$C$25,1,0),IF('wk3'!C53=Pat!B$27,1,0)),1,0)+IF(AND(IF('wk3'!D$5=Pat!$C$25,1,0),IF('wk3'!D53=Pat!B$27,1,0)),1,0)+IF(AND(IF('wk3'!E$5=Pat!$C$25,1,0),IF('wk3'!E53=Pat!B$27,1,0)),1,0)+IF(AND(IF('wk3'!F$5=Pat!$C$25,1,0),IF('wk3'!F53=Pat!B$27,1,0)),1,0)+IF(AND(IF('wk3'!G$5=Pat!$C$25,1,0),IF('wk3'!G53=Pat!B$27,1,0)),1,0)</f>
        <v>0</v>
      </c>
      <c r="G71" s="91">
        <f>IF(AND(IF('wk3'!C$5=Pat!$C$25,1,0),IF('wk3'!C53=Pat!C$27,1,0)),1,0)+IF(AND(IF('wk3'!D$5=Pat!$C$25,1,0),IF('wk3'!D53=Pat!C$27,1,0)),1,0)+IF(AND(IF('wk3'!E$5=Pat!$C$25,1,0),IF('wk3'!E53=Pat!C$27,1,0)),1,0)+IF(AND(IF('wk3'!F$5=Pat!$C$25,1,0),IF('wk3'!F53=Pat!C$27,1,0)),1,0)+IF(AND(IF('wk3'!G$5=Pat!$C$25,1,0),IF('wk3'!G53=Pat!C$27,1,0)),1,0)+IF(AND(IF('wk3'!H$5=Pat!$C$25,1,0),IF('wk3'!H53=Pat!C$27,1,0)),1,0)+IF(AND(IF('wk3'!B$5=Pat!$C$25,1,0),IF('wk3'!B53=Pat!C$27,1,0)),1,0)</f>
        <v>0</v>
      </c>
      <c r="H71" s="90">
        <f>IF(AND(IF('wk4'!B$5=Pat!$C$25,1,0),IF('wk4'!B53=Pat!B$27,1,0)),1,0)+IF(AND(IF('wk4'!C$5=Pat!$C$25,1,0),IF('wk4'!C53=Pat!B$27,1,0)),1,0)+IF(AND(IF('wk4'!D$5=Pat!$C$25,1,0),IF('wk4'!D53=Pat!B$27,1,0)),1,0)+IF(AND(IF('wk4'!E$5=Pat!$C$25,1,0),IF('wk4'!E53=Pat!B$27,1,0)),1,0)+IF(AND(IF('wk4'!F$5=Pat!$C$25,1,0),IF('wk4'!F53=Pat!B$27,1,0)),1,0)+IF(AND(IF('wk4'!G$5=Pat!$C$25,1,0),IF('wk4'!G53=Pat!B$27,1,0)),1,0)</f>
        <v>0</v>
      </c>
      <c r="I71" s="91">
        <f>IF(AND(IF('wk4'!C$5=Pat!$C$25,1,0),IF('wk4'!C53=Pat!C$27,1,0)),1,0)+IF(AND(IF('wk4'!D$5=Pat!$C$25,1,0),IF('wk4'!D53=Pat!C$27,1,0)),1,0)+IF(AND(IF('wk4'!E$5=Pat!$C$25,1,0),IF('wk4'!E53=Pat!C$27,1,0)),1,0)+IF(AND(IF('wk4'!F$5=Pat!$C$25,1,0),IF('wk4'!F53=Pat!C$27,1,0)),1,0)+IF(AND(IF('wk4'!G$5=Pat!$C$25,1,0),IF('wk4'!G53=Pat!C$27,1,0)),1,0)+IF(AND(IF('wk4'!H$5=Pat!$C$25,1,0),IF('wk4'!H53=Pat!C$27,1,0)),1,0)+IF(AND(IF('wk4'!B$5=Pat!$C$25,1,0),IF('wk4'!B53=Pat!C$27,1,0)),1,0)</f>
        <v>0</v>
      </c>
      <c r="J71" s="92">
        <f>IF(AND(IF('wk5'!B$5=Pat!$C$25,1,0),IF('wk5'!B53=Pat!B$27,1,0)),1,0)+IF(AND(IF('wk5'!C$5=Pat!$C$25,1,0),IF('wk5'!C53=Pat!B$27,1,0)),1,0)+IF(AND(IF('wk5'!D$5=Pat!$C$25,1,0),IF('wk5'!D53=Pat!B$27,1,0)),1,0)+IF(AND(IF('wk5'!E$5=Pat!$C$25,1,0),IF('wk5'!E53=Pat!B$27,1,0)),1,0)+IF(AND(IF('wk5'!F$5=Pat!$C$25,1,0),IF('wk5'!F53=Pat!B$27,1,0)),1,0)+IF(AND(IF('wk5'!G$5=Pat!$C$25,1,0),IF('wk5'!G53=Pat!B$27,1,0)),1,0)</f>
        <v>0</v>
      </c>
      <c r="K71" s="93">
        <f>IF(AND(IF('wk5'!C$5=Pat!$C$25,1,0),IF('wk5'!C53=Pat!C$27,1,0)),1,0)+IF(AND(IF('wk5'!D$5=Pat!$C$25,1,0),IF('wk5'!D53=Pat!C$27,1,0)),1,0)+IF(AND(IF('wk5'!E$5=Pat!$C$25,1,0),IF('wk5'!E53=Pat!C$27,1,0)),1,0)+IF(AND(IF('wk5'!F$5=Pat!$C$25,1,0),IF('wk5'!F53=Pat!C$27,1,0)),1,0)+IF(AND(IF('wk5'!G$5=Pat!$C$25,1,0),IF('wk5'!G53=Pat!C$27,1,0)),1,0)+IF(AND(IF('wk5'!H$5=Pat!$C$25,1,0),IF('wk5'!H53=Pat!C$27,1,0)),1,0)+IF(AND(IF('wk5'!B$5=Pat!$C$25,1,0),IF('wk5'!B53=Pat!C$27,1,0)),1,0)</f>
        <v>0</v>
      </c>
      <c r="L71" s="87"/>
      <c r="M71" s="87">
        <f t="shared" si="2"/>
        <v>0</v>
      </c>
      <c r="N71" s="89">
        <f t="shared" si="3"/>
        <v>0</v>
      </c>
    </row>
    <row r="72" spans="1:17" ht="13.5" thickBot="1">
      <c r="A72" s="86">
        <f>'Members Data'!A46</f>
        <v>0</v>
      </c>
      <c r="B72" s="90">
        <f>IF(AND(IF('wk1'!B$5=Pat!$C$25,1,0),IF('wk1'!B54=Pat!B$27,1,0)),1,0)+IF(AND(IF('wk1'!D$5=Pat!$C$25,1,0),IF('wk1'!C54=Pat!B$27,1,0)),1,0)+IF(AND(IF('wk1'!D$5=Pat!$C$25,1,0),IF('wk1'!D54=Pat!B$27,1,0)),1,0)+IF(AND(IF('wk1'!E$5=Pat!$C$25,1,0),IF('wk1'!E54=Pat!B$27,1,0)),1,0)+IF(AND(IF('wk1'!F$5=Pat!$C$25,1,0),IF('wk1'!F54=Pat!B$27,1,0)),1,0)+IF(AND(IF('wk1'!G$5=Pat!$C$25,1,0),IF('wk1'!G54=Pat!B$27,1,0)),1,0)</f>
        <v>0</v>
      </c>
      <c r="C72" s="91">
        <f>IF(AND(IF('wk1'!D$5=Pat!$C$25,1,0),IF('wk1'!C54=Pat!C$27,1,0)),1,0)+IF(AND(IF('wk1'!D$5=Pat!$C$25,1,0),IF('wk1'!D54=Pat!C$27,1,0)),1,0)+IF(AND(IF('wk1'!E$5=Pat!$C$25,1,0),IF('wk1'!E54=Pat!C$27,1,0)),1,0)+IF(AND(IF('wk1'!F$5=Pat!$C$25,1,0),IF('wk1'!F54=Pat!C$27,1,0)),1,0)+IF(AND(IF('wk1'!G$5=Pat!$C$25,1,0),IF('wk1'!G54=Pat!C$27,1,0)),1,0)+IF(AND(IF('wk1'!H$5=Pat!$C$25,1,0),IF('wk1'!H54=Pat!C$27,1,0)),1,0)+IF(AND(IF('wk1'!B$5=Pat!$C$25,1,0),IF('wk1'!B54=Pat!C$27,1,0)),1,0)</f>
        <v>0</v>
      </c>
      <c r="D72" s="90">
        <f>IF(AND(IF('wk2'!B$5=Pat!$C$25,1,0),IF('wk2'!B54=Pat!B$27,1,0)),1,0)+IF(AND(IF('wk2'!C$5=Pat!$C$25,1,0),IF('wk2'!C54=Pat!B$27,1,0)),1,0)+IF(AND(IF('wk2'!D$5=Pat!$C$25,1,0),IF('wk2'!D54=Pat!B$27,1,0)),1,0)+IF(AND(IF('wk2'!E$5=Pat!$C$25,1,0),IF('wk2'!E54=Pat!B$27,1,0)),1,0)+IF(AND(IF('wk2'!F$5=Pat!$C$25,1,0),IF('wk2'!F54=Pat!B$27,1,0)),1,0)+IF(AND(IF('wk2'!G$5=Pat!$C$25,1,0),IF('wk2'!G54=Pat!B$27,1,0)),1,0)</f>
        <v>0</v>
      </c>
      <c r="E72" s="91">
        <f>IF(AND(IF('wk2'!C$5=Pat!$C$25,1,0),IF('wk2'!C54=Pat!C$27,1,0)),1,0)+IF(AND(IF('wk2'!D$5=Pat!$C$25,1,0),IF('wk2'!D54=Pat!C$27,1,0)),1,0)+IF(AND(IF('wk2'!E$5=Pat!$C$25,1,0),IF('wk2'!E54=Pat!C$27,1,0)),1,0)+IF(AND(IF('wk2'!F$5=Pat!$C$25,1,0),IF('wk2'!F54=Pat!C$27,1,0)),1,0)+IF(AND(IF('wk2'!G$5=Pat!$C$25,1,0),IF('wk2'!G54=Pat!C$27,1,0)),1,0)+IF(AND(IF('wk2'!H$5=Pat!$C$25,1,0),IF('wk2'!H54=Pat!C$27,1,0)),1,0)+IF(AND(IF('wk2'!B$5=Pat!$C$25,1,0),IF('wk2'!B54=Pat!C$27,1,0)),1,0)</f>
        <v>0</v>
      </c>
      <c r="F72" s="90">
        <f>IF(AND(IF('wk3'!B$5=Pat!$C$25,1,0),IF('wk3'!B54=Pat!B$27,1,0)),1,0)+IF(AND(IF('wk3'!C$5=Pat!$C$25,1,0),IF('wk3'!C54=Pat!B$27,1,0)),1,0)+IF(AND(IF('wk3'!D$5=Pat!$C$25,1,0),IF('wk3'!D54=Pat!B$27,1,0)),1,0)+IF(AND(IF('wk3'!E$5=Pat!$C$25,1,0),IF('wk3'!E54=Pat!B$27,1,0)),1,0)+IF(AND(IF('wk3'!F$5=Pat!$C$25,1,0),IF('wk3'!F54=Pat!B$27,1,0)),1,0)+IF(AND(IF('wk3'!G$5=Pat!$C$25,1,0),IF('wk3'!G54=Pat!B$27,1,0)),1,0)</f>
        <v>0</v>
      </c>
      <c r="G72" s="91">
        <f>IF(AND(IF('wk3'!C$5=Pat!$C$25,1,0),IF('wk3'!C54=Pat!C$27,1,0)),1,0)+IF(AND(IF('wk3'!D$5=Pat!$C$25,1,0),IF('wk3'!D54=Pat!C$27,1,0)),1,0)+IF(AND(IF('wk3'!E$5=Pat!$C$25,1,0),IF('wk3'!E54=Pat!C$27,1,0)),1,0)+IF(AND(IF('wk3'!F$5=Pat!$C$25,1,0),IF('wk3'!F54=Pat!C$27,1,0)),1,0)+IF(AND(IF('wk3'!G$5=Pat!$C$25,1,0),IF('wk3'!G54=Pat!C$27,1,0)),1,0)+IF(AND(IF('wk3'!H$5=Pat!$C$25,1,0),IF('wk3'!H54=Pat!C$27,1,0)),1,0)+IF(AND(IF('wk3'!B$5=Pat!$C$25,1,0),IF('wk3'!B54=Pat!C$27,1,0)),1,0)</f>
        <v>0</v>
      </c>
      <c r="H72" s="90">
        <f>IF(AND(IF('wk4'!B$5=Pat!$C$25,1,0),IF('wk4'!B54=Pat!B$27,1,0)),1,0)+IF(AND(IF('wk4'!C$5=Pat!$C$25,1,0),IF('wk4'!C54=Pat!B$27,1,0)),1,0)+IF(AND(IF('wk4'!D$5=Pat!$C$25,1,0),IF('wk4'!D54=Pat!B$27,1,0)),1,0)+IF(AND(IF('wk4'!E$5=Pat!$C$25,1,0),IF('wk4'!E54=Pat!B$27,1,0)),1,0)+IF(AND(IF('wk4'!F$5=Pat!$C$25,1,0),IF('wk4'!F54=Pat!B$27,1,0)),1,0)+IF(AND(IF('wk4'!G$5=Pat!$C$25,1,0),IF('wk4'!G54=Pat!B$27,1,0)),1,0)</f>
        <v>0</v>
      </c>
      <c r="I72" s="91">
        <f>IF(AND(IF('wk4'!C$5=Pat!$C$25,1,0),IF('wk4'!C54=Pat!C$27,1,0)),1,0)+IF(AND(IF('wk4'!D$5=Pat!$C$25,1,0),IF('wk4'!D54=Pat!C$27,1,0)),1,0)+IF(AND(IF('wk4'!E$5=Pat!$C$25,1,0),IF('wk4'!E54=Pat!C$27,1,0)),1,0)+IF(AND(IF('wk4'!F$5=Pat!$C$25,1,0),IF('wk4'!F54=Pat!C$27,1,0)),1,0)+IF(AND(IF('wk4'!G$5=Pat!$C$25,1,0),IF('wk4'!G54=Pat!C$27,1,0)),1,0)+IF(AND(IF('wk4'!H$5=Pat!$C$25,1,0),IF('wk4'!H54=Pat!C$27,1,0)),1,0)+IF(AND(IF('wk4'!B$5=Pat!$C$25,1,0),IF('wk4'!B54=Pat!C$27,1,0)),1,0)</f>
        <v>0</v>
      </c>
      <c r="J72" s="92">
        <f>IF(AND(IF('wk5'!B$5=Pat!$C$25,1,0),IF('wk5'!B54=Pat!B$27,1,0)),1,0)+IF(AND(IF('wk5'!C$5=Pat!$C$25,1,0),IF('wk5'!C54=Pat!B$27,1,0)),1,0)+IF(AND(IF('wk5'!D$5=Pat!$C$25,1,0),IF('wk5'!D54=Pat!B$27,1,0)),1,0)+IF(AND(IF('wk5'!E$5=Pat!$C$25,1,0),IF('wk5'!E54=Pat!B$27,1,0)),1,0)+IF(AND(IF('wk5'!F$5=Pat!$C$25,1,0),IF('wk5'!F54=Pat!B$27,1,0)),1,0)+IF(AND(IF('wk5'!G$5=Pat!$C$25,1,0),IF('wk5'!G54=Pat!B$27,1,0)),1,0)</f>
        <v>0</v>
      </c>
      <c r="K72" s="93">
        <f>IF(AND(IF('wk5'!C$5=Pat!$C$25,1,0),IF('wk5'!C54=Pat!C$27,1,0)),1,0)+IF(AND(IF('wk5'!D$5=Pat!$C$25,1,0),IF('wk5'!D54=Pat!C$27,1,0)),1,0)+IF(AND(IF('wk5'!E$5=Pat!$C$25,1,0),IF('wk5'!E54=Pat!C$27,1,0)),1,0)+IF(AND(IF('wk5'!F$5=Pat!$C$25,1,0),IF('wk5'!F54=Pat!C$27,1,0)),1,0)+IF(AND(IF('wk5'!G$5=Pat!$C$25,1,0),IF('wk5'!G54=Pat!C$27,1,0)),1,0)+IF(AND(IF('wk5'!H$5=Pat!$C$25,1,0),IF('wk5'!H54=Pat!C$27,1,0)),1,0)+IF(AND(IF('wk5'!B$5=Pat!$C$25,1,0),IF('wk5'!B54=Pat!C$27,1,0)),1,0)</f>
        <v>0</v>
      </c>
      <c r="L72" s="87"/>
      <c r="M72" s="87">
        <f t="shared" si="2"/>
        <v>0</v>
      </c>
      <c r="N72" s="89">
        <f t="shared" si="3"/>
        <v>0</v>
      </c>
    </row>
    <row r="73" spans="1:17" ht="13.5" thickBot="1">
      <c r="A73" s="86">
        <f>'Members Data'!A47</f>
        <v>0</v>
      </c>
      <c r="B73" s="90">
        <f>IF(AND(IF('wk1'!B$5=Pat!$C$25,1,0),IF('wk1'!B55=Pat!B$27,1,0)),1,0)+IF(AND(IF('wk1'!D$5=Pat!$C$25,1,0),IF('wk1'!C55=Pat!B$27,1,0)),1,0)+IF(AND(IF('wk1'!D$5=Pat!$C$25,1,0),IF('wk1'!D55=Pat!B$27,1,0)),1,0)+IF(AND(IF('wk1'!E$5=Pat!$C$25,1,0),IF('wk1'!E55=Pat!B$27,1,0)),1,0)+IF(AND(IF('wk1'!F$5=Pat!$C$25,1,0),IF('wk1'!F55=Pat!B$27,1,0)),1,0)+IF(AND(IF('wk1'!G$5=Pat!$C$25,1,0),IF('wk1'!G55=Pat!B$27,1,0)),1,0)</f>
        <v>0</v>
      </c>
      <c r="C73" s="91">
        <f>IF(AND(IF('wk1'!D$5=Pat!$C$25,1,0),IF('wk1'!C55=Pat!C$27,1,0)),1,0)+IF(AND(IF('wk1'!D$5=Pat!$C$25,1,0),IF('wk1'!D55=Pat!C$27,1,0)),1,0)+IF(AND(IF('wk1'!E$5=Pat!$C$25,1,0),IF('wk1'!E55=Pat!C$27,1,0)),1,0)+IF(AND(IF('wk1'!F$5=Pat!$C$25,1,0),IF('wk1'!F55=Pat!C$27,1,0)),1,0)+IF(AND(IF('wk1'!G$5=Pat!$C$25,1,0),IF('wk1'!G55=Pat!C$27,1,0)),1,0)+IF(AND(IF('wk1'!H$5=Pat!$C$25,1,0),IF('wk1'!H55=Pat!C$27,1,0)),1,0)+IF(AND(IF('wk1'!B$5=Pat!$C$25,1,0),IF('wk1'!B55=Pat!C$27,1,0)),1,0)</f>
        <v>0</v>
      </c>
      <c r="D73" s="90">
        <f>IF(AND(IF('wk2'!B$5=Pat!$C$25,1,0),IF('wk2'!B55=Pat!B$27,1,0)),1,0)+IF(AND(IF('wk2'!C$5=Pat!$C$25,1,0),IF('wk2'!C55=Pat!B$27,1,0)),1,0)+IF(AND(IF('wk2'!D$5=Pat!$C$25,1,0),IF('wk2'!D55=Pat!B$27,1,0)),1,0)+IF(AND(IF('wk2'!E$5=Pat!$C$25,1,0),IF('wk2'!E55=Pat!B$27,1,0)),1,0)+IF(AND(IF('wk2'!F$5=Pat!$C$25,1,0),IF('wk2'!F55=Pat!B$27,1,0)),1,0)+IF(AND(IF('wk2'!G$5=Pat!$C$25,1,0),IF('wk2'!G55=Pat!B$27,1,0)),1,0)</f>
        <v>0</v>
      </c>
      <c r="E73" s="91">
        <f>IF(AND(IF('wk2'!C$5=Pat!$C$25,1,0),IF('wk2'!C55=Pat!C$27,1,0)),1,0)+IF(AND(IF('wk2'!D$5=Pat!$C$25,1,0),IF('wk2'!D55=Pat!C$27,1,0)),1,0)+IF(AND(IF('wk2'!E$5=Pat!$C$25,1,0),IF('wk2'!E55=Pat!C$27,1,0)),1,0)+IF(AND(IF('wk2'!F$5=Pat!$C$25,1,0),IF('wk2'!F55=Pat!C$27,1,0)),1,0)+IF(AND(IF('wk2'!G$5=Pat!$C$25,1,0),IF('wk2'!G55=Pat!C$27,1,0)),1,0)+IF(AND(IF('wk2'!H$5=Pat!$C$25,1,0),IF('wk2'!H55=Pat!C$27,1,0)),1,0)+IF(AND(IF('wk2'!B$5=Pat!$C$25,1,0),IF('wk2'!B55=Pat!C$27,1,0)),1,0)</f>
        <v>0</v>
      </c>
      <c r="F73" s="90">
        <f>IF(AND(IF('wk3'!B$5=Pat!$C$25,1,0),IF('wk3'!B55=Pat!B$27,1,0)),1,0)+IF(AND(IF('wk3'!C$5=Pat!$C$25,1,0),IF('wk3'!C55=Pat!B$27,1,0)),1,0)+IF(AND(IF('wk3'!D$5=Pat!$C$25,1,0),IF('wk3'!D55=Pat!B$27,1,0)),1,0)+IF(AND(IF('wk3'!E$5=Pat!$C$25,1,0),IF('wk3'!E55=Pat!B$27,1,0)),1,0)+IF(AND(IF('wk3'!F$5=Pat!$C$25,1,0),IF('wk3'!F55=Pat!B$27,1,0)),1,0)+IF(AND(IF('wk3'!G$5=Pat!$C$25,1,0),IF('wk3'!G55=Pat!B$27,1,0)),1,0)</f>
        <v>0</v>
      </c>
      <c r="G73" s="91">
        <f>IF(AND(IF('wk3'!C$5=Pat!$C$25,1,0),IF('wk3'!C55=Pat!C$27,1,0)),1,0)+IF(AND(IF('wk3'!D$5=Pat!$C$25,1,0),IF('wk3'!D55=Pat!C$27,1,0)),1,0)+IF(AND(IF('wk3'!E$5=Pat!$C$25,1,0),IF('wk3'!E55=Pat!C$27,1,0)),1,0)+IF(AND(IF('wk3'!F$5=Pat!$C$25,1,0),IF('wk3'!F55=Pat!C$27,1,0)),1,0)+IF(AND(IF('wk3'!G$5=Pat!$C$25,1,0),IF('wk3'!G55=Pat!C$27,1,0)),1,0)+IF(AND(IF('wk3'!H$5=Pat!$C$25,1,0),IF('wk3'!H55=Pat!C$27,1,0)),1,0)+IF(AND(IF('wk3'!B$5=Pat!$C$25,1,0),IF('wk3'!B55=Pat!C$27,1,0)),1,0)</f>
        <v>0</v>
      </c>
      <c r="H73" s="90">
        <f>IF(AND(IF('wk4'!B$5=Pat!$C$25,1,0),IF('wk4'!B55=Pat!B$27,1,0)),1,0)+IF(AND(IF('wk4'!C$5=Pat!$C$25,1,0),IF('wk4'!C55=Pat!B$27,1,0)),1,0)+IF(AND(IF('wk4'!D$5=Pat!$C$25,1,0),IF('wk4'!D55=Pat!B$27,1,0)),1,0)+IF(AND(IF('wk4'!E$5=Pat!$C$25,1,0),IF('wk4'!E55=Pat!B$27,1,0)),1,0)+IF(AND(IF('wk4'!F$5=Pat!$C$25,1,0),IF('wk4'!F55=Pat!B$27,1,0)),1,0)+IF(AND(IF('wk4'!G$5=Pat!$C$25,1,0),IF('wk4'!G55=Pat!B$27,1,0)),1,0)</f>
        <v>0</v>
      </c>
      <c r="I73" s="91">
        <f>IF(AND(IF('wk4'!C$5=Pat!$C$25,1,0),IF('wk4'!C55=Pat!C$27,1,0)),1,0)+IF(AND(IF('wk4'!D$5=Pat!$C$25,1,0),IF('wk4'!D55=Pat!C$27,1,0)),1,0)+IF(AND(IF('wk4'!E$5=Pat!$C$25,1,0),IF('wk4'!E55=Pat!C$27,1,0)),1,0)+IF(AND(IF('wk4'!F$5=Pat!$C$25,1,0),IF('wk4'!F55=Pat!C$27,1,0)),1,0)+IF(AND(IF('wk4'!G$5=Pat!$C$25,1,0),IF('wk4'!G55=Pat!C$27,1,0)),1,0)+IF(AND(IF('wk4'!H$5=Pat!$C$25,1,0),IF('wk4'!H55=Pat!C$27,1,0)),1,0)+IF(AND(IF('wk4'!B$5=Pat!$C$25,1,0),IF('wk4'!B55=Pat!C$27,1,0)),1,0)</f>
        <v>0</v>
      </c>
      <c r="J73" s="92">
        <f>IF(AND(IF('wk5'!B$5=Pat!$C$25,1,0),IF('wk5'!B55=Pat!B$27,1,0)),1,0)+IF(AND(IF('wk5'!C$5=Pat!$C$25,1,0),IF('wk5'!C55=Pat!B$27,1,0)),1,0)+IF(AND(IF('wk5'!D$5=Pat!$C$25,1,0),IF('wk5'!D55=Pat!B$27,1,0)),1,0)+IF(AND(IF('wk5'!E$5=Pat!$C$25,1,0),IF('wk5'!E55=Pat!B$27,1,0)),1,0)+IF(AND(IF('wk5'!F$5=Pat!$C$25,1,0),IF('wk5'!F55=Pat!B$27,1,0)),1,0)+IF(AND(IF('wk5'!G$5=Pat!$C$25,1,0),IF('wk5'!G55=Pat!B$27,1,0)),1,0)</f>
        <v>0</v>
      </c>
      <c r="K73" s="93">
        <f>IF(AND(IF('wk5'!C$5=Pat!$C$25,1,0),IF('wk5'!C55=Pat!C$27,1,0)),1,0)+IF(AND(IF('wk5'!D$5=Pat!$C$25,1,0),IF('wk5'!D55=Pat!C$27,1,0)),1,0)+IF(AND(IF('wk5'!E$5=Pat!$C$25,1,0),IF('wk5'!E55=Pat!C$27,1,0)),1,0)+IF(AND(IF('wk5'!F$5=Pat!$C$25,1,0),IF('wk5'!F55=Pat!C$27,1,0)),1,0)+IF(AND(IF('wk5'!G$5=Pat!$C$25,1,0),IF('wk5'!G55=Pat!C$27,1,0)),1,0)+IF(AND(IF('wk5'!H$5=Pat!$C$25,1,0),IF('wk5'!H55=Pat!C$27,1,0)),1,0)+IF(AND(IF('wk5'!B$5=Pat!$C$25,1,0),IF('wk5'!B55=Pat!C$27,1,0)),1,0)</f>
        <v>0</v>
      </c>
      <c r="L73" s="87"/>
      <c r="M73" s="87">
        <f t="shared" si="2"/>
        <v>0</v>
      </c>
      <c r="N73" s="89">
        <f t="shared" si="3"/>
        <v>0</v>
      </c>
    </row>
    <row r="74" spans="1:17" ht="13.5" thickBot="1">
      <c r="A74" s="86">
        <f>'Members Data'!A48</f>
        <v>0</v>
      </c>
      <c r="B74" s="90">
        <f>IF(AND(IF('wk1'!B$5=Pat!$C$25,1,0),IF('wk1'!B56=Pat!B$27,1,0)),1,0)+IF(AND(IF('wk1'!D$5=Pat!$C$25,1,0),IF('wk1'!C56=Pat!B$27,1,0)),1,0)+IF(AND(IF('wk1'!D$5=Pat!$C$25,1,0),IF('wk1'!D56=Pat!B$27,1,0)),1,0)+IF(AND(IF('wk1'!E$5=Pat!$C$25,1,0),IF('wk1'!E56=Pat!B$27,1,0)),1,0)+IF(AND(IF('wk1'!F$5=Pat!$C$25,1,0),IF('wk1'!F56=Pat!B$27,1,0)),1,0)+IF(AND(IF('wk1'!G$5=Pat!$C$25,1,0),IF('wk1'!G56=Pat!B$27,1,0)),1,0)</f>
        <v>0</v>
      </c>
      <c r="C74" s="91">
        <f>IF(AND(IF('wk1'!D$5=Pat!$C$25,1,0),IF('wk1'!C56=Pat!C$27,1,0)),1,0)+IF(AND(IF('wk1'!D$5=Pat!$C$25,1,0),IF('wk1'!D56=Pat!C$27,1,0)),1,0)+IF(AND(IF('wk1'!E$5=Pat!$C$25,1,0),IF('wk1'!E56=Pat!C$27,1,0)),1,0)+IF(AND(IF('wk1'!F$5=Pat!$C$25,1,0),IF('wk1'!F56=Pat!C$27,1,0)),1,0)+IF(AND(IF('wk1'!G$5=Pat!$C$25,1,0),IF('wk1'!G56=Pat!C$27,1,0)),1,0)+IF(AND(IF('wk1'!H$5=Pat!$C$25,1,0),IF('wk1'!H56=Pat!C$27,1,0)),1,0)+IF(AND(IF('wk1'!B$5=Pat!$C$25,1,0),IF('wk1'!B56=Pat!C$27,1,0)),1,0)</f>
        <v>0</v>
      </c>
      <c r="D74" s="90">
        <f>IF(AND(IF('wk2'!B$5=Pat!$C$25,1,0),IF('wk2'!B56=Pat!B$27,1,0)),1,0)+IF(AND(IF('wk2'!C$5=Pat!$C$25,1,0),IF('wk2'!C56=Pat!B$27,1,0)),1,0)+IF(AND(IF('wk2'!D$5=Pat!$C$25,1,0),IF('wk2'!D56=Pat!B$27,1,0)),1,0)+IF(AND(IF('wk2'!E$5=Pat!$C$25,1,0),IF('wk2'!E56=Pat!B$27,1,0)),1,0)+IF(AND(IF('wk2'!F$5=Pat!$C$25,1,0),IF('wk2'!F56=Pat!B$27,1,0)),1,0)+IF(AND(IF('wk2'!G$5=Pat!$C$25,1,0),IF('wk2'!G56=Pat!B$27,1,0)),1,0)</f>
        <v>0</v>
      </c>
      <c r="E74" s="91">
        <f>IF(AND(IF('wk2'!C$5=Pat!$C$25,1,0),IF('wk2'!C56=Pat!C$27,1,0)),1,0)+IF(AND(IF('wk2'!D$5=Pat!$C$25,1,0),IF('wk2'!D56=Pat!C$27,1,0)),1,0)+IF(AND(IF('wk2'!E$5=Pat!$C$25,1,0),IF('wk2'!E56=Pat!C$27,1,0)),1,0)+IF(AND(IF('wk2'!F$5=Pat!$C$25,1,0),IF('wk2'!F56=Pat!C$27,1,0)),1,0)+IF(AND(IF('wk2'!G$5=Pat!$C$25,1,0),IF('wk2'!G56=Pat!C$27,1,0)),1,0)+IF(AND(IF('wk2'!H$5=Pat!$C$25,1,0),IF('wk2'!H56=Pat!C$27,1,0)),1,0)+IF(AND(IF('wk2'!B$5=Pat!$C$25,1,0),IF('wk2'!B56=Pat!C$27,1,0)),1,0)</f>
        <v>0</v>
      </c>
      <c r="F74" s="90">
        <f>IF(AND(IF('wk3'!B$5=Pat!$C$25,1,0),IF('wk3'!B56=Pat!B$27,1,0)),1,0)+IF(AND(IF('wk3'!C$5=Pat!$C$25,1,0),IF('wk3'!C56=Pat!B$27,1,0)),1,0)+IF(AND(IF('wk3'!D$5=Pat!$C$25,1,0),IF('wk3'!D56=Pat!B$27,1,0)),1,0)+IF(AND(IF('wk3'!E$5=Pat!$C$25,1,0),IF('wk3'!E56=Pat!B$27,1,0)),1,0)+IF(AND(IF('wk3'!F$5=Pat!$C$25,1,0),IF('wk3'!F56=Pat!B$27,1,0)),1,0)+IF(AND(IF('wk3'!G$5=Pat!$C$25,1,0),IF('wk3'!G56=Pat!B$27,1,0)),1,0)</f>
        <v>0</v>
      </c>
      <c r="G74" s="91">
        <f>IF(AND(IF('wk3'!C$5=Pat!$C$25,1,0),IF('wk3'!C56=Pat!C$27,1,0)),1,0)+IF(AND(IF('wk3'!D$5=Pat!$C$25,1,0),IF('wk3'!D56=Pat!C$27,1,0)),1,0)+IF(AND(IF('wk3'!E$5=Pat!$C$25,1,0),IF('wk3'!E56=Pat!C$27,1,0)),1,0)+IF(AND(IF('wk3'!F$5=Pat!$C$25,1,0),IF('wk3'!F56=Pat!C$27,1,0)),1,0)+IF(AND(IF('wk3'!G$5=Pat!$C$25,1,0),IF('wk3'!G56=Pat!C$27,1,0)),1,0)+IF(AND(IF('wk3'!H$5=Pat!$C$25,1,0),IF('wk3'!H56=Pat!C$27,1,0)),1,0)+IF(AND(IF('wk3'!B$5=Pat!$C$25,1,0),IF('wk3'!B56=Pat!C$27,1,0)),1,0)</f>
        <v>0</v>
      </c>
      <c r="H74" s="90">
        <f>IF(AND(IF('wk4'!B$5=Pat!$C$25,1,0),IF('wk4'!B56=Pat!B$27,1,0)),1,0)+IF(AND(IF('wk4'!C$5=Pat!$C$25,1,0),IF('wk4'!C56=Pat!B$27,1,0)),1,0)+IF(AND(IF('wk4'!D$5=Pat!$C$25,1,0),IF('wk4'!D56=Pat!B$27,1,0)),1,0)+IF(AND(IF('wk4'!E$5=Pat!$C$25,1,0),IF('wk4'!E56=Pat!B$27,1,0)),1,0)+IF(AND(IF('wk4'!F$5=Pat!$C$25,1,0),IF('wk4'!F56=Pat!B$27,1,0)),1,0)+IF(AND(IF('wk4'!G$5=Pat!$C$25,1,0),IF('wk4'!G56=Pat!B$27,1,0)),1,0)</f>
        <v>0</v>
      </c>
      <c r="I74" s="91">
        <f>IF(AND(IF('wk4'!C$5=Pat!$C$25,1,0),IF('wk4'!C56=Pat!C$27,1,0)),1,0)+IF(AND(IF('wk4'!D$5=Pat!$C$25,1,0),IF('wk4'!D56=Pat!C$27,1,0)),1,0)+IF(AND(IF('wk4'!E$5=Pat!$C$25,1,0),IF('wk4'!E56=Pat!C$27,1,0)),1,0)+IF(AND(IF('wk4'!F$5=Pat!$C$25,1,0),IF('wk4'!F56=Pat!C$27,1,0)),1,0)+IF(AND(IF('wk4'!G$5=Pat!$C$25,1,0),IF('wk4'!G56=Pat!C$27,1,0)),1,0)+IF(AND(IF('wk4'!H$5=Pat!$C$25,1,0),IF('wk4'!H56=Pat!C$27,1,0)),1,0)+IF(AND(IF('wk4'!B$5=Pat!$C$25,1,0),IF('wk4'!B56=Pat!C$27,1,0)),1,0)</f>
        <v>0</v>
      </c>
      <c r="J74" s="92">
        <f>IF(AND(IF('wk5'!B$5=Pat!$C$25,1,0),IF('wk5'!B56=Pat!B$27,1,0)),1,0)+IF(AND(IF('wk5'!C$5=Pat!$C$25,1,0),IF('wk5'!C56=Pat!B$27,1,0)),1,0)+IF(AND(IF('wk5'!D$5=Pat!$C$25,1,0),IF('wk5'!D56=Pat!B$27,1,0)),1,0)+IF(AND(IF('wk5'!E$5=Pat!$C$25,1,0),IF('wk5'!E56=Pat!B$27,1,0)),1,0)+IF(AND(IF('wk5'!F$5=Pat!$C$25,1,0),IF('wk5'!F56=Pat!B$27,1,0)),1,0)+IF(AND(IF('wk5'!G$5=Pat!$C$25,1,0),IF('wk5'!G56=Pat!B$27,1,0)),1,0)</f>
        <v>0</v>
      </c>
      <c r="K74" s="93">
        <f>IF(AND(IF('wk5'!C$5=Pat!$C$25,1,0),IF('wk5'!C56=Pat!C$27,1,0)),1,0)+IF(AND(IF('wk5'!D$5=Pat!$C$25,1,0),IF('wk5'!D56=Pat!C$27,1,0)),1,0)+IF(AND(IF('wk5'!E$5=Pat!$C$25,1,0),IF('wk5'!E56=Pat!C$27,1,0)),1,0)+IF(AND(IF('wk5'!F$5=Pat!$C$25,1,0),IF('wk5'!F56=Pat!C$27,1,0)),1,0)+IF(AND(IF('wk5'!G$5=Pat!$C$25,1,0),IF('wk5'!G56=Pat!C$27,1,0)),1,0)+IF(AND(IF('wk5'!H$5=Pat!$C$25,1,0),IF('wk5'!H56=Pat!C$27,1,0)),1,0)+IF(AND(IF('wk5'!B$5=Pat!$C$25,1,0),IF('wk5'!B56=Pat!C$27,1,0)),1,0)</f>
        <v>0</v>
      </c>
      <c r="L74" s="87"/>
      <c r="M74" s="87">
        <f t="shared" si="2"/>
        <v>0</v>
      </c>
      <c r="N74" s="89">
        <f t="shared" si="3"/>
        <v>0</v>
      </c>
    </row>
    <row r="75" spans="1:17" ht="13.5" thickBot="1">
      <c r="A75" s="86">
        <f>'Members Data'!A49</f>
        <v>0</v>
      </c>
      <c r="B75" s="90">
        <f>IF(AND(IF('wk1'!B$5=Pat!$C$25,1,0),IF('wk1'!B57=Pat!B$27,1,0)),1,0)+IF(AND(IF('wk1'!D$5=Pat!$C$25,1,0),IF('wk1'!C57=Pat!B$27,1,0)),1,0)+IF(AND(IF('wk1'!D$5=Pat!$C$25,1,0),IF('wk1'!D57=Pat!B$27,1,0)),1,0)+IF(AND(IF('wk1'!E$5=Pat!$C$25,1,0),IF('wk1'!E57=Pat!B$27,1,0)),1,0)+IF(AND(IF('wk1'!F$5=Pat!$C$25,1,0),IF('wk1'!F57=Pat!B$27,1,0)),1,0)+IF(AND(IF('wk1'!G$5=Pat!$C$25,1,0),IF('wk1'!G57=Pat!B$27,1,0)),1,0)</f>
        <v>0</v>
      </c>
      <c r="C75" s="91">
        <f>IF(AND(IF('wk1'!D$5=Pat!$C$25,1,0),IF('wk1'!C57=Pat!C$27,1,0)),1,0)+IF(AND(IF('wk1'!D$5=Pat!$C$25,1,0),IF('wk1'!D57=Pat!C$27,1,0)),1,0)+IF(AND(IF('wk1'!E$5=Pat!$C$25,1,0),IF('wk1'!E57=Pat!C$27,1,0)),1,0)+IF(AND(IF('wk1'!F$5=Pat!$C$25,1,0),IF('wk1'!F57=Pat!C$27,1,0)),1,0)+IF(AND(IF('wk1'!G$5=Pat!$C$25,1,0),IF('wk1'!G57=Pat!C$27,1,0)),1,0)+IF(AND(IF('wk1'!H$5=Pat!$C$25,1,0),IF('wk1'!H57=Pat!C$27,1,0)),1,0)+IF(AND(IF('wk1'!B$5=Pat!$C$25,1,0),IF('wk1'!B57=Pat!C$27,1,0)),1,0)</f>
        <v>0</v>
      </c>
      <c r="D75" s="90">
        <f>IF(AND(IF('wk2'!B$5=Pat!$C$25,1,0),IF('wk2'!B57=Pat!B$27,1,0)),1,0)+IF(AND(IF('wk2'!C$5=Pat!$C$25,1,0),IF('wk2'!C57=Pat!B$27,1,0)),1,0)+IF(AND(IF('wk2'!D$5=Pat!$C$25,1,0),IF('wk2'!D57=Pat!B$27,1,0)),1,0)+IF(AND(IF('wk2'!E$5=Pat!$C$25,1,0),IF('wk2'!E57=Pat!B$27,1,0)),1,0)+IF(AND(IF('wk2'!F$5=Pat!$C$25,1,0),IF('wk2'!F57=Pat!B$27,1,0)),1,0)+IF(AND(IF('wk2'!G$5=Pat!$C$25,1,0),IF('wk2'!G57=Pat!B$27,1,0)),1,0)</f>
        <v>0</v>
      </c>
      <c r="E75" s="91">
        <f>IF(AND(IF('wk2'!C$5=Pat!$C$25,1,0),IF('wk2'!C57=Pat!C$27,1,0)),1,0)+IF(AND(IF('wk2'!D$5=Pat!$C$25,1,0),IF('wk2'!D57=Pat!C$27,1,0)),1,0)+IF(AND(IF('wk2'!E$5=Pat!$C$25,1,0),IF('wk2'!E57=Pat!C$27,1,0)),1,0)+IF(AND(IF('wk2'!F$5=Pat!$C$25,1,0),IF('wk2'!F57=Pat!C$27,1,0)),1,0)+IF(AND(IF('wk2'!G$5=Pat!$C$25,1,0),IF('wk2'!G57=Pat!C$27,1,0)),1,0)+IF(AND(IF('wk2'!H$5=Pat!$C$25,1,0),IF('wk2'!H57=Pat!C$27,1,0)),1,0)+IF(AND(IF('wk2'!B$5=Pat!$C$25,1,0),IF('wk2'!B57=Pat!C$27,1,0)),1,0)</f>
        <v>0</v>
      </c>
      <c r="F75" s="90">
        <f>IF(AND(IF('wk3'!B$5=Pat!$C$25,1,0),IF('wk3'!B57=Pat!B$27,1,0)),1,0)+IF(AND(IF('wk3'!C$5=Pat!$C$25,1,0),IF('wk3'!C57=Pat!B$27,1,0)),1,0)+IF(AND(IF('wk3'!D$5=Pat!$C$25,1,0),IF('wk3'!D57=Pat!B$27,1,0)),1,0)+IF(AND(IF('wk3'!E$5=Pat!$C$25,1,0),IF('wk3'!E57=Pat!B$27,1,0)),1,0)+IF(AND(IF('wk3'!F$5=Pat!$C$25,1,0),IF('wk3'!F57=Pat!B$27,1,0)),1,0)+IF(AND(IF('wk3'!G$5=Pat!$C$25,1,0),IF('wk3'!G57=Pat!B$27,1,0)),1,0)</f>
        <v>0</v>
      </c>
      <c r="G75" s="91">
        <f>IF(AND(IF('wk3'!C$5=Pat!$C$25,1,0),IF('wk3'!C57=Pat!C$27,1,0)),1,0)+IF(AND(IF('wk3'!D$5=Pat!$C$25,1,0),IF('wk3'!D57=Pat!C$27,1,0)),1,0)+IF(AND(IF('wk3'!E$5=Pat!$C$25,1,0),IF('wk3'!E57=Pat!C$27,1,0)),1,0)+IF(AND(IF('wk3'!F$5=Pat!$C$25,1,0),IF('wk3'!F57=Pat!C$27,1,0)),1,0)+IF(AND(IF('wk3'!G$5=Pat!$C$25,1,0),IF('wk3'!G57=Pat!C$27,1,0)),1,0)+IF(AND(IF('wk3'!H$5=Pat!$C$25,1,0),IF('wk3'!H57=Pat!C$27,1,0)),1,0)+IF(AND(IF('wk3'!B$5=Pat!$C$25,1,0),IF('wk3'!B57=Pat!C$27,1,0)),1,0)</f>
        <v>0</v>
      </c>
      <c r="H75" s="90">
        <f>IF(AND(IF('wk4'!B$5=Pat!$C$25,1,0),IF('wk4'!B57=Pat!B$27,1,0)),1,0)+IF(AND(IF('wk4'!C$5=Pat!$C$25,1,0),IF('wk4'!C57=Pat!B$27,1,0)),1,0)+IF(AND(IF('wk4'!D$5=Pat!$C$25,1,0),IF('wk4'!D57=Pat!B$27,1,0)),1,0)+IF(AND(IF('wk4'!E$5=Pat!$C$25,1,0),IF('wk4'!E57=Pat!B$27,1,0)),1,0)+IF(AND(IF('wk4'!F$5=Pat!$C$25,1,0),IF('wk4'!F57=Pat!B$27,1,0)),1,0)+IF(AND(IF('wk4'!G$5=Pat!$C$25,1,0),IF('wk4'!G57=Pat!B$27,1,0)),1,0)</f>
        <v>0</v>
      </c>
      <c r="I75" s="91">
        <f>IF(AND(IF('wk4'!C$5=Pat!$C$25,1,0),IF('wk4'!C57=Pat!C$27,1,0)),1,0)+IF(AND(IF('wk4'!D$5=Pat!$C$25,1,0),IF('wk4'!D57=Pat!C$27,1,0)),1,0)+IF(AND(IF('wk4'!E$5=Pat!$C$25,1,0),IF('wk4'!E57=Pat!C$27,1,0)),1,0)+IF(AND(IF('wk4'!F$5=Pat!$C$25,1,0),IF('wk4'!F57=Pat!C$27,1,0)),1,0)+IF(AND(IF('wk4'!G$5=Pat!$C$25,1,0),IF('wk4'!G57=Pat!C$27,1,0)),1,0)+IF(AND(IF('wk4'!H$5=Pat!$C$25,1,0),IF('wk4'!H57=Pat!C$27,1,0)),1,0)+IF(AND(IF('wk4'!B$5=Pat!$C$25,1,0),IF('wk4'!B57=Pat!C$27,1,0)),1,0)</f>
        <v>0</v>
      </c>
      <c r="J75" s="92">
        <f>IF(AND(IF('wk5'!B$5=Pat!$C$25,1,0),IF('wk5'!B57=Pat!B$27,1,0)),1,0)+IF(AND(IF('wk5'!C$5=Pat!$C$25,1,0),IF('wk5'!C57=Pat!B$27,1,0)),1,0)+IF(AND(IF('wk5'!D$5=Pat!$C$25,1,0),IF('wk5'!D57=Pat!B$27,1,0)),1,0)+IF(AND(IF('wk5'!E$5=Pat!$C$25,1,0),IF('wk5'!E57=Pat!B$27,1,0)),1,0)+IF(AND(IF('wk5'!F$5=Pat!$C$25,1,0),IF('wk5'!F57=Pat!B$27,1,0)),1,0)+IF(AND(IF('wk5'!G$5=Pat!$C$25,1,0),IF('wk5'!G57=Pat!B$27,1,0)),1,0)</f>
        <v>0</v>
      </c>
      <c r="K75" s="93">
        <f>IF(AND(IF('wk5'!C$5=Pat!$C$25,1,0),IF('wk5'!C57=Pat!C$27,1,0)),1,0)+IF(AND(IF('wk5'!D$5=Pat!$C$25,1,0),IF('wk5'!D57=Pat!C$27,1,0)),1,0)+IF(AND(IF('wk5'!E$5=Pat!$C$25,1,0),IF('wk5'!E57=Pat!C$27,1,0)),1,0)+IF(AND(IF('wk5'!F$5=Pat!$C$25,1,0),IF('wk5'!F57=Pat!C$27,1,0)),1,0)+IF(AND(IF('wk5'!G$5=Pat!$C$25,1,0),IF('wk5'!G57=Pat!C$27,1,0)),1,0)+IF(AND(IF('wk5'!H$5=Pat!$C$25,1,0),IF('wk5'!H57=Pat!C$27,1,0)),1,0)+IF(AND(IF('wk5'!B$5=Pat!$C$25,1,0),IF('wk5'!B57=Pat!C$27,1,0)),1,0)</f>
        <v>0</v>
      </c>
      <c r="L75" s="87"/>
      <c r="M75" s="87">
        <f t="shared" si="2"/>
        <v>0</v>
      </c>
      <c r="N75" s="89">
        <f t="shared" si="3"/>
        <v>0</v>
      </c>
    </row>
    <row r="76" spans="1:17" ht="13.5" thickBot="1">
      <c r="A76" s="86">
        <f>'Members Data'!A50</f>
        <v>0</v>
      </c>
      <c r="B76" s="90">
        <f>IF(AND(IF('wk1'!B$5=Pat!$C$25,1,0),IF('wk1'!B58=Pat!B$27,1,0)),1,0)+IF(AND(IF('wk1'!D$5=Pat!$C$25,1,0),IF('wk1'!C58=Pat!B$27,1,0)),1,0)+IF(AND(IF('wk1'!D$5=Pat!$C$25,1,0),IF('wk1'!D58=Pat!B$27,1,0)),1,0)+IF(AND(IF('wk1'!E$5=Pat!$C$25,1,0),IF('wk1'!E58=Pat!B$27,1,0)),1,0)+IF(AND(IF('wk1'!F$5=Pat!$C$25,1,0),IF('wk1'!F58=Pat!B$27,1,0)),1,0)+IF(AND(IF('wk1'!G$5=Pat!$C$25,1,0),IF('wk1'!G58=Pat!B$27,1,0)),1,0)</f>
        <v>0</v>
      </c>
      <c r="C76" s="91">
        <f>IF(AND(IF('wk1'!D$5=Pat!$C$25,1,0),IF('wk1'!C58=Pat!C$27,1,0)),1,0)+IF(AND(IF('wk1'!D$5=Pat!$C$25,1,0),IF('wk1'!D58=Pat!C$27,1,0)),1,0)+IF(AND(IF('wk1'!E$5=Pat!$C$25,1,0),IF('wk1'!E58=Pat!C$27,1,0)),1,0)+IF(AND(IF('wk1'!F$5=Pat!$C$25,1,0),IF('wk1'!F58=Pat!C$27,1,0)),1,0)+IF(AND(IF('wk1'!G$5=Pat!$C$25,1,0),IF('wk1'!G58=Pat!C$27,1,0)),1,0)+IF(AND(IF('wk1'!H$5=Pat!$C$25,1,0),IF('wk1'!H58=Pat!C$27,1,0)),1,0)+IF(AND(IF('wk1'!B$5=Pat!$C$25,1,0),IF('wk1'!B58=Pat!C$27,1,0)),1,0)</f>
        <v>0</v>
      </c>
      <c r="D76" s="90">
        <f>IF(AND(IF('wk2'!B$5=Pat!$C$25,1,0),IF('wk2'!B58=Pat!B$27,1,0)),1,0)+IF(AND(IF('wk2'!C$5=Pat!$C$25,1,0),IF('wk2'!C58=Pat!B$27,1,0)),1,0)+IF(AND(IF('wk2'!D$5=Pat!$C$25,1,0),IF('wk2'!D58=Pat!B$27,1,0)),1,0)+IF(AND(IF('wk2'!E$5=Pat!$C$25,1,0),IF('wk2'!E58=Pat!B$27,1,0)),1,0)+IF(AND(IF('wk2'!F$5=Pat!$C$25,1,0),IF('wk2'!F58=Pat!B$27,1,0)),1,0)+IF(AND(IF('wk2'!G$5=Pat!$C$25,1,0),IF('wk2'!G58=Pat!B$27,1,0)),1,0)</f>
        <v>0</v>
      </c>
      <c r="E76" s="91">
        <f>IF(AND(IF('wk2'!C$5=Pat!$C$25,1,0),IF('wk2'!C58=Pat!C$27,1,0)),1,0)+IF(AND(IF('wk2'!D$5=Pat!$C$25,1,0),IF('wk2'!D58=Pat!C$27,1,0)),1,0)+IF(AND(IF('wk2'!E$5=Pat!$C$25,1,0),IF('wk2'!E58=Pat!C$27,1,0)),1,0)+IF(AND(IF('wk2'!F$5=Pat!$C$25,1,0),IF('wk2'!F58=Pat!C$27,1,0)),1,0)+IF(AND(IF('wk2'!G$5=Pat!$C$25,1,0),IF('wk2'!G58=Pat!C$27,1,0)),1,0)+IF(AND(IF('wk2'!H$5=Pat!$C$25,1,0),IF('wk2'!H58=Pat!C$27,1,0)),1,0)+IF(AND(IF('wk2'!B$5=Pat!$C$25,1,0),IF('wk2'!B58=Pat!C$27,1,0)),1,0)</f>
        <v>0</v>
      </c>
      <c r="F76" s="90">
        <f>IF(AND(IF('wk3'!B$5=Pat!$C$25,1,0),IF('wk3'!B58=Pat!B$27,1,0)),1,0)+IF(AND(IF('wk3'!C$5=Pat!$C$25,1,0),IF('wk3'!C58=Pat!B$27,1,0)),1,0)+IF(AND(IF('wk3'!D$5=Pat!$C$25,1,0),IF('wk3'!D58=Pat!B$27,1,0)),1,0)+IF(AND(IF('wk3'!E$5=Pat!$C$25,1,0),IF('wk3'!E58=Pat!B$27,1,0)),1,0)+IF(AND(IF('wk3'!F$5=Pat!$C$25,1,0),IF('wk3'!F58=Pat!B$27,1,0)),1,0)+IF(AND(IF('wk3'!G$5=Pat!$C$25,1,0),IF('wk3'!G58=Pat!B$27,1,0)),1,0)</f>
        <v>0</v>
      </c>
      <c r="G76" s="91">
        <f>IF(AND(IF('wk3'!C$5=Pat!$C$25,1,0),IF('wk3'!C58=Pat!C$27,1,0)),1,0)+IF(AND(IF('wk3'!D$5=Pat!$C$25,1,0),IF('wk3'!D58=Pat!C$27,1,0)),1,0)+IF(AND(IF('wk3'!E$5=Pat!$C$25,1,0),IF('wk3'!E58=Pat!C$27,1,0)),1,0)+IF(AND(IF('wk3'!F$5=Pat!$C$25,1,0),IF('wk3'!F58=Pat!C$27,1,0)),1,0)+IF(AND(IF('wk3'!G$5=Pat!$C$25,1,0),IF('wk3'!G58=Pat!C$27,1,0)),1,0)+IF(AND(IF('wk3'!H$5=Pat!$C$25,1,0),IF('wk3'!H58=Pat!C$27,1,0)),1,0)+IF(AND(IF('wk3'!B$5=Pat!$C$25,1,0),IF('wk3'!B58=Pat!C$27,1,0)),1,0)</f>
        <v>0</v>
      </c>
      <c r="H76" s="90">
        <f>IF(AND(IF('wk4'!B$5=Pat!$C$25,1,0),IF('wk4'!B58=Pat!B$27,1,0)),1,0)+IF(AND(IF('wk4'!C$5=Pat!$C$25,1,0),IF('wk4'!C58=Pat!B$27,1,0)),1,0)+IF(AND(IF('wk4'!D$5=Pat!$C$25,1,0),IF('wk4'!D58=Pat!B$27,1,0)),1,0)+IF(AND(IF('wk4'!E$5=Pat!$C$25,1,0),IF('wk4'!E58=Pat!B$27,1,0)),1,0)+IF(AND(IF('wk4'!F$5=Pat!$C$25,1,0),IF('wk4'!F58=Pat!B$27,1,0)),1,0)+IF(AND(IF('wk4'!G$5=Pat!$C$25,1,0),IF('wk4'!G58=Pat!B$27,1,0)),1,0)</f>
        <v>0</v>
      </c>
      <c r="I76" s="91">
        <f>IF(AND(IF('wk4'!C$5=Pat!$C$25,1,0),IF('wk4'!C58=Pat!C$27,1,0)),1,0)+IF(AND(IF('wk4'!D$5=Pat!$C$25,1,0),IF('wk4'!D58=Pat!C$27,1,0)),1,0)+IF(AND(IF('wk4'!E$5=Pat!$C$25,1,0),IF('wk4'!E58=Pat!C$27,1,0)),1,0)+IF(AND(IF('wk4'!F$5=Pat!$C$25,1,0),IF('wk4'!F58=Pat!C$27,1,0)),1,0)+IF(AND(IF('wk4'!G$5=Pat!$C$25,1,0),IF('wk4'!G58=Pat!C$27,1,0)),1,0)+IF(AND(IF('wk4'!H$5=Pat!$C$25,1,0),IF('wk4'!H58=Pat!C$27,1,0)),1,0)+IF(AND(IF('wk4'!B$5=Pat!$C$25,1,0),IF('wk4'!B58=Pat!C$27,1,0)),1,0)</f>
        <v>0</v>
      </c>
      <c r="J76" s="92">
        <f>IF(AND(IF('wk5'!B$5=Pat!$C$25,1,0),IF('wk5'!B58=Pat!B$27,1,0)),1,0)+IF(AND(IF('wk5'!C$5=Pat!$C$25,1,0),IF('wk5'!C58=Pat!B$27,1,0)),1,0)+IF(AND(IF('wk5'!D$5=Pat!$C$25,1,0),IF('wk5'!D58=Pat!B$27,1,0)),1,0)+IF(AND(IF('wk5'!E$5=Pat!$C$25,1,0),IF('wk5'!E58=Pat!B$27,1,0)),1,0)+IF(AND(IF('wk5'!F$5=Pat!$C$25,1,0),IF('wk5'!F58=Pat!B$27,1,0)),1,0)+IF(AND(IF('wk5'!G$5=Pat!$C$25,1,0),IF('wk5'!G58=Pat!B$27,1,0)),1,0)</f>
        <v>0</v>
      </c>
      <c r="K76" s="93">
        <f>IF(AND(IF('wk5'!C$5=Pat!$C$25,1,0),IF('wk5'!C58=Pat!C$27,1,0)),1,0)+IF(AND(IF('wk5'!D$5=Pat!$C$25,1,0),IF('wk5'!D58=Pat!C$27,1,0)),1,0)+IF(AND(IF('wk5'!E$5=Pat!$C$25,1,0),IF('wk5'!E58=Pat!C$27,1,0)),1,0)+IF(AND(IF('wk5'!F$5=Pat!$C$25,1,0),IF('wk5'!F58=Pat!C$27,1,0)),1,0)+IF(AND(IF('wk5'!G$5=Pat!$C$25,1,0),IF('wk5'!G58=Pat!C$27,1,0)),1,0)+IF(AND(IF('wk5'!H$5=Pat!$C$25,1,0),IF('wk5'!H58=Pat!C$27,1,0)),1,0)+IF(AND(IF('wk5'!B$5=Pat!$C$25,1,0),IF('wk5'!B58=Pat!C$27,1,0)),1,0)</f>
        <v>0</v>
      </c>
      <c r="L76" s="87"/>
      <c r="M76" s="87">
        <f t="shared" si="2"/>
        <v>0</v>
      </c>
      <c r="N76" s="89">
        <f t="shared" si="3"/>
        <v>0</v>
      </c>
    </row>
    <row r="77" spans="1:17" ht="13.5" thickBot="1">
      <c r="A77" s="86">
        <f>'Members Data'!A51</f>
        <v>0</v>
      </c>
      <c r="B77" s="90">
        <f>IF(AND(IF('wk1'!B$5=Pat!$C$25,1,0),IF('wk1'!B59=Pat!B$27,1,0)),1,0)+IF(AND(IF('wk1'!D$5=Pat!$C$25,1,0),IF('wk1'!C59=Pat!B$27,1,0)),1,0)+IF(AND(IF('wk1'!D$5=Pat!$C$25,1,0),IF('wk1'!D59=Pat!B$27,1,0)),1,0)+IF(AND(IF('wk1'!E$5=Pat!$C$25,1,0),IF('wk1'!E59=Pat!B$27,1,0)),1,0)+IF(AND(IF('wk1'!F$5=Pat!$C$25,1,0),IF('wk1'!F59=Pat!B$27,1,0)),1,0)+IF(AND(IF('wk1'!G$5=Pat!$C$25,1,0),IF('wk1'!G59=Pat!B$27,1,0)),1,0)</f>
        <v>0</v>
      </c>
      <c r="C77" s="91">
        <f>IF(AND(IF('wk1'!D$5=Pat!$C$25,1,0),IF('wk1'!C59=Pat!C$27,1,0)),1,0)+IF(AND(IF('wk1'!D$5=Pat!$C$25,1,0),IF('wk1'!D59=Pat!C$27,1,0)),1,0)+IF(AND(IF('wk1'!E$5=Pat!$C$25,1,0),IF('wk1'!E59=Pat!C$27,1,0)),1,0)+IF(AND(IF('wk1'!F$5=Pat!$C$25,1,0),IF('wk1'!F59=Pat!C$27,1,0)),1,0)+IF(AND(IF('wk1'!G$5=Pat!$C$25,1,0),IF('wk1'!G59=Pat!C$27,1,0)),1,0)+IF(AND(IF('wk1'!H$5=Pat!$C$25,1,0),IF('wk1'!H59=Pat!C$27,1,0)),1,0)+IF(AND(IF('wk1'!B$5=Pat!$C$25,1,0),IF('wk1'!B59=Pat!C$27,1,0)),1,0)</f>
        <v>0</v>
      </c>
      <c r="D77" s="90">
        <f>IF(AND(IF('wk2'!B$5=Pat!$C$25,1,0),IF('wk2'!B59=Pat!B$27,1,0)),1,0)+IF(AND(IF('wk2'!C$5=Pat!$C$25,1,0),IF('wk2'!C59=Pat!B$27,1,0)),1,0)+IF(AND(IF('wk2'!D$5=Pat!$C$25,1,0),IF('wk2'!D59=Pat!B$27,1,0)),1,0)+IF(AND(IF('wk2'!E$5=Pat!$C$25,1,0),IF('wk2'!E59=Pat!B$27,1,0)),1,0)+IF(AND(IF('wk2'!F$5=Pat!$C$25,1,0),IF('wk2'!F59=Pat!B$27,1,0)),1,0)+IF(AND(IF('wk2'!G$5=Pat!$C$25,1,0),IF('wk2'!G59=Pat!B$27,1,0)),1,0)</f>
        <v>0</v>
      </c>
      <c r="E77" s="91">
        <f>IF(AND(IF('wk2'!C$5=Pat!$C$25,1,0),IF('wk2'!C59=Pat!C$27,1,0)),1,0)+IF(AND(IF('wk2'!D$5=Pat!$C$25,1,0),IF('wk2'!D59=Pat!C$27,1,0)),1,0)+IF(AND(IF('wk2'!E$5=Pat!$C$25,1,0),IF('wk2'!E59=Pat!C$27,1,0)),1,0)+IF(AND(IF('wk2'!F$5=Pat!$C$25,1,0),IF('wk2'!F59=Pat!C$27,1,0)),1,0)+IF(AND(IF('wk2'!G$5=Pat!$C$25,1,0),IF('wk2'!G59=Pat!C$27,1,0)),1,0)+IF(AND(IF('wk2'!H$5=Pat!$C$25,1,0),IF('wk2'!H59=Pat!C$27,1,0)),1,0)+IF(AND(IF('wk2'!B$5=Pat!$C$25,1,0),IF('wk2'!B59=Pat!C$27,1,0)),1,0)</f>
        <v>0</v>
      </c>
      <c r="F77" s="90">
        <f>IF(AND(IF('wk3'!B$5=Pat!$C$25,1,0),IF('wk3'!B59=Pat!B$27,1,0)),1,0)+IF(AND(IF('wk3'!C$5=Pat!$C$25,1,0),IF('wk3'!C59=Pat!B$27,1,0)),1,0)+IF(AND(IF('wk3'!D$5=Pat!$C$25,1,0),IF('wk3'!D59=Pat!B$27,1,0)),1,0)+IF(AND(IF('wk3'!E$5=Pat!$C$25,1,0),IF('wk3'!E59=Pat!B$27,1,0)),1,0)+IF(AND(IF('wk3'!F$5=Pat!$C$25,1,0),IF('wk3'!F59=Pat!B$27,1,0)),1,0)+IF(AND(IF('wk3'!G$5=Pat!$C$25,1,0),IF('wk3'!G59=Pat!B$27,1,0)),1,0)</f>
        <v>0</v>
      </c>
      <c r="G77" s="91">
        <f>IF(AND(IF('wk3'!C$5=Pat!$C$25,1,0),IF('wk3'!C59=Pat!C$27,1,0)),1,0)+IF(AND(IF('wk3'!D$5=Pat!$C$25,1,0),IF('wk3'!D59=Pat!C$27,1,0)),1,0)+IF(AND(IF('wk3'!E$5=Pat!$C$25,1,0),IF('wk3'!E59=Pat!C$27,1,0)),1,0)+IF(AND(IF('wk3'!F$5=Pat!$C$25,1,0),IF('wk3'!F59=Pat!C$27,1,0)),1,0)+IF(AND(IF('wk3'!G$5=Pat!$C$25,1,0),IF('wk3'!G59=Pat!C$27,1,0)),1,0)+IF(AND(IF('wk3'!H$5=Pat!$C$25,1,0),IF('wk3'!H59=Pat!C$27,1,0)),1,0)+IF(AND(IF('wk3'!B$5=Pat!$C$25,1,0),IF('wk3'!B59=Pat!C$27,1,0)),1,0)</f>
        <v>0</v>
      </c>
      <c r="H77" s="90">
        <f>IF(AND(IF('wk4'!B$5=Pat!$C$25,1,0),IF('wk4'!B59=Pat!B$27,1,0)),1,0)+IF(AND(IF('wk4'!C$5=Pat!$C$25,1,0),IF('wk4'!C59=Pat!B$27,1,0)),1,0)+IF(AND(IF('wk4'!D$5=Pat!$C$25,1,0),IF('wk4'!D59=Pat!B$27,1,0)),1,0)+IF(AND(IF('wk4'!E$5=Pat!$C$25,1,0),IF('wk4'!E59=Pat!B$27,1,0)),1,0)+IF(AND(IF('wk4'!F$5=Pat!$C$25,1,0),IF('wk4'!F59=Pat!B$27,1,0)),1,0)+IF(AND(IF('wk4'!G$5=Pat!$C$25,1,0),IF('wk4'!G59=Pat!B$27,1,0)),1,0)</f>
        <v>0</v>
      </c>
      <c r="I77" s="91">
        <f>IF(AND(IF('wk4'!C$5=Pat!$C$25,1,0),IF('wk4'!C59=Pat!C$27,1,0)),1,0)+IF(AND(IF('wk4'!D$5=Pat!$C$25,1,0),IF('wk4'!D59=Pat!C$27,1,0)),1,0)+IF(AND(IF('wk4'!E$5=Pat!$C$25,1,0),IF('wk4'!E59=Pat!C$27,1,0)),1,0)+IF(AND(IF('wk4'!F$5=Pat!$C$25,1,0),IF('wk4'!F59=Pat!C$27,1,0)),1,0)+IF(AND(IF('wk4'!G$5=Pat!$C$25,1,0),IF('wk4'!G59=Pat!C$27,1,0)),1,0)+IF(AND(IF('wk4'!H$5=Pat!$C$25,1,0),IF('wk4'!H59=Pat!C$27,1,0)),1,0)+IF(AND(IF('wk4'!B$5=Pat!$C$25,1,0),IF('wk4'!B59=Pat!C$27,1,0)),1,0)</f>
        <v>0</v>
      </c>
      <c r="J77" s="92">
        <f>IF(AND(IF('wk5'!B$5=Pat!$C$25,1,0),IF('wk5'!B59=Pat!B$27,1,0)),1,0)+IF(AND(IF('wk5'!C$5=Pat!$C$25,1,0),IF('wk5'!C59=Pat!B$27,1,0)),1,0)+IF(AND(IF('wk5'!D$5=Pat!$C$25,1,0),IF('wk5'!D59=Pat!B$27,1,0)),1,0)+IF(AND(IF('wk5'!E$5=Pat!$C$25,1,0),IF('wk5'!E59=Pat!B$27,1,0)),1,0)+IF(AND(IF('wk5'!F$5=Pat!$C$25,1,0),IF('wk5'!F59=Pat!B$27,1,0)),1,0)+IF(AND(IF('wk5'!G$5=Pat!$C$25,1,0),IF('wk5'!G59=Pat!B$27,1,0)),1,0)</f>
        <v>0</v>
      </c>
      <c r="K77" s="93">
        <f>IF(AND(IF('wk5'!C$5=Pat!$C$25,1,0),IF('wk5'!C59=Pat!C$27,1,0)),1,0)+IF(AND(IF('wk5'!D$5=Pat!$C$25,1,0),IF('wk5'!D59=Pat!C$27,1,0)),1,0)+IF(AND(IF('wk5'!E$5=Pat!$C$25,1,0),IF('wk5'!E59=Pat!C$27,1,0)),1,0)+IF(AND(IF('wk5'!F$5=Pat!$C$25,1,0),IF('wk5'!F59=Pat!C$27,1,0)),1,0)+IF(AND(IF('wk5'!G$5=Pat!$C$25,1,0),IF('wk5'!G59=Pat!C$27,1,0)),1,0)+IF(AND(IF('wk5'!H$5=Pat!$C$25,1,0),IF('wk5'!H59=Pat!C$27,1,0)),1,0)+IF(AND(IF('wk5'!B$5=Pat!$C$25,1,0),IF('wk5'!B59=Pat!C$27,1,0)),1,0)</f>
        <v>0</v>
      </c>
      <c r="L77" s="87"/>
      <c r="M77" s="87">
        <f t="shared" si="2"/>
        <v>0</v>
      </c>
      <c r="N77" s="89">
        <f t="shared" si="3"/>
        <v>0</v>
      </c>
    </row>
    <row r="78" spans="1:17" ht="13.5" thickBot="1">
      <c r="A78" s="86">
        <f>'Members Data'!A52</f>
        <v>0</v>
      </c>
      <c r="B78" s="90">
        <f>IF(AND(IF('wk1'!B$5=Pat!$C$25,1,0),IF('wk1'!B60=Pat!B$27,1,0)),1,0)+IF(AND(IF('wk1'!D$5=Pat!$C$25,1,0),IF('wk1'!C60=Pat!B$27,1,0)),1,0)+IF(AND(IF('wk1'!D$5=Pat!$C$25,1,0),IF('wk1'!D60=Pat!B$27,1,0)),1,0)+IF(AND(IF('wk1'!E$5=Pat!$C$25,1,0),IF('wk1'!E60=Pat!B$27,1,0)),1,0)+IF(AND(IF('wk1'!F$5=Pat!$C$25,1,0),IF('wk1'!F60=Pat!B$27,1,0)),1,0)+IF(AND(IF('wk1'!G$5=Pat!$C$25,1,0),IF('wk1'!G60=Pat!B$27,1,0)),1,0)</f>
        <v>0</v>
      </c>
      <c r="C78" s="91">
        <f>IF(AND(IF('wk1'!D$5=Pat!$C$25,1,0),IF('wk1'!C60=Pat!C$27,1,0)),1,0)+IF(AND(IF('wk1'!D$5=Pat!$C$25,1,0),IF('wk1'!D60=Pat!C$27,1,0)),1,0)+IF(AND(IF('wk1'!E$5=Pat!$C$25,1,0),IF('wk1'!E60=Pat!C$27,1,0)),1,0)+IF(AND(IF('wk1'!F$5=Pat!$C$25,1,0),IF('wk1'!F60=Pat!C$27,1,0)),1,0)+IF(AND(IF('wk1'!G$5=Pat!$C$25,1,0),IF('wk1'!G60=Pat!C$27,1,0)),1,0)+IF(AND(IF('wk1'!H$5=Pat!$C$25,1,0),IF('wk1'!H60=Pat!C$27,1,0)),1,0)+IF(AND(IF('wk1'!B$5=Pat!$C$25,1,0),IF('wk1'!B60=Pat!C$27,1,0)),1,0)</f>
        <v>0</v>
      </c>
      <c r="D78" s="90">
        <f>IF(AND(IF('wk2'!B$5=Pat!$C$25,1,0),IF('wk2'!B60=Pat!B$27,1,0)),1,0)+IF(AND(IF('wk2'!C$5=Pat!$C$25,1,0),IF('wk2'!C60=Pat!B$27,1,0)),1,0)+IF(AND(IF('wk2'!D$5=Pat!$C$25,1,0),IF('wk2'!D60=Pat!B$27,1,0)),1,0)+IF(AND(IF('wk2'!E$5=Pat!$C$25,1,0),IF('wk2'!E60=Pat!B$27,1,0)),1,0)+IF(AND(IF('wk2'!F$5=Pat!$C$25,1,0),IF('wk2'!F60=Pat!B$27,1,0)),1,0)+IF(AND(IF('wk2'!G$5=Pat!$C$25,1,0),IF('wk2'!G60=Pat!B$27,1,0)),1,0)</f>
        <v>0</v>
      </c>
      <c r="E78" s="91">
        <f>IF(AND(IF('wk2'!C$5=Pat!$C$25,1,0),IF('wk2'!C60=Pat!C$27,1,0)),1,0)+IF(AND(IF('wk2'!D$5=Pat!$C$25,1,0),IF('wk2'!D60=Pat!C$27,1,0)),1,0)+IF(AND(IF('wk2'!E$5=Pat!$C$25,1,0),IF('wk2'!E60=Pat!C$27,1,0)),1,0)+IF(AND(IF('wk2'!F$5=Pat!$C$25,1,0),IF('wk2'!F60=Pat!C$27,1,0)),1,0)+IF(AND(IF('wk2'!G$5=Pat!$C$25,1,0),IF('wk2'!G60=Pat!C$27,1,0)),1,0)+IF(AND(IF('wk2'!H$5=Pat!$C$25,1,0),IF('wk2'!H60=Pat!C$27,1,0)),1,0)+IF(AND(IF('wk2'!B$5=Pat!$C$25,1,0),IF('wk2'!B60=Pat!C$27,1,0)),1,0)</f>
        <v>0</v>
      </c>
      <c r="F78" s="90">
        <f>IF(AND(IF('wk3'!B$5=Pat!$C$25,1,0),IF('wk3'!B60=Pat!B$27,1,0)),1,0)+IF(AND(IF('wk3'!C$5=Pat!$C$25,1,0),IF('wk3'!C60=Pat!B$27,1,0)),1,0)+IF(AND(IF('wk3'!D$5=Pat!$C$25,1,0),IF('wk3'!D60=Pat!B$27,1,0)),1,0)+IF(AND(IF('wk3'!E$5=Pat!$C$25,1,0),IF('wk3'!E60=Pat!B$27,1,0)),1,0)+IF(AND(IF('wk3'!F$5=Pat!$C$25,1,0),IF('wk3'!F60=Pat!B$27,1,0)),1,0)+IF(AND(IF('wk3'!G$5=Pat!$C$25,1,0),IF('wk3'!G60=Pat!B$27,1,0)),1,0)</f>
        <v>0</v>
      </c>
      <c r="G78" s="91">
        <f>IF(AND(IF('wk3'!C$5=Pat!$C$25,1,0),IF('wk3'!C60=Pat!C$27,1,0)),1,0)+IF(AND(IF('wk3'!D$5=Pat!$C$25,1,0),IF('wk3'!D60=Pat!C$27,1,0)),1,0)+IF(AND(IF('wk3'!E$5=Pat!$C$25,1,0),IF('wk3'!E60=Pat!C$27,1,0)),1,0)+IF(AND(IF('wk3'!F$5=Pat!$C$25,1,0),IF('wk3'!F60=Pat!C$27,1,0)),1,0)+IF(AND(IF('wk3'!G$5=Pat!$C$25,1,0),IF('wk3'!G60=Pat!C$27,1,0)),1,0)+IF(AND(IF('wk3'!H$5=Pat!$C$25,1,0),IF('wk3'!H60=Pat!C$27,1,0)),1,0)+IF(AND(IF('wk3'!B$5=Pat!$C$25,1,0),IF('wk3'!B60=Pat!C$27,1,0)),1,0)</f>
        <v>0</v>
      </c>
      <c r="H78" s="90">
        <f>IF(AND(IF('wk4'!B$5=Pat!$C$25,1,0),IF('wk4'!B60=Pat!B$27,1,0)),1,0)+IF(AND(IF('wk4'!C$5=Pat!$C$25,1,0),IF('wk4'!C60=Pat!B$27,1,0)),1,0)+IF(AND(IF('wk4'!D$5=Pat!$C$25,1,0),IF('wk4'!D60=Pat!B$27,1,0)),1,0)+IF(AND(IF('wk4'!E$5=Pat!$C$25,1,0),IF('wk4'!E60=Pat!B$27,1,0)),1,0)+IF(AND(IF('wk4'!F$5=Pat!$C$25,1,0),IF('wk4'!F60=Pat!B$27,1,0)),1,0)+IF(AND(IF('wk4'!G$5=Pat!$C$25,1,0),IF('wk4'!G60=Pat!B$27,1,0)),1,0)</f>
        <v>0</v>
      </c>
      <c r="I78" s="91">
        <f>IF(AND(IF('wk4'!C$5=Pat!$C$25,1,0),IF('wk4'!C60=Pat!C$27,1,0)),1,0)+IF(AND(IF('wk4'!D$5=Pat!$C$25,1,0),IF('wk4'!D60=Pat!C$27,1,0)),1,0)+IF(AND(IF('wk4'!E$5=Pat!$C$25,1,0),IF('wk4'!E60=Pat!C$27,1,0)),1,0)+IF(AND(IF('wk4'!F$5=Pat!$C$25,1,0),IF('wk4'!F60=Pat!C$27,1,0)),1,0)+IF(AND(IF('wk4'!G$5=Pat!$C$25,1,0),IF('wk4'!G60=Pat!C$27,1,0)),1,0)+IF(AND(IF('wk4'!H$5=Pat!$C$25,1,0),IF('wk4'!H60=Pat!C$27,1,0)),1,0)+IF(AND(IF('wk4'!B$5=Pat!$C$25,1,0),IF('wk4'!B60=Pat!C$27,1,0)),1,0)</f>
        <v>0</v>
      </c>
      <c r="J78" s="92">
        <f>IF(AND(IF('wk5'!B$5=Pat!$C$25,1,0),IF('wk5'!B60=Pat!B$27,1,0)),1,0)+IF(AND(IF('wk5'!C$5=Pat!$C$25,1,0),IF('wk5'!C60=Pat!B$27,1,0)),1,0)+IF(AND(IF('wk5'!D$5=Pat!$C$25,1,0),IF('wk5'!D60=Pat!B$27,1,0)),1,0)+IF(AND(IF('wk5'!E$5=Pat!$C$25,1,0),IF('wk5'!E60=Pat!B$27,1,0)),1,0)+IF(AND(IF('wk5'!F$5=Pat!$C$25,1,0),IF('wk5'!F60=Pat!B$27,1,0)),1,0)+IF(AND(IF('wk5'!G$5=Pat!$C$25,1,0),IF('wk5'!G60=Pat!B$27,1,0)),1,0)</f>
        <v>0</v>
      </c>
      <c r="K78" s="93">
        <f>IF(AND(IF('wk5'!C$5=Pat!$C$25,1,0),IF('wk5'!C60=Pat!C$27,1,0)),1,0)+IF(AND(IF('wk5'!D$5=Pat!$C$25,1,0),IF('wk5'!D60=Pat!C$27,1,0)),1,0)+IF(AND(IF('wk5'!E$5=Pat!$C$25,1,0),IF('wk5'!E60=Pat!C$27,1,0)),1,0)+IF(AND(IF('wk5'!F$5=Pat!$C$25,1,0),IF('wk5'!F60=Pat!C$27,1,0)),1,0)+IF(AND(IF('wk5'!G$5=Pat!$C$25,1,0),IF('wk5'!G60=Pat!C$27,1,0)),1,0)+IF(AND(IF('wk5'!H$5=Pat!$C$25,1,0),IF('wk5'!H60=Pat!C$27,1,0)),1,0)+IF(AND(IF('wk5'!B$5=Pat!$C$25,1,0),IF('wk5'!B60=Pat!C$27,1,0)),1,0)</f>
        <v>0</v>
      </c>
      <c r="L78" s="87"/>
      <c r="M78" s="87">
        <f t="shared" si="2"/>
        <v>0</v>
      </c>
      <c r="N78" s="89">
        <f t="shared" si="3"/>
        <v>0</v>
      </c>
    </row>
    <row r="79" spans="1:17" ht="13.5" thickBot="1">
      <c r="A79" s="86">
        <f>'Members Data'!A53</f>
        <v>0</v>
      </c>
      <c r="B79" s="90">
        <f>IF(AND(IF('wk1'!B$5=Pat!$C$25,1,0),IF('wk1'!B61=Pat!B$27,1,0)),1,0)+IF(AND(IF('wk1'!D$5=Pat!$C$25,1,0),IF('wk1'!C61=Pat!B$27,1,0)),1,0)+IF(AND(IF('wk1'!D$5=Pat!$C$25,1,0),IF('wk1'!D61=Pat!B$27,1,0)),1,0)+IF(AND(IF('wk1'!E$5=Pat!$C$25,1,0),IF('wk1'!E61=Pat!B$27,1,0)),1,0)+IF(AND(IF('wk1'!F$5=Pat!$C$25,1,0),IF('wk1'!F61=Pat!B$27,1,0)),1,0)+IF(AND(IF('wk1'!G$5=Pat!$C$25,1,0),IF('wk1'!G61=Pat!B$27,1,0)),1,0)</f>
        <v>0</v>
      </c>
      <c r="C79" s="91">
        <f>IF(AND(IF('wk1'!D$5=Pat!$C$25,1,0),IF('wk1'!C61=Pat!C$27,1,0)),1,0)+IF(AND(IF('wk1'!D$5=Pat!$C$25,1,0),IF('wk1'!D61=Pat!C$27,1,0)),1,0)+IF(AND(IF('wk1'!E$5=Pat!$C$25,1,0),IF('wk1'!E61=Pat!C$27,1,0)),1,0)+IF(AND(IF('wk1'!F$5=Pat!$C$25,1,0),IF('wk1'!F61=Pat!C$27,1,0)),1,0)+IF(AND(IF('wk1'!G$5=Pat!$C$25,1,0),IF('wk1'!G61=Pat!C$27,1,0)),1,0)+IF(AND(IF('wk1'!H$5=Pat!$C$25,1,0),IF('wk1'!H61=Pat!C$27,1,0)),1,0)+IF(AND(IF('wk1'!B$5=Pat!$C$25,1,0),IF('wk1'!B61=Pat!C$27,1,0)),1,0)</f>
        <v>0</v>
      </c>
      <c r="D79" s="90">
        <f>IF(AND(IF('wk2'!B$5=Pat!$C$25,1,0),IF('wk2'!B61=Pat!B$27,1,0)),1,0)+IF(AND(IF('wk2'!C$5=Pat!$C$25,1,0),IF('wk2'!C61=Pat!B$27,1,0)),1,0)+IF(AND(IF('wk2'!D$5=Pat!$C$25,1,0),IF('wk2'!D61=Pat!B$27,1,0)),1,0)+IF(AND(IF('wk2'!E$5=Pat!$C$25,1,0),IF('wk2'!E61=Pat!B$27,1,0)),1,0)+IF(AND(IF('wk2'!F$5=Pat!$C$25,1,0),IF('wk2'!F61=Pat!B$27,1,0)),1,0)+IF(AND(IF('wk2'!G$5=Pat!$C$25,1,0),IF('wk2'!G61=Pat!B$27,1,0)),1,0)</f>
        <v>0</v>
      </c>
      <c r="E79" s="91">
        <f>IF(AND(IF('wk2'!C$5=Pat!$C$25,1,0),IF('wk2'!C61=Pat!C$27,1,0)),1,0)+IF(AND(IF('wk2'!D$5=Pat!$C$25,1,0),IF('wk2'!D61=Pat!C$27,1,0)),1,0)+IF(AND(IF('wk2'!E$5=Pat!$C$25,1,0),IF('wk2'!E61=Pat!C$27,1,0)),1,0)+IF(AND(IF('wk2'!F$5=Pat!$C$25,1,0),IF('wk2'!F61=Pat!C$27,1,0)),1,0)+IF(AND(IF('wk2'!G$5=Pat!$C$25,1,0),IF('wk2'!G61=Pat!C$27,1,0)),1,0)+IF(AND(IF('wk2'!H$5=Pat!$C$25,1,0),IF('wk2'!H61=Pat!C$27,1,0)),1,0)+IF(AND(IF('wk2'!B$5=Pat!$C$25,1,0),IF('wk2'!B61=Pat!C$27,1,0)),1,0)</f>
        <v>0</v>
      </c>
      <c r="F79" s="90">
        <f>IF(AND(IF('wk3'!B$5=Pat!$C$25,1,0),IF('wk3'!B61=Pat!B$27,1,0)),1,0)+IF(AND(IF('wk3'!C$5=Pat!$C$25,1,0),IF('wk3'!C61=Pat!B$27,1,0)),1,0)+IF(AND(IF('wk3'!D$5=Pat!$C$25,1,0),IF('wk3'!D61=Pat!B$27,1,0)),1,0)+IF(AND(IF('wk3'!E$5=Pat!$C$25,1,0),IF('wk3'!E61=Pat!B$27,1,0)),1,0)+IF(AND(IF('wk3'!F$5=Pat!$C$25,1,0),IF('wk3'!F61=Pat!B$27,1,0)),1,0)+IF(AND(IF('wk3'!G$5=Pat!$C$25,1,0),IF('wk3'!G61=Pat!B$27,1,0)),1,0)</f>
        <v>0</v>
      </c>
      <c r="G79" s="91">
        <f>IF(AND(IF('wk3'!C$5=Pat!$C$25,1,0),IF('wk3'!C61=Pat!C$27,1,0)),1,0)+IF(AND(IF('wk3'!D$5=Pat!$C$25,1,0),IF('wk3'!D61=Pat!C$27,1,0)),1,0)+IF(AND(IF('wk3'!E$5=Pat!$C$25,1,0),IF('wk3'!E61=Pat!C$27,1,0)),1,0)+IF(AND(IF('wk3'!F$5=Pat!$C$25,1,0),IF('wk3'!F61=Pat!C$27,1,0)),1,0)+IF(AND(IF('wk3'!G$5=Pat!$C$25,1,0),IF('wk3'!G61=Pat!C$27,1,0)),1,0)+IF(AND(IF('wk3'!H$5=Pat!$C$25,1,0),IF('wk3'!H61=Pat!C$27,1,0)),1,0)+IF(AND(IF('wk3'!B$5=Pat!$C$25,1,0),IF('wk3'!B61=Pat!C$27,1,0)),1,0)</f>
        <v>0</v>
      </c>
      <c r="H79" s="90">
        <f>IF(AND(IF('wk4'!B$5=Pat!$C$25,1,0),IF('wk4'!B61=Pat!B$27,1,0)),1,0)+IF(AND(IF('wk4'!C$5=Pat!$C$25,1,0),IF('wk4'!C61=Pat!B$27,1,0)),1,0)+IF(AND(IF('wk4'!D$5=Pat!$C$25,1,0),IF('wk4'!D61=Pat!B$27,1,0)),1,0)+IF(AND(IF('wk4'!E$5=Pat!$C$25,1,0),IF('wk4'!E61=Pat!B$27,1,0)),1,0)+IF(AND(IF('wk4'!F$5=Pat!$C$25,1,0),IF('wk4'!F61=Pat!B$27,1,0)),1,0)+IF(AND(IF('wk4'!G$5=Pat!$C$25,1,0),IF('wk4'!G61=Pat!B$27,1,0)),1,0)</f>
        <v>0</v>
      </c>
      <c r="I79" s="91">
        <f>IF(AND(IF('wk4'!C$5=Pat!$C$25,1,0),IF('wk4'!C61=Pat!C$27,1,0)),1,0)+IF(AND(IF('wk4'!D$5=Pat!$C$25,1,0),IF('wk4'!D61=Pat!C$27,1,0)),1,0)+IF(AND(IF('wk4'!E$5=Pat!$C$25,1,0),IF('wk4'!E61=Pat!C$27,1,0)),1,0)+IF(AND(IF('wk4'!F$5=Pat!$C$25,1,0),IF('wk4'!F61=Pat!C$27,1,0)),1,0)+IF(AND(IF('wk4'!G$5=Pat!$C$25,1,0),IF('wk4'!G61=Pat!C$27,1,0)),1,0)+IF(AND(IF('wk4'!H$5=Pat!$C$25,1,0),IF('wk4'!H61=Pat!C$27,1,0)),1,0)+IF(AND(IF('wk4'!B$5=Pat!$C$25,1,0),IF('wk4'!B61=Pat!C$27,1,0)),1,0)</f>
        <v>0</v>
      </c>
      <c r="J79" s="92">
        <f>IF(AND(IF('wk5'!B$5=Pat!$C$25,1,0),IF('wk5'!B61=Pat!B$27,1,0)),1,0)+IF(AND(IF('wk5'!C$5=Pat!$C$25,1,0),IF('wk5'!C61=Pat!B$27,1,0)),1,0)+IF(AND(IF('wk5'!D$5=Pat!$C$25,1,0),IF('wk5'!D61=Pat!B$27,1,0)),1,0)+IF(AND(IF('wk5'!E$5=Pat!$C$25,1,0),IF('wk5'!E61=Pat!B$27,1,0)),1,0)+IF(AND(IF('wk5'!F$5=Pat!$C$25,1,0),IF('wk5'!F61=Pat!B$27,1,0)),1,0)+IF(AND(IF('wk5'!G$5=Pat!$C$25,1,0),IF('wk5'!G61=Pat!B$27,1,0)),1,0)</f>
        <v>0</v>
      </c>
      <c r="K79" s="93">
        <f>IF(AND(IF('wk5'!C$5=Pat!$C$25,1,0),IF('wk5'!C61=Pat!C$27,1,0)),1,0)+IF(AND(IF('wk5'!D$5=Pat!$C$25,1,0),IF('wk5'!D61=Pat!C$27,1,0)),1,0)+IF(AND(IF('wk5'!E$5=Pat!$C$25,1,0),IF('wk5'!E61=Pat!C$27,1,0)),1,0)+IF(AND(IF('wk5'!F$5=Pat!$C$25,1,0),IF('wk5'!F61=Pat!C$27,1,0)),1,0)+IF(AND(IF('wk5'!G$5=Pat!$C$25,1,0),IF('wk5'!G61=Pat!C$27,1,0)),1,0)+IF(AND(IF('wk5'!H$5=Pat!$C$25,1,0),IF('wk5'!H61=Pat!C$27,1,0)),1,0)+IF(AND(IF('wk5'!B$5=Pat!$C$25,1,0),IF('wk5'!B61=Pat!C$27,1,0)),1,0)</f>
        <v>0</v>
      </c>
      <c r="L79" s="87"/>
      <c r="M79" s="87">
        <f t="shared" si="2"/>
        <v>0</v>
      </c>
      <c r="N79" s="89">
        <f t="shared" si="3"/>
        <v>0</v>
      </c>
    </row>
    <row r="80" spans="1:17" ht="13.5" thickBot="1">
      <c r="A80" s="86">
        <f>'Members Data'!A54</f>
        <v>0</v>
      </c>
      <c r="B80" s="90">
        <f>IF(AND(IF('wk1'!B$5=Pat!$C$25,1,0),IF('wk1'!B62=Pat!B$27,1,0)),1,0)+IF(AND(IF('wk1'!D$5=Pat!$C$25,1,0),IF('wk1'!C62=Pat!B$27,1,0)),1,0)+IF(AND(IF('wk1'!D$5=Pat!$C$25,1,0),IF('wk1'!D62=Pat!B$27,1,0)),1,0)+IF(AND(IF('wk1'!E$5=Pat!$C$25,1,0),IF('wk1'!E62=Pat!B$27,1,0)),1,0)+IF(AND(IF('wk1'!F$5=Pat!$C$25,1,0),IF('wk1'!F62=Pat!B$27,1,0)),1,0)+IF(AND(IF('wk1'!G$5=Pat!$C$25,1,0),IF('wk1'!G62=Pat!B$27,1,0)),1,0)</f>
        <v>0</v>
      </c>
      <c r="C80" s="91">
        <f>IF(AND(IF('wk1'!D$5=Pat!$C$25,1,0),IF('wk1'!C62=Pat!C$27,1,0)),1,0)+IF(AND(IF('wk1'!D$5=Pat!$C$25,1,0),IF('wk1'!D62=Pat!C$27,1,0)),1,0)+IF(AND(IF('wk1'!E$5=Pat!$C$25,1,0),IF('wk1'!E62=Pat!C$27,1,0)),1,0)+IF(AND(IF('wk1'!F$5=Pat!$C$25,1,0),IF('wk1'!F62=Pat!C$27,1,0)),1,0)+IF(AND(IF('wk1'!G$5=Pat!$C$25,1,0),IF('wk1'!G62=Pat!C$27,1,0)),1,0)+IF(AND(IF('wk1'!H$5=Pat!$C$25,1,0),IF('wk1'!H62=Pat!C$27,1,0)),1,0)+IF(AND(IF('wk1'!B$5=Pat!$C$25,1,0),IF('wk1'!B62=Pat!C$27,1,0)),1,0)</f>
        <v>0</v>
      </c>
      <c r="D80" s="90">
        <f>IF(AND(IF('wk2'!B$5=Pat!$C$25,1,0),IF('wk2'!B62=Pat!B$27,1,0)),1,0)+IF(AND(IF('wk2'!C$5=Pat!$C$25,1,0),IF('wk2'!C62=Pat!B$27,1,0)),1,0)+IF(AND(IF('wk2'!D$5=Pat!$C$25,1,0),IF('wk2'!D62=Pat!B$27,1,0)),1,0)+IF(AND(IF('wk2'!E$5=Pat!$C$25,1,0),IF('wk2'!E62=Pat!B$27,1,0)),1,0)+IF(AND(IF('wk2'!F$5=Pat!$C$25,1,0),IF('wk2'!F62=Pat!B$27,1,0)),1,0)+IF(AND(IF('wk2'!G$5=Pat!$C$25,1,0),IF('wk2'!G62=Pat!B$27,1,0)),1,0)</f>
        <v>0</v>
      </c>
      <c r="E80" s="91">
        <f>IF(AND(IF('wk2'!C$5=Pat!$C$25,1,0),IF('wk2'!C62=Pat!C$27,1,0)),1,0)+IF(AND(IF('wk2'!D$5=Pat!$C$25,1,0),IF('wk2'!D62=Pat!C$27,1,0)),1,0)+IF(AND(IF('wk2'!E$5=Pat!$C$25,1,0),IF('wk2'!E62=Pat!C$27,1,0)),1,0)+IF(AND(IF('wk2'!F$5=Pat!$C$25,1,0),IF('wk2'!F62=Pat!C$27,1,0)),1,0)+IF(AND(IF('wk2'!G$5=Pat!$C$25,1,0),IF('wk2'!G62=Pat!C$27,1,0)),1,0)+IF(AND(IF('wk2'!H$5=Pat!$C$25,1,0),IF('wk2'!H62=Pat!C$27,1,0)),1,0)+IF(AND(IF('wk2'!B$5=Pat!$C$25,1,0),IF('wk2'!B62=Pat!C$27,1,0)),1,0)</f>
        <v>0</v>
      </c>
      <c r="F80" s="90">
        <f>IF(AND(IF('wk3'!B$5=Pat!$C$25,1,0),IF('wk3'!B62=Pat!B$27,1,0)),1,0)+IF(AND(IF('wk3'!C$5=Pat!$C$25,1,0),IF('wk3'!C62=Pat!B$27,1,0)),1,0)+IF(AND(IF('wk3'!D$5=Pat!$C$25,1,0),IF('wk3'!D62=Pat!B$27,1,0)),1,0)+IF(AND(IF('wk3'!E$5=Pat!$C$25,1,0),IF('wk3'!E62=Pat!B$27,1,0)),1,0)+IF(AND(IF('wk3'!F$5=Pat!$C$25,1,0),IF('wk3'!F62=Pat!B$27,1,0)),1,0)+IF(AND(IF('wk3'!G$5=Pat!$C$25,1,0),IF('wk3'!G62=Pat!B$27,1,0)),1,0)</f>
        <v>0</v>
      </c>
      <c r="G80" s="91">
        <f>IF(AND(IF('wk3'!C$5=Pat!$C$25,1,0),IF('wk3'!C62=Pat!C$27,1,0)),1,0)+IF(AND(IF('wk3'!D$5=Pat!$C$25,1,0),IF('wk3'!D62=Pat!C$27,1,0)),1,0)+IF(AND(IF('wk3'!E$5=Pat!$C$25,1,0),IF('wk3'!E62=Pat!C$27,1,0)),1,0)+IF(AND(IF('wk3'!F$5=Pat!$C$25,1,0),IF('wk3'!F62=Pat!C$27,1,0)),1,0)+IF(AND(IF('wk3'!G$5=Pat!$C$25,1,0),IF('wk3'!G62=Pat!C$27,1,0)),1,0)+IF(AND(IF('wk3'!H$5=Pat!$C$25,1,0),IF('wk3'!H62=Pat!C$27,1,0)),1,0)+IF(AND(IF('wk3'!B$5=Pat!$C$25,1,0),IF('wk3'!B62=Pat!C$27,1,0)),1,0)</f>
        <v>0</v>
      </c>
      <c r="H80" s="90">
        <f>IF(AND(IF('wk4'!B$5=Pat!$C$25,1,0),IF('wk4'!B62=Pat!B$27,1,0)),1,0)+IF(AND(IF('wk4'!C$5=Pat!$C$25,1,0),IF('wk4'!C62=Pat!B$27,1,0)),1,0)+IF(AND(IF('wk4'!D$5=Pat!$C$25,1,0),IF('wk4'!D62=Pat!B$27,1,0)),1,0)+IF(AND(IF('wk4'!E$5=Pat!$C$25,1,0),IF('wk4'!E62=Pat!B$27,1,0)),1,0)+IF(AND(IF('wk4'!F$5=Pat!$C$25,1,0),IF('wk4'!F62=Pat!B$27,1,0)),1,0)+IF(AND(IF('wk4'!G$5=Pat!$C$25,1,0),IF('wk4'!G62=Pat!B$27,1,0)),1,0)</f>
        <v>0</v>
      </c>
      <c r="I80" s="91">
        <f>IF(AND(IF('wk4'!C$5=Pat!$C$25,1,0),IF('wk4'!C62=Pat!C$27,1,0)),1,0)+IF(AND(IF('wk4'!D$5=Pat!$C$25,1,0),IF('wk4'!D62=Pat!C$27,1,0)),1,0)+IF(AND(IF('wk4'!E$5=Pat!$C$25,1,0),IF('wk4'!E62=Pat!C$27,1,0)),1,0)+IF(AND(IF('wk4'!F$5=Pat!$C$25,1,0),IF('wk4'!F62=Pat!C$27,1,0)),1,0)+IF(AND(IF('wk4'!G$5=Pat!$C$25,1,0),IF('wk4'!G62=Pat!C$27,1,0)),1,0)+IF(AND(IF('wk4'!H$5=Pat!$C$25,1,0),IF('wk4'!H62=Pat!C$27,1,0)),1,0)+IF(AND(IF('wk4'!B$5=Pat!$C$25,1,0),IF('wk4'!B62=Pat!C$27,1,0)),1,0)</f>
        <v>0</v>
      </c>
      <c r="J80" s="92">
        <f>IF(AND(IF('wk5'!B$5=Pat!$C$25,1,0),IF('wk5'!B62=Pat!B$27,1,0)),1,0)+IF(AND(IF('wk5'!C$5=Pat!$C$25,1,0),IF('wk5'!C62=Pat!B$27,1,0)),1,0)+IF(AND(IF('wk5'!D$5=Pat!$C$25,1,0),IF('wk5'!D62=Pat!B$27,1,0)),1,0)+IF(AND(IF('wk5'!E$5=Pat!$C$25,1,0),IF('wk5'!E62=Pat!B$27,1,0)),1,0)+IF(AND(IF('wk5'!F$5=Pat!$C$25,1,0),IF('wk5'!F62=Pat!B$27,1,0)),1,0)+IF(AND(IF('wk5'!G$5=Pat!$C$25,1,0),IF('wk5'!G62=Pat!B$27,1,0)),1,0)</f>
        <v>0</v>
      </c>
      <c r="K80" s="93">
        <f>IF(AND(IF('wk5'!C$5=Pat!$C$25,1,0),IF('wk5'!C62=Pat!C$27,1,0)),1,0)+IF(AND(IF('wk5'!D$5=Pat!$C$25,1,0),IF('wk5'!D62=Pat!C$27,1,0)),1,0)+IF(AND(IF('wk5'!E$5=Pat!$C$25,1,0),IF('wk5'!E62=Pat!C$27,1,0)),1,0)+IF(AND(IF('wk5'!F$5=Pat!$C$25,1,0),IF('wk5'!F62=Pat!C$27,1,0)),1,0)+IF(AND(IF('wk5'!G$5=Pat!$C$25,1,0),IF('wk5'!G62=Pat!C$27,1,0)),1,0)+IF(AND(IF('wk5'!H$5=Pat!$C$25,1,0),IF('wk5'!H62=Pat!C$27,1,0)),1,0)+IF(AND(IF('wk5'!B$5=Pat!$C$25,1,0),IF('wk5'!B62=Pat!C$27,1,0)),1,0)</f>
        <v>0</v>
      </c>
      <c r="L80" s="87"/>
      <c r="M80" s="87">
        <f t="shared" si="2"/>
        <v>0</v>
      </c>
      <c r="N80" s="89">
        <f t="shared" si="3"/>
        <v>0</v>
      </c>
    </row>
    <row r="81" spans="1:14" ht="13.5" thickBot="1">
      <c r="A81" s="86">
        <f>'Members Data'!A55</f>
        <v>0</v>
      </c>
      <c r="B81" s="90">
        <f>IF(AND(IF('wk1'!B$5=Pat!$C$25,1,0),IF('wk1'!B63=Pat!B$27,1,0)),1,0)+IF(AND(IF('wk1'!D$5=Pat!$C$25,1,0),IF('wk1'!C63=Pat!B$27,1,0)),1,0)+IF(AND(IF('wk1'!D$5=Pat!$C$25,1,0),IF('wk1'!D63=Pat!B$27,1,0)),1,0)+IF(AND(IF('wk1'!E$5=Pat!$C$25,1,0),IF('wk1'!E63=Pat!B$27,1,0)),1,0)+IF(AND(IF('wk1'!F$5=Pat!$C$25,1,0),IF('wk1'!F63=Pat!B$27,1,0)),1,0)+IF(AND(IF('wk1'!G$5=Pat!$C$25,1,0),IF('wk1'!G63=Pat!B$27,1,0)),1,0)</f>
        <v>0</v>
      </c>
      <c r="C81" s="91">
        <f>IF(AND(IF('wk1'!D$5=Pat!$C$25,1,0),IF('wk1'!C63=Pat!C$27,1,0)),1,0)+IF(AND(IF('wk1'!D$5=Pat!$C$25,1,0),IF('wk1'!D63=Pat!C$27,1,0)),1,0)+IF(AND(IF('wk1'!E$5=Pat!$C$25,1,0),IF('wk1'!E63=Pat!C$27,1,0)),1,0)+IF(AND(IF('wk1'!F$5=Pat!$C$25,1,0),IF('wk1'!F63=Pat!C$27,1,0)),1,0)+IF(AND(IF('wk1'!G$5=Pat!$C$25,1,0),IF('wk1'!G63=Pat!C$27,1,0)),1,0)+IF(AND(IF('wk1'!H$5=Pat!$C$25,1,0),IF('wk1'!H63=Pat!C$27,1,0)),1,0)+IF(AND(IF('wk1'!B$5=Pat!$C$25,1,0),IF('wk1'!B63=Pat!C$27,1,0)),1,0)</f>
        <v>0</v>
      </c>
      <c r="D81" s="90">
        <f>IF(AND(IF('wk2'!B$5=Pat!$C$25,1,0),IF('wk2'!B63=Pat!B$27,1,0)),1,0)+IF(AND(IF('wk2'!C$5=Pat!$C$25,1,0),IF('wk2'!C63=Pat!B$27,1,0)),1,0)+IF(AND(IF('wk2'!D$5=Pat!$C$25,1,0),IF('wk2'!D63=Pat!B$27,1,0)),1,0)+IF(AND(IF('wk2'!E$5=Pat!$C$25,1,0),IF('wk2'!E63=Pat!B$27,1,0)),1,0)+IF(AND(IF('wk2'!F$5=Pat!$C$25,1,0),IF('wk2'!F63=Pat!B$27,1,0)),1,0)+IF(AND(IF('wk2'!G$5=Pat!$C$25,1,0),IF('wk2'!G63=Pat!B$27,1,0)),1,0)</f>
        <v>0</v>
      </c>
      <c r="E81" s="91">
        <f>IF(AND(IF('wk2'!C$5=Pat!$C$25,1,0),IF('wk2'!C63=Pat!C$27,1,0)),1,0)+IF(AND(IF('wk2'!D$5=Pat!$C$25,1,0),IF('wk2'!D63=Pat!C$27,1,0)),1,0)+IF(AND(IF('wk2'!E$5=Pat!$C$25,1,0),IF('wk2'!E63=Pat!C$27,1,0)),1,0)+IF(AND(IF('wk2'!F$5=Pat!$C$25,1,0),IF('wk2'!F63=Pat!C$27,1,0)),1,0)+IF(AND(IF('wk2'!G$5=Pat!$C$25,1,0),IF('wk2'!G63=Pat!C$27,1,0)),1,0)+IF(AND(IF('wk2'!H$5=Pat!$C$25,1,0),IF('wk2'!H63=Pat!C$27,1,0)),1,0)+IF(AND(IF('wk2'!B$5=Pat!$C$25,1,0),IF('wk2'!B63=Pat!C$27,1,0)),1,0)</f>
        <v>0</v>
      </c>
      <c r="F81" s="90">
        <f>IF(AND(IF('wk3'!B$5=Pat!$C$25,1,0),IF('wk3'!B63=Pat!B$27,1,0)),1,0)+IF(AND(IF('wk3'!C$5=Pat!$C$25,1,0),IF('wk3'!C63=Pat!B$27,1,0)),1,0)+IF(AND(IF('wk3'!D$5=Pat!$C$25,1,0),IF('wk3'!D63=Pat!B$27,1,0)),1,0)+IF(AND(IF('wk3'!E$5=Pat!$C$25,1,0),IF('wk3'!E63=Pat!B$27,1,0)),1,0)+IF(AND(IF('wk3'!F$5=Pat!$C$25,1,0),IF('wk3'!F63=Pat!B$27,1,0)),1,0)+IF(AND(IF('wk3'!G$5=Pat!$C$25,1,0),IF('wk3'!G63=Pat!B$27,1,0)),1,0)</f>
        <v>0</v>
      </c>
      <c r="G81" s="91">
        <f>IF(AND(IF('wk3'!C$5=Pat!$C$25,1,0),IF('wk3'!C63=Pat!C$27,1,0)),1,0)+IF(AND(IF('wk3'!D$5=Pat!$C$25,1,0),IF('wk3'!D63=Pat!C$27,1,0)),1,0)+IF(AND(IF('wk3'!E$5=Pat!$C$25,1,0),IF('wk3'!E63=Pat!C$27,1,0)),1,0)+IF(AND(IF('wk3'!F$5=Pat!$C$25,1,0),IF('wk3'!F63=Pat!C$27,1,0)),1,0)+IF(AND(IF('wk3'!G$5=Pat!$C$25,1,0),IF('wk3'!G63=Pat!C$27,1,0)),1,0)+IF(AND(IF('wk3'!H$5=Pat!$C$25,1,0),IF('wk3'!H63=Pat!C$27,1,0)),1,0)+IF(AND(IF('wk3'!B$5=Pat!$C$25,1,0),IF('wk3'!B63=Pat!C$27,1,0)),1,0)</f>
        <v>0</v>
      </c>
      <c r="H81" s="90">
        <f>IF(AND(IF('wk4'!B$5=Pat!$C$25,1,0),IF('wk4'!B63=Pat!B$27,1,0)),1,0)+IF(AND(IF('wk4'!C$5=Pat!$C$25,1,0),IF('wk4'!C63=Pat!B$27,1,0)),1,0)+IF(AND(IF('wk4'!D$5=Pat!$C$25,1,0),IF('wk4'!D63=Pat!B$27,1,0)),1,0)+IF(AND(IF('wk4'!E$5=Pat!$C$25,1,0),IF('wk4'!E63=Pat!B$27,1,0)),1,0)+IF(AND(IF('wk4'!F$5=Pat!$C$25,1,0),IF('wk4'!F63=Pat!B$27,1,0)),1,0)+IF(AND(IF('wk4'!G$5=Pat!$C$25,1,0),IF('wk4'!G63=Pat!B$27,1,0)),1,0)</f>
        <v>0</v>
      </c>
      <c r="I81" s="91">
        <f>IF(AND(IF('wk4'!C$5=Pat!$C$25,1,0),IF('wk4'!C63=Pat!C$27,1,0)),1,0)+IF(AND(IF('wk4'!D$5=Pat!$C$25,1,0),IF('wk4'!D63=Pat!C$27,1,0)),1,0)+IF(AND(IF('wk4'!E$5=Pat!$C$25,1,0),IF('wk4'!E63=Pat!C$27,1,0)),1,0)+IF(AND(IF('wk4'!F$5=Pat!$C$25,1,0),IF('wk4'!F63=Pat!C$27,1,0)),1,0)+IF(AND(IF('wk4'!G$5=Pat!$C$25,1,0),IF('wk4'!G63=Pat!C$27,1,0)),1,0)+IF(AND(IF('wk4'!H$5=Pat!$C$25,1,0),IF('wk4'!H63=Pat!C$27,1,0)),1,0)+IF(AND(IF('wk4'!B$5=Pat!$C$25,1,0),IF('wk4'!B63=Pat!C$27,1,0)),1,0)</f>
        <v>0</v>
      </c>
      <c r="J81" s="92">
        <f>IF(AND(IF('wk5'!B$5=Pat!$C$25,1,0),IF('wk5'!B63=Pat!B$27,1,0)),1,0)+IF(AND(IF('wk5'!C$5=Pat!$C$25,1,0),IF('wk5'!C63=Pat!B$27,1,0)),1,0)+IF(AND(IF('wk5'!D$5=Pat!$C$25,1,0),IF('wk5'!D63=Pat!B$27,1,0)),1,0)+IF(AND(IF('wk5'!E$5=Pat!$C$25,1,0),IF('wk5'!E63=Pat!B$27,1,0)),1,0)+IF(AND(IF('wk5'!F$5=Pat!$C$25,1,0),IF('wk5'!F63=Pat!B$27,1,0)),1,0)+IF(AND(IF('wk5'!G$5=Pat!$C$25,1,0),IF('wk5'!G63=Pat!B$27,1,0)),1,0)</f>
        <v>0</v>
      </c>
      <c r="K81" s="93">
        <f>IF(AND(IF('wk5'!C$5=Pat!$C$25,1,0),IF('wk5'!C63=Pat!C$27,1,0)),1,0)+IF(AND(IF('wk5'!D$5=Pat!$C$25,1,0),IF('wk5'!D63=Pat!C$27,1,0)),1,0)+IF(AND(IF('wk5'!E$5=Pat!$C$25,1,0),IF('wk5'!E63=Pat!C$27,1,0)),1,0)+IF(AND(IF('wk5'!F$5=Pat!$C$25,1,0),IF('wk5'!F63=Pat!C$27,1,0)),1,0)+IF(AND(IF('wk5'!G$5=Pat!$C$25,1,0),IF('wk5'!G63=Pat!C$27,1,0)),1,0)+IF(AND(IF('wk5'!H$5=Pat!$C$25,1,0),IF('wk5'!H63=Pat!C$27,1,0)),1,0)+IF(AND(IF('wk5'!B$5=Pat!$C$25,1,0),IF('wk5'!B63=Pat!C$27,1,0)),1,0)</f>
        <v>0</v>
      </c>
      <c r="L81" s="87"/>
      <c r="M81" s="87">
        <f t="shared" si="2"/>
        <v>0</v>
      </c>
      <c r="N81" s="89">
        <f t="shared" si="3"/>
        <v>0</v>
      </c>
    </row>
    <row r="82" spans="1:14" ht="13.5" thickBot="1">
      <c r="A82" s="86">
        <f>'Members Data'!A56</f>
        <v>0</v>
      </c>
      <c r="B82" s="90">
        <f>IF(AND(IF('wk1'!B$5=Pat!$C$25,1,0),IF('wk1'!B64=Pat!B$27,1,0)),1,0)+IF(AND(IF('wk1'!D$5=Pat!$C$25,1,0),IF('wk1'!C64=Pat!B$27,1,0)),1,0)+IF(AND(IF('wk1'!D$5=Pat!$C$25,1,0),IF('wk1'!D64=Pat!B$27,1,0)),1,0)+IF(AND(IF('wk1'!E$5=Pat!$C$25,1,0),IF('wk1'!E64=Pat!B$27,1,0)),1,0)+IF(AND(IF('wk1'!F$5=Pat!$C$25,1,0),IF('wk1'!F64=Pat!B$27,1,0)),1,0)+IF(AND(IF('wk1'!G$5=Pat!$C$25,1,0),IF('wk1'!G64=Pat!B$27,1,0)),1,0)</f>
        <v>0</v>
      </c>
      <c r="C82" s="91">
        <f>IF(AND(IF('wk1'!D$5=Pat!$C$25,1,0),IF('wk1'!C64=Pat!C$27,1,0)),1,0)+IF(AND(IF('wk1'!D$5=Pat!$C$25,1,0),IF('wk1'!D64=Pat!C$27,1,0)),1,0)+IF(AND(IF('wk1'!E$5=Pat!$C$25,1,0),IF('wk1'!E64=Pat!C$27,1,0)),1,0)+IF(AND(IF('wk1'!F$5=Pat!$C$25,1,0),IF('wk1'!F64=Pat!C$27,1,0)),1,0)+IF(AND(IF('wk1'!G$5=Pat!$C$25,1,0),IF('wk1'!G64=Pat!C$27,1,0)),1,0)+IF(AND(IF('wk1'!H$5=Pat!$C$25,1,0),IF('wk1'!H64=Pat!C$27,1,0)),1,0)+IF(AND(IF('wk1'!B$5=Pat!$C$25,1,0),IF('wk1'!B64=Pat!C$27,1,0)),1,0)</f>
        <v>0</v>
      </c>
      <c r="D82" s="90">
        <f>IF(AND(IF('wk2'!B$5=Pat!$C$25,1,0),IF('wk2'!B64=Pat!B$27,1,0)),1,0)+IF(AND(IF('wk2'!C$5=Pat!$C$25,1,0),IF('wk2'!C64=Pat!B$27,1,0)),1,0)+IF(AND(IF('wk2'!D$5=Pat!$C$25,1,0),IF('wk2'!D64=Pat!B$27,1,0)),1,0)+IF(AND(IF('wk2'!E$5=Pat!$C$25,1,0),IF('wk2'!E64=Pat!B$27,1,0)),1,0)+IF(AND(IF('wk2'!F$5=Pat!$C$25,1,0),IF('wk2'!F64=Pat!B$27,1,0)),1,0)+IF(AND(IF('wk2'!G$5=Pat!$C$25,1,0),IF('wk2'!G64=Pat!B$27,1,0)),1,0)</f>
        <v>0</v>
      </c>
      <c r="E82" s="91">
        <f>IF(AND(IF('wk2'!C$5=Pat!$C$25,1,0),IF('wk2'!C64=Pat!C$27,1,0)),1,0)+IF(AND(IF('wk2'!D$5=Pat!$C$25,1,0),IF('wk2'!D64=Pat!C$27,1,0)),1,0)+IF(AND(IF('wk2'!E$5=Pat!$C$25,1,0),IF('wk2'!E64=Pat!C$27,1,0)),1,0)+IF(AND(IF('wk2'!F$5=Pat!$C$25,1,0),IF('wk2'!F64=Pat!C$27,1,0)),1,0)+IF(AND(IF('wk2'!G$5=Pat!$C$25,1,0),IF('wk2'!G64=Pat!C$27,1,0)),1,0)+IF(AND(IF('wk2'!H$5=Pat!$C$25,1,0),IF('wk2'!H64=Pat!C$27,1,0)),1,0)+IF(AND(IF('wk2'!B$5=Pat!$C$25,1,0),IF('wk2'!B64=Pat!C$27,1,0)),1,0)</f>
        <v>0</v>
      </c>
      <c r="F82" s="90">
        <f>IF(AND(IF('wk3'!B$5=Pat!$C$25,1,0),IF('wk3'!B64=Pat!B$27,1,0)),1,0)+IF(AND(IF('wk3'!C$5=Pat!$C$25,1,0),IF('wk3'!C64=Pat!B$27,1,0)),1,0)+IF(AND(IF('wk3'!D$5=Pat!$C$25,1,0),IF('wk3'!D64=Pat!B$27,1,0)),1,0)+IF(AND(IF('wk3'!E$5=Pat!$C$25,1,0),IF('wk3'!E64=Pat!B$27,1,0)),1,0)+IF(AND(IF('wk3'!F$5=Pat!$C$25,1,0),IF('wk3'!F64=Pat!B$27,1,0)),1,0)+IF(AND(IF('wk3'!G$5=Pat!$C$25,1,0),IF('wk3'!G64=Pat!B$27,1,0)),1,0)</f>
        <v>0</v>
      </c>
      <c r="G82" s="91">
        <f>IF(AND(IF('wk3'!C$5=Pat!$C$25,1,0),IF('wk3'!C64=Pat!C$27,1,0)),1,0)+IF(AND(IF('wk3'!D$5=Pat!$C$25,1,0),IF('wk3'!D64=Pat!C$27,1,0)),1,0)+IF(AND(IF('wk3'!E$5=Pat!$C$25,1,0),IF('wk3'!E64=Pat!C$27,1,0)),1,0)+IF(AND(IF('wk3'!F$5=Pat!$C$25,1,0),IF('wk3'!F64=Pat!C$27,1,0)),1,0)+IF(AND(IF('wk3'!G$5=Pat!$C$25,1,0),IF('wk3'!G64=Pat!C$27,1,0)),1,0)+IF(AND(IF('wk3'!H$5=Pat!$C$25,1,0),IF('wk3'!H64=Pat!C$27,1,0)),1,0)+IF(AND(IF('wk3'!B$5=Pat!$C$25,1,0),IF('wk3'!B64=Pat!C$27,1,0)),1,0)</f>
        <v>0</v>
      </c>
      <c r="H82" s="90">
        <f>IF(AND(IF('wk4'!B$5=Pat!$C$25,1,0),IF('wk4'!B64=Pat!B$27,1,0)),1,0)+IF(AND(IF('wk4'!C$5=Pat!$C$25,1,0),IF('wk4'!C64=Pat!B$27,1,0)),1,0)+IF(AND(IF('wk4'!D$5=Pat!$C$25,1,0),IF('wk4'!D64=Pat!B$27,1,0)),1,0)+IF(AND(IF('wk4'!E$5=Pat!$C$25,1,0),IF('wk4'!E64=Pat!B$27,1,0)),1,0)+IF(AND(IF('wk4'!F$5=Pat!$C$25,1,0),IF('wk4'!F64=Pat!B$27,1,0)),1,0)+IF(AND(IF('wk4'!G$5=Pat!$C$25,1,0),IF('wk4'!G64=Pat!B$27,1,0)),1,0)</f>
        <v>0</v>
      </c>
      <c r="I82" s="91">
        <f>IF(AND(IF('wk4'!C$5=Pat!$C$25,1,0),IF('wk4'!C64=Pat!C$27,1,0)),1,0)+IF(AND(IF('wk4'!D$5=Pat!$C$25,1,0),IF('wk4'!D64=Pat!C$27,1,0)),1,0)+IF(AND(IF('wk4'!E$5=Pat!$C$25,1,0),IF('wk4'!E64=Pat!C$27,1,0)),1,0)+IF(AND(IF('wk4'!F$5=Pat!$C$25,1,0),IF('wk4'!F64=Pat!C$27,1,0)),1,0)+IF(AND(IF('wk4'!G$5=Pat!$C$25,1,0),IF('wk4'!G64=Pat!C$27,1,0)),1,0)+IF(AND(IF('wk4'!H$5=Pat!$C$25,1,0),IF('wk4'!H64=Pat!C$27,1,0)),1,0)+IF(AND(IF('wk4'!B$5=Pat!$C$25,1,0),IF('wk4'!B64=Pat!C$27,1,0)),1,0)</f>
        <v>0</v>
      </c>
      <c r="J82" s="92">
        <f>IF(AND(IF('wk5'!B$5=Pat!$C$25,1,0),IF('wk5'!B64=Pat!B$27,1,0)),1,0)+IF(AND(IF('wk5'!C$5=Pat!$C$25,1,0),IF('wk5'!C64=Pat!B$27,1,0)),1,0)+IF(AND(IF('wk5'!D$5=Pat!$C$25,1,0),IF('wk5'!D64=Pat!B$27,1,0)),1,0)+IF(AND(IF('wk5'!E$5=Pat!$C$25,1,0),IF('wk5'!E64=Pat!B$27,1,0)),1,0)+IF(AND(IF('wk5'!F$5=Pat!$C$25,1,0),IF('wk5'!F64=Pat!B$27,1,0)),1,0)+IF(AND(IF('wk5'!G$5=Pat!$C$25,1,0),IF('wk5'!G64=Pat!B$27,1,0)),1,0)</f>
        <v>0</v>
      </c>
      <c r="K82" s="93">
        <f>IF(AND(IF('wk5'!C$5=Pat!$C$25,1,0),IF('wk5'!C64=Pat!C$27,1,0)),1,0)+IF(AND(IF('wk5'!D$5=Pat!$C$25,1,0),IF('wk5'!D64=Pat!C$27,1,0)),1,0)+IF(AND(IF('wk5'!E$5=Pat!$C$25,1,0),IF('wk5'!E64=Pat!C$27,1,0)),1,0)+IF(AND(IF('wk5'!F$5=Pat!$C$25,1,0),IF('wk5'!F64=Pat!C$27,1,0)),1,0)+IF(AND(IF('wk5'!G$5=Pat!$C$25,1,0),IF('wk5'!G64=Pat!C$27,1,0)),1,0)+IF(AND(IF('wk5'!H$5=Pat!$C$25,1,0),IF('wk5'!H64=Pat!C$27,1,0)),1,0)+IF(AND(IF('wk5'!B$5=Pat!$C$25,1,0),IF('wk5'!B64=Pat!C$27,1,0)),1,0)</f>
        <v>0</v>
      </c>
      <c r="L82" s="87"/>
      <c r="M82" s="87">
        <f t="shared" si="2"/>
        <v>0</v>
      </c>
      <c r="N82" s="89">
        <f t="shared" si="3"/>
        <v>0</v>
      </c>
    </row>
    <row r="83" spans="1:14" ht="13.5" thickBot="1">
      <c r="A83" s="86">
        <f>'Members Data'!A57</f>
        <v>0</v>
      </c>
      <c r="B83" s="90">
        <f>IF(AND(IF('wk1'!B$5=Pat!$C$25,1,0),IF('wk1'!B65=Pat!B$27,1,0)),1,0)+IF(AND(IF('wk1'!D$5=Pat!$C$25,1,0),IF('wk1'!C65=Pat!B$27,1,0)),1,0)+IF(AND(IF('wk1'!D$5=Pat!$C$25,1,0),IF('wk1'!D65=Pat!B$27,1,0)),1,0)+IF(AND(IF('wk1'!E$5=Pat!$C$25,1,0),IF('wk1'!E65=Pat!B$27,1,0)),1,0)+IF(AND(IF('wk1'!F$5=Pat!$C$25,1,0),IF('wk1'!F65=Pat!B$27,1,0)),1,0)+IF(AND(IF('wk1'!G$5=Pat!$C$25,1,0),IF('wk1'!G65=Pat!B$27,1,0)),1,0)</f>
        <v>0</v>
      </c>
      <c r="C83" s="91">
        <f>IF(AND(IF('wk1'!D$5=Pat!$C$25,1,0),IF('wk1'!C65=Pat!C$27,1,0)),1,0)+IF(AND(IF('wk1'!D$5=Pat!$C$25,1,0),IF('wk1'!D65=Pat!C$27,1,0)),1,0)+IF(AND(IF('wk1'!E$5=Pat!$C$25,1,0),IF('wk1'!E65=Pat!C$27,1,0)),1,0)+IF(AND(IF('wk1'!F$5=Pat!$C$25,1,0),IF('wk1'!F65=Pat!C$27,1,0)),1,0)+IF(AND(IF('wk1'!G$5=Pat!$C$25,1,0),IF('wk1'!G65=Pat!C$27,1,0)),1,0)+IF(AND(IF('wk1'!H$5=Pat!$C$25,1,0),IF('wk1'!H65=Pat!C$27,1,0)),1,0)+IF(AND(IF('wk1'!B$5=Pat!$C$25,1,0),IF('wk1'!B65=Pat!C$27,1,0)),1,0)</f>
        <v>0</v>
      </c>
      <c r="D83" s="90">
        <f>IF(AND(IF('wk2'!B$5=Pat!$C$25,1,0),IF('wk2'!B65=Pat!B$27,1,0)),1,0)+IF(AND(IF('wk2'!C$5=Pat!$C$25,1,0),IF('wk2'!C65=Pat!B$27,1,0)),1,0)+IF(AND(IF('wk2'!D$5=Pat!$C$25,1,0),IF('wk2'!D65=Pat!B$27,1,0)),1,0)+IF(AND(IF('wk2'!E$5=Pat!$C$25,1,0),IF('wk2'!E65=Pat!B$27,1,0)),1,0)+IF(AND(IF('wk2'!F$5=Pat!$C$25,1,0),IF('wk2'!F65=Pat!B$27,1,0)),1,0)+IF(AND(IF('wk2'!G$5=Pat!$C$25,1,0),IF('wk2'!G65=Pat!B$27,1,0)),1,0)</f>
        <v>0</v>
      </c>
      <c r="E83" s="91">
        <f>IF(AND(IF('wk2'!C$5=Pat!$C$25,1,0),IF('wk2'!C65=Pat!C$27,1,0)),1,0)+IF(AND(IF('wk2'!D$5=Pat!$C$25,1,0),IF('wk2'!D65=Pat!C$27,1,0)),1,0)+IF(AND(IF('wk2'!E$5=Pat!$C$25,1,0),IF('wk2'!E65=Pat!C$27,1,0)),1,0)+IF(AND(IF('wk2'!F$5=Pat!$C$25,1,0),IF('wk2'!F65=Pat!C$27,1,0)),1,0)+IF(AND(IF('wk2'!G$5=Pat!$C$25,1,0),IF('wk2'!G65=Pat!C$27,1,0)),1,0)+IF(AND(IF('wk2'!H$5=Pat!$C$25,1,0),IF('wk2'!H65=Pat!C$27,1,0)),1,0)+IF(AND(IF('wk2'!B$5=Pat!$C$25,1,0),IF('wk2'!B65=Pat!C$27,1,0)),1,0)</f>
        <v>0</v>
      </c>
      <c r="F83" s="90">
        <f>IF(AND(IF('wk3'!B$5=Pat!$C$25,1,0),IF('wk3'!B65=Pat!B$27,1,0)),1,0)+IF(AND(IF('wk3'!C$5=Pat!$C$25,1,0),IF('wk3'!C65=Pat!B$27,1,0)),1,0)+IF(AND(IF('wk3'!D$5=Pat!$C$25,1,0),IF('wk3'!D65=Pat!B$27,1,0)),1,0)+IF(AND(IF('wk3'!E$5=Pat!$C$25,1,0),IF('wk3'!E65=Pat!B$27,1,0)),1,0)+IF(AND(IF('wk3'!F$5=Pat!$C$25,1,0),IF('wk3'!F65=Pat!B$27,1,0)),1,0)+IF(AND(IF('wk3'!G$5=Pat!$C$25,1,0),IF('wk3'!G65=Pat!B$27,1,0)),1,0)</f>
        <v>0</v>
      </c>
      <c r="G83" s="91">
        <f>IF(AND(IF('wk3'!C$5=Pat!$C$25,1,0),IF('wk3'!C65=Pat!C$27,1,0)),1,0)+IF(AND(IF('wk3'!D$5=Pat!$C$25,1,0),IF('wk3'!D65=Pat!C$27,1,0)),1,0)+IF(AND(IF('wk3'!E$5=Pat!$C$25,1,0),IF('wk3'!E65=Pat!C$27,1,0)),1,0)+IF(AND(IF('wk3'!F$5=Pat!$C$25,1,0),IF('wk3'!F65=Pat!C$27,1,0)),1,0)+IF(AND(IF('wk3'!G$5=Pat!$C$25,1,0),IF('wk3'!G65=Pat!C$27,1,0)),1,0)+IF(AND(IF('wk3'!H$5=Pat!$C$25,1,0),IF('wk3'!H65=Pat!C$27,1,0)),1,0)+IF(AND(IF('wk3'!B$5=Pat!$C$25,1,0),IF('wk3'!B65=Pat!C$27,1,0)),1,0)</f>
        <v>0</v>
      </c>
      <c r="H83" s="90">
        <f>IF(AND(IF('wk4'!B$5=Pat!$C$25,1,0),IF('wk4'!B65=Pat!B$27,1,0)),1,0)+IF(AND(IF('wk4'!C$5=Pat!$C$25,1,0),IF('wk4'!C65=Pat!B$27,1,0)),1,0)+IF(AND(IF('wk4'!D$5=Pat!$C$25,1,0),IF('wk4'!D65=Pat!B$27,1,0)),1,0)+IF(AND(IF('wk4'!E$5=Pat!$C$25,1,0),IF('wk4'!E65=Pat!B$27,1,0)),1,0)+IF(AND(IF('wk4'!F$5=Pat!$C$25,1,0),IF('wk4'!F65=Pat!B$27,1,0)),1,0)+IF(AND(IF('wk4'!G$5=Pat!$C$25,1,0),IF('wk4'!G65=Pat!B$27,1,0)),1,0)</f>
        <v>0</v>
      </c>
      <c r="I83" s="91">
        <f>IF(AND(IF('wk4'!C$5=Pat!$C$25,1,0),IF('wk4'!C65=Pat!C$27,1,0)),1,0)+IF(AND(IF('wk4'!D$5=Pat!$C$25,1,0),IF('wk4'!D65=Pat!C$27,1,0)),1,0)+IF(AND(IF('wk4'!E$5=Pat!$C$25,1,0),IF('wk4'!E65=Pat!C$27,1,0)),1,0)+IF(AND(IF('wk4'!F$5=Pat!$C$25,1,0),IF('wk4'!F65=Pat!C$27,1,0)),1,0)+IF(AND(IF('wk4'!G$5=Pat!$C$25,1,0),IF('wk4'!G65=Pat!C$27,1,0)),1,0)+IF(AND(IF('wk4'!H$5=Pat!$C$25,1,0),IF('wk4'!H65=Pat!C$27,1,0)),1,0)+IF(AND(IF('wk4'!B$5=Pat!$C$25,1,0),IF('wk4'!B65=Pat!C$27,1,0)),1,0)</f>
        <v>0</v>
      </c>
      <c r="J83" s="92">
        <f>IF(AND(IF('wk5'!B$5=Pat!$C$25,1,0),IF('wk5'!B65=Pat!B$27,1,0)),1,0)+IF(AND(IF('wk5'!C$5=Pat!$C$25,1,0),IF('wk5'!C65=Pat!B$27,1,0)),1,0)+IF(AND(IF('wk5'!D$5=Pat!$C$25,1,0),IF('wk5'!D65=Pat!B$27,1,0)),1,0)+IF(AND(IF('wk5'!E$5=Pat!$C$25,1,0),IF('wk5'!E65=Pat!B$27,1,0)),1,0)+IF(AND(IF('wk5'!F$5=Pat!$C$25,1,0),IF('wk5'!F65=Pat!B$27,1,0)),1,0)+IF(AND(IF('wk5'!G$5=Pat!$C$25,1,0),IF('wk5'!G65=Pat!B$27,1,0)),1,0)</f>
        <v>0</v>
      </c>
      <c r="K83" s="93">
        <f>IF(AND(IF('wk5'!C$5=Pat!$C$25,1,0),IF('wk5'!C65=Pat!C$27,1,0)),1,0)+IF(AND(IF('wk5'!D$5=Pat!$C$25,1,0),IF('wk5'!D65=Pat!C$27,1,0)),1,0)+IF(AND(IF('wk5'!E$5=Pat!$C$25,1,0),IF('wk5'!E65=Pat!C$27,1,0)),1,0)+IF(AND(IF('wk5'!F$5=Pat!$C$25,1,0),IF('wk5'!F65=Pat!C$27,1,0)),1,0)+IF(AND(IF('wk5'!G$5=Pat!$C$25,1,0),IF('wk5'!G65=Pat!C$27,1,0)),1,0)+IF(AND(IF('wk5'!H$5=Pat!$C$25,1,0),IF('wk5'!H65=Pat!C$27,1,0)),1,0)+IF(AND(IF('wk5'!B$5=Pat!$C$25,1,0),IF('wk5'!B65=Pat!C$27,1,0)),1,0)</f>
        <v>0</v>
      </c>
      <c r="L83" s="87"/>
      <c r="M83" s="87">
        <f t="shared" si="2"/>
        <v>0</v>
      </c>
      <c r="N83" s="89">
        <f t="shared" si="3"/>
        <v>0</v>
      </c>
    </row>
    <row r="84" spans="1:14" ht="13.5" thickBot="1">
      <c r="A84" s="86">
        <f>'Members Data'!A58</f>
        <v>0</v>
      </c>
      <c r="B84" s="90">
        <f>IF(AND(IF('wk1'!B$5=Pat!$C$25,1,0),IF('wk1'!B66=Pat!B$27,1,0)),1,0)+IF(AND(IF('wk1'!D$5=Pat!$C$25,1,0),IF('wk1'!C66=Pat!B$27,1,0)),1,0)+IF(AND(IF('wk1'!D$5=Pat!$C$25,1,0),IF('wk1'!D66=Pat!B$27,1,0)),1,0)+IF(AND(IF('wk1'!E$5=Pat!$C$25,1,0),IF('wk1'!E66=Pat!B$27,1,0)),1,0)+IF(AND(IF('wk1'!F$5=Pat!$C$25,1,0),IF('wk1'!F66=Pat!B$27,1,0)),1,0)+IF(AND(IF('wk1'!G$5=Pat!$C$25,1,0),IF('wk1'!G66=Pat!B$27,1,0)),1,0)</f>
        <v>0</v>
      </c>
      <c r="C84" s="91">
        <f>IF(AND(IF('wk1'!D$5=Pat!$C$25,1,0),IF('wk1'!C66=Pat!C$27,1,0)),1,0)+IF(AND(IF('wk1'!D$5=Pat!$C$25,1,0),IF('wk1'!D66=Pat!C$27,1,0)),1,0)+IF(AND(IF('wk1'!E$5=Pat!$C$25,1,0),IF('wk1'!E66=Pat!C$27,1,0)),1,0)+IF(AND(IF('wk1'!F$5=Pat!$C$25,1,0),IF('wk1'!F66=Pat!C$27,1,0)),1,0)+IF(AND(IF('wk1'!G$5=Pat!$C$25,1,0),IF('wk1'!G66=Pat!C$27,1,0)),1,0)+IF(AND(IF('wk1'!H$5=Pat!$C$25,1,0),IF('wk1'!H66=Pat!C$27,1,0)),1,0)+IF(AND(IF('wk1'!B$5=Pat!$C$25,1,0),IF('wk1'!B66=Pat!C$27,1,0)),1,0)</f>
        <v>0</v>
      </c>
      <c r="D84" s="90">
        <f>IF(AND(IF('wk2'!B$5=Pat!$C$25,1,0),IF('wk2'!B67=Pat!B$27,1,0)),1,0)+IF(AND(IF('wk2'!C$5=Pat!$C$25,1,0),IF('wk2'!C67=Pat!B$27,1,0)),1,0)+IF(AND(IF('wk2'!D$5=Pat!$C$25,1,0),IF('wk2'!D67=Pat!B$27,1,0)),1,0)+IF(AND(IF('wk2'!E$5=Pat!$C$25,1,0),IF('wk2'!E67=Pat!B$27,1,0)),1,0)+IF(AND(IF('wk2'!F$5=Pat!$C$25,1,0),IF('wk2'!F67=Pat!B$27,1,0)),1,0)+IF(AND(IF('wk2'!G$5=Pat!$C$25,1,0),IF('wk2'!G67=Pat!B$27,1,0)),1,0)</f>
        <v>0</v>
      </c>
      <c r="E84" s="91">
        <f>IF(AND(IF('wk2'!C$5=Pat!$C$25,1,0),IF('wk2'!C66=Pat!C$27,1,0)),1,0)+IF(AND(IF('wk2'!D$5=Pat!$C$25,1,0),IF('wk2'!D66=Pat!C$27,1,0)),1,0)+IF(AND(IF('wk2'!E$5=Pat!$C$25,1,0),IF('wk2'!E66=Pat!C$27,1,0)),1,0)+IF(AND(IF('wk2'!F$5=Pat!$C$25,1,0),IF('wk2'!F66=Pat!C$27,1,0)),1,0)+IF(AND(IF('wk2'!G$5=Pat!$C$25,1,0),IF('wk2'!G66=Pat!C$27,1,0)),1,0)+IF(AND(IF('wk2'!H$5=Pat!$C$25,1,0),IF('wk2'!H66=Pat!C$27,1,0)),1,0)+IF(AND(IF('wk2'!B$5=Pat!$C$25,1,0),IF('wk2'!B66=Pat!C$27,1,0)),1,0)</f>
        <v>0</v>
      </c>
      <c r="F84" s="90">
        <f>IF(AND(IF('wk3'!B$5=Pat!$C$25,1,0),IF('wk3'!B67=Pat!B$27,1,0)),1,0)+IF(AND(IF('wk3'!C$5=Pat!$C$25,1,0),IF('wk3'!C67=Pat!B$27,1,0)),1,0)+IF(AND(IF('wk3'!D$5=Pat!$C$25,1,0),IF('wk3'!D67=Pat!B$27,1,0)),1,0)+IF(AND(IF('wk3'!E$5=Pat!$C$25,1,0),IF('wk3'!E67=Pat!B$27,1,0)),1,0)+IF(AND(IF('wk3'!F$5=Pat!$C$25,1,0),IF('wk3'!F67=Pat!B$27,1,0)),1,0)+IF(AND(IF('wk3'!G$5=Pat!$C$25,1,0),IF('wk3'!G67=Pat!B$27,1,0)),1,0)</f>
        <v>0</v>
      </c>
      <c r="G84" s="91">
        <f>IF(AND(IF('wk3'!C$5=Pat!$C$25,1,0),IF('wk3'!C66=Pat!C$27,1,0)),1,0)+IF(AND(IF('wk3'!D$5=Pat!$C$25,1,0),IF('wk3'!D66=Pat!C$27,1,0)),1,0)+IF(AND(IF('wk3'!E$5=Pat!$C$25,1,0),IF('wk3'!E66=Pat!C$27,1,0)),1,0)+IF(AND(IF('wk3'!F$5=Pat!$C$25,1,0),IF('wk3'!F66=Pat!C$27,1,0)),1,0)+IF(AND(IF('wk3'!G$5=Pat!$C$25,1,0),IF('wk3'!G66=Pat!C$27,1,0)),1,0)+IF(AND(IF('wk3'!H$5=Pat!$C$25,1,0),IF('wk3'!H66=Pat!C$27,1,0)),1,0)+IF(AND(IF('wk3'!B$5=Pat!$C$25,1,0),IF('wk3'!B66=Pat!C$27,1,0)),1,0)</f>
        <v>0</v>
      </c>
      <c r="H84" s="90">
        <f>IF(AND(IF('wk4'!B$5=Pat!$C$25,1,0),IF('wk4'!B67=Pat!B$27,1,0)),1,0)+IF(AND(IF('wk4'!C$5=Pat!$C$25,1,0),IF('wk4'!C67=Pat!B$27,1,0)),1,0)+IF(AND(IF('wk4'!D$5=Pat!$C$25,1,0),IF('wk4'!D67=Pat!B$27,1,0)),1,0)+IF(AND(IF('wk4'!E$5=Pat!$C$25,1,0),IF('wk4'!E67=Pat!B$27,1,0)),1,0)+IF(AND(IF('wk4'!F$5=Pat!$C$25,1,0),IF('wk4'!F67=Pat!B$27,1,0)),1,0)+IF(AND(IF('wk4'!G$5=Pat!$C$25,1,0),IF('wk4'!G67=Pat!B$27,1,0)),1,0)</f>
        <v>0</v>
      </c>
      <c r="I84" s="91">
        <f>IF(AND(IF('wk4'!C$5=Pat!$C$25,1,0),IF('wk4'!C66=Pat!C$27,1,0)),1,0)+IF(AND(IF('wk4'!D$5=Pat!$C$25,1,0),IF('wk4'!D66=Pat!C$27,1,0)),1,0)+IF(AND(IF('wk4'!E$5=Pat!$C$25,1,0),IF('wk4'!E66=Pat!C$27,1,0)),1,0)+IF(AND(IF('wk4'!F$5=Pat!$C$25,1,0),IF('wk4'!F66=Pat!C$27,1,0)),1,0)+IF(AND(IF('wk4'!G$5=Pat!$C$25,1,0),IF('wk4'!G66=Pat!C$27,1,0)),1,0)+IF(AND(IF('wk4'!H$5=Pat!$C$25,1,0),IF('wk4'!H66=Pat!C$27,1,0)),1,0)+IF(AND(IF('wk4'!B$5=Pat!$C$25,1,0),IF('wk4'!B66=Pat!C$27,1,0)),1,0)</f>
        <v>0</v>
      </c>
      <c r="J84" s="92">
        <f>IF(AND(IF('wk5'!B$5=Pat!$C$25,1,0),IF('wk5'!B67=Pat!B$27,1,0)),1,0)+IF(AND(IF('wk5'!C$5=Pat!$C$25,1,0),IF('wk5'!C67=Pat!B$27,1,0)),1,0)+IF(AND(IF('wk5'!D$5=Pat!$C$25,1,0),IF('wk5'!D67=Pat!B$27,1,0)),1,0)+IF(AND(IF('wk5'!E$5=Pat!$C$25,1,0),IF('wk5'!E67=Pat!B$27,1,0)),1,0)+IF(AND(IF('wk5'!F$5=Pat!$C$25,1,0),IF('wk5'!F67=Pat!B$27,1,0)),1,0)+IF(AND(IF('wk5'!G$5=Pat!$C$25,1,0),IF('wk5'!G67=Pat!B$27,1,0)),1,0)</f>
        <v>0</v>
      </c>
      <c r="K84" s="93">
        <f>IF(AND(IF('wk5'!C$5=Pat!$C$25,1,0),IF('wk5'!C66=Pat!C$27,1,0)),1,0)+IF(AND(IF('wk5'!D$5=Pat!$C$25,1,0),IF('wk5'!D66=Pat!C$27,1,0)),1,0)+IF(AND(IF('wk5'!E$5=Pat!$C$25,1,0),IF('wk5'!E66=Pat!C$27,1,0)),1,0)+IF(AND(IF('wk5'!F$5=Pat!$C$25,1,0),IF('wk5'!F66=Pat!C$27,1,0)),1,0)+IF(AND(IF('wk5'!G$5=Pat!$C$25,1,0),IF('wk5'!G66=Pat!C$27,1,0)),1,0)+IF(AND(IF('wk5'!H$5=Pat!$C$25,1,0),IF('wk5'!H66=Pat!C$27,1,0)),1,0)+IF(AND(IF('wk5'!B$5=Pat!$C$25,1,0),IF('wk5'!B66=Pat!C$27,1,0)),1,0)</f>
        <v>0</v>
      </c>
      <c r="L84" s="87"/>
      <c r="M84" s="87">
        <f t="shared" si="2"/>
        <v>0</v>
      </c>
      <c r="N84" s="89">
        <f t="shared" si="3"/>
        <v>0</v>
      </c>
    </row>
    <row r="85" spans="1:14" ht="13.5" thickBot="1">
      <c r="A85" s="86">
        <f>'Members Data'!A59</f>
        <v>0</v>
      </c>
      <c r="B85" s="90">
        <f>IF(AND(IF('wk1'!B$5=Pat!$C$25,1,0),IF('wk1'!B67=Pat!B$27,1,0)),1,0)+IF(AND(IF('wk1'!D$5=Pat!$C$25,1,0),IF('wk1'!C67=Pat!B$27,1,0)),1,0)+IF(AND(IF('wk1'!D$5=Pat!$C$25,1,0),IF('wk1'!D67=Pat!B$27,1,0)),1,0)+IF(AND(IF('wk1'!E$5=Pat!$C$25,1,0),IF('wk1'!E67=Pat!B$27,1,0)),1,0)+IF(AND(IF('wk1'!F$5=Pat!$C$25,1,0),IF('wk1'!F67=Pat!B$27,1,0)),1,0)+IF(AND(IF('wk1'!G$5=Pat!$C$25,1,0),IF('wk1'!G67=Pat!B$27,1,0)),1,0)</f>
        <v>0</v>
      </c>
      <c r="C85" s="91">
        <f>IF(AND(IF('wk1'!D$5=Pat!$C$25,1,0),IF('wk1'!C67=Pat!C$27,1,0)),1,0)+IF(AND(IF('wk1'!D$5=Pat!$C$25,1,0),IF('wk1'!D67=Pat!C$27,1,0)),1,0)+IF(AND(IF('wk1'!E$5=Pat!$C$25,1,0),IF('wk1'!E67=Pat!C$27,1,0)),1,0)+IF(AND(IF('wk1'!F$5=Pat!$C$25,1,0),IF('wk1'!F67=Pat!C$27,1,0)),1,0)+IF(AND(IF('wk1'!G$5=Pat!$C$25,1,0),IF('wk1'!G67=Pat!C$27,1,0)),1,0)+IF(AND(IF('wk1'!H$5=Pat!$C$25,1,0),IF('wk1'!H67=Pat!C$27,1,0)),1,0)+IF(AND(IF('wk1'!B$5=Pat!$C$25,1,0),IF('wk1'!B67=Pat!C$27,1,0)),1,0)</f>
        <v>0</v>
      </c>
      <c r="D85" s="90">
        <f>IF(AND(IF('wk2'!B$5=Pat!$C$25,1,0),IF('wk2'!B68=Pat!B$27,1,0)),1,0)+IF(AND(IF('wk2'!C$5=Pat!$C$25,1,0),IF('wk2'!C68=Pat!B$27,1,0)),1,0)+IF(AND(IF('wk2'!D$5=Pat!$C$25,1,0),IF('wk2'!D68=Pat!B$27,1,0)),1,0)+IF(AND(IF('wk2'!E$5=Pat!$C$25,1,0),IF('wk2'!E68=Pat!B$27,1,0)),1,0)+IF(AND(IF('wk2'!F$5=Pat!$C$25,1,0),IF('wk2'!F68=Pat!B$27,1,0)),1,0)+IF(AND(IF('wk2'!G$5=Pat!$C$25,1,0),IF('wk2'!G68=Pat!B$27,1,0)),1,0)</f>
        <v>0</v>
      </c>
      <c r="E85" s="91">
        <f>IF(AND(IF('wk2'!C$5=Pat!$C$25,1,0),IF('wk2'!C67=Pat!C$27,1,0)),1,0)+IF(AND(IF('wk2'!D$5=Pat!$C$25,1,0),IF('wk2'!D67=Pat!C$27,1,0)),1,0)+IF(AND(IF('wk2'!E$5=Pat!$C$25,1,0),IF('wk2'!E67=Pat!C$27,1,0)),1,0)+IF(AND(IF('wk2'!F$5=Pat!$C$25,1,0),IF('wk2'!F67=Pat!C$27,1,0)),1,0)+IF(AND(IF('wk2'!G$5=Pat!$C$25,1,0),IF('wk2'!G67=Pat!C$27,1,0)),1,0)+IF(AND(IF('wk2'!H$5=Pat!$C$25,1,0),IF('wk2'!H67=Pat!C$27,1,0)),1,0)+IF(AND(IF('wk2'!B$5=Pat!$C$25,1,0),IF('wk2'!B67=Pat!C$27,1,0)),1,0)</f>
        <v>0</v>
      </c>
      <c r="F85" s="90">
        <f>IF(AND(IF('wk3'!B$5=Pat!$C$25,1,0),IF('wk3'!B68=Pat!B$27,1,0)),1,0)+IF(AND(IF('wk3'!C$5=Pat!$C$25,1,0),IF('wk3'!C68=Pat!B$27,1,0)),1,0)+IF(AND(IF('wk3'!D$5=Pat!$C$25,1,0),IF('wk3'!D68=Pat!B$27,1,0)),1,0)+IF(AND(IF('wk3'!E$5=Pat!$C$25,1,0),IF('wk3'!E68=Pat!B$27,1,0)),1,0)+IF(AND(IF('wk3'!F$5=Pat!$C$25,1,0),IF('wk3'!F68=Pat!B$27,1,0)),1,0)+IF(AND(IF('wk3'!G$5=Pat!$C$25,1,0),IF('wk3'!G68=Pat!B$27,1,0)),1,0)</f>
        <v>0</v>
      </c>
      <c r="G85" s="91">
        <f>IF(AND(IF('wk3'!C$5=Pat!$C$25,1,0),IF('wk3'!C67=Pat!C$27,1,0)),1,0)+IF(AND(IF('wk3'!D$5=Pat!$C$25,1,0),IF('wk3'!D67=Pat!C$27,1,0)),1,0)+IF(AND(IF('wk3'!E$5=Pat!$C$25,1,0),IF('wk3'!E67=Pat!C$27,1,0)),1,0)+IF(AND(IF('wk3'!F$5=Pat!$C$25,1,0),IF('wk3'!F67=Pat!C$27,1,0)),1,0)+IF(AND(IF('wk3'!G$5=Pat!$C$25,1,0),IF('wk3'!G67=Pat!C$27,1,0)),1,0)+IF(AND(IF('wk3'!H$5=Pat!$C$25,1,0),IF('wk3'!H67=Pat!C$27,1,0)),1,0)+IF(AND(IF('wk3'!B$5=Pat!$C$25,1,0),IF('wk3'!B67=Pat!C$27,1,0)),1,0)</f>
        <v>0</v>
      </c>
      <c r="H85" s="90">
        <f>IF(AND(IF('wk4'!B$5=Pat!$C$25,1,0),IF('wk4'!B68=Pat!B$27,1,0)),1,0)+IF(AND(IF('wk4'!C$5=Pat!$C$25,1,0),IF('wk4'!C68=Pat!B$27,1,0)),1,0)+IF(AND(IF('wk4'!D$5=Pat!$C$25,1,0),IF('wk4'!D68=Pat!B$27,1,0)),1,0)+IF(AND(IF('wk4'!E$5=Pat!$C$25,1,0),IF('wk4'!E68=Pat!B$27,1,0)),1,0)+IF(AND(IF('wk4'!F$5=Pat!$C$25,1,0),IF('wk4'!F68=Pat!B$27,1,0)),1,0)+IF(AND(IF('wk4'!G$5=Pat!$C$25,1,0),IF('wk4'!G68=Pat!B$27,1,0)),1,0)</f>
        <v>0</v>
      </c>
      <c r="I85" s="91">
        <f>IF(AND(IF('wk4'!C$5=Pat!$C$25,1,0),IF('wk4'!C67=Pat!C$27,1,0)),1,0)+IF(AND(IF('wk4'!D$5=Pat!$C$25,1,0),IF('wk4'!D67=Pat!C$27,1,0)),1,0)+IF(AND(IF('wk4'!E$5=Pat!$C$25,1,0),IF('wk4'!E67=Pat!C$27,1,0)),1,0)+IF(AND(IF('wk4'!F$5=Pat!$C$25,1,0),IF('wk4'!F67=Pat!C$27,1,0)),1,0)+IF(AND(IF('wk4'!G$5=Pat!$C$25,1,0),IF('wk4'!G67=Pat!C$27,1,0)),1,0)+IF(AND(IF('wk4'!H$5=Pat!$C$25,1,0),IF('wk4'!H67=Pat!C$27,1,0)),1,0)+IF(AND(IF('wk4'!B$5=Pat!$C$25,1,0),IF('wk4'!B67=Pat!C$27,1,0)),1,0)</f>
        <v>0</v>
      </c>
      <c r="J85" s="92">
        <f>IF(AND(IF('wk5'!B$5=Pat!$C$25,1,0),IF('wk5'!B68=Pat!B$27,1,0)),1,0)+IF(AND(IF('wk5'!C$5=Pat!$C$25,1,0),IF('wk5'!C68=Pat!B$27,1,0)),1,0)+IF(AND(IF('wk5'!D$5=Pat!$C$25,1,0),IF('wk5'!D68=Pat!B$27,1,0)),1,0)+IF(AND(IF('wk5'!E$5=Pat!$C$25,1,0),IF('wk5'!E68=Pat!B$27,1,0)),1,0)+IF(AND(IF('wk5'!F$5=Pat!$C$25,1,0),IF('wk5'!F68=Pat!B$27,1,0)),1,0)+IF(AND(IF('wk5'!G$5=Pat!$C$25,1,0),IF('wk5'!G68=Pat!B$27,1,0)),1,0)</f>
        <v>0</v>
      </c>
      <c r="K85" s="93">
        <f>IF(AND(IF('wk5'!C$5=Pat!$C$25,1,0),IF('wk5'!C67=Pat!C$27,1,0)),1,0)+IF(AND(IF('wk5'!D$5=Pat!$C$25,1,0),IF('wk5'!D67=Pat!C$27,1,0)),1,0)+IF(AND(IF('wk5'!E$5=Pat!$C$25,1,0),IF('wk5'!E67=Pat!C$27,1,0)),1,0)+IF(AND(IF('wk5'!F$5=Pat!$C$25,1,0),IF('wk5'!F67=Pat!C$27,1,0)),1,0)+IF(AND(IF('wk5'!G$5=Pat!$C$25,1,0),IF('wk5'!G67=Pat!C$27,1,0)),1,0)+IF(AND(IF('wk5'!H$5=Pat!$C$25,1,0),IF('wk5'!H67=Pat!C$27,1,0)),1,0)+IF(AND(IF('wk5'!B$5=Pat!$C$25,1,0),IF('wk5'!B67=Pat!C$27,1,0)),1,0)</f>
        <v>0</v>
      </c>
      <c r="L85" s="87"/>
      <c r="M85" s="87">
        <f t="shared" si="2"/>
        <v>0</v>
      </c>
      <c r="N85" s="89">
        <f t="shared" si="3"/>
        <v>0</v>
      </c>
    </row>
    <row r="86" spans="1:14" ht="13.5" thickBot="1">
      <c r="A86" s="86">
        <f>'Members Data'!A60</f>
        <v>0</v>
      </c>
      <c r="B86" s="90">
        <f>IF(AND(IF('wk1'!B$5=Pat!$C$25,1,0),IF('wk1'!B68=Pat!B$27,1,0)),1,0)+IF(AND(IF('wk1'!D$5=Pat!$C$25,1,0),IF('wk1'!C68=Pat!B$27,1,0)),1,0)+IF(AND(IF('wk1'!D$5=Pat!$C$25,1,0),IF('wk1'!D68=Pat!B$27,1,0)),1,0)+IF(AND(IF('wk1'!E$5=Pat!$C$25,1,0),IF('wk1'!E68=Pat!B$27,1,0)),1,0)+IF(AND(IF('wk1'!F$5=Pat!$C$25,1,0),IF('wk1'!F68=Pat!B$27,1,0)),1,0)+IF(AND(IF('wk1'!G$5=Pat!$C$25,1,0),IF('wk1'!G68=Pat!B$27,1,0)),1,0)</f>
        <v>0</v>
      </c>
      <c r="C86" s="91">
        <f>IF(AND(IF('wk1'!D$5=Pat!$C$25,1,0),IF('wk1'!C68=Pat!C$27,1,0)),1,0)+IF(AND(IF('wk1'!D$5=Pat!$C$25,1,0),IF('wk1'!D68=Pat!C$27,1,0)),1,0)+IF(AND(IF('wk1'!E$5=Pat!$C$25,1,0),IF('wk1'!E68=Pat!C$27,1,0)),1,0)+IF(AND(IF('wk1'!F$5=Pat!$C$25,1,0),IF('wk1'!F68=Pat!C$27,1,0)),1,0)+IF(AND(IF('wk1'!G$5=Pat!$C$25,1,0),IF('wk1'!G68=Pat!C$27,1,0)),1,0)+IF(AND(IF('wk1'!H$5=Pat!$C$25,1,0),IF('wk1'!H68=Pat!C$27,1,0)),1,0)+IF(AND(IF('wk1'!B$5=Pat!$C$25,1,0),IF('wk1'!B68=Pat!C$27,1,0)),1,0)</f>
        <v>0</v>
      </c>
      <c r="D86" s="90">
        <f>IF(AND(IF('wk2'!B$5=Pat!$C$25,1,0),IF('wk2'!B69=Pat!B$27,1,0)),1,0)+IF(AND(IF('wk2'!C$5=Pat!$C$25,1,0),IF('wk2'!C69=Pat!B$27,1,0)),1,0)+IF(AND(IF('wk2'!D$5=Pat!$C$25,1,0),IF('wk2'!D69=Pat!B$27,1,0)),1,0)+IF(AND(IF('wk2'!E$5=Pat!$C$25,1,0),IF('wk2'!E69=Pat!B$27,1,0)),1,0)+IF(AND(IF('wk2'!F$5=Pat!$C$25,1,0),IF('wk2'!F69=Pat!B$27,1,0)),1,0)+IF(AND(IF('wk2'!G$5=Pat!$C$25,1,0),IF('wk2'!G69=Pat!B$27,1,0)),1,0)</f>
        <v>0</v>
      </c>
      <c r="E86" s="91">
        <f>IF(AND(IF('wk2'!C$5=Pat!$C$25,1,0),IF('wk2'!C68=Pat!C$27,1,0)),1,0)+IF(AND(IF('wk2'!D$5=Pat!$C$25,1,0),IF('wk2'!D68=Pat!C$27,1,0)),1,0)+IF(AND(IF('wk2'!E$5=Pat!$C$25,1,0),IF('wk2'!E68=Pat!C$27,1,0)),1,0)+IF(AND(IF('wk2'!F$5=Pat!$C$25,1,0),IF('wk2'!F68=Pat!C$27,1,0)),1,0)+IF(AND(IF('wk2'!G$5=Pat!$C$25,1,0),IF('wk2'!G68=Pat!C$27,1,0)),1,0)+IF(AND(IF('wk2'!H$5=Pat!$C$25,1,0),IF('wk2'!H68=Pat!C$27,1,0)),1,0)+IF(AND(IF('wk2'!B$5=Pat!$C$25,1,0),IF('wk2'!B68=Pat!C$27,1,0)),1,0)</f>
        <v>0</v>
      </c>
      <c r="F86" s="90">
        <f>IF(AND(IF('wk3'!B$5=Pat!$C$25,1,0),IF('wk3'!B69=Pat!B$27,1,0)),1,0)+IF(AND(IF('wk3'!C$5=Pat!$C$25,1,0),IF('wk3'!C69=Pat!B$27,1,0)),1,0)+IF(AND(IF('wk3'!D$5=Pat!$C$25,1,0),IF('wk3'!D69=Pat!B$27,1,0)),1,0)+IF(AND(IF('wk3'!E$5=Pat!$C$25,1,0),IF('wk3'!E69=Pat!B$27,1,0)),1,0)+IF(AND(IF('wk3'!F$5=Pat!$C$25,1,0),IF('wk3'!F69=Pat!B$27,1,0)),1,0)+IF(AND(IF('wk3'!G$5=Pat!$C$25,1,0),IF('wk3'!G69=Pat!B$27,1,0)),1,0)</f>
        <v>0</v>
      </c>
      <c r="G86" s="91">
        <f>IF(AND(IF('wk3'!C$5=Pat!$C$25,1,0),IF('wk3'!C68=Pat!C$27,1,0)),1,0)+IF(AND(IF('wk3'!D$5=Pat!$C$25,1,0),IF('wk3'!D68=Pat!C$27,1,0)),1,0)+IF(AND(IF('wk3'!E$5=Pat!$C$25,1,0),IF('wk3'!E68=Pat!C$27,1,0)),1,0)+IF(AND(IF('wk3'!F$5=Pat!$C$25,1,0),IF('wk3'!F68=Pat!C$27,1,0)),1,0)+IF(AND(IF('wk3'!G$5=Pat!$C$25,1,0),IF('wk3'!G68=Pat!C$27,1,0)),1,0)+IF(AND(IF('wk3'!H$5=Pat!$C$25,1,0),IF('wk3'!H68=Pat!C$27,1,0)),1,0)+IF(AND(IF('wk3'!B$5=Pat!$C$25,1,0),IF('wk3'!B68=Pat!C$27,1,0)),1,0)</f>
        <v>0</v>
      </c>
      <c r="H86" s="90">
        <f>IF(AND(IF('wk4'!B$5=Pat!$C$25,1,0),IF('wk4'!B69=Pat!B$27,1,0)),1,0)+IF(AND(IF('wk4'!C$5=Pat!$C$25,1,0),IF('wk4'!C69=Pat!B$27,1,0)),1,0)+IF(AND(IF('wk4'!D$5=Pat!$C$25,1,0),IF('wk4'!D69=Pat!B$27,1,0)),1,0)+IF(AND(IF('wk4'!E$5=Pat!$C$25,1,0),IF('wk4'!E69=Pat!B$27,1,0)),1,0)+IF(AND(IF('wk4'!F$5=Pat!$C$25,1,0),IF('wk4'!F69=Pat!B$27,1,0)),1,0)+IF(AND(IF('wk4'!G$5=Pat!$C$25,1,0),IF('wk4'!G69=Pat!B$27,1,0)),1,0)</f>
        <v>0</v>
      </c>
      <c r="I86" s="91">
        <f>IF(AND(IF('wk4'!C$5=Pat!$C$25,1,0),IF('wk4'!C68=Pat!C$27,1,0)),1,0)+IF(AND(IF('wk4'!D$5=Pat!$C$25,1,0),IF('wk4'!D68=Pat!C$27,1,0)),1,0)+IF(AND(IF('wk4'!E$5=Pat!$C$25,1,0),IF('wk4'!E68=Pat!C$27,1,0)),1,0)+IF(AND(IF('wk4'!F$5=Pat!$C$25,1,0),IF('wk4'!F68=Pat!C$27,1,0)),1,0)+IF(AND(IF('wk4'!G$5=Pat!$C$25,1,0),IF('wk4'!G68=Pat!C$27,1,0)),1,0)+IF(AND(IF('wk4'!H$5=Pat!$C$25,1,0),IF('wk4'!H68=Pat!C$27,1,0)),1,0)+IF(AND(IF('wk4'!B$5=Pat!$C$25,1,0),IF('wk4'!B68=Pat!C$27,1,0)),1,0)</f>
        <v>0</v>
      </c>
      <c r="J86" s="92">
        <f>IF(AND(IF('wk5'!B$5=Pat!$C$25,1,0),IF('wk5'!B69=Pat!B$27,1,0)),1,0)+IF(AND(IF('wk5'!C$5=Pat!$C$25,1,0),IF('wk5'!C69=Pat!B$27,1,0)),1,0)+IF(AND(IF('wk5'!D$5=Pat!$C$25,1,0),IF('wk5'!D69=Pat!B$27,1,0)),1,0)+IF(AND(IF('wk5'!E$5=Pat!$C$25,1,0),IF('wk5'!E69=Pat!B$27,1,0)),1,0)+IF(AND(IF('wk5'!F$5=Pat!$C$25,1,0),IF('wk5'!F69=Pat!B$27,1,0)),1,0)+IF(AND(IF('wk5'!G$5=Pat!$C$25,1,0),IF('wk5'!G69=Pat!B$27,1,0)),1,0)</f>
        <v>0</v>
      </c>
      <c r="K86" s="93">
        <f>IF(AND(IF('wk5'!C$5=Pat!$C$25,1,0),IF('wk5'!C68=Pat!C$27,1,0)),1,0)+IF(AND(IF('wk5'!D$5=Pat!$C$25,1,0),IF('wk5'!D68=Pat!C$27,1,0)),1,0)+IF(AND(IF('wk5'!E$5=Pat!$C$25,1,0),IF('wk5'!E68=Pat!C$27,1,0)),1,0)+IF(AND(IF('wk5'!F$5=Pat!$C$25,1,0),IF('wk5'!F68=Pat!C$27,1,0)),1,0)+IF(AND(IF('wk5'!G$5=Pat!$C$25,1,0),IF('wk5'!G68=Pat!C$27,1,0)),1,0)+IF(AND(IF('wk5'!H$5=Pat!$C$25,1,0),IF('wk5'!H68=Pat!C$27,1,0)),1,0)+IF(AND(IF('wk5'!B$5=Pat!$C$25,1,0),IF('wk5'!B68=Pat!C$27,1,0)),1,0)</f>
        <v>0</v>
      </c>
      <c r="L86" s="87"/>
      <c r="M86" s="87">
        <f t="shared" si="2"/>
        <v>0</v>
      </c>
      <c r="N86" s="89">
        <f t="shared" si="3"/>
        <v>0</v>
      </c>
    </row>
    <row r="87" spans="1:14" ht="13.5" thickBot="1">
      <c r="A87" s="97">
        <f>'Members Data'!A61</f>
        <v>0</v>
      </c>
      <c r="B87" s="90">
        <f>IF(AND(IF('wk1'!B$5=Pat!$C$25,1,0),IF('wk1'!B69=Pat!B$27,1,0)),1,0)+IF(AND(IF('wk1'!D$5=Pat!$C$25,1,0),IF('wk1'!C69=Pat!B$27,1,0)),1,0)+IF(AND(IF('wk1'!D$5=Pat!$C$25,1,0),IF('wk1'!D69=Pat!B$27,1,0)),1,0)+IF(AND(IF('wk1'!E$5=Pat!$C$25,1,0),IF('wk1'!E69=Pat!B$27,1,0)),1,0)+IF(AND(IF('wk1'!F$5=Pat!$C$25,1,0),IF('wk1'!F69=Pat!B$27,1,0)),1,0)+IF(AND(IF('wk1'!G$5=Pat!$C$25,1,0),IF('wk1'!G69=Pat!B$27,1,0)),1,0)</f>
        <v>0</v>
      </c>
      <c r="C87" s="91">
        <f>IF(AND(IF('wk1'!D$5=Pat!$C$25,1,0),IF('wk1'!C69=Pat!C$27,1,0)),1,0)+IF(AND(IF('wk1'!D$5=Pat!$C$25,1,0),IF('wk1'!D69=Pat!C$27,1,0)),1,0)+IF(AND(IF('wk1'!E$5=Pat!$C$25,1,0),IF('wk1'!E69=Pat!C$27,1,0)),1,0)+IF(AND(IF('wk1'!F$5=Pat!$C$25,1,0),IF('wk1'!F69=Pat!C$27,1,0)),1,0)+IF(AND(IF('wk1'!G$5=Pat!$C$25,1,0),IF('wk1'!G69=Pat!C$27,1,0)),1,0)+IF(AND(IF('wk1'!H$5=Pat!$C$25,1,0),IF('wk1'!H69=Pat!C$27,1,0)),1,0)+IF(AND(IF('wk1'!B$5=Pat!$C$25,1,0),IF('wk1'!B69=Pat!C$27,1,0)),1,0)</f>
        <v>0</v>
      </c>
      <c r="D87" s="90">
        <f>IF(AND(IF('wk2'!B$5=Pat!$C$25,1,0),IF('wk2'!B70=Pat!B$27,1,0)),1,0)+IF(AND(IF('wk2'!C$5=Pat!$C$25,1,0),IF('wk2'!C70=Pat!B$27,1,0)),1,0)+IF(AND(IF('wk2'!D$5=Pat!$C$25,1,0),IF('wk2'!D70=Pat!B$27,1,0)),1,0)+IF(AND(IF('wk2'!E$5=Pat!$C$25,1,0),IF('wk2'!E70=Pat!B$27,1,0)),1,0)+IF(AND(IF('wk2'!F$5=Pat!$C$25,1,0),IF('wk2'!F70=Pat!B$27,1,0)),1,0)+IF(AND(IF('wk2'!G$5=Pat!$C$25,1,0),IF('wk2'!G70=Pat!B$27,1,0)),1,0)</f>
        <v>0</v>
      </c>
      <c r="E87" s="91">
        <f>IF(AND(IF('wk2'!C$5=Pat!$C$25,1,0),IF('wk2'!C69=Pat!C$27,1,0)),1,0)+IF(AND(IF('wk2'!D$5=Pat!$C$25,1,0),IF('wk2'!D69=Pat!C$27,1,0)),1,0)+IF(AND(IF('wk2'!E$5=Pat!$C$25,1,0),IF('wk2'!E69=Pat!C$27,1,0)),1,0)+IF(AND(IF('wk2'!F$5=Pat!$C$25,1,0),IF('wk2'!F69=Pat!C$27,1,0)),1,0)+IF(AND(IF('wk2'!G$5=Pat!$C$25,1,0),IF('wk2'!G69=Pat!C$27,1,0)),1,0)+IF(AND(IF('wk2'!H$5=Pat!$C$25,1,0),IF('wk2'!H69=Pat!C$27,1,0)),1,0)+IF(AND(IF('wk2'!B$5=Pat!$C$25,1,0),IF('wk2'!B69=Pat!C$27,1,0)),1,0)</f>
        <v>0</v>
      </c>
      <c r="F87" s="90">
        <f>IF(AND(IF('wk3'!B$5=Pat!$C$25,1,0),IF('wk3'!B70=Pat!B$27,1,0)),1,0)+IF(AND(IF('wk3'!C$5=Pat!$C$25,1,0),IF('wk3'!C70=Pat!B$27,1,0)),1,0)+IF(AND(IF('wk3'!D$5=Pat!$C$25,1,0),IF('wk3'!D70=Pat!B$27,1,0)),1,0)+IF(AND(IF('wk3'!E$5=Pat!$C$25,1,0),IF('wk3'!E70=Pat!B$27,1,0)),1,0)+IF(AND(IF('wk3'!F$5=Pat!$C$25,1,0),IF('wk3'!F70=Pat!B$27,1,0)),1,0)+IF(AND(IF('wk3'!G$5=Pat!$C$25,1,0),IF('wk3'!G70=Pat!B$27,1,0)),1,0)</f>
        <v>0</v>
      </c>
      <c r="G87" s="91">
        <f>IF(AND(IF('wk3'!C$5=Pat!$C$25,1,0),IF('wk3'!C69=Pat!C$27,1,0)),1,0)+IF(AND(IF('wk3'!D$5=Pat!$C$25,1,0),IF('wk3'!D69=Pat!C$27,1,0)),1,0)+IF(AND(IF('wk3'!E$5=Pat!$C$25,1,0),IF('wk3'!E69=Pat!C$27,1,0)),1,0)+IF(AND(IF('wk3'!F$5=Pat!$C$25,1,0),IF('wk3'!F69=Pat!C$27,1,0)),1,0)+IF(AND(IF('wk3'!G$5=Pat!$C$25,1,0),IF('wk3'!G69=Pat!C$27,1,0)),1,0)+IF(AND(IF('wk3'!H$5=Pat!$C$25,1,0),IF('wk3'!H69=Pat!C$27,1,0)),1,0)+IF(AND(IF('wk3'!B$5=Pat!$C$25,1,0),IF('wk3'!B69=Pat!C$27,1,0)),1,0)</f>
        <v>0</v>
      </c>
      <c r="H87" s="90">
        <f>IF(AND(IF('wk4'!B$5=Pat!$C$25,1,0),IF('wk4'!B70=Pat!B$27,1,0)),1,0)+IF(AND(IF('wk4'!C$5=Pat!$C$25,1,0),IF('wk4'!C70=Pat!B$27,1,0)),1,0)+IF(AND(IF('wk4'!D$5=Pat!$C$25,1,0),IF('wk4'!D70=Pat!B$27,1,0)),1,0)+IF(AND(IF('wk4'!E$5=Pat!$C$25,1,0),IF('wk4'!E70=Pat!B$27,1,0)),1,0)+IF(AND(IF('wk4'!F$5=Pat!$C$25,1,0),IF('wk4'!F70=Pat!B$27,1,0)),1,0)+IF(AND(IF('wk4'!G$5=Pat!$C$25,1,0),IF('wk4'!G70=Pat!B$27,1,0)),1,0)</f>
        <v>0</v>
      </c>
      <c r="I87" s="91">
        <f>IF(AND(IF('wk4'!C$5=Pat!$C$25,1,0),IF('wk4'!C69=Pat!C$27,1,0)),1,0)+IF(AND(IF('wk4'!D$5=Pat!$C$25,1,0),IF('wk4'!D69=Pat!C$27,1,0)),1,0)+IF(AND(IF('wk4'!E$5=Pat!$C$25,1,0),IF('wk4'!E69=Pat!C$27,1,0)),1,0)+IF(AND(IF('wk4'!F$5=Pat!$C$25,1,0),IF('wk4'!F69=Pat!C$27,1,0)),1,0)+IF(AND(IF('wk4'!G$5=Pat!$C$25,1,0),IF('wk4'!G69=Pat!C$27,1,0)),1,0)+IF(AND(IF('wk4'!H$5=Pat!$C$25,1,0),IF('wk4'!H69=Pat!C$27,1,0)),1,0)+IF(AND(IF('wk4'!B$5=Pat!$C$25,1,0),IF('wk4'!B69=Pat!C$27,1,0)),1,0)</f>
        <v>0</v>
      </c>
      <c r="J87" s="92">
        <f>IF(AND(IF('wk5'!B$5=Pat!$C$25,1,0),IF('wk5'!B70=Pat!B$27,1,0)),1,0)+IF(AND(IF('wk5'!C$5=Pat!$C$25,1,0),IF('wk5'!C70=Pat!B$27,1,0)),1,0)+IF(AND(IF('wk5'!D$5=Pat!$C$25,1,0),IF('wk5'!D70=Pat!B$27,1,0)),1,0)+IF(AND(IF('wk5'!E$5=Pat!$C$25,1,0),IF('wk5'!E70=Pat!B$27,1,0)),1,0)+IF(AND(IF('wk5'!F$5=Pat!$C$25,1,0),IF('wk5'!F70=Pat!B$27,1,0)),1,0)+IF(AND(IF('wk5'!G$5=Pat!$C$25,1,0),IF('wk5'!G70=Pat!B$27,1,0)),1,0)</f>
        <v>0</v>
      </c>
      <c r="K87" s="93">
        <f>IF(AND(IF('wk5'!C$5=Pat!$C$25,1,0),IF('wk5'!C69=Pat!C$27,1,0)),1,0)+IF(AND(IF('wk5'!D$5=Pat!$C$25,1,0),IF('wk5'!D69=Pat!C$27,1,0)),1,0)+IF(AND(IF('wk5'!E$5=Pat!$C$25,1,0),IF('wk5'!E69=Pat!C$27,1,0)),1,0)+IF(AND(IF('wk5'!F$5=Pat!$C$25,1,0),IF('wk5'!F69=Pat!C$27,1,0)),1,0)+IF(AND(IF('wk5'!G$5=Pat!$C$25,1,0),IF('wk5'!G69=Pat!C$27,1,0)),1,0)+IF(AND(IF('wk5'!H$5=Pat!$C$25,1,0),IF('wk5'!H69=Pat!C$27,1,0)),1,0)+IF(AND(IF('wk5'!B$5=Pat!$C$25,1,0),IF('wk5'!B69=Pat!C$27,1,0)),1,0)</f>
        <v>0</v>
      </c>
      <c r="L87" s="98"/>
      <c r="M87" s="98">
        <f t="shared" si="2"/>
        <v>0</v>
      </c>
      <c r="N87" s="99">
        <f t="shared" si="3"/>
        <v>0</v>
      </c>
    </row>
    <row r="88" spans="1:14" ht="13.5" thickTop="1">
      <c r="G88" s="95"/>
      <c r="H88" s="95"/>
      <c r="I88" s="95"/>
      <c r="J88" s="95"/>
      <c r="K88" s="95"/>
    </row>
    <row r="89" spans="1:14">
      <c r="G89" s="95"/>
      <c r="H89" s="95"/>
      <c r="I89" s="95"/>
      <c r="J89" s="95"/>
      <c r="K89" s="95"/>
    </row>
    <row r="90" spans="1:14">
      <c r="G90" s="95"/>
      <c r="H90" s="95"/>
      <c r="I90" s="95"/>
      <c r="J90" s="95"/>
      <c r="K90" s="95"/>
    </row>
    <row r="91" spans="1:14">
      <c r="G91" s="95"/>
      <c r="H91" s="95"/>
      <c r="I91" s="95"/>
      <c r="J91" s="95"/>
      <c r="K91" s="95"/>
    </row>
    <row r="92" spans="1:14">
      <c r="G92" s="95"/>
      <c r="H92" s="95"/>
      <c r="I92" s="95"/>
      <c r="J92" s="95"/>
      <c r="K92" s="95"/>
    </row>
    <row r="93" spans="1:14">
      <c r="G93" s="95"/>
      <c r="H93" s="95"/>
      <c r="I93" s="95"/>
      <c r="J93" s="95"/>
      <c r="K93" s="95"/>
    </row>
    <row r="94" spans="1:14">
      <c r="G94" s="95"/>
      <c r="H94" s="95"/>
      <c r="I94" s="95"/>
      <c r="J94" s="95"/>
      <c r="K94" s="95"/>
    </row>
    <row r="95" spans="1:14">
      <c r="D95" s="95"/>
      <c r="F95" s="95"/>
      <c r="G95" s="95"/>
      <c r="H95" s="95"/>
      <c r="I95" s="95"/>
      <c r="J95" s="95"/>
      <c r="K95" s="95"/>
    </row>
    <row r="96" spans="1:14">
      <c r="D96" s="95"/>
      <c r="F96" s="95"/>
      <c r="G96" s="95"/>
      <c r="H96" s="95"/>
      <c r="I96" s="95"/>
      <c r="J96" s="95"/>
      <c r="K96" s="95"/>
    </row>
    <row r="97" spans="4:11">
      <c r="D97" s="95"/>
      <c r="F97" s="95"/>
      <c r="G97" s="95"/>
      <c r="H97" s="95"/>
      <c r="I97" s="95"/>
      <c r="J97" s="95"/>
      <c r="K97" s="95"/>
    </row>
    <row r="98" spans="4:11">
      <c r="D98" s="95"/>
      <c r="E98" s="96"/>
      <c r="F98" s="95"/>
      <c r="G98" s="95"/>
      <c r="H98" s="95"/>
      <c r="I98" s="95"/>
      <c r="J98" s="95"/>
      <c r="K98" s="95"/>
    </row>
    <row r="99" spans="4:11">
      <c r="D99" s="95"/>
      <c r="E99" s="96"/>
      <c r="H99" s="95"/>
      <c r="I99" s="95"/>
      <c r="J99" s="95"/>
      <c r="K99" s="95"/>
    </row>
    <row r="100" spans="4:11">
      <c r="D100" s="95"/>
      <c r="E100" s="96"/>
      <c r="H100" s="95"/>
      <c r="I100" s="95"/>
      <c r="J100" s="95"/>
      <c r="K100" s="95"/>
    </row>
    <row r="101" spans="4:11">
      <c r="D101" s="95"/>
      <c r="E101" s="96"/>
      <c r="H101" s="95"/>
      <c r="I101" s="95"/>
      <c r="J101" s="95"/>
      <c r="K101" s="95"/>
    </row>
    <row r="102" spans="4:11">
      <c r="D102" s="95"/>
      <c r="E102" s="96"/>
      <c r="H102" s="95"/>
      <c r="I102" s="95"/>
      <c r="J102" s="95"/>
      <c r="K102" s="95"/>
    </row>
    <row r="103" spans="4:11">
      <c r="D103" s="95"/>
      <c r="E103" s="96"/>
      <c r="H103" s="95"/>
      <c r="I103" s="95"/>
      <c r="J103" s="95"/>
      <c r="K103" s="95"/>
    </row>
    <row r="104" spans="4:11">
      <c r="D104" s="95"/>
      <c r="E104" s="96"/>
      <c r="H104" s="95"/>
      <c r="I104" s="95"/>
      <c r="J104" s="95"/>
      <c r="K104" s="95"/>
    </row>
    <row r="105" spans="4:11">
      <c r="D105" s="95"/>
      <c r="H105" s="95"/>
      <c r="I105" s="95"/>
      <c r="J105" s="95"/>
      <c r="K105" s="95"/>
    </row>
    <row r="106" spans="4:11">
      <c r="D106" s="95"/>
      <c r="H106" s="95"/>
      <c r="I106" s="95"/>
      <c r="J106" s="95"/>
      <c r="K106" s="95"/>
    </row>
    <row r="107" spans="4:11">
      <c r="D107" s="95"/>
      <c r="H107" s="95"/>
      <c r="I107" s="95"/>
      <c r="J107" s="95"/>
      <c r="K107" s="95"/>
    </row>
    <row r="108" spans="4:11">
      <c r="H108" s="95"/>
      <c r="I108" s="95"/>
      <c r="J108" s="95"/>
      <c r="K108" s="95"/>
    </row>
    <row r="109" spans="4:11">
      <c r="H109" s="95"/>
      <c r="I109" s="95"/>
      <c r="J109" s="95"/>
      <c r="K109" s="95"/>
    </row>
    <row r="110" spans="4:11">
      <c r="H110" s="95"/>
      <c r="I110" s="95"/>
      <c r="J110" s="95"/>
      <c r="K110" s="95"/>
    </row>
    <row r="111" spans="4:11">
      <c r="H111" s="95"/>
      <c r="I111" s="95"/>
      <c r="J111" s="95"/>
      <c r="K111" s="95"/>
    </row>
    <row r="112" spans="4:11">
      <c r="D112" s="95"/>
      <c r="E112" s="96"/>
      <c r="H112" s="95"/>
      <c r="I112" s="95"/>
      <c r="J112" s="95"/>
      <c r="K112" s="95"/>
    </row>
    <row r="113" spans="4:11">
      <c r="D113" s="95"/>
      <c r="E113" s="96"/>
      <c r="H113" s="95"/>
      <c r="I113" s="95"/>
      <c r="J113" s="95"/>
      <c r="K113" s="95"/>
    </row>
    <row r="114" spans="4:11">
      <c r="D114" s="95"/>
      <c r="E114" s="96"/>
      <c r="H114" s="95"/>
      <c r="I114" s="95"/>
      <c r="J114" s="95"/>
      <c r="K114" s="95"/>
    </row>
    <row r="115" spans="4:11">
      <c r="D115" s="95"/>
      <c r="E115" s="96"/>
      <c r="H115" s="95"/>
      <c r="I115" s="95"/>
      <c r="J115" s="95"/>
      <c r="K115" s="95"/>
    </row>
    <row r="116" spans="4:11">
      <c r="D116" s="95"/>
      <c r="H116" s="95"/>
      <c r="I116" s="95"/>
      <c r="J116" s="95"/>
      <c r="K116" s="95"/>
    </row>
    <row r="117" spans="4:11">
      <c r="D117" s="95"/>
      <c r="H117" s="95"/>
      <c r="I117" s="95"/>
      <c r="J117" s="95"/>
      <c r="K117" s="95"/>
    </row>
    <row r="118" spans="4:11">
      <c r="D118" s="95"/>
      <c r="H118" s="95"/>
      <c r="I118" s="95"/>
      <c r="J118" s="95"/>
      <c r="K118" s="95"/>
    </row>
    <row r="119" spans="4:11">
      <c r="D119" s="95"/>
      <c r="H119" s="95"/>
      <c r="I119" s="95"/>
      <c r="J119" s="95"/>
      <c r="K119" s="95"/>
    </row>
    <row r="120" spans="4:11">
      <c r="H120" s="95"/>
      <c r="I120" s="95"/>
      <c r="J120" s="95"/>
      <c r="K120" s="95"/>
    </row>
    <row r="121" spans="4:11">
      <c r="H121" s="95"/>
      <c r="I121" s="95"/>
      <c r="J121" s="95"/>
      <c r="K121" s="95"/>
    </row>
    <row r="122" spans="4:11">
      <c r="H122" s="95"/>
      <c r="I122" s="95"/>
      <c r="J122" s="95"/>
      <c r="K122" s="95"/>
    </row>
    <row r="123" spans="4:11">
      <c r="H123" s="95"/>
      <c r="I123" s="95"/>
      <c r="J123" s="95"/>
      <c r="K123" s="95"/>
    </row>
    <row r="124" spans="4:11">
      <c r="H124" s="95"/>
      <c r="I124" s="95"/>
      <c r="J124" s="95"/>
      <c r="K124" s="95"/>
    </row>
    <row r="125" spans="4:11">
      <c r="H125" s="95"/>
      <c r="I125" s="95"/>
      <c r="J125" s="95"/>
      <c r="K125" s="95"/>
    </row>
    <row r="126" spans="4:11">
      <c r="H126" s="95"/>
      <c r="I126" s="95"/>
      <c r="J126" s="95"/>
      <c r="K126" s="95"/>
    </row>
    <row r="127" spans="4:11">
      <c r="H127" s="95"/>
      <c r="I127" s="95"/>
      <c r="J127" s="95"/>
      <c r="K127" s="95"/>
    </row>
    <row r="128" spans="4:11">
      <c r="H128" s="95"/>
      <c r="I128" s="95"/>
      <c r="J128" s="95"/>
      <c r="K128" s="95"/>
    </row>
    <row r="129" spans="8:11">
      <c r="H129" s="95"/>
      <c r="I129" s="95"/>
      <c r="J129" s="95"/>
      <c r="K129" s="95"/>
    </row>
    <row r="130" spans="8:11">
      <c r="H130" s="95"/>
      <c r="I130" s="95"/>
      <c r="J130" s="95"/>
      <c r="K130" s="95"/>
    </row>
    <row r="131" spans="8:11">
      <c r="H131" s="95"/>
      <c r="I131" s="95"/>
      <c r="J131" s="95"/>
      <c r="K131" s="95"/>
    </row>
    <row r="132" spans="8:11">
      <c r="H132" s="95"/>
      <c r="I132" s="95"/>
      <c r="J132" s="95"/>
      <c r="K132" s="95"/>
    </row>
    <row r="133" spans="8:11">
      <c r="H133" s="95"/>
      <c r="I133" s="95"/>
      <c r="J133" s="95"/>
      <c r="K133" s="95"/>
    </row>
    <row r="134" spans="8:11">
      <c r="H134" s="95"/>
      <c r="I134" s="95"/>
      <c r="J134" s="95"/>
      <c r="K134" s="95"/>
    </row>
    <row r="135" spans="8:11">
      <c r="H135" s="95"/>
      <c r="I135" s="95"/>
      <c r="J135" s="95"/>
      <c r="K135" s="95"/>
    </row>
    <row r="136" spans="8:11">
      <c r="H136" s="95"/>
      <c r="I136" s="95"/>
      <c r="J136" s="95"/>
      <c r="K136" s="95"/>
    </row>
  </sheetData>
  <mergeCells count="7">
    <mergeCell ref="M26:N26"/>
    <mergeCell ref="C25:D25"/>
    <mergeCell ref="B26:C26"/>
    <mergeCell ref="D26:E26"/>
    <mergeCell ref="F26:G26"/>
    <mergeCell ref="H26:I26"/>
    <mergeCell ref="J26:K26"/>
  </mergeCells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/>
  <headerFooter alignWithMargins="0">
    <oddHeader>&amp;C&amp;"Times New Roman,Regular"&amp;12&amp;A</oddHeader>
    <oddFooter>&amp;C&amp;"Times New Roman,Regular"&amp;12Page &amp;P</oddFooter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AQ51"/>
  <sheetViews>
    <sheetView zoomScale="101" zoomScaleNormal="101" workbookViewId="0">
      <selection activeCell="E10" sqref="E10"/>
    </sheetView>
  </sheetViews>
  <sheetFormatPr defaultRowHeight="12.75"/>
  <cols>
    <col min="2" max="2" width="12.7109375" customWidth="1"/>
    <col min="4" max="4" width="4.85546875" customWidth="1"/>
    <col min="5" max="5" width="4.5703125" customWidth="1"/>
    <col min="6" max="8" width="4.85546875" customWidth="1"/>
    <col min="9" max="9" width="4.5703125" customWidth="1"/>
    <col min="10" max="11" width="5" customWidth="1"/>
    <col min="12" max="12" width="5.42578125" customWidth="1"/>
    <col min="13" max="13" width="4.5703125" customWidth="1"/>
    <col min="14" max="14" width="4.28515625" customWidth="1"/>
    <col min="15" max="15" width="4.5703125" customWidth="1"/>
    <col min="16" max="16" width="5" customWidth="1"/>
    <col min="17" max="17" width="4.85546875" customWidth="1"/>
    <col min="18" max="18" width="4.5703125" customWidth="1"/>
    <col min="19" max="19" width="5.5703125" customWidth="1"/>
    <col min="20" max="20" width="4.5703125" customWidth="1"/>
    <col min="21" max="21" width="5" customWidth="1"/>
    <col min="22" max="22" width="4.85546875" customWidth="1"/>
    <col min="23" max="23" width="4.5703125" customWidth="1"/>
    <col min="24" max="24" width="4.28515625" customWidth="1"/>
    <col min="25" max="25" width="4.5703125" customWidth="1"/>
    <col min="26" max="26" width="5" customWidth="1"/>
    <col min="27" max="27" width="4.85546875" customWidth="1"/>
    <col min="28" max="28" width="4.5703125" customWidth="1"/>
    <col min="29" max="29" width="4.28515625" customWidth="1"/>
    <col min="30" max="30" width="4.5703125" customWidth="1"/>
    <col min="31" max="31" width="5" customWidth="1"/>
    <col min="32" max="32" width="4.85546875" customWidth="1"/>
    <col min="33" max="33" width="5.140625" customWidth="1"/>
    <col min="34" max="34" width="4.5703125" customWidth="1"/>
    <col min="35" max="35" width="5.5703125" customWidth="1"/>
    <col min="36" max="36" width="5.42578125" customWidth="1"/>
    <col min="37" max="37" width="5.140625" customWidth="1"/>
    <col min="38" max="38" width="3.7109375" customWidth="1"/>
    <col min="39" max="39" width="4.42578125" customWidth="1"/>
    <col min="40" max="40" width="4.85546875" customWidth="1"/>
    <col min="41" max="41" width="5.140625" customWidth="1"/>
    <col min="42" max="42" width="4.5703125" customWidth="1"/>
    <col min="43" max="43" width="5.5703125" customWidth="1"/>
  </cols>
  <sheetData>
    <row r="1" spans="1:43">
      <c r="B1" s="88" t="s">
        <v>67</v>
      </c>
      <c r="D1" s="510" t="s">
        <v>62</v>
      </c>
      <c r="E1" s="510"/>
      <c r="F1" s="510"/>
      <c r="G1" s="510"/>
      <c r="H1" s="510"/>
      <c r="I1" s="510"/>
      <c r="J1" s="510"/>
      <c r="K1" s="510"/>
      <c r="L1" s="510" t="s">
        <v>63</v>
      </c>
      <c r="M1" s="510"/>
      <c r="N1" s="510"/>
      <c r="O1" s="510"/>
      <c r="P1" s="510"/>
      <c r="Q1" s="510"/>
      <c r="R1" s="510"/>
      <c r="S1" s="510"/>
      <c r="T1" s="510" t="s">
        <v>64</v>
      </c>
      <c r="U1" s="510"/>
      <c r="V1" s="510"/>
      <c r="W1" s="510"/>
      <c r="X1" s="510"/>
      <c r="Y1" s="510"/>
      <c r="Z1" s="510"/>
      <c r="AA1" s="510"/>
      <c r="AB1" s="510" t="s">
        <v>65</v>
      </c>
      <c r="AC1" s="510"/>
      <c r="AD1" s="510"/>
      <c r="AE1" s="510"/>
      <c r="AF1" s="510"/>
      <c r="AG1" s="510"/>
      <c r="AH1" s="510"/>
      <c r="AI1" s="510"/>
      <c r="AJ1" s="510" t="s">
        <v>66</v>
      </c>
      <c r="AK1" s="510"/>
      <c r="AL1" s="510"/>
      <c r="AM1" s="510"/>
      <c r="AN1" s="510"/>
      <c r="AO1" s="510"/>
      <c r="AP1" s="510"/>
      <c r="AQ1" s="510"/>
    </row>
    <row r="2" spans="1:43">
      <c r="D2" s="100" t="s">
        <v>68</v>
      </c>
      <c r="E2" s="101" t="s">
        <v>69</v>
      </c>
      <c r="F2" s="101" t="s">
        <v>70</v>
      </c>
      <c r="G2" s="101" t="s">
        <v>71</v>
      </c>
      <c r="H2" s="101" t="s">
        <v>72</v>
      </c>
      <c r="I2" s="101" t="s">
        <v>73</v>
      </c>
      <c r="J2" s="102" t="s">
        <v>74</v>
      </c>
      <c r="K2" s="88" t="s">
        <v>6</v>
      </c>
      <c r="L2" s="100" t="s">
        <v>68</v>
      </c>
      <c r="M2" s="101" t="s">
        <v>69</v>
      </c>
      <c r="N2" s="101" t="s">
        <v>70</v>
      </c>
      <c r="O2" s="101" t="s">
        <v>71</v>
      </c>
      <c r="P2" s="101" t="s">
        <v>72</v>
      </c>
      <c r="Q2" s="101" t="s">
        <v>73</v>
      </c>
      <c r="R2" s="102" t="s">
        <v>74</v>
      </c>
      <c r="S2" s="88" t="s">
        <v>6</v>
      </c>
      <c r="T2" s="100" t="s">
        <v>68</v>
      </c>
      <c r="U2" s="101" t="s">
        <v>69</v>
      </c>
      <c r="V2" s="101" t="s">
        <v>70</v>
      </c>
      <c r="W2" s="101" t="s">
        <v>71</v>
      </c>
      <c r="X2" s="101" t="s">
        <v>72</v>
      </c>
      <c r="Y2" s="101" t="s">
        <v>73</v>
      </c>
      <c r="Z2" s="102" t="s">
        <v>74</v>
      </c>
      <c r="AA2" s="88" t="s">
        <v>6</v>
      </c>
      <c r="AB2" s="100" t="s">
        <v>68</v>
      </c>
      <c r="AC2" s="101" t="s">
        <v>69</v>
      </c>
      <c r="AD2" s="101" t="s">
        <v>70</v>
      </c>
      <c r="AE2" s="101" t="s">
        <v>71</v>
      </c>
      <c r="AF2" s="101" t="s">
        <v>72</v>
      </c>
      <c r="AG2" s="101" t="s">
        <v>73</v>
      </c>
      <c r="AH2" s="102" t="s">
        <v>74</v>
      </c>
      <c r="AI2" s="88" t="s">
        <v>6</v>
      </c>
      <c r="AJ2" s="100" t="s">
        <v>68</v>
      </c>
      <c r="AK2" s="101" t="s">
        <v>69</v>
      </c>
      <c r="AL2" s="101" t="s">
        <v>70</v>
      </c>
      <c r="AM2" s="101" t="s">
        <v>71</v>
      </c>
      <c r="AN2" s="101" t="s">
        <v>72</v>
      </c>
      <c r="AO2" s="101" t="s">
        <v>73</v>
      </c>
      <c r="AP2" s="102" t="s">
        <v>74</v>
      </c>
      <c r="AQ2" s="88" t="s">
        <v>6</v>
      </c>
    </row>
    <row r="3" spans="1:43"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103"/>
      <c r="R3" s="103"/>
      <c r="S3" s="103"/>
      <c r="T3" s="103"/>
      <c r="U3" s="103"/>
      <c r="V3" s="103"/>
      <c r="W3" s="103"/>
      <c r="X3" s="103"/>
      <c r="Y3" s="103"/>
      <c r="Z3" s="103"/>
      <c r="AA3" s="103"/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3"/>
      <c r="AO3" s="103"/>
      <c r="AP3" s="103"/>
      <c r="AQ3" s="103"/>
    </row>
    <row r="4" spans="1:43">
      <c r="A4" s="104" t="s">
        <v>14</v>
      </c>
      <c r="B4" s="105">
        <f>B9+B13+B30+B50+B25</f>
        <v>15</v>
      </c>
      <c r="D4" s="104">
        <f t="shared" ref="D4:AQ4" si="0">D9+D13+D30+D50</f>
        <v>0</v>
      </c>
      <c r="E4" s="106">
        <f t="shared" si="0"/>
        <v>0</v>
      </c>
      <c r="F4" s="107">
        <f t="shared" si="0"/>
        <v>0</v>
      </c>
      <c r="G4" s="107">
        <f t="shared" si="0"/>
        <v>0</v>
      </c>
      <c r="H4" s="106">
        <f t="shared" si="0"/>
        <v>0</v>
      </c>
      <c r="I4" s="106">
        <f t="shared" si="0"/>
        <v>0</v>
      </c>
      <c r="J4" s="107">
        <f t="shared" si="0"/>
        <v>0</v>
      </c>
      <c r="K4" s="108">
        <f t="shared" si="0"/>
        <v>0</v>
      </c>
      <c r="L4" s="106">
        <f t="shared" si="0"/>
        <v>0</v>
      </c>
      <c r="M4" s="106">
        <f t="shared" si="0"/>
        <v>0</v>
      </c>
      <c r="N4" s="107">
        <f t="shared" si="0"/>
        <v>0</v>
      </c>
      <c r="O4" s="107">
        <f t="shared" si="0"/>
        <v>0</v>
      </c>
      <c r="P4" s="106">
        <f t="shared" si="0"/>
        <v>0</v>
      </c>
      <c r="Q4" s="106">
        <f t="shared" si="0"/>
        <v>0</v>
      </c>
      <c r="R4" s="107">
        <f t="shared" si="0"/>
        <v>0</v>
      </c>
      <c r="S4" s="108">
        <f t="shared" si="0"/>
        <v>0</v>
      </c>
      <c r="T4" s="106">
        <f t="shared" si="0"/>
        <v>0</v>
      </c>
      <c r="U4" s="106">
        <f t="shared" si="0"/>
        <v>0</v>
      </c>
      <c r="V4" s="107">
        <f t="shared" si="0"/>
        <v>1</v>
      </c>
      <c r="W4" s="107">
        <f t="shared" si="0"/>
        <v>0</v>
      </c>
      <c r="X4" s="106">
        <f t="shared" si="0"/>
        <v>0</v>
      </c>
      <c r="Y4" s="106">
        <f t="shared" si="0"/>
        <v>0</v>
      </c>
      <c r="Z4" s="107">
        <f t="shared" si="0"/>
        <v>1</v>
      </c>
      <c r="AA4" s="108">
        <f t="shared" si="0"/>
        <v>2</v>
      </c>
      <c r="AB4" s="106">
        <f t="shared" si="0"/>
        <v>1</v>
      </c>
      <c r="AC4" s="106">
        <f t="shared" si="0"/>
        <v>0</v>
      </c>
      <c r="AD4" s="107">
        <f t="shared" si="0"/>
        <v>1</v>
      </c>
      <c r="AE4" s="107">
        <f t="shared" si="0"/>
        <v>0</v>
      </c>
      <c r="AF4" s="106">
        <f t="shared" si="0"/>
        <v>0</v>
      </c>
      <c r="AG4" s="106">
        <f t="shared" si="0"/>
        <v>0</v>
      </c>
      <c r="AH4" s="107">
        <f t="shared" si="0"/>
        <v>1</v>
      </c>
      <c r="AI4" s="108">
        <f t="shared" si="0"/>
        <v>3</v>
      </c>
      <c r="AJ4" s="106">
        <f t="shared" si="0"/>
        <v>1</v>
      </c>
      <c r="AK4" s="106">
        <f t="shared" si="0"/>
        <v>0</v>
      </c>
      <c r="AL4" s="107">
        <f t="shared" si="0"/>
        <v>1</v>
      </c>
      <c r="AM4" s="107">
        <f t="shared" si="0"/>
        <v>0</v>
      </c>
      <c r="AN4" s="106">
        <f t="shared" si="0"/>
        <v>0</v>
      </c>
      <c r="AO4" s="106">
        <f t="shared" si="0"/>
        <v>0</v>
      </c>
      <c r="AP4" s="107">
        <f t="shared" si="0"/>
        <v>0</v>
      </c>
      <c r="AQ4" s="108">
        <f t="shared" si="0"/>
        <v>2</v>
      </c>
    </row>
    <row r="5" spans="1:43">
      <c r="A5" s="109" t="s">
        <v>13</v>
      </c>
      <c r="B5" s="110">
        <f>B16+B32+B36+B44+B27</f>
        <v>53</v>
      </c>
      <c r="D5" s="109">
        <f t="shared" ref="D5:AQ5" si="1">D16+D32+D36+D44</f>
        <v>0</v>
      </c>
      <c r="E5" s="111">
        <f t="shared" si="1"/>
        <v>0</v>
      </c>
      <c r="F5" s="112">
        <f t="shared" si="1"/>
        <v>0</v>
      </c>
      <c r="G5" s="112">
        <f t="shared" si="1"/>
        <v>0</v>
      </c>
      <c r="H5" s="111">
        <f t="shared" si="1"/>
        <v>0</v>
      </c>
      <c r="I5" s="111">
        <f t="shared" si="1"/>
        <v>0</v>
      </c>
      <c r="J5" s="112">
        <f t="shared" si="1"/>
        <v>0</v>
      </c>
      <c r="K5" s="113">
        <f t="shared" si="1"/>
        <v>0</v>
      </c>
      <c r="L5" s="111">
        <f t="shared" si="1"/>
        <v>0</v>
      </c>
      <c r="M5" s="111">
        <f t="shared" si="1"/>
        <v>0</v>
      </c>
      <c r="N5" s="112">
        <f t="shared" si="1"/>
        <v>0</v>
      </c>
      <c r="O5" s="112">
        <f t="shared" si="1"/>
        <v>0</v>
      </c>
      <c r="P5" s="111">
        <f t="shared" si="1"/>
        <v>0</v>
      </c>
      <c r="Q5" s="111">
        <f t="shared" si="1"/>
        <v>0</v>
      </c>
      <c r="R5" s="112">
        <f t="shared" si="1"/>
        <v>0</v>
      </c>
      <c r="S5" s="113">
        <f t="shared" si="1"/>
        <v>0</v>
      </c>
      <c r="T5" s="111">
        <f t="shared" si="1"/>
        <v>7</v>
      </c>
      <c r="U5" s="111">
        <f t="shared" si="1"/>
        <v>0</v>
      </c>
      <c r="V5" s="112">
        <f t="shared" si="1"/>
        <v>7</v>
      </c>
      <c r="W5" s="112">
        <f t="shared" si="1"/>
        <v>0</v>
      </c>
      <c r="X5" s="111">
        <f t="shared" si="1"/>
        <v>0</v>
      </c>
      <c r="Y5" s="111">
        <f t="shared" si="1"/>
        <v>0</v>
      </c>
      <c r="Z5" s="112">
        <f t="shared" si="1"/>
        <v>4</v>
      </c>
      <c r="AA5" s="113">
        <f t="shared" si="1"/>
        <v>18</v>
      </c>
      <c r="AB5" s="111">
        <f t="shared" si="1"/>
        <v>4</v>
      </c>
      <c r="AC5" s="111">
        <f t="shared" si="1"/>
        <v>0</v>
      </c>
      <c r="AD5" s="112">
        <f t="shared" si="1"/>
        <v>4</v>
      </c>
      <c r="AE5" s="112">
        <f t="shared" si="1"/>
        <v>0</v>
      </c>
      <c r="AF5" s="111">
        <f t="shared" si="1"/>
        <v>0</v>
      </c>
      <c r="AG5" s="111">
        <f t="shared" si="1"/>
        <v>0</v>
      </c>
      <c r="AH5" s="112">
        <f t="shared" si="1"/>
        <v>4</v>
      </c>
      <c r="AI5" s="113">
        <f t="shared" si="1"/>
        <v>12</v>
      </c>
      <c r="AJ5" s="111">
        <f t="shared" si="1"/>
        <v>4</v>
      </c>
      <c r="AK5" s="111">
        <f t="shared" si="1"/>
        <v>0</v>
      </c>
      <c r="AL5" s="112">
        <f t="shared" si="1"/>
        <v>4</v>
      </c>
      <c r="AM5" s="112">
        <f t="shared" si="1"/>
        <v>0</v>
      </c>
      <c r="AN5" s="111">
        <f t="shared" si="1"/>
        <v>0</v>
      </c>
      <c r="AO5" s="111">
        <f t="shared" si="1"/>
        <v>0</v>
      </c>
      <c r="AP5" s="112">
        <f t="shared" si="1"/>
        <v>0</v>
      </c>
      <c r="AQ5" s="113">
        <f t="shared" si="1"/>
        <v>8</v>
      </c>
    </row>
    <row r="6" spans="1:43">
      <c r="A6" s="114" t="s">
        <v>4</v>
      </c>
      <c r="B6" s="115">
        <f>B10+B14+B15+B19+B22+B31+B35+B39+B42+B43+B47+B51+B26</f>
        <v>150</v>
      </c>
      <c r="D6" s="114">
        <f t="shared" ref="D6:AQ6" si="2">D10+D14+D15+D19+D22+D31+D35+D39+D42+D43+D47+D66</f>
        <v>0</v>
      </c>
      <c r="E6" s="116">
        <f t="shared" si="2"/>
        <v>0</v>
      </c>
      <c r="F6" s="117">
        <f t="shared" si="2"/>
        <v>0</v>
      </c>
      <c r="G6" s="117">
        <f t="shared" si="2"/>
        <v>0</v>
      </c>
      <c r="H6" s="116">
        <f t="shared" si="2"/>
        <v>0</v>
      </c>
      <c r="I6" s="116">
        <f t="shared" si="2"/>
        <v>0</v>
      </c>
      <c r="J6" s="117">
        <f t="shared" si="2"/>
        <v>0</v>
      </c>
      <c r="K6" s="118">
        <f t="shared" si="2"/>
        <v>0</v>
      </c>
      <c r="L6" s="116">
        <f t="shared" si="2"/>
        <v>0</v>
      </c>
      <c r="M6" s="116">
        <f t="shared" si="2"/>
        <v>0</v>
      </c>
      <c r="N6" s="117">
        <f t="shared" si="2"/>
        <v>0</v>
      </c>
      <c r="O6" s="117">
        <f t="shared" si="2"/>
        <v>0</v>
      </c>
      <c r="P6" s="116">
        <f t="shared" si="2"/>
        <v>0</v>
      </c>
      <c r="Q6" s="116">
        <f t="shared" si="2"/>
        <v>0</v>
      </c>
      <c r="R6" s="117">
        <f t="shared" si="2"/>
        <v>0</v>
      </c>
      <c r="S6" s="118">
        <f t="shared" si="2"/>
        <v>0</v>
      </c>
      <c r="T6" s="116">
        <f t="shared" si="2"/>
        <v>15</v>
      </c>
      <c r="U6" s="116">
        <f t="shared" si="2"/>
        <v>0</v>
      </c>
      <c r="V6" s="117">
        <f t="shared" si="2"/>
        <v>14</v>
      </c>
      <c r="W6" s="117">
        <f t="shared" si="2"/>
        <v>0</v>
      </c>
      <c r="X6" s="116">
        <f t="shared" si="2"/>
        <v>0</v>
      </c>
      <c r="Y6" s="116">
        <f t="shared" si="2"/>
        <v>0</v>
      </c>
      <c r="Z6" s="117">
        <f t="shared" si="2"/>
        <v>17</v>
      </c>
      <c r="AA6" s="118">
        <f t="shared" si="2"/>
        <v>46</v>
      </c>
      <c r="AB6" s="116">
        <f t="shared" si="2"/>
        <v>18</v>
      </c>
      <c r="AC6" s="116">
        <f t="shared" si="2"/>
        <v>0</v>
      </c>
      <c r="AD6" s="117">
        <f t="shared" si="2"/>
        <v>16</v>
      </c>
      <c r="AE6" s="117">
        <f t="shared" si="2"/>
        <v>0</v>
      </c>
      <c r="AF6" s="116">
        <f t="shared" si="2"/>
        <v>0</v>
      </c>
      <c r="AG6" s="116">
        <f t="shared" si="2"/>
        <v>0</v>
      </c>
      <c r="AH6" s="117">
        <f t="shared" si="2"/>
        <v>12</v>
      </c>
      <c r="AI6" s="118">
        <f t="shared" si="2"/>
        <v>46</v>
      </c>
      <c r="AJ6" s="116">
        <f t="shared" si="2"/>
        <v>18</v>
      </c>
      <c r="AK6" s="116">
        <f t="shared" si="2"/>
        <v>0</v>
      </c>
      <c r="AL6" s="117">
        <f t="shared" si="2"/>
        <v>13</v>
      </c>
      <c r="AM6" s="117">
        <f t="shared" si="2"/>
        <v>0</v>
      </c>
      <c r="AN6" s="116">
        <f t="shared" si="2"/>
        <v>0</v>
      </c>
      <c r="AO6" s="116">
        <f t="shared" si="2"/>
        <v>0</v>
      </c>
      <c r="AP6" s="117">
        <f t="shared" si="2"/>
        <v>0</v>
      </c>
      <c r="AQ6" s="118">
        <f t="shared" si="2"/>
        <v>31</v>
      </c>
    </row>
    <row r="7" spans="1:43">
      <c r="D7" s="119"/>
      <c r="E7" s="119"/>
      <c r="F7" s="119"/>
      <c r="G7" s="119"/>
      <c r="H7" s="119"/>
      <c r="I7" s="119"/>
      <c r="J7" s="119"/>
      <c r="K7" s="119"/>
      <c r="L7" s="119"/>
      <c r="M7" s="119"/>
      <c r="N7" s="119"/>
      <c r="O7" s="119"/>
      <c r="P7" s="119"/>
      <c r="Q7" s="119"/>
      <c r="R7" s="119"/>
      <c r="S7" s="119"/>
      <c r="T7" s="119"/>
      <c r="U7" s="119"/>
      <c r="V7" s="119"/>
      <c r="W7" s="119"/>
      <c r="X7" s="119"/>
      <c r="Y7" s="119"/>
      <c r="Z7" s="119"/>
      <c r="AA7" s="119"/>
      <c r="AB7" s="119"/>
      <c r="AC7" s="119"/>
      <c r="AD7" s="119"/>
      <c r="AE7" s="119"/>
      <c r="AF7" s="119"/>
      <c r="AG7" s="119"/>
      <c r="AH7" s="119"/>
      <c r="AI7" s="119"/>
      <c r="AJ7" s="119"/>
      <c r="AK7" s="119"/>
      <c r="AL7" s="119"/>
      <c r="AM7" s="119"/>
      <c r="AN7" s="119"/>
      <c r="AO7" s="119"/>
      <c r="AP7" s="119"/>
      <c r="AQ7" s="119"/>
    </row>
    <row r="8" spans="1:43">
      <c r="A8" s="104" t="s">
        <v>75</v>
      </c>
      <c r="B8" s="105"/>
      <c r="D8" s="103"/>
      <c r="E8" s="103"/>
      <c r="F8" s="103"/>
      <c r="G8" s="103"/>
      <c r="H8" s="103"/>
      <c r="I8" s="103"/>
      <c r="J8" s="103"/>
      <c r="K8" s="103"/>
      <c r="L8" s="103"/>
      <c r="M8" s="103"/>
      <c r="N8" s="103"/>
      <c r="O8" s="103"/>
      <c r="P8" s="103"/>
      <c r="Q8" s="103"/>
      <c r="R8" s="103"/>
      <c r="S8" s="103"/>
      <c r="T8" s="103"/>
      <c r="U8" s="103"/>
      <c r="V8" s="103"/>
      <c r="W8" s="103"/>
      <c r="X8" s="103"/>
      <c r="Y8" s="103"/>
      <c r="Z8" s="103"/>
      <c r="AA8" s="103"/>
      <c r="AB8" s="103"/>
      <c r="AC8" s="103"/>
      <c r="AD8" s="103"/>
      <c r="AE8" s="103"/>
      <c r="AF8" s="103"/>
      <c r="AG8" s="103"/>
      <c r="AH8" s="103"/>
      <c r="AI8" s="103"/>
      <c r="AJ8" s="103"/>
      <c r="AK8" s="103"/>
      <c r="AL8" s="103"/>
      <c r="AM8" s="103"/>
      <c r="AN8" s="103"/>
      <c r="AO8" s="103"/>
      <c r="AP8" s="103"/>
      <c r="AQ8" s="103"/>
    </row>
    <row r="9" spans="1:43" ht="15.75" thickBot="1">
      <c r="A9" s="109" t="s">
        <v>14</v>
      </c>
      <c r="B9" s="110">
        <f>K9+S9+AA9+AI9+AQ9</f>
        <v>0</v>
      </c>
      <c r="D9" s="120">
        <f>COUNTIFS('Members Data'!$C$2:$C$61, "Death Knight", 'Members Data'!$D$2:$D$61, "Tank", 'wk1'!B$10:B$69,"Confirmed")+COUNTIFS('Members Data'!$C$2:$C$61, "Death Knight", 'Members Data'!$D$2:$D$61, "Tank", 'wk1'!B$10:B$69,"Standby")</f>
        <v>0</v>
      </c>
      <c r="E9" s="120">
        <f>COUNTIFS('Members Data'!$C$2:$C$61, "Death Knight", 'Members Data'!$D$2:$D$61, "Tank", 'wk1'!C$10:C$69,"Confirmed")+COUNTIFS('Members Data'!$C$2:$C$61, "Death Knight", 'Members Data'!$D$2:$D$61, "Tank", 'wk1'!C$10:C$69,"Standby")</f>
        <v>0</v>
      </c>
      <c r="F9" s="120">
        <f>COUNTIFS('Members Data'!$C$2:$C$61, "Death Knight", 'Members Data'!$D$2:$D$61, "Tank", 'wk1'!D$10:D$69,"Confirmed")+COUNTIFS('Members Data'!$C$2:$C$61, "Death Knight", 'Members Data'!$D$2:$D$61, "Tank", 'wk1'!D$10:D$69,"Standby")</f>
        <v>0</v>
      </c>
      <c r="G9" s="120">
        <f>COUNTIFS('Members Data'!$C$2:$C$61, "Death Knight", 'Members Data'!$D$2:$D$61, "Tank", 'wk1'!E$10:E$69,"Confirmed")+COUNTIFS('Members Data'!$C$2:$C$61, "Death Knight", 'Members Data'!$D$2:$D$61, "Tank", 'wk1'!E$10:E$69,"Standby")</f>
        <v>0</v>
      </c>
      <c r="H9" s="120">
        <f>COUNTIFS('Members Data'!$C$2:$C$61, "Death Knight", 'Members Data'!$D$2:$D$61, "Tank", 'wk1'!F$10:F$69,"Confirmed")+COUNTIFS('Members Data'!$C$2:$C$61, "Death Knight", 'Members Data'!$D$2:$D$61, "Tank", 'wk1'!F$10:F$69,"Standby")</f>
        <v>0</v>
      </c>
      <c r="I9" s="120">
        <f>COUNTIFS('Members Data'!$C$2:$C$61, "Death Knight", 'Members Data'!$D$2:$D$61, "Tank", 'wk1'!G$10:G$69,"Confirmed")+COUNTIFS('Members Data'!$C$2:$C$61, "Death Knight", 'Members Data'!$D$2:$D$61, "Tank", 'wk1'!G$10:G$69,"Standby")</f>
        <v>0</v>
      </c>
      <c r="J9" s="120">
        <f>COUNTIFS('Members Data'!$C$2:$C$61, "Death Knight", 'Members Data'!$D$2:$D$61, "Tank", 'wk1'!H$10:H$69,"Confirmed")+COUNTIFS('Members Data'!$C$2:$C$61, "Death Knight", 'Members Data'!$D$2:$D$61, "Tank", 'wk1'!H$10:H$69,"Standby")</f>
        <v>0</v>
      </c>
      <c r="K9" s="108">
        <f>SUM(D9:J9)</f>
        <v>0</v>
      </c>
      <c r="L9" s="121">
        <f>COUNTIFS('Members Data'!$C$2:$C$61, "Death Knight", 'Members Data'!$D$2:$D$61, "Tank", 'wk2'!B$10:B$69,"Confirmed")+COUNTIFS('Members Data'!$C$2:$C$61, "Death Knight", 'Members Data'!$D$2:$D$61, "Tank", 'wk2'!B$10:B$69,"Standby")</f>
        <v>0</v>
      </c>
      <c r="M9" s="121">
        <f>COUNTIFS('Members Data'!$C$2:$C$61, "Death Knight", 'Members Data'!$D$2:$D$61, "Tank", 'wk2'!C$10:C$69,"Confirmed")+COUNTIFS('Members Data'!$C$2:$C$61, "Death Knight", 'Members Data'!$D$2:$D$61, "Tank", 'wk2'!C$10:C$69,"Standby")</f>
        <v>0</v>
      </c>
      <c r="N9" s="121">
        <f>COUNTIFS('Members Data'!$C$2:$C$61, "Death Knight", 'Members Data'!$D$2:$D$61, "Tank", 'wk2'!D$10:D$69,"Confirmed")+COUNTIFS('Members Data'!$C$2:$C$61, "Death Knight", 'Members Data'!$D$2:$D$61, "Tank", 'wk2'!D$10:D$69,"Standby")</f>
        <v>0</v>
      </c>
      <c r="O9" s="121">
        <f>COUNTIFS('Members Data'!$C$2:$C$61, "Death Knight", 'Members Data'!$D$2:$D$61, "Tank", 'wk2'!E$10:E$69,"Confirmed")+COUNTIFS('Members Data'!$C$2:$C$61, "Death Knight", 'Members Data'!$D$2:$D$61, "Tank", 'wk2'!E$10:E$69,"Standby")</f>
        <v>0</v>
      </c>
      <c r="P9" s="121">
        <f>COUNTIFS('Members Data'!$C$2:$C$61, "Death Knight", 'Members Data'!$D$2:$D$61, "Tank", 'wk2'!F$10:F$69,"Confirmed")+COUNTIFS('Members Data'!$C$2:$C$61, "Death Knight", 'Members Data'!$D$2:$D$61, "Tank", 'wk2'!F$10:F$69,"Standby")</f>
        <v>0</v>
      </c>
      <c r="Q9" s="121">
        <f>COUNTIFS('Members Data'!$C$2:$C$61, "Death Knight", 'Members Data'!$D$2:$D$61, "Tank", 'wk2'!G$10:G$69,"Confirmed")+COUNTIFS('Members Data'!$C$2:$C$61, "Death Knight", 'Members Data'!$D$2:$D$61, "Tank", 'wk2'!G$10:G$69,"Standby")</f>
        <v>0</v>
      </c>
      <c r="R9" s="121">
        <f>COUNTIFS('Members Data'!$C$2:$C$61, "Death Knight", 'Members Data'!$D$2:$D$61, "Tank", 'wk2'!H$10:H$69,"Confirmed")+COUNTIFS('Members Data'!$C$2:$C$61, "Death Knight", 'Members Data'!$D$2:$D$61, "Tank", 'wk2'!H$10:H$69,"Standby")</f>
        <v>0</v>
      </c>
      <c r="S9" s="108">
        <f>SUM(L9:R9)</f>
        <v>0</v>
      </c>
      <c r="T9" s="106">
        <f>COUNTIFS('Members Data'!$C$2:$C$61, "Death Knight", 'Members Data'!$D$2:$D$61, "Tank", 'wk3'!B$10:B$69,"Confirmed")+COUNTIFS('Members Data'!$C$2:$C$61, "Death Knight", 'Members Data'!$D$2:$D$61, "Tank", 'wk3'!B$10:B$69,"Standby")</f>
        <v>0</v>
      </c>
      <c r="U9" s="106">
        <f>COUNTIFS('Members Data'!$C$2:$C$61, "Death Knight", 'Members Data'!$D$2:$D$61, "Tank", 'wk3'!C$10:C$69,"Confirmed")+COUNTIFS('Members Data'!$C$2:$C$61, "Death Knight", 'Members Data'!$D$2:$D$61, "Tank", 'wk3'!C$10:C$69,"Standby")</f>
        <v>0</v>
      </c>
      <c r="V9" s="106">
        <f>COUNTIFS('Members Data'!$C$2:$C$61, "Death Knight", 'Members Data'!$D$2:$D$61, "Tank", 'wk3'!D$10:D$69,"Confirmed")+COUNTIFS('Members Data'!$C$2:$C$61, "Death Knight", 'Members Data'!$D$2:$D$61, "Tank", 'wk3'!D$10:D$69,"Standby")</f>
        <v>0</v>
      </c>
      <c r="W9" s="106">
        <f>COUNTIFS('Members Data'!$C$2:$C$61, "Death Knight", 'Members Data'!$D$2:$D$61, "Tank", 'wk3'!E$10:E$69,"Confirmed")+COUNTIFS('Members Data'!$C$2:$C$61, "Death Knight", 'Members Data'!$D$2:$D$61, "Tank", 'wk3'!E$10:E$69,"Standby")</f>
        <v>0</v>
      </c>
      <c r="X9" s="106">
        <f>COUNTIFS('Members Data'!$C$2:$C$61, "Death Knight", 'Members Data'!$D$2:$D$61, "Tank", 'wk3'!F$10:F$69,"Confirmed")+COUNTIFS('Members Data'!$C$2:$C$61, "Death Knight", 'Members Data'!$D$2:$D$61, "Tank", 'wk3'!F$10:F$69,"Standby")</f>
        <v>0</v>
      </c>
      <c r="Y9" s="106">
        <f>COUNTIFS('Members Data'!$C$2:$C$61, "Death Knight", 'Members Data'!$D$2:$D$61, "Tank", 'wk3'!G$10:G$69,"Confirmed")+COUNTIFS('Members Data'!$C$2:$C$61, "Death Knight", 'Members Data'!$D$2:$D$61, "Tank", 'wk3'!G$10:G$69,"Standby")</f>
        <v>0</v>
      </c>
      <c r="Z9" s="106">
        <f>COUNTIFS('Members Data'!$C$2:$C$61, "Death Knight", 'Members Data'!$D$2:$D$61, "Tank", 'wk3'!H$10:H$69,"Confirmed")+COUNTIFS('Members Data'!$C$2:$C$61, "Death Knight", 'Members Data'!$D$2:$D$61, "Tank", 'wk3'!H$10:H$69,"Standby")</f>
        <v>0</v>
      </c>
      <c r="AA9" s="108">
        <f>SUM(T9:Z9)</f>
        <v>0</v>
      </c>
      <c r="AB9" s="106">
        <f>COUNTIFS('Members Data'!$C$2:$C$61, "Death Knight", 'Members Data'!$D$2:$D$61, "Tank", 'wk4'!B$10:B$69,"Confirmed")+COUNTIFS('Members Data'!$C$2:$C$61, "Death Knight", 'Members Data'!$D$2:$D$61, "Tank", 'wk4'!B$10:B$69,"Standby")</f>
        <v>0</v>
      </c>
      <c r="AC9" s="106">
        <f>COUNTIFS('Members Data'!$C$2:$C$61, "Death Knight", 'Members Data'!$D$2:$D$61, "Tank", 'wk4'!C$10:C$69,"Confirmed")+COUNTIFS('Members Data'!$C$2:$C$61, "Death Knight", 'Members Data'!$D$2:$D$61, "Tank", 'wk4'!C$10:C$69,"Standby")</f>
        <v>0</v>
      </c>
      <c r="AD9" s="106">
        <f>COUNTIFS('Members Data'!$C$2:$C$61, "Death Knight", 'Members Data'!$D$2:$D$61, "Tank", 'wk4'!D$10:D$69,"Confirmed")+COUNTIFS('Members Data'!$C$2:$C$61, "Death Knight", 'Members Data'!$D$2:$D$61, "Tank", 'wk4'!D$10:D$69,"Standby")</f>
        <v>0</v>
      </c>
      <c r="AE9" s="106">
        <f>COUNTIFS('Members Data'!$C$2:$C$61, "Death Knight", 'Members Data'!$D$2:$D$61, "Tank", 'wk4'!E$10:E$69,"Confirmed")+COUNTIFS('Members Data'!$C$2:$C$61, "Death Knight", 'Members Data'!$D$2:$D$61, "Tank", 'wk4'!E$10:E$69,"Standby")</f>
        <v>0</v>
      </c>
      <c r="AF9" s="106">
        <f>COUNTIFS('Members Data'!$C$2:$C$61, "Death Knight", 'Members Data'!$D$2:$D$61, "Tank", 'wk4'!F$10:F$69,"Confirmed")+COUNTIFS('Members Data'!$C$2:$C$61, "Death Knight", 'Members Data'!$D$2:$D$61, "Tank", 'wk4'!F$10:F$69,"Standby")</f>
        <v>0</v>
      </c>
      <c r="AG9" s="106">
        <f>COUNTIFS('Members Data'!$C$2:$C$61, "Death Knight", 'Members Data'!$D$2:$D$61, "Tank", 'wk4'!G$10:G$69,"Confirmed")+COUNTIFS('Members Data'!$C$2:$C$61, "Death Knight", 'Members Data'!$D$2:$D$61, "Tank", 'wk4'!G$10:G$69,"Standby")</f>
        <v>0</v>
      </c>
      <c r="AH9" s="106">
        <f>COUNTIFS('Members Data'!$C$2:$C$61, "Death Knight", 'Members Data'!$D$2:$D$61, "Tank", 'wk4'!H$10:H$69,"Confirmed")+COUNTIFS('Members Data'!$C$2:$C$61, "Death Knight", 'Members Data'!$D$2:$D$61, "Tank", 'wk4'!H$10:H$69,"Standby")</f>
        <v>0</v>
      </c>
      <c r="AI9" s="108">
        <f>SUM(AB9:AH9)</f>
        <v>0</v>
      </c>
      <c r="AJ9" s="106">
        <f>COUNTIFS('Members Data'!$C$2:$C$61, "Death Knight", 'Members Data'!$D$2:$D$61, "Tank", 'wk5'!B$10:B$69,"Confirmed")+COUNTIFS('Members Data'!$C$2:$C$61, "Death Knight", 'Members Data'!$D$2:$D$61, "Tank", 'wk5'!B$10:B$69,"Standby")</f>
        <v>0</v>
      </c>
      <c r="AK9" s="106">
        <f>COUNTIFS('Members Data'!$C$2:$C$61, "Death Knight", 'Members Data'!$D$2:$D$61, "Tank", 'wk5'!C$10:C$69,"Confirmed")+COUNTIFS('Members Data'!$C$2:$C$61, "Death Knight", 'Members Data'!$D$2:$D$61, "Tank", 'wk5'!C$10:C$69,"Standby")</f>
        <v>0</v>
      </c>
      <c r="AL9" s="106">
        <f>COUNTIFS('Members Data'!$C$2:$C$61, "Death Knight", 'Members Data'!$D$2:$D$61, "Tank", 'wk5'!D$10:D$69,"Confirmed")+COUNTIFS('Members Data'!$C$2:$C$61, "Death Knight", 'Members Data'!$D$2:$D$61, "Tank", 'wk5'!D$10:D$69,"Standby")</f>
        <v>0</v>
      </c>
      <c r="AM9" s="106">
        <f>COUNTIFS('Members Data'!$C$2:$C$61, "Death Knight", 'Members Data'!$D$2:$D$61, "Tank", 'wk5'!E$10:E$69,"Confirmed")+COUNTIFS('Members Data'!$C$2:$C$61, "Death Knight", 'Members Data'!$D$2:$D$61, "Tank", 'wk5'!E$10:E$69,"Standby")</f>
        <v>0</v>
      </c>
      <c r="AN9" s="106">
        <f>COUNTIFS('Members Data'!$C$2:$C$61, "Death Knight", 'Members Data'!$D$2:$D$61, "Tank", 'wk5'!F$10:F$69,"Confirmed")+COUNTIFS('Members Data'!$C$2:$C$61, "Death Knight", 'Members Data'!$D$2:$D$61, "Tank", 'wk5'!F$10:F$69,"Standby")</f>
        <v>0</v>
      </c>
      <c r="AO9" s="106">
        <f>COUNTIFS('Members Data'!$C$2:$C$61, "Death Knight", 'Members Data'!$D$2:$D$61, "Tank", 'wk5'!G$10:G$69,"Confirmed")+COUNTIFS('Members Data'!$C$2:$C$61, "Death Knight", 'Members Data'!$D$2:$D$61, "Tank", 'wk5'!G$10:G$69,"Standby")</f>
        <v>0</v>
      </c>
      <c r="AP9" s="106">
        <f>COUNTIFS('Members Data'!$C$2:$C$61, "Death Knight", 'Members Data'!$D$2:$D$61, "Tank", 'wk5'!H$10:H$69,"Confirmed")+COUNTIFS('Members Data'!$C$2:$C$61, "Death Knight", 'Members Data'!$D$2:$D$61, "Tank", 'wk5'!H$10:H$69,"Standby")</f>
        <v>0</v>
      </c>
      <c r="AQ9" s="108">
        <f>SUM(AJ9:AP9)</f>
        <v>0</v>
      </c>
    </row>
    <row r="10" spans="1:43" ht="15.75" thickBot="1">
      <c r="A10" s="122" t="s">
        <v>77</v>
      </c>
      <c r="B10" s="115">
        <f>K10+S10+AA10+AI10+AQ10</f>
        <v>10</v>
      </c>
      <c r="D10" s="120">
        <f>COUNTIFS('Members Data'!$C$2:$C$61, "Death Knight", 'Members Data'!$D$2:$D$61, "MDPS", 'wk1'!B$10:B$69,"Confirmed")+COUNTIFS('Members Data'!$C$2:$C$61, "Death Knight", 'Members Data'!$D$2:$D$61, "MDPS", 'wk1'!B$10:B$69,"Standby")</f>
        <v>0</v>
      </c>
      <c r="E10" s="120">
        <f>COUNTIFS('Members Data'!$C$2:$C$61, "Death Knight", 'Members Data'!$D$2:$D$61, "MDPS", 'wk1'!C$10:C$69,"Confirmed")+COUNTIFS('Members Data'!$C$2:$C$61, "Death Knight", 'Members Data'!$D$2:$D$61, "MDPS", 'wk1'!C$10:C$69,"Standby")</f>
        <v>0</v>
      </c>
      <c r="F10" s="120">
        <f>COUNTIFS('Members Data'!$C$2:$C$61, "Death Knight", 'Members Data'!$D$2:$D$61, "MDPS", 'wk1'!D$10:D$69,"Confirmed")+COUNTIFS('Members Data'!$C$2:$C$61, "Death Knight", 'Members Data'!$D$2:$D$61, "MDPS", 'wk1'!D$10:D$69,"Standby")</f>
        <v>0</v>
      </c>
      <c r="G10" s="120">
        <f>COUNTIFS('Members Data'!$C$2:$C$61, "Death Knight", 'Members Data'!$D$2:$D$61, "MDPS", 'wk1'!E$10:E$69,"Confirmed")+COUNTIFS('Members Data'!$C$2:$C$61, "Death Knight", 'Members Data'!$D$2:$D$61, "MDPS", 'wk1'!E$10:E$69,"Standby")</f>
        <v>0</v>
      </c>
      <c r="H10" s="120">
        <f>COUNTIFS('Members Data'!$C$2:$C$61, "Death Knight", 'Members Data'!$D$2:$D$61, "MDPS", 'wk1'!F$10:F$69,"Confirmed")+COUNTIFS('Members Data'!$C$2:$C$61, "Death Knight", 'Members Data'!$D$2:$D$61, "MDPS", 'wk1'!F$10:F$69,"Standby")</f>
        <v>0</v>
      </c>
      <c r="I10" s="120">
        <f>COUNTIFS('Members Data'!$C$2:$C$61, "Death Knight", 'Members Data'!$D$2:$D$61, "MDPS", 'wk1'!G$10:G$69,"Confirmed")+COUNTIFS('Members Data'!$C$2:$C$61, "Death Knight", 'Members Data'!$D$2:$D$61, "MDPS", 'wk1'!G$10:G$69,"Standby")</f>
        <v>0</v>
      </c>
      <c r="J10" s="120">
        <f>COUNTIFS('Members Data'!$C$2:$C$61, "Death Knight", 'Members Data'!$D$2:$D$61, "MDPS", 'wk1'!H$10:H$69,"Confirmed")+COUNTIFS('Members Data'!$C$2:$C$61, "Death Knight", 'Members Data'!$D$2:$D$61, "MDPS", 'wk1'!H$10:H$69,"Standby")</f>
        <v>0</v>
      </c>
      <c r="K10" s="108">
        <f>SUM(D10:J10)</f>
        <v>0</v>
      </c>
      <c r="L10" s="121">
        <f>COUNTIFS('Members Data'!$C$2:$C$61, "Death Knight", 'Members Data'!$D$2:$D$61, "MDPS", 'wk2'!B$10:B$69,"Confirmed")+COUNTIFS('Members Data'!$C$2:$C$61, "Death Knight", 'Members Data'!$D$2:$D$61, "MDPS", 'wk2'!B$10:B$69,"Standby")</f>
        <v>0</v>
      </c>
      <c r="M10" s="121">
        <f>COUNTIFS('Members Data'!$C$2:$C$61, "Death Knight", 'Members Data'!$D$2:$D$61, "MDPS", 'wk2'!C$10:C$69,"Confirmed")+COUNTIFS('Members Data'!$C$2:$C$61, "Death Knight", 'Members Data'!$D$2:$D$61, "MDPS", 'wk2'!C$10:C$69,"Standby")</f>
        <v>0</v>
      </c>
      <c r="N10" s="121">
        <f>COUNTIFS('Members Data'!$C$2:$C$61, "Death Knight", 'Members Data'!$D$2:$D$61, "MDPS", 'wk2'!D$10:D$69,"Confirmed")+COUNTIFS('Members Data'!$C$2:$C$61, "Death Knight", 'Members Data'!$D$2:$D$61, "MDPS", 'wk2'!D$10:D$69,"Standby")</f>
        <v>0</v>
      </c>
      <c r="O10" s="121">
        <f>COUNTIFS('Members Data'!$C$2:$C$61, "Death Knight", 'Members Data'!$D$2:$D$61, "MDPS", 'wk2'!E$10:E$69,"Confirmed")+COUNTIFS('Members Data'!$C$2:$C$61, "Death Knight", 'Members Data'!$D$2:$D$61, "MDPS", 'wk2'!E$10:E$69,"Standby")</f>
        <v>0</v>
      </c>
      <c r="P10" s="121">
        <f>COUNTIFS('Members Data'!$C$2:$C$61, "Death Knight", 'Members Data'!$D$2:$D$61, "MDPS", 'wk2'!F$10:F$69,"Confirmed")+COUNTIFS('Members Data'!$C$2:$C$61, "Death Knight", 'Members Data'!$D$2:$D$61, "MDPS", 'wk2'!F$10:F$69,"Standby")</f>
        <v>0</v>
      </c>
      <c r="Q10" s="121">
        <f>COUNTIFS('Members Data'!$C$2:$C$61, "Death Knight", 'Members Data'!$D$2:$D$61, "MDPS", 'wk2'!G$10:G$69,"Confirmed")+COUNTIFS('Members Data'!$C$2:$C$61, "Death Knight", 'Members Data'!$D$2:$D$61, "MDPS", 'wk2'!G$10:G$69,"Standby")</f>
        <v>0</v>
      </c>
      <c r="R10" s="121">
        <f>COUNTIFS('Members Data'!$C$2:$C$61, "Death Knight", 'Members Data'!$D$2:$D$61, "MDPS", 'wk2'!H$10:H$69,"Confirmed")+COUNTIFS('Members Data'!$C$2:$C$61, "Death Knight", 'Members Data'!$D$2:$D$61, "MDPS", 'wk2'!H$10:H$69,"Standby")</f>
        <v>0</v>
      </c>
      <c r="S10" s="108">
        <f>SUM(L10:R10)</f>
        <v>0</v>
      </c>
      <c r="T10" s="106">
        <f>COUNTIFS('Members Data'!$C$2:$C$61, "Death Knight", 'Members Data'!$D$2:$D$61, "MDPS", 'wk3'!B$10:B$69,"Confirmed")+COUNTIFS('Members Data'!$C$2:$C$61, "Death Knight", 'Members Data'!$D$2:$D$61, "MDPS", 'wk3'!B$10:B$69,"Standby")</f>
        <v>2</v>
      </c>
      <c r="U10" s="106">
        <f>COUNTIFS('Members Data'!$C$2:$C$61, "Death Knight", 'Members Data'!$D$2:$D$61, "MDPS", 'wk3'!C$10:C$69,"Confirmed")+COUNTIFS('Members Data'!$C$2:$C$61, "Death Knight", 'Members Data'!$D$2:$D$61, "MDPS", 'wk3'!C$10:C$69,"Standby")</f>
        <v>0</v>
      </c>
      <c r="V10" s="106">
        <f>COUNTIFS('Members Data'!$C$2:$C$61, "Death Knight", 'Members Data'!$D$2:$D$61, "MDPS", 'wk3'!D$10:D$69,"Confirmed")+COUNTIFS('Members Data'!$C$2:$C$61, "Death Knight", 'Members Data'!$D$2:$D$61, "MDPS", 'wk3'!D$10:D$69,"Standby")</f>
        <v>2</v>
      </c>
      <c r="W10" s="106">
        <f>COUNTIFS('Members Data'!$C$2:$C$61, "Death Knight", 'Members Data'!$D$2:$D$61, "MDPS", 'wk3'!E$10:E$69,"Confirmed")+COUNTIFS('Members Data'!$C$2:$C$61, "Death Knight", 'Members Data'!$D$2:$D$61, "MDPS", 'wk3'!E$10:E$69,"Standby")</f>
        <v>0</v>
      </c>
      <c r="X10" s="106">
        <f>COUNTIFS('Members Data'!$C$2:$C$61, "Death Knight", 'Members Data'!$D$2:$D$61, "MDPS", 'wk3'!F$10:F$69,"Confirmed")+COUNTIFS('Members Data'!$C$2:$C$61, "Death Knight", 'Members Data'!$D$2:$D$61, "MDPS", 'wk3'!F$10:F$69,"Standby")</f>
        <v>0</v>
      </c>
      <c r="Y10" s="106">
        <f>COUNTIFS('Members Data'!$C$2:$C$61, "Death Knight", 'Members Data'!$D$2:$D$61, "MDPS", 'wk3'!G$10:G$69,"Confirmed")+COUNTIFS('Members Data'!$C$2:$C$61, "Death Knight", 'Members Data'!$D$2:$D$61, "MDPS", 'wk3'!G$10:G$69,"Standby")</f>
        <v>0</v>
      </c>
      <c r="Z10" s="106">
        <f>COUNTIFS('Members Data'!$C$2:$C$61, "Death Knight", 'Members Data'!$D$2:$D$61, "MDPS", 'wk3'!H$10:H$69,"Confirmed")+COUNTIFS('Members Data'!$C$2:$C$61, "Death Knight", 'Members Data'!$D$2:$D$61, "MDPS", 'wk3'!H$10:H$69,"Standby")</f>
        <v>1</v>
      </c>
      <c r="AA10" s="108">
        <f>SUM(T10:Z10)</f>
        <v>5</v>
      </c>
      <c r="AB10" s="106">
        <f>COUNTIFS('Members Data'!$C$2:$C$61, "Death Knight", 'Members Data'!$D$2:$D$61, "MDPS", 'wk4'!B$10:B$69,"Confirmed")+COUNTIFS('Members Data'!$C$2:$C$61, "Death Knight", 'Members Data'!$D$2:$D$61, "MDPS", 'wk4'!B$10:B$69,"Standby")</f>
        <v>1</v>
      </c>
      <c r="AC10" s="106">
        <f>COUNTIFS('Members Data'!$C$2:$C$61, "Death Knight", 'Members Data'!$D$2:$D$61, "MDPS", 'wk4'!C$10:C$69,"Confirmed")+COUNTIFS('Members Data'!$C$2:$C$61, "Death Knight", 'Members Data'!$D$2:$D$61, "MDPS", 'wk4'!C$10:C$69,"Standby")</f>
        <v>0</v>
      </c>
      <c r="AD10" s="106">
        <f>COUNTIFS('Members Data'!$C$2:$C$61, "Death Knight", 'Members Data'!$D$2:$D$61, "MDPS", 'wk4'!D$10:D$69,"Confirmed")+COUNTIFS('Members Data'!$C$2:$C$61, "Death Knight", 'Members Data'!$D$2:$D$61, "MDPS", 'wk4'!D$10:D$69,"Standby")</f>
        <v>1</v>
      </c>
      <c r="AE10" s="106">
        <f>COUNTIFS('Members Data'!$C$2:$C$61, "Death Knight", 'Members Data'!$D$2:$D$61, "MDPS", 'wk4'!E$10:E$69,"Confirmed")+COUNTIFS('Members Data'!$C$2:$C$61, "Death Knight", 'Members Data'!$D$2:$D$61, "MDPS", 'wk4'!E$10:E$69,"Standby")</f>
        <v>0</v>
      </c>
      <c r="AF10" s="106">
        <f>COUNTIFS('Members Data'!$C$2:$C$61, "Death Knight", 'Members Data'!$D$2:$D$61, "MDPS", 'wk4'!F$10:F$69,"Confirmed")+COUNTIFS('Members Data'!$C$2:$C$61, "Death Knight", 'Members Data'!$D$2:$D$61, "MDPS", 'wk4'!F$10:F$69,"Standby")</f>
        <v>0</v>
      </c>
      <c r="AG10" s="106">
        <f>COUNTIFS('Members Data'!$C$2:$C$61, "Death Knight", 'Members Data'!$D$2:$D$61, "MDPS", 'wk4'!G$10:G$69,"Confirmed")+COUNTIFS('Members Data'!$C$2:$C$61, "Death Knight", 'Members Data'!$D$2:$D$61, "MDPS", 'wk4'!G$10:G$69,"Standby")</f>
        <v>0</v>
      </c>
      <c r="AH10" s="106">
        <f>COUNTIFS('Members Data'!$C$2:$C$61, "Death Knight", 'Members Data'!$D$2:$D$61, "MDPS", 'wk4'!H$10:H$69,"Confirmed")+COUNTIFS('Members Data'!$C$2:$C$61, "Death Knight", 'Members Data'!$D$2:$D$61, "MDPS", 'wk4'!H$10:H$69,"Standby")</f>
        <v>1</v>
      </c>
      <c r="AI10" s="108">
        <f>SUM(AB10:AH10)</f>
        <v>3</v>
      </c>
      <c r="AJ10" s="106">
        <f>COUNTIFS('Members Data'!$C$2:$C$61, "Death Knight", 'Members Data'!$D$2:$D$61, "MDPS", 'wk5'!B$10:B$69,"Confirmed")+COUNTIFS('Members Data'!$C$2:$C$61, "Death Knight", 'Members Data'!$D$2:$D$61, "MDPS", 'wk5'!B$10:B$69,"Standby")</f>
        <v>1</v>
      </c>
      <c r="AK10" s="106">
        <f>COUNTIFS('Members Data'!$C$2:$C$61, "Death Knight", 'Members Data'!$D$2:$D$61, "MDPS", 'wk5'!C$10:C$69,"Confirmed")+COUNTIFS('Members Data'!$C$2:$C$61, "Death Knight", 'Members Data'!$D$2:$D$61, "MDPS", 'wk5'!C$10:C$69,"Standby")</f>
        <v>0</v>
      </c>
      <c r="AL10" s="106">
        <f>COUNTIFS('Members Data'!$C$2:$C$61, "Death Knight", 'Members Data'!$D$2:$D$61, "MDPS", 'wk5'!D$10:D$69,"Confirmed")+COUNTIFS('Members Data'!$C$2:$C$61, "Death Knight", 'Members Data'!$D$2:$D$61, "MDPS", 'wk5'!D$10:D$69,"Standby")</f>
        <v>1</v>
      </c>
      <c r="AM10" s="106">
        <f>COUNTIFS('Members Data'!$C$2:$C$61, "Death Knight", 'Members Data'!$D$2:$D$61, "MDPS", 'wk5'!E$10:E$69,"Confirmed")+COUNTIFS('Members Data'!$C$2:$C$61, "Death Knight", 'Members Data'!$D$2:$D$61, "MDPS", 'wk5'!E$10:E$69,"Standby")</f>
        <v>0</v>
      </c>
      <c r="AN10" s="106">
        <f>COUNTIFS('Members Data'!$C$2:$C$61, "Death Knight", 'Members Data'!$D$2:$D$61, "MDPS", 'wk5'!F$10:F$69,"Confirmed")+COUNTIFS('Members Data'!$C$2:$C$61, "Death Knight", 'Members Data'!$D$2:$D$61, "MDPS", 'wk5'!F$10:F$69,"Standby")</f>
        <v>0</v>
      </c>
      <c r="AO10" s="106">
        <f>COUNTIFS('Members Data'!$C$2:$C$61, "Death Knight", 'Members Data'!$D$2:$D$61, "MDPS", 'wk5'!G$10:G$69,"Confirmed")+COUNTIFS('Members Data'!$C$2:$C$61, "Death Knight", 'Members Data'!$D$2:$D$61, "MDPS", 'wk5'!G$10:G$69,"Standby")</f>
        <v>0</v>
      </c>
      <c r="AP10" s="106">
        <f>COUNTIFS('Members Data'!$C$2:$C$61, "Death Knight", 'Members Data'!$D$2:$D$61, "MDPS", 'wk5'!H$10:H$69,"Confirmed")+COUNTIFS('Members Data'!$C$2:$C$61, "Death Knight", 'Members Data'!$D$2:$D$61, "MDPS", 'wk5'!H$10:H$69,"Standby")</f>
        <v>0</v>
      </c>
      <c r="AQ10" s="108">
        <f>SUM(AJ10:AP10)</f>
        <v>2</v>
      </c>
    </row>
    <row r="11" spans="1:43" ht="13.5" thickBot="1"/>
    <row r="12" spans="1:43">
      <c r="A12" s="104" t="s">
        <v>16</v>
      </c>
      <c r="B12" s="105"/>
    </row>
    <row r="13" spans="1:43" ht="15.75" thickBot="1">
      <c r="A13" s="109" t="s">
        <v>14</v>
      </c>
      <c r="B13" s="110">
        <f>K13+S13+AA13+AI13+AQ13</f>
        <v>0</v>
      </c>
      <c r="D13" s="120">
        <f>COUNTIFS('Members Data'!$C$2:$C$61, "Druid", 'Members Data'!$D$2:$D$61, "Tank", 'wk1'!B$10:B$69,"Confirmed")+COUNTIFS('Members Data'!$C$2:$C$61, "Druid", 'Members Data'!$D$2:$D$61, "Tank", 'wk1'!B$10:B$69,"Standby")</f>
        <v>0</v>
      </c>
      <c r="E13" s="120">
        <f>COUNTIFS('Members Data'!$C$2:$C$61, "Druid", 'Members Data'!$D$2:$D$61, "Tank", 'wk1'!C$10:C$69,"Confirmed")+COUNTIFS('Members Data'!$C$2:$C$61, "Druid", 'Members Data'!$D$2:$D$61, "Tank", 'wk1'!C$10:C$69,"Standby")</f>
        <v>0</v>
      </c>
      <c r="F13" s="120">
        <f>COUNTIFS('Members Data'!$C$2:$C$61, "Druid", 'Members Data'!$D$2:$D$61, "Tank", 'wk1'!D$10:D$69,"Confirmed")+COUNTIFS('Members Data'!$C$2:$C$61, "Druid", 'Members Data'!$D$2:$D$61, "Tank", 'wk1'!D$10:D$69,"Standby")</f>
        <v>0</v>
      </c>
      <c r="G13" s="120">
        <f>COUNTIFS('Members Data'!$C$2:$C$61, "Druid", 'Members Data'!$D$2:$D$61, "Tank", 'wk1'!E$10:E$69,"Confirmed")+COUNTIFS('Members Data'!$C$2:$C$61, "Druid", 'Members Data'!$D$2:$D$61, "Tank", 'wk1'!E$10:E$69,"Standby")</f>
        <v>0</v>
      </c>
      <c r="H13" s="120">
        <f>COUNTIFS('Members Data'!$C$2:$C$61, "Druid", 'Members Data'!$D$2:$D$61, "Tank", 'wk1'!F$10:F$69,"Confirmed")+COUNTIFS('Members Data'!$C$2:$C$61, "Druid", 'Members Data'!$D$2:$D$61, "Tank", 'wk1'!F$10:F$69,"Standby")</f>
        <v>0</v>
      </c>
      <c r="I13" s="120">
        <f>COUNTIFS('Members Data'!$C$2:$C$61, "Druid", 'Members Data'!$D$2:$D$61, "Tank", 'wk1'!G$10:G$69,"Confirmed")+COUNTIFS('Members Data'!$C$2:$C$61, "Druid", 'Members Data'!$D$2:$D$61, "Tank", 'wk1'!G$10:G$69,"Standby")</f>
        <v>0</v>
      </c>
      <c r="J13" s="120">
        <f>COUNTIFS('Members Data'!$C$2:$C$61, "Druid", 'Members Data'!$D$2:$D$61, "Tank", 'wk1'!H$10:H$69,"Confirmed")+COUNTIFS('Members Data'!$C$2:$C$61, "Druid", 'Members Data'!$D$2:$D$61, "Tank", 'wk1'!H$10:H$69,"Standby")</f>
        <v>0</v>
      </c>
      <c r="K13" s="108">
        <f>SUM(D13:J13)</f>
        <v>0</v>
      </c>
      <c r="L13" s="121">
        <f>COUNTIFS('Members Data'!$C$2:$C$61, "Druid", 'Members Data'!$D$2:$D$61, "Tank", 'wk2'!B$10:B$69,"Confirmed")+COUNTIFS('Members Data'!$C$2:$C$61, "Druid", 'Members Data'!$D$2:$D$61, "Tank", 'wk2'!B$10:B$69,"Standby")</f>
        <v>0</v>
      </c>
      <c r="M13" s="121">
        <f>COUNTIFS('Members Data'!$C$2:$C$61, "Druid", 'Members Data'!$D$2:$D$61, "Tank", 'wk2'!C$10:C$69,"Confirmed")+COUNTIFS('Members Data'!$C$2:$C$61, "Druid", 'Members Data'!$D$2:$D$61, "Tank", 'wk2'!C$10:C$69,"Standby")</f>
        <v>0</v>
      </c>
      <c r="N13" s="121">
        <f>COUNTIFS('Members Data'!$C$2:$C$61, "Druid", 'Members Data'!$D$2:$D$61, "Tank", 'wk2'!D$10:D$69,"Confirmed")+COUNTIFS('Members Data'!$C$2:$C$61, "Druid", 'Members Data'!$D$2:$D$61, "Tank", 'wk2'!D$10:D$69,"Standby")</f>
        <v>0</v>
      </c>
      <c r="O13" s="121">
        <f>COUNTIFS('Members Data'!$C$2:$C$61, "Druid", 'Members Data'!$D$2:$D$61, "Tank", 'wk2'!E$10:E$69,"Confirmed")+COUNTIFS('Members Data'!$C$2:$C$61, "Druid", 'Members Data'!$D$2:$D$61, "Tank", 'wk2'!E$10:E$69,"Standby")</f>
        <v>0</v>
      </c>
      <c r="P13" s="121">
        <f>COUNTIFS('Members Data'!$C$2:$C$61, "Druid", 'Members Data'!$D$2:$D$61, "Tank", 'wk2'!F$10:F$69,"Confirmed")+COUNTIFS('Members Data'!$C$2:$C$61, "Druid", 'Members Data'!$D$2:$D$61, "Tank", 'wk2'!F$10:F$69,"Standby")</f>
        <v>0</v>
      </c>
      <c r="Q13" s="121">
        <f>COUNTIFS('Members Data'!$C$2:$C$61, "Druid", 'Members Data'!$D$2:$D$61, "Tank", 'wk2'!G$10:G$69,"Confirmed")+COUNTIFS('Members Data'!$C$2:$C$61, "Druid", 'Members Data'!$D$2:$D$61, "Tank", 'wk2'!G$10:G$69,"Standby")</f>
        <v>0</v>
      </c>
      <c r="R13" s="121">
        <f>COUNTIFS('Members Data'!$C$2:$C$61, "Druid", 'Members Data'!$D$2:$D$61, "Tank", 'wk2'!H$10:H$69,"Confirmed")+COUNTIFS('Members Data'!$C$2:$C$61, "Druid", 'Members Data'!$D$2:$D$61, "Tank", 'wk2'!H$10:H$69,"Standby")</f>
        <v>0</v>
      </c>
      <c r="S13" s="108">
        <f>SUM(L13:R13)</f>
        <v>0</v>
      </c>
      <c r="T13" s="106">
        <f>COUNTIFS('Members Data'!$C$2:$C$61, "Druid", 'Members Data'!$D$2:$D$61, "Tank", 'wk3'!B$10:B$69,"Confirmed")+COUNTIFS('Members Data'!$C$2:$C$61, "Druid", 'Members Data'!$D$2:$D$61, "Tank", 'wk3'!B$10:B$69,"Standby")</f>
        <v>0</v>
      </c>
      <c r="U13" s="106">
        <f>COUNTIFS('Members Data'!$C$2:$C$61, "Druid", 'Members Data'!$D$2:$D$61, "Tank", 'wk3'!C$10:C$69,"Confirmed")+COUNTIFS('Members Data'!$C$2:$C$61, "Druid", 'Members Data'!$D$2:$D$61, "Tank", 'wk3'!C$10:C$69,"Standby")</f>
        <v>0</v>
      </c>
      <c r="V13" s="106">
        <f>COUNTIFS('Members Data'!$C$2:$C$61, "Druid", 'Members Data'!$D$2:$D$61, "Tank", 'wk3'!D$10:D$69,"Confirmed")+COUNTIFS('Members Data'!$C$2:$C$61, "Druid", 'Members Data'!$D$2:$D$61, "Tank", 'wk3'!D$10:D$69,"Standby")</f>
        <v>0</v>
      </c>
      <c r="W13" s="106">
        <f>COUNTIFS('Members Data'!$C$2:$C$61, "Druid", 'Members Data'!$D$2:$D$61, "Tank", 'wk3'!E$10:E$69,"Confirmed")+COUNTIFS('Members Data'!$C$2:$C$61, "Druid", 'Members Data'!$D$2:$D$61, "Tank", 'wk3'!E$10:E$69,"Standby")</f>
        <v>0</v>
      </c>
      <c r="X13" s="106">
        <f>COUNTIFS('Members Data'!$C$2:$C$61, "Druid", 'Members Data'!$D$2:$D$61, "Tank", 'wk3'!F$10:F$69,"Confirmed")+COUNTIFS('Members Data'!$C$2:$C$61, "Druid", 'Members Data'!$D$2:$D$61, "Tank", 'wk3'!F$10:F$69,"Standby")</f>
        <v>0</v>
      </c>
      <c r="Y13" s="106">
        <f>COUNTIFS('Members Data'!$C$2:$C$61, "Druid", 'Members Data'!$D$2:$D$61, "Tank", 'wk3'!G$10:G$69,"Confirmed")+COUNTIFS('Members Data'!$C$2:$C$61, "Druid", 'Members Data'!$D$2:$D$61, "Tank", 'wk3'!G$10:G$69,"Standby")</f>
        <v>0</v>
      </c>
      <c r="Z13" s="106">
        <f>COUNTIFS('Members Data'!$C$2:$C$61, "Druid", 'Members Data'!$D$2:$D$61, "Tank", 'wk3'!H$10:H$69,"Confirmed")+COUNTIFS('Members Data'!$C$2:$C$61, "Druid", 'Members Data'!$D$2:$D$61, "Tank", 'wk3'!H$10:H$69,"Standby")</f>
        <v>0</v>
      </c>
      <c r="AA13" s="108">
        <f>SUM(T13:Z13)</f>
        <v>0</v>
      </c>
      <c r="AB13" s="106">
        <f>COUNTIFS('Members Data'!$C$2:$C$61, "Druid", 'Members Data'!$D$2:$D$61, "Tank", 'wk4'!B$10:B$69,"Confirmed")+COUNTIFS('Members Data'!$C$2:$C$61, "Druid", 'Members Data'!$D$2:$D$61, "Tank", 'wk4'!B$10:B$69,"Standby")</f>
        <v>0</v>
      </c>
      <c r="AC13" s="106">
        <f>COUNTIFS('Members Data'!$C$2:$C$61, "Druid", 'Members Data'!$D$2:$D$61, "Tank", 'wk4'!C$10:C$69,"Confirmed")+COUNTIFS('Members Data'!$C$2:$C$61, "Druid", 'Members Data'!$D$2:$D$61, "Tank", 'wk4'!C$10:C$69,"Standby")</f>
        <v>0</v>
      </c>
      <c r="AD13" s="106">
        <f>COUNTIFS('Members Data'!$C$2:$C$61, "Druid", 'Members Data'!$D$2:$D$61, "Tank", 'wk4'!D$10:D$69,"Confirmed")+COUNTIFS('Members Data'!$C$2:$C$61, "Druid", 'Members Data'!$D$2:$D$61, "Tank", 'wk4'!D$10:D$69,"Standby")</f>
        <v>0</v>
      </c>
      <c r="AE13" s="106">
        <f>COUNTIFS('Members Data'!$C$2:$C$61, "Druid", 'Members Data'!$D$2:$D$61, "Tank", 'wk4'!E$10:E$69,"Confirmed")+COUNTIFS('Members Data'!$C$2:$C$61, "Druid", 'Members Data'!$D$2:$D$61, "Tank", 'wk4'!E$10:E$69,"Standby")</f>
        <v>0</v>
      </c>
      <c r="AF13" s="106">
        <f>COUNTIFS('Members Data'!$C$2:$C$61, "Druid", 'Members Data'!$D$2:$D$61, "Tank", 'wk4'!F$10:F$69,"Confirmed")+COUNTIFS('Members Data'!$C$2:$C$61, "Druid", 'Members Data'!$D$2:$D$61, "Tank", 'wk4'!F$10:F$69,"Standby")</f>
        <v>0</v>
      </c>
      <c r="AG13" s="106">
        <f>COUNTIFS('Members Data'!$C$2:$C$61, "Druid", 'Members Data'!$D$2:$D$61, "Tank", 'wk4'!G$10:G$69,"Confirmed")+COUNTIFS('Members Data'!$C$2:$C$61, "Druid", 'Members Data'!$D$2:$D$61, "Tank", 'wk4'!G$10:G$69,"Standby")</f>
        <v>0</v>
      </c>
      <c r="AH13" s="106">
        <f>COUNTIFS('Members Data'!$C$2:$C$61, "Druid", 'Members Data'!$D$2:$D$61, "Tank", 'wk4'!H$10:H$69,"Confirmed")+COUNTIFS('Members Data'!$C$2:$C$61, "Druid", 'Members Data'!$D$2:$D$61, "Tank", 'wk4'!H$10:H$69,"Standby")</f>
        <v>0</v>
      </c>
      <c r="AI13" s="108">
        <f>SUM(AB13:AH13)</f>
        <v>0</v>
      </c>
      <c r="AJ13" s="106">
        <f>COUNTIFS('Members Data'!$C$2:$C$61, "Druid", 'Members Data'!$D$2:$D$61, "Tank", 'wk5'!B$10:B$69,"Confirmed")+COUNTIFS('Members Data'!$C$2:$C$61, "Druid", 'Members Data'!$D$2:$D$61, "Tank", 'wk5'!B$10:B$69,"Standby")</f>
        <v>0</v>
      </c>
      <c r="AK13" s="106">
        <f>COUNTIFS('Members Data'!$C$2:$C$61, "Druid", 'Members Data'!$D$2:$D$61, "Tank", 'wk5'!C$10:C$69,"Confirmed")+COUNTIFS('Members Data'!$C$2:$C$61, "Druid", 'Members Data'!$D$2:$D$61, "Tank", 'wk5'!C$10:C$69,"Standby")</f>
        <v>0</v>
      </c>
      <c r="AL13" s="106">
        <f>COUNTIFS('Members Data'!$C$2:$C$61, "Druid", 'Members Data'!$D$2:$D$61, "Tank", 'wk5'!D$10:D$69,"Confirmed")+COUNTIFS('Members Data'!$C$2:$C$61, "Druid", 'Members Data'!$D$2:$D$61, "Tank", 'wk5'!D$10:D$69,"Standby")</f>
        <v>0</v>
      </c>
      <c r="AM13" s="106">
        <f>COUNTIFS('Members Data'!$C$2:$C$61, "Druid", 'Members Data'!$D$2:$D$61, "Tank", 'wk5'!E$10:E$69,"Confirmed")+COUNTIFS('Members Data'!$C$2:$C$61, "Druid", 'Members Data'!$D$2:$D$61, "Tank", 'wk5'!E$10:E$69,"Standby")</f>
        <v>0</v>
      </c>
      <c r="AN13" s="106">
        <f>COUNTIFS('Members Data'!$C$2:$C$61, "Druid", 'Members Data'!$D$2:$D$61, "Tank", 'wk5'!F$10:F$69,"Confirmed")+COUNTIFS('Members Data'!$C$2:$C$61, "Druid", 'Members Data'!$D$2:$D$61, "Tank", 'wk5'!F$10:F$69,"Standby")</f>
        <v>0</v>
      </c>
      <c r="AO13" s="106">
        <f>COUNTIFS('Members Data'!$C$2:$C$61, "Druid", 'Members Data'!$D$2:$D$61, "Tank", 'wk5'!G$10:G$69,"Confirmed")+COUNTIFS('Members Data'!$C$2:$C$61, "Druid", 'Members Data'!$D$2:$D$61, "Tank", 'wk5'!G$10:G$69,"Standby")</f>
        <v>0</v>
      </c>
      <c r="AP13" s="106">
        <f>COUNTIFS('Members Data'!$C$2:$C$61, "Druid", 'Members Data'!$D$2:$D$61, "Tank", 'wk5'!H$10:H$69,"Confirmed")+COUNTIFS('Members Data'!$C$2:$C$61, "Druid", 'Members Data'!$D$2:$D$61, "Tank", 'wk5'!H$10:H$69,"Standby")</f>
        <v>0</v>
      </c>
      <c r="AQ13" s="108">
        <f>SUM(AJ13:AP13)</f>
        <v>0</v>
      </c>
    </row>
    <row r="14" spans="1:43" ht="15.75" thickBot="1">
      <c r="A14" s="109" t="s">
        <v>76</v>
      </c>
      <c r="B14" s="110">
        <f>K14+S14+AA14+AI14+AQ14</f>
        <v>9</v>
      </c>
      <c r="D14" s="120">
        <f>COUNTIFS('Members Data'!$C$2:$C$61, "Druid", 'Members Data'!$D$2:$D$61, "RDPS", 'wk1'!B$10:B$69,"Confirmed")+COUNTIFS('Members Data'!$C$2:$C$61, "Druid", 'Members Data'!$D$2:$D$61, "RDPS", 'wk1'!B$10:B$69,"Standby")</f>
        <v>0</v>
      </c>
      <c r="E14" s="120">
        <f>COUNTIFS('Members Data'!$C$2:$C$61, "Druid", 'Members Data'!$D$2:$D$61, "RDPS", 'wk1'!C$10:C$69,"Confirmed")+COUNTIFS('Members Data'!$C$2:$C$61, "Druid", 'Members Data'!$D$2:$D$61, "RDPS", 'wk1'!C$10:C$69,"Standby")</f>
        <v>0</v>
      </c>
      <c r="F14" s="120">
        <f>COUNTIFS('Members Data'!$C$2:$C$61, "Druid", 'Members Data'!$D$2:$D$61, "RDPS", 'wk1'!D$10:D$69,"Confirmed")+COUNTIFS('Members Data'!$C$2:$C$61, "Druid", 'Members Data'!$D$2:$D$61, "RDPS", 'wk1'!D$10:D$69,"Standby")</f>
        <v>0</v>
      </c>
      <c r="G14" s="120">
        <f>COUNTIFS('Members Data'!$C$2:$C$61, "Druid", 'Members Data'!$D$2:$D$61, "RDPS", 'wk1'!E$10:E$69,"Confirmed")+COUNTIFS('Members Data'!$C$2:$C$61, "Druid", 'Members Data'!$D$2:$D$61, "RDPS", 'wk1'!E$10:E$69,"Standby")</f>
        <v>0</v>
      </c>
      <c r="H14" s="120">
        <f>COUNTIFS('Members Data'!$C$2:$C$61, "Druid", 'Members Data'!$D$2:$D$61, "RDPS", 'wk1'!F$10:F$69,"Confirmed")+COUNTIFS('Members Data'!$C$2:$C$61, "Druid", 'Members Data'!$D$2:$D$61, "RDPS", 'wk1'!F$10:F$69,"Standby")</f>
        <v>0</v>
      </c>
      <c r="I14" s="120">
        <f>COUNTIFS('Members Data'!$C$2:$C$61, "Druid", 'Members Data'!$D$2:$D$61, "RDPS", 'wk1'!G$10:G$69,"Confirmed")+COUNTIFS('Members Data'!$C$2:$C$61, "Druid", 'Members Data'!$D$2:$D$61, "RDPS", 'wk1'!G$10:G$69,"Standby")</f>
        <v>0</v>
      </c>
      <c r="J14" s="120">
        <f>COUNTIFS('Members Data'!$C$2:$C$61, "Druid", 'Members Data'!$D$2:$D$61, "RDPS", 'wk1'!H$10:H$69,"Confirmed")+COUNTIFS('Members Data'!$C$2:$C$61, "Druid", 'Members Data'!$D$2:$D$61, "RDPS", 'wk1'!H$10:H$69,"Standby")</f>
        <v>0</v>
      </c>
      <c r="K14" s="108">
        <f>SUM(D14:J14)</f>
        <v>0</v>
      </c>
      <c r="L14" s="121">
        <f>COUNTIFS('Members Data'!$C$2:$C$61, "Druid", 'Members Data'!$D$2:$D$61, "RDPS", 'wk2'!B$10:B$69,"Confirmed")+COUNTIFS('Members Data'!$C$2:$C$61, "Druid", 'Members Data'!$D$2:$D$61, "RDPS", 'wk2'!B$10:B$69,"Standby")</f>
        <v>0</v>
      </c>
      <c r="M14" s="121">
        <f>COUNTIFS('Members Data'!$C$2:$C$61, "Druid", 'Members Data'!$D$2:$D$61, "RDPS", 'wk2'!C$10:C$69,"Confirmed")+COUNTIFS('Members Data'!$C$2:$C$61, "Druid", 'Members Data'!$D$2:$D$61, "RDPS", 'wk2'!C$10:C$69,"Standby")</f>
        <v>0</v>
      </c>
      <c r="N14" s="121">
        <f>COUNTIFS('Members Data'!$C$2:$C$61, "Druid", 'Members Data'!$D$2:$D$61, "RDPS", 'wk2'!D$10:D$69,"Confirmed")+COUNTIFS('Members Data'!$C$2:$C$61, "Druid", 'Members Data'!$D$2:$D$61, "RDPS", 'wk2'!D$10:D$69,"Standby")</f>
        <v>0</v>
      </c>
      <c r="O14" s="121">
        <f>COUNTIFS('Members Data'!$C$2:$C$61, "Druid", 'Members Data'!$D$2:$D$61, "RDPS", 'wk2'!E$10:E$69,"Confirmed")+COUNTIFS('Members Data'!$C$2:$C$61, "Druid", 'Members Data'!$D$2:$D$61, "RDPS", 'wk2'!E$10:E$69,"Standby")</f>
        <v>0</v>
      </c>
      <c r="P14" s="121">
        <f>COUNTIFS('Members Data'!$C$2:$C$61, "Druid", 'Members Data'!$D$2:$D$61, "RDPS", 'wk2'!F$10:F$69,"Confirmed")+COUNTIFS('Members Data'!$C$2:$C$61, "Druid", 'Members Data'!$D$2:$D$61, "RDPS", 'wk2'!F$10:F$69,"Standby")</f>
        <v>0</v>
      </c>
      <c r="Q14" s="121">
        <f>COUNTIFS('Members Data'!$C$2:$C$61, "Druid", 'Members Data'!$D$2:$D$61, "RDPS", 'wk2'!G$10:G$69,"Confirmed")+COUNTIFS('Members Data'!$C$2:$C$61, "Druid", 'Members Data'!$D$2:$D$61, "RDPS", 'wk2'!G$10:G$69,"Standby")</f>
        <v>0</v>
      </c>
      <c r="R14" s="121">
        <f>COUNTIFS('Members Data'!$C$2:$C$61, "Druid", 'Members Data'!$D$2:$D$61, "RDPS", 'wk2'!H$10:H$69,"Confirmed")+COUNTIFS('Members Data'!$C$2:$C$61, "Druid", 'Members Data'!$D$2:$D$61, "RDPS", 'wk2'!H$10:H$69,"Standby")</f>
        <v>0</v>
      </c>
      <c r="S14" s="108">
        <f>SUM(L14:R14)</f>
        <v>0</v>
      </c>
      <c r="T14" s="106">
        <f>COUNTIFS('Members Data'!$C$2:$C$61, "Druid", 'Members Data'!$D$2:$D$61, "RDPS", 'wk3'!B$10:B$69,"Confirmed")+COUNTIFS('Members Data'!$C$2:$C$61, "Druid", 'Members Data'!$D$2:$D$61, "RDPS", 'wk3'!B$10:B$69,"Standby")</f>
        <v>1</v>
      </c>
      <c r="U14" s="106">
        <f>COUNTIFS('Members Data'!$C$2:$C$61, "Druid", 'Members Data'!$D$2:$D$61, "RDPS", 'wk3'!C$10:C$69,"Confirmed")+COUNTIFS('Members Data'!$C$2:$C$61, "Druid", 'Members Data'!$D$2:$D$61, "RDPS", 'wk3'!C$10:C$69,"Standby")</f>
        <v>0</v>
      </c>
      <c r="V14" s="106">
        <f>COUNTIFS('Members Data'!$C$2:$C$61, "Druid", 'Members Data'!$D$2:$D$61, "RDPS", 'wk3'!D$10:D$69,"Confirmed")+COUNTIFS('Members Data'!$C$2:$C$61, "Druid", 'Members Data'!$D$2:$D$61, "RDPS", 'wk3'!D$10:D$69,"Standby")</f>
        <v>1</v>
      </c>
      <c r="W14" s="106">
        <f>COUNTIFS('Members Data'!$C$2:$C$61, "Druid", 'Members Data'!$D$2:$D$61, "RDPS", 'wk3'!E$10:E$69,"Confirmed")+COUNTIFS('Members Data'!$C$2:$C$61, "Druid", 'Members Data'!$D$2:$D$61, "RDPS", 'wk3'!E$10:E$69,"Standby")</f>
        <v>0</v>
      </c>
      <c r="X14" s="106">
        <f>COUNTIFS('Members Data'!$C$2:$C$61, "Druid", 'Members Data'!$D$2:$D$61, "RDPS", 'wk3'!F$10:F$69,"Confirmed")+COUNTIFS('Members Data'!$C$2:$C$61, "Druid", 'Members Data'!$D$2:$D$61, "RDPS", 'wk3'!F$10:F$69,"Standby")</f>
        <v>0</v>
      </c>
      <c r="Y14" s="106">
        <f>COUNTIFS('Members Data'!$C$2:$C$61, "Druid", 'Members Data'!$D$2:$D$61, "RDPS", 'wk3'!G$10:G$69,"Confirmed")+COUNTIFS('Members Data'!$C$2:$C$61, "Druid", 'Members Data'!$D$2:$D$61, "RDPS", 'wk3'!G$10:G$69,"Standby")</f>
        <v>0</v>
      </c>
      <c r="Z14" s="106">
        <f>COUNTIFS('Members Data'!$C$2:$C$61, "Druid", 'Members Data'!$D$2:$D$61, "RDPS", 'wk3'!H$10:H$69,"Confirmed")+COUNTIFS('Members Data'!$C$2:$C$61, "Druid", 'Members Data'!$D$2:$D$61, "RDPS", 'wk3'!H$10:H$69,"Standby")</f>
        <v>1</v>
      </c>
      <c r="AA14" s="108">
        <f>SUM(T14:Z14)</f>
        <v>3</v>
      </c>
      <c r="AB14" s="106">
        <f>COUNTIFS('Members Data'!$C$2:$C$61, "Druid", 'Members Data'!$D$2:$D$61, "RDPS", 'wk4'!B$10:B$69,"Confirmed")+COUNTIFS('Members Data'!$C$2:$C$61, "Druid", 'Members Data'!$D$2:$D$61, "RDPS", 'wk4'!B$10:B$69,"Standby")</f>
        <v>1</v>
      </c>
      <c r="AC14" s="106">
        <f>COUNTIFS('Members Data'!$C$2:$C$61, "Druid", 'Members Data'!$D$2:$D$61, "RDPS", 'wk4'!C$10:C$69,"Confirmed")+COUNTIFS('Members Data'!$C$2:$C$61, "Druid", 'Members Data'!$D$2:$D$61, "RDPS", 'wk4'!C$10:C$69,"Standby")</f>
        <v>0</v>
      </c>
      <c r="AD14" s="106">
        <f>COUNTIFS('Members Data'!$C$2:$C$61, "Druid", 'Members Data'!$D$2:$D$61, "RDPS", 'wk4'!D$10:D$69,"Confirmed")+COUNTIFS('Members Data'!$C$2:$C$61, "Druid", 'Members Data'!$D$2:$D$61, "RDPS", 'wk4'!D$10:D$69,"Standby")</f>
        <v>1</v>
      </c>
      <c r="AE14" s="106">
        <f>COUNTIFS('Members Data'!$C$2:$C$61, "Druid", 'Members Data'!$D$2:$D$61, "RDPS", 'wk4'!E$10:E$69,"Confirmed")+COUNTIFS('Members Data'!$C$2:$C$61, "Druid", 'Members Data'!$D$2:$D$61, "RDPS", 'wk4'!E$10:E$69,"Standby")</f>
        <v>0</v>
      </c>
      <c r="AF14" s="106">
        <f>COUNTIFS('Members Data'!$C$2:$C$61, "Druid", 'Members Data'!$D$2:$D$61, "RDPS", 'wk4'!F$10:F$69,"Confirmed")+COUNTIFS('Members Data'!$C$2:$C$61, "Druid", 'Members Data'!$D$2:$D$61, "RDPS", 'wk4'!F$10:F$69,"Standby")</f>
        <v>0</v>
      </c>
      <c r="AG14" s="106">
        <f>COUNTIFS('Members Data'!$C$2:$C$61, "Druid", 'Members Data'!$D$2:$D$61, "RDPS", 'wk4'!G$10:G$69,"Confirmed")+COUNTIFS('Members Data'!$C$2:$C$61, "Druid", 'Members Data'!$D$2:$D$61, "RDPS", 'wk4'!G$10:G$69,"Standby")</f>
        <v>0</v>
      </c>
      <c r="AH14" s="106">
        <f>COUNTIFS('Members Data'!$C$2:$C$61, "Druid", 'Members Data'!$D$2:$D$61, "RDPS", 'wk4'!H$10:H$69,"Confirmed")+COUNTIFS('Members Data'!$C$2:$C$61, "Druid", 'Members Data'!$D$2:$D$61, "RDPS", 'wk4'!H$10:H$69,"Standby")</f>
        <v>1</v>
      </c>
      <c r="AI14" s="108">
        <f>SUM(AB14:AH14)</f>
        <v>3</v>
      </c>
      <c r="AJ14" s="106">
        <f>COUNTIFS('Members Data'!$C$2:$C$61, "Druid", 'Members Data'!$D$2:$D$61, "RDPS", 'wk5'!B$10:B$69,"Confirmed")+COUNTIFS('Members Data'!$C$2:$C$61, "Druid", 'Members Data'!$D$2:$D$61, "RDPS", 'wk5'!B$10:B$69,"Standby")</f>
        <v>2</v>
      </c>
      <c r="AK14" s="106">
        <f>COUNTIFS('Members Data'!$C$2:$C$61, "Druid", 'Members Data'!$D$2:$D$61, "RDPS", 'wk5'!C$10:C$69,"Confirmed")+COUNTIFS('Members Data'!$C$2:$C$61, "Druid", 'Members Data'!$D$2:$D$61, "RDPS", 'wk5'!C$10:C$69,"Standby")</f>
        <v>0</v>
      </c>
      <c r="AL14" s="106">
        <f>COUNTIFS('Members Data'!$C$2:$C$61, "Druid", 'Members Data'!$D$2:$D$61, "RDPS", 'wk5'!D$10:D$69,"Confirmed")+COUNTIFS('Members Data'!$C$2:$C$61, "Druid", 'Members Data'!$D$2:$D$61, "RDPS", 'wk5'!D$10:D$69,"Standby")</f>
        <v>1</v>
      </c>
      <c r="AM14" s="106">
        <f>COUNTIFS('Members Data'!$C$2:$C$61, "Druid", 'Members Data'!$D$2:$D$61, "RDPS", 'wk5'!E$10:E$69,"Confirmed")+COUNTIFS('Members Data'!$C$2:$C$61, "Druid", 'Members Data'!$D$2:$D$61, "RDPS", 'wk5'!E$10:E$69,"Standby")</f>
        <v>0</v>
      </c>
      <c r="AN14" s="106">
        <f>COUNTIFS('Members Data'!$C$2:$C$61, "Druid", 'Members Data'!$D$2:$D$61, "RDPS", 'wk5'!F$10:F$69,"Confirmed")+COUNTIFS('Members Data'!$C$2:$C$61, "Druid", 'Members Data'!$D$2:$D$61, "RDPS", 'wk5'!F$10:F$69,"Standby")</f>
        <v>0</v>
      </c>
      <c r="AO14" s="106">
        <f>COUNTIFS('Members Data'!$C$2:$C$61, "Druid", 'Members Data'!$D$2:$D$61, "RDPS", 'wk5'!G$10:G$69,"Confirmed")+COUNTIFS('Members Data'!$C$2:$C$61, "Druid", 'Members Data'!$D$2:$D$61, "RDPS", 'wk5'!G$10:G$69,"Standby")</f>
        <v>0</v>
      </c>
      <c r="AP14" s="106">
        <f>COUNTIFS('Members Data'!$C$2:$C$61, "Druid", 'Members Data'!$D$2:$D$61, "RDPS", 'wk5'!H$10:H$69,"Confirmed")+COUNTIFS('Members Data'!$C$2:$C$61, "Druid", 'Members Data'!$D$2:$D$61, "RDPS", 'wk5'!H$10:H$69,"Standby")</f>
        <v>0</v>
      </c>
      <c r="AQ14" s="108">
        <f>SUM(AJ14:AP14)</f>
        <v>3</v>
      </c>
    </row>
    <row r="15" spans="1:43" ht="15.75" thickBot="1">
      <c r="A15" s="109" t="s">
        <v>77</v>
      </c>
      <c r="B15" s="110">
        <f>K15+S15+AA15+AI15+AQ15</f>
        <v>0</v>
      </c>
      <c r="D15" s="120">
        <f>COUNTIFS('Members Data'!$C$2:$C$61, "Druid", 'Members Data'!$D$2:$D$61, "MDPS", 'wk1'!B$10:B$69,"Confirmed")+COUNTIFS('Members Data'!$C$2:$C$61, "Druid", 'Members Data'!$D$2:$D$61, "MDPS", 'wk1'!B$10:B$69,"Standby")</f>
        <v>0</v>
      </c>
      <c r="E15" s="120">
        <f>COUNTIFS('Members Data'!$C$2:$C$61, "Druid", 'Members Data'!$D$2:$D$61, "MDPS", 'wk1'!C$10:C$69,"Confirmed")+COUNTIFS('Members Data'!$C$2:$C$61, "Druid", 'Members Data'!$D$2:$D$61, "MDPS", 'wk1'!C$10:C$69,"Standby")</f>
        <v>0</v>
      </c>
      <c r="F15" s="120">
        <f>COUNTIFS('Members Data'!$C$2:$C$61, "Druid", 'Members Data'!$D$2:$D$61, "MDPS", 'wk1'!D$10:D$69,"Confirmed")+COUNTIFS('Members Data'!$C$2:$C$61, "Druid", 'Members Data'!$D$2:$D$61, "MDPS", 'wk1'!D$10:D$69,"Standby")</f>
        <v>0</v>
      </c>
      <c r="G15" s="120">
        <f>COUNTIFS('Members Data'!$C$2:$C$61, "Druid", 'Members Data'!$D$2:$D$61, "MDPS", 'wk1'!E$10:E$69,"Confirmed")+COUNTIFS('Members Data'!$C$2:$C$61, "Druid", 'Members Data'!$D$2:$D$61, "MDPS", 'wk1'!E$10:E$69,"Standby")</f>
        <v>0</v>
      </c>
      <c r="H15" s="120">
        <f>COUNTIFS('Members Data'!$C$2:$C$61, "Druid", 'Members Data'!$D$2:$D$61, "MDPS", 'wk1'!F$10:F$69,"Confirmed")+COUNTIFS('Members Data'!$C$2:$C$61, "Druid", 'Members Data'!$D$2:$D$61, "MDPS", 'wk1'!F$10:F$69,"Standby")</f>
        <v>0</v>
      </c>
      <c r="I15" s="120">
        <f>COUNTIFS('Members Data'!$C$2:$C$61, "Druid", 'Members Data'!$D$2:$D$61, "MDPS", 'wk1'!G$10:G$69,"Confirmed")+COUNTIFS('Members Data'!$C$2:$C$61, "Druid", 'Members Data'!$D$2:$D$61, "MDPS", 'wk1'!G$10:G$69,"Standby")</f>
        <v>0</v>
      </c>
      <c r="J15" s="120">
        <f>COUNTIFS('Members Data'!$C$2:$C$61, "Druid", 'Members Data'!$D$2:$D$61, "MDPS", 'wk1'!H$10:H$69,"Confirmed")+COUNTIFS('Members Data'!$C$2:$C$61, "Druid", 'Members Data'!$D$2:$D$61, "MDPS", 'wk1'!H$10:H$69,"Standby")</f>
        <v>0</v>
      </c>
      <c r="K15" s="108">
        <f>SUM(D15:J15)</f>
        <v>0</v>
      </c>
      <c r="L15" s="121">
        <f>COUNTIFS('Members Data'!$C$2:$C$61, "Druid", 'Members Data'!$D$2:$D$61, "MDPS", 'wk2'!B$10:B$69,"Confirmed")+COUNTIFS('Members Data'!$C$2:$C$61, "Druid", 'Members Data'!$D$2:$D$61, "MDPS", 'wk2'!B$10:B$69,"Standby")</f>
        <v>0</v>
      </c>
      <c r="M15" s="121">
        <f>COUNTIFS('Members Data'!$C$2:$C$61, "Druid", 'Members Data'!$D$2:$D$61, "MDPS", 'wk2'!C$10:C$69,"Confirmed")+COUNTIFS('Members Data'!$C$2:$C$61, "Druid", 'Members Data'!$D$2:$D$61, "MDPS", 'wk2'!C$10:C$69,"Standby")</f>
        <v>0</v>
      </c>
      <c r="N15" s="121">
        <f>COUNTIFS('Members Data'!$C$2:$C$61, "Druid", 'Members Data'!$D$2:$D$61, "MDPS", 'wk2'!D$10:D$69,"Confirmed")+COUNTIFS('Members Data'!$C$2:$C$61, "Druid", 'Members Data'!$D$2:$D$61, "MDPS", 'wk2'!D$10:D$69,"Standby")</f>
        <v>0</v>
      </c>
      <c r="O15" s="121">
        <f>COUNTIFS('Members Data'!$C$2:$C$61, "Druid", 'Members Data'!$D$2:$D$61, "MDPS", 'wk2'!E$10:E$69,"Confirmed")+COUNTIFS('Members Data'!$C$2:$C$61, "Druid", 'Members Data'!$D$2:$D$61, "MDPS", 'wk2'!E$10:E$69,"Standby")</f>
        <v>0</v>
      </c>
      <c r="P15" s="121">
        <f>COUNTIFS('Members Data'!$C$2:$C$61, "Druid", 'Members Data'!$D$2:$D$61, "MDPS", 'wk2'!F$10:F$69,"Confirmed")+COUNTIFS('Members Data'!$C$2:$C$61, "Druid", 'Members Data'!$D$2:$D$61, "MDPS", 'wk2'!F$10:F$69,"Standby")</f>
        <v>0</v>
      </c>
      <c r="Q15" s="121">
        <f>COUNTIFS('Members Data'!$C$2:$C$61, "Druid", 'Members Data'!$D$2:$D$61, "MDPS", 'wk2'!G$10:G$69,"Confirmed")+COUNTIFS('Members Data'!$C$2:$C$61, "Druid", 'Members Data'!$D$2:$D$61, "MDPS", 'wk2'!G$10:G$69,"Standby")</f>
        <v>0</v>
      </c>
      <c r="R15" s="121">
        <f>COUNTIFS('Members Data'!$C$2:$C$61, "Druid", 'Members Data'!$D$2:$D$61, "MDPS", 'wk2'!H$10:H$69,"Confirmed")+COUNTIFS('Members Data'!$C$2:$C$61, "Druid", 'Members Data'!$D$2:$D$61, "MDPS", 'wk2'!H$10:H$69,"Standby")</f>
        <v>0</v>
      </c>
      <c r="S15" s="108">
        <f>SUM(L15:R15)</f>
        <v>0</v>
      </c>
      <c r="T15" s="106">
        <f>COUNTIFS('Members Data'!$C$2:$C$61, "Druid", 'Members Data'!$D$2:$D$61, "MDPS", 'wk3'!B$10:B$69,"Confirmed")+COUNTIFS('Members Data'!$C$2:$C$61, "Druid", 'Members Data'!$D$2:$D$61, "MDPS", 'wk3'!B$10:B$69,"Standby")</f>
        <v>0</v>
      </c>
      <c r="U15" s="106">
        <f>COUNTIFS('Members Data'!$C$2:$C$61, "Druid", 'Members Data'!$D$2:$D$61, "MDPS", 'wk3'!C$10:C$69,"Confirmed")+COUNTIFS('Members Data'!$C$2:$C$61, "Druid", 'Members Data'!$D$2:$D$61, "MDPS", 'wk3'!C$10:C$69,"Standby")</f>
        <v>0</v>
      </c>
      <c r="V15" s="106">
        <f>COUNTIFS('Members Data'!$C$2:$C$61, "Druid", 'Members Data'!$D$2:$D$61, "MDPS", 'wk3'!D$10:D$69,"Confirmed")+COUNTIFS('Members Data'!$C$2:$C$61, "Druid", 'Members Data'!$D$2:$D$61, "MDPS", 'wk3'!D$10:D$69,"Standby")</f>
        <v>0</v>
      </c>
      <c r="W15" s="106">
        <f>COUNTIFS('Members Data'!$C$2:$C$61, "Druid", 'Members Data'!$D$2:$D$61, "MDPS", 'wk3'!E$10:E$69,"Confirmed")+COUNTIFS('Members Data'!$C$2:$C$61, "Druid", 'Members Data'!$D$2:$D$61, "MDPS", 'wk3'!E$10:E$69,"Standby")</f>
        <v>0</v>
      </c>
      <c r="X15" s="106">
        <f>COUNTIFS('Members Data'!$C$2:$C$61, "Druid", 'Members Data'!$D$2:$D$61, "MDPS", 'wk3'!F$10:F$69,"Confirmed")+COUNTIFS('Members Data'!$C$2:$C$61, "Druid", 'Members Data'!$D$2:$D$61, "MDPS", 'wk3'!F$10:F$69,"Standby")</f>
        <v>0</v>
      </c>
      <c r="Y15" s="106">
        <f>COUNTIFS('Members Data'!$C$2:$C$61, "Druid", 'Members Data'!$D$2:$D$61, "MDPS", 'wk3'!G$10:G$69,"Confirmed")+COUNTIFS('Members Data'!$C$2:$C$61, "Druid", 'Members Data'!$D$2:$D$61, "MDPS", 'wk3'!G$10:G$69,"Standby")</f>
        <v>0</v>
      </c>
      <c r="Z15" s="106">
        <f>COUNTIFS('Members Data'!$C$2:$C$61, "Druid", 'Members Data'!$D$2:$D$61, "MDPS", 'wk3'!H$10:H$69,"Confirmed")+COUNTIFS('Members Data'!$C$2:$C$61, "Druid", 'Members Data'!$D$2:$D$61, "MDPS", 'wk3'!H$10:H$69,"Standby")</f>
        <v>0</v>
      </c>
      <c r="AA15" s="108">
        <f>SUM(T15:Z15)</f>
        <v>0</v>
      </c>
      <c r="AB15" s="106">
        <f>COUNTIFS('Members Data'!$C$2:$C$61, "Druid", 'Members Data'!$D$2:$D$61, "MDPS", 'wk4'!B$10:B$69,"Confirmed")+COUNTIFS('Members Data'!$C$2:$C$61, "Druid", 'Members Data'!$D$2:$D$61, "MDPS", 'wk4'!B$10:B$69,"Standby")</f>
        <v>0</v>
      </c>
      <c r="AC15" s="106">
        <f>COUNTIFS('Members Data'!$C$2:$C$61, "Druid", 'Members Data'!$D$2:$D$61, "MDPS", 'wk4'!C$10:C$69,"Confirmed")+COUNTIFS('Members Data'!$C$2:$C$61, "Druid", 'Members Data'!$D$2:$D$61, "MDPS", 'wk4'!C$10:C$69,"Standby")</f>
        <v>0</v>
      </c>
      <c r="AD15" s="106">
        <f>COUNTIFS('Members Data'!$C$2:$C$61, "Druid", 'Members Data'!$D$2:$D$61, "MDPS", 'wk4'!D$10:D$69,"Confirmed")+COUNTIFS('Members Data'!$C$2:$C$61, "Druid", 'Members Data'!$D$2:$D$61, "MDPS", 'wk4'!D$10:D$69,"Standby")</f>
        <v>0</v>
      </c>
      <c r="AE15" s="106">
        <f>COUNTIFS('Members Data'!$C$2:$C$61, "Druid", 'Members Data'!$D$2:$D$61, "MDPS", 'wk4'!E$10:E$69,"Confirmed")+COUNTIFS('Members Data'!$C$2:$C$61, "Druid", 'Members Data'!$D$2:$D$61, "MDPS", 'wk4'!E$10:E$69,"Standby")</f>
        <v>0</v>
      </c>
      <c r="AF15" s="106">
        <f>COUNTIFS('Members Data'!$C$2:$C$61, "Druid", 'Members Data'!$D$2:$D$61, "MDPS", 'wk4'!F$10:F$69,"Confirmed")+COUNTIFS('Members Data'!$C$2:$C$61, "Druid", 'Members Data'!$D$2:$D$61, "MDPS", 'wk4'!F$10:F$69,"Standby")</f>
        <v>0</v>
      </c>
      <c r="AG15" s="106">
        <f>COUNTIFS('Members Data'!$C$2:$C$61, "Druid", 'Members Data'!$D$2:$D$61, "MDPS", 'wk4'!G$10:G$69,"Confirmed")+COUNTIFS('Members Data'!$C$2:$C$61, "Druid", 'Members Data'!$D$2:$D$61, "MDPS", 'wk4'!G$10:G$69,"Standby")</f>
        <v>0</v>
      </c>
      <c r="AH15" s="106">
        <f>COUNTIFS('Members Data'!$C$2:$C$61, "Druid", 'Members Data'!$D$2:$D$61, "MDPS", 'wk4'!H$10:H$69,"Confirmed")+COUNTIFS('Members Data'!$C$2:$C$61, "Druid", 'Members Data'!$D$2:$D$61, "MDPS", 'wk4'!H$10:H$69,"Standby")</f>
        <v>0</v>
      </c>
      <c r="AI15" s="108">
        <f>SUM(AB15:AH15)</f>
        <v>0</v>
      </c>
      <c r="AJ15" s="106">
        <f>COUNTIFS('Members Data'!$C$2:$C$61, "Druid", 'Members Data'!$D$2:$D$61, "MDPS", 'wk5'!B$10:B$69,"Confirmed")+COUNTIFS('Members Data'!$C$2:$C$61, "Druid", 'Members Data'!$D$2:$D$61, "MDPS", 'wk5'!B$10:B$69,"Standby")</f>
        <v>0</v>
      </c>
      <c r="AK15" s="106">
        <f>COUNTIFS('Members Data'!$C$2:$C$61, "Druid", 'Members Data'!$D$2:$D$61, "MDPS", 'wk5'!C$10:C$69,"Confirmed")+COUNTIFS('Members Data'!$C$2:$C$61, "Druid", 'Members Data'!$D$2:$D$61, "MDPS", 'wk5'!C$10:C$69,"Standby")</f>
        <v>0</v>
      </c>
      <c r="AL15" s="106">
        <f>COUNTIFS('Members Data'!$C$2:$C$61, "Druid", 'Members Data'!$D$2:$D$61, "MDPS", 'wk5'!D$10:D$69,"Confirmed")+COUNTIFS('Members Data'!$C$2:$C$61, "Druid", 'Members Data'!$D$2:$D$61, "MDPS", 'wk5'!D$10:D$69,"Standby")</f>
        <v>0</v>
      </c>
      <c r="AM15" s="106">
        <f>COUNTIFS('Members Data'!$C$2:$C$61, "Druid", 'Members Data'!$D$2:$D$61, "MDPS", 'wk5'!E$10:E$69,"Confirmed")+COUNTIFS('Members Data'!$C$2:$C$61, "Druid", 'Members Data'!$D$2:$D$61, "MDPS", 'wk5'!E$10:E$69,"Standby")</f>
        <v>0</v>
      </c>
      <c r="AN15" s="106">
        <f>COUNTIFS('Members Data'!$C$2:$C$61, "Druid", 'Members Data'!$D$2:$D$61, "MDPS", 'wk5'!F$10:F$69,"Confirmed")+COUNTIFS('Members Data'!$C$2:$C$61, "Druid", 'Members Data'!$D$2:$D$61, "MDPS", 'wk5'!F$10:F$69,"Standby")</f>
        <v>0</v>
      </c>
      <c r="AO15" s="106">
        <f>COUNTIFS('Members Data'!$C$2:$C$61, "Druid", 'Members Data'!$D$2:$D$61, "MDPS", 'wk5'!G$10:G$69,"Confirmed")+COUNTIFS('Members Data'!$C$2:$C$61, "Druid", 'Members Data'!$D$2:$D$61, "MDPS", 'wk5'!G$10:G$69,"Standby")</f>
        <v>0</v>
      </c>
      <c r="AP15" s="106">
        <f>COUNTIFS('Members Data'!$C$2:$C$61, "Druid", 'Members Data'!$D$2:$D$61, "MDPS", 'wk5'!H$10:H$69,"Confirmed")+COUNTIFS('Members Data'!$C$2:$C$61, "Druid", 'Members Data'!$D$2:$D$61, "MDPS", 'wk5'!H$10:H$69,"Standby")</f>
        <v>0</v>
      </c>
      <c r="AQ15" s="108">
        <f>SUM(AJ15:AP15)</f>
        <v>0</v>
      </c>
    </row>
    <row r="16" spans="1:43" ht="15.75" thickBot="1">
      <c r="A16" s="114" t="s">
        <v>13</v>
      </c>
      <c r="B16" s="115">
        <f>K16+S16+AA16+AI16+AQ16</f>
        <v>10</v>
      </c>
      <c r="D16" s="120">
        <f>COUNTIFS('Members Data'!$C$2:$C$61, "Druid", 'Members Data'!$D$2:$D$61, "Healer", 'wk1'!B$10:B$69,"Confirmed")+COUNTIFS('Members Data'!$C$2:$C$61, "Druid", 'Members Data'!$D$2:$D$61, "Healer", 'wk1'!B$10:B$69,"Standby")</f>
        <v>0</v>
      </c>
      <c r="E16" s="120">
        <f>COUNTIFS('Members Data'!$C$2:$C$61, "Druid", 'Members Data'!$D$2:$D$61, "Healer", 'wk1'!C$10:C$69,"Confirmed")+COUNTIFS('Members Data'!$C$2:$C$61, "Druid", 'Members Data'!$D$2:$D$61, "Healer", 'wk1'!C$10:C$69,"Standby")</f>
        <v>0</v>
      </c>
      <c r="F16" s="120">
        <f>COUNTIFS('Members Data'!$C$2:$C$61, "Druid", 'Members Data'!$D$2:$D$61, "Healer", 'wk1'!D$10:D$69,"Confirmed")+COUNTIFS('Members Data'!$C$2:$C$61, "Druid", 'Members Data'!$D$2:$D$61, "Healer", 'wk1'!D$10:D$69,"Standby")</f>
        <v>0</v>
      </c>
      <c r="G16" s="120">
        <f>COUNTIFS('Members Data'!$C$2:$C$61, "Druid", 'Members Data'!$D$2:$D$61, "Healer", 'wk1'!E$10:E$69,"Confirmed")+COUNTIFS('Members Data'!$C$2:$C$61, "Druid", 'Members Data'!$D$2:$D$61, "Healer", 'wk1'!E$10:E$69,"Standby")</f>
        <v>0</v>
      </c>
      <c r="H16" s="120">
        <f>COUNTIFS('Members Data'!$C$2:$C$61, "Druid", 'Members Data'!$D$2:$D$61, "Healer", 'wk1'!F$10:F$69,"Confirmed")+COUNTIFS('Members Data'!$C$2:$C$61, "Druid", 'Members Data'!$D$2:$D$61, "Healer", 'wk1'!F$10:F$69,"Standby")</f>
        <v>0</v>
      </c>
      <c r="I16" s="120">
        <f>COUNTIFS('Members Data'!$C$2:$C$61, "Druid", 'Members Data'!$D$2:$D$61, "Healer", 'wk1'!G$10:G$69,"Confirmed")+COUNTIFS('Members Data'!$C$2:$C$61, "Druid", 'Members Data'!$D$2:$D$61, "Healer", 'wk1'!G$10:G$69,"Standby")</f>
        <v>0</v>
      </c>
      <c r="J16" s="120">
        <f>COUNTIFS('Members Data'!$C$2:$C$61, "Druid", 'Members Data'!$D$2:$D$61, "Healer", 'wk1'!H$10:H$69,"Confirmed")+COUNTIFS('Members Data'!$C$2:$C$61, "Druid", 'Members Data'!$D$2:$D$61, "Healer", 'wk1'!H$10:H$69,"Standby")</f>
        <v>0</v>
      </c>
      <c r="K16" s="108">
        <f>SUM(D16:J16)</f>
        <v>0</v>
      </c>
      <c r="L16" s="121">
        <f>COUNTIFS('Members Data'!$C$2:$C$61, "Druid", 'Members Data'!$D$2:$D$61, "Healer", 'wk2'!B$10:B$69,"Confirmed")+COUNTIFS('Members Data'!$C$2:$C$61, "Druid", 'Members Data'!$D$2:$D$61, "Healer", 'wk2'!B$10:B$69,"Standby")</f>
        <v>0</v>
      </c>
      <c r="M16" s="121">
        <f>COUNTIFS('Members Data'!$C$2:$C$61, "Druid", 'Members Data'!$D$2:$D$61, "Healer", 'wk2'!C$10:C$69,"Confirmed")+COUNTIFS('Members Data'!$C$2:$C$61, "Druid", 'Members Data'!$D$2:$D$61, "Healer", 'wk2'!C$10:C$69,"Standby")</f>
        <v>0</v>
      </c>
      <c r="N16" s="121">
        <f>COUNTIFS('Members Data'!$C$2:$C$61, "Druid", 'Members Data'!$D$2:$D$61, "Healer", 'wk2'!D$10:D$69,"Confirmed")+COUNTIFS('Members Data'!$C$2:$C$61, "Druid", 'Members Data'!$D$2:$D$61, "Healer", 'wk2'!D$10:D$69,"Standby")</f>
        <v>0</v>
      </c>
      <c r="O16" s="121">
        <f>COUNTIFS('Members Data'!$C$2:$C$61, "Druid", 'Members Data'!$D$2:$D$61, "Healer", 'wk2'!E$10:E$69,"Confirmed")+COUNTIFS('Members Data'!$C$2:$C$61, "Druid", 'Members Data'!$D$2:$D$61, "Healer", 'wk2'!E$10:E$69,"Standby")</f>
        <v>0</v>
      </c>
      <c r="P16" s="121">
        <f>COUNTIFS('Members Data'!$C$2:$C$61, "Druid", 'Members Data'!$D$2:$D$61, "Healer", 'wk2'!F$10:F$69,"Confirmed")+COUNTIFS('Members Data'!$C$2:$C$61, "Druid", 'Members Data'!$D$2:$D$61, "Healer", 'wk2'!F$10:F$69,"Standby")</f>
        <v>0</v>
      </c>
      <c r="Q16" s="121">
        <f>COUNTIFS('Members Data'!$C$2:$C$61, "Druid", 'Members Data'!$D$2:$D$61, "Healer", 'wk2'!G$10:G$69,"Confirmed")+COUNTIFS('Members Data'!$C$2:$C$61, "Druid", 'Members Data'!$D$2:$D$61, "Healer", 'wk2'!G$10:G$69,"Standby")</f>
        <v>0</v>
      </c>
      <c r="R16" s="121">
        <f>COUNTIFS('Members Data'!$C$2:$C$61, "Druid", 'Members Data'!$D$2:$D$61, "Healer", 'wk2'!H$10:H$69,"Confirmed")+COUNTIFS('Members Data'!$C$2:$C$61, "Druid", 'Members Data'!$D$2:$D$61, "Healer", 'wk2'!H$10:H$69,"Standby")</f>
        <v>0</v>
      </c>
      <c r="S16" s="108">
        <f>SUM(L16:R16)</f>
        <v>0</v>
      </c>
      <c r="T16" s="106">
        <f>COUNTIFS('Members Data'!$C$2:$C$61, "Druid", 'Members Data'!$D$2:$D$61, "Healer", 'wk3'!B$10:B$69,"Confirmed")+COUNTIFS('Members Data'!$C$2:$C$61, "Druid", 'Members Data'!$D$2:$D$61, "Healer", 'wk3'!B$10:B$69,"Standby")</f>
        <v>2</v>
      </c>
      <c r="U16" s="106">
        <f>COUNTIFS('Members Data'!$C$2:$C$61, "Druid", 'Members Data'!$D$2:$D$61, "Healer", 'wk3'!C$10:C$69,"Confirmed")+COUNTIFS('Members Data'!$C$2:$C$61, "Druid", 'Members Data'!$D$2:$D$61, "Healer", 'wk3'!C$10:C$69,"Standby")</f>
        <v>0</v>
      </c>
      <c r="V16" s="106">
        <f>COUNTIFS('Members Data'!$C$2:$C$61, "Druid", 'Members Data'!$D$2:$D$61, "Healer", 'wk3'!D$10:D$69,"Confirmed")+COUNTIFS('Members Data'!$C$2:$C$61, "Druid", 'Members Data'!$D$2:$D$61, "Healer", 'wk3'!D$10:D$69,"Standby")</f>
        <v>2</v>
      </c>
      <c r="W16" s="106">
        <f>COUNTIFS('Members Data'!$C$2:$C$61, "Druid", 'Members Data'!$D$2:$D$61, "Healer", 'wk3'!E$10:E$69,"Confirmed")+COUNTIFS('Members Data'!$C$2:$C$61, "Druid", 'Members Data'!$D$2:$D$61, "Healer", 'wk3'!E$10:E$69,"Standby")</f>
        <v>0</v>
      </c>
      <c r="X16" s="106">
        <f>COUNTIFS('Members Data'!$C$2:$C$61, "Druid", 'Members Data'!$D$2:$D$61, "Healer", 'wk3'!F$10:F$69,"Confirmed")+COUNTIFS('Members Data'!$C$2:$C$61, "Druid", 'Members Data'!$D$2:$D$61, "Healer", 'wk3'!F$10:F$69,"Standby")</f>
        <v>0</v>
      </c>
      <c r="Y16" s="106">
        <f>COUNTIFS('Members Data'!$C$2:$C$61, "Druid", 'Members Data'!$D$2:$D$61, "Healer", 'wk3'!G$10:G$69,"Confirmed")+COUNTIFS('Members Data'!$C$2:$C$61, "Druid", 'Members Data'!$D$2:$D$61, "Healer", 'wk3'!G$10:G$69,"Standby")</f>
        <v>0</v>
      </c>
      <c r="Z16" s="106">
        <f>COUNTIFS('Members Data'!$C$2:$C$61, "Druid", 'Members Data'!$D$2:$D$61, "Healer", 'wk3'!H$10:H$69,"Confirmed")+COUNTIFS('Members Data'!$C$2:$C$61, "Druid", 'Members Data'!$D$2:$D$61, "Healer", 'wk3'!H$10:H$69,"Standby")</f>
        <v>1</v>
      </c>
      <c r="AA16" s="108">
        <f>SUM(T16:Z16)</f>
        <v>5</v>
      </c>
      <c r="AB16" s="106">
        <f>COUNTIFS('Members Data'!$C$2:$C$61, "Druid", 'Members Data'!$D$2:$D$61, "Healer", 'wk4'!B$10:B$69,"Confirmed")+COUNTIFS('Members Data'!$C$2:$C$61, "Druid", 'Members Data'!$D$2:$D$61, "Healer", 'wk4'!B$10:B$69,"Standby")</f>
        <v>1</v>
      </c>
      <c r="AC16" s="106">
        <f>COUNTIFS('Members Data'!$C$2:$C$61, "Druid", 'Members Data'!$D$2:$D$61, "Healer", 'wk4'!C$10:C$69,"Confirmed")+COUNTIFS('Members Data'!$C$2:$C$61, "Druid", 'Members Data'!$D$2:$D$61, "Healer", 'wk4'!C$10:C$69,"Standby")</f>
        <v>0</v>
      </c>
      <c r="AD16" s="106">
        <f>COUNTIFS('Members Data'!$C$2:$C$61, "Druid", 'Members Data'!$D$2:$D$61, "Healer", 'wk4'!D$10:D$69,"Confirmed")+COUNTIFS('Members Data'!$C$2:$C$61, "Druid", 'Members Data'!$D$2:$D$61, "Healer", 'wk4'!D$10:D$69,"Standby")</f>
        <v>1</v>
      </c>
      <c r="AE16" s="106">
        <f>COUNTIFS('Members Data'!$C$2:$C$61, "Druid", 'Members Data'!$D$2:$D$61, "Healer", 'wk4'!E$10:E$69,"Confirmed")+COUNTIFS('Members Data'!$C$2:$C$61, "Druid", 'Members Data'!$D$2:$D$61, "Healer", 'wk4'!E$10:E$69,"Standby")</f>
        <v>0</v>
      </c>
      <c r="AF16" s="106">
        <f>COUNTIFS('Members Data'!$C$2:$C$61, "Druid", 'Members Data'!$D$2:$D$61, "Healer", 'wk4'!F$10:F$69,"Confirmed")+COUNTIFS('Members Data'!$C$2:$C$61, "Druid", 'Members Data'!$D$2:$D$61, "Healer", 'wk4'!F$10:F$69,"Standby")</f>
        <v>0</v>
      </c>
      <c r="AG16" s="106">
        <f>COUNTIFS('Members Data'!$C$2:$C$61, "Druid", 'Members Data'!$D$2:$D$61, "Healer", 'wk4'!G$10:G$69,"Confirmed")+COUNTIFS('Members Data'!$C$2:$C$61, "Druid", 'Members Data'!$D$2:$D$61, "Healer", 'wk4'!G$10:G$69,"Standby")</f>
        <v>0</v>
      </c>
      <c r="AH16" s="106">
        <f>COUNTIFS('Members Data'!$C$2:$C$61, "Druid", 'Members Data'!$D$2:$D$61, "Healer", 'wk4'!H$10:H$69,"Confirmed")+COUNTIFS('Members Data'!$C$2:$C$61, "Druid", 'Members Data'!$D$2:$D$61, "Healer", 'wk4'!H$10:H$69,"Standby")</f>
        <v>1</v>
      </c>
      <c r="AI16" s="108">
        <f>SUM(AB16:AH16)</f>
        <v>3</v>
      </c>
      <c r="AJ16" s="106">
        <f>COUNTIFS('Members Data'!$C$2:$C$61, "Druid", 'Members Data'!$D$2:$D$61, "Healer", 'wk5'!B$10:B$69,"Confirmed")+COUNTIFS('Members Data'!$C$2:$C$61, "Druid", 'Members Data'!$D$2:$D$61, "Healer", 'wk5'!B$10:B$69,"Standby")</f>
        <v>1</v>
      </c>
      <c r="AK16" s="106">
        <f>COUNTIFS('Members Data'!$C$2:$C$61, "Druid", 'Members Data'!$D$2:$D$61, "Healer", 'wk5'!C$10:C$69,"Confirmed")+COUNTIFS('Members Data'!$C$2:$C$61, "Druid", 'Members Data'!$D$2:$D$61, "Healer", 'wk5'!C$10:C$69,"Standby")</f>
        <v>0</v>
      </c>
      <c r="AL16" s="106">
        <f>COUNTIFS('Members Data'!$C$2:$C$61, "Druid", 'Members Data'!$D$2:$D$61, "Healer", 'wk5'!D$10:D$69,"Confirmed")+COUNTIFS('Members Data'!$C$2:$C$61, "Druid", 'Members Data'!$D$2:$D$61, "Healer", 'wk5'!D$10:D$69,"Standby")</f>
        <v>1</v>
      </c>
      <c r="AM16" s="106">
        <f>COUNTIFS('Members Data'!$C$2:$C$61, "Druid", 'Members Data'!$D$2:$D$61, "Healer", 'wk5'!E$10:E$69,"Confirmed")+COUNTIFS('Members Data'!$C$2:$C$61, "Druid", 'Members Data'!$D$2:$D$61, "Healer", 'wk5'!E$10:E$69,"Standby")</f>
        <v>0</v>
      </c>
      <c r="AN16" s="106">
        <f>COUNTIFS('Members Data'!$C$2:$C$61, "Druid", 'Members Data'!$D$2:$D$61, "Healer", 'wk5'!F$10:F$69,"Confirmed")+COUNTIFS('Members Data'!$C$2:$C$61, "Druid", 'Members Data'!$D$2:$D$61, "Healer", 'wk5'!F$10:F$69,"Standby")</f>
        <v>0</v>
      </c>
      <c r="AO16" s="106">
        <f>COUNTIFS('Members Data'!$C$2:$C$61, "Druid", 'Members Data'!$D$2:$D$61, "Healer", 'wk5'!G$10:G$69,"Confirmed")+COUNTIFS('Members Data'!$C$2:$C$61, "Druid", 'Members Data'!$D$2:$D$61, "Healer", 'wk5'!G$10:G$69,"Standby")</f>
        <v>0</v>
      </c>
      <c r="AP16" s="106">
        <f>COUNTIFS('Members Data'!$C$2:$C$61, "Druid", 'Members Data'!$D$2:$D$61, "Healer", 'wk5'!H$10:H$69,"Confirmed")+COUNTIFS('Members Data'!$C$2:$C$61, "Druid", 'Members Data'!$D$2:$D$61, "Healer", 'wk5'!H$10:H$69,"Standby")</f>
        <v>0</v>
      </c>
      <c r="AQ16" s="108">
        <f>SUM(AJ16:AP16)</f>
        <v>2</v>
      </c>
    </row>
    <row r="17" spans="1:43" ht="13.5" thickBot="1"/>
    <row r="18" spans="1:43" ht="13.5" thickBot="1">
      <c r="A18" s="104" t="s">
        <v>17</v>
      </c>
      <c r="B18" s="105"/>
    </row>
    <row r="19" spans="1:43" ht="15.75" thickBot="1">
      <c r="A19" s="122" t="s">
        <v>76</v>
      </c>
      <c r="B19" s="115">
        <f>K19+S19+AA19+AI19+AQ19</f>
        <v>13</v>
      </c>
      <c r="D19" s="120">
        <f>COUNTIFS('Members Data'!$C$2:$C$61, "Hunter", 'Members Data'!$D$2:$D$61, "RDPS", 'wk1'!B$10:B$69,"Confirmed")+COUNTIFS('Members Data'!$C$2:$C$61, "Hunter", 'Members Data'!$D$2:$D$61, "RDPS", 'wk1'!B$10:B$69,"Standby")</f>
        <v>0</v>
      </c>
      <c r="E19" s="120">
        <f>COUNTIFS('Members Data'!$C$2:$C$61, "Hunter", 'Members Data'!$D$2:$D$61, "RDPS", 'wk1'!C$10:C$69,"Confirmed")+COUNTIFS('Members Data'!$C$2:$C$61, "Hunter", 'Members Data'!$D$2:$D$61, "RDPS", 'wk1'!C$10:C$69,"Standby")</f>
        <v>0</v>
      </c>
      <c r="F19" s="120">
        <f>COUNTIFS('Members Data'!$C$2:$C$61, "Hunter", 'Members Data'!$D$2:$D$61, "RDPS", 'wk1'!D$10:D$69,"Confirmed")+COUNTIFS('Members Data'!$C$2:$C$61, "Hunter", 'Members Data'!$D$2:$D$61, "RDPS", 'wk1'!D$10:D$69,"Standby")</f>
        <v>0</v>
      </c>
      <c r="G19" s="120">
        <f>COUNTIFS('Members Data'!$C$2:$C$61, "Hunter", 'Members Data'!$D$2:$D$61, "RDPS", 'wk1'!E$10:E$69,"Confirmed")+COUNTIFS('Members Data'!$C$2:$C$61, "Hunter", 'Members Data'!$D$2:$D$61, "RDPS", 'wk1'!E$10:E$69,"Standby")</f>
        <v>0</v>
      </c>
      <c r="H19" s="120">
        <f>COUNTIFS('Members Data'!$C$2:$C$61, "Hunter", 'Members Data'!$D$2:$D$61, "RDPS", 'wk1'!F$10:F$69,"Confirmed")+COUNTIFS('Members Data'!$C$2:$C$61, "Hunter", 'Members Data'!$D$2:$D$61, "RDPS", 'wk1'!F$10:F$69,"Standby")</f>
        <v>0</v>
      </c>
      <c r="I19" s="120">
        <f>COUNTIFS('Members Data'!$C$2:$C$61, "Hunter", 'Members Data'!$D$2:$D$61, "RDPS", 'wk1'!G$10:G$69,"Confirmed")+COUNTIFS('Members Data'!$C$2:$C$61, "Hunter", 'Members Data'!$D$2:$D$61, "RDPS", 'wk1'!G$10:G$69,"Standby")</f>
        <v>0</v>
      </c>
      <c r="J19" s="120">
        <f>COUNTIFS('Members Data'!$C$2:$C$61, "Hunter", 'Members Data'!$D$2:$D$61, "RDPS", 'wk1'!H$10:H$69,"Confirmed")+COUNTIFS('Members Data'!$C$2:$C$61, "Hunter", 'Members Data'!$D$2:$D$61, "RDPS", 'wk1'!H$10:H$69,"Standby")</f>
        <v>0</v>
      </c>
      <c r="K19" s="108">
        <f>SUM(D19:J19)</f>
        <v>0</v>
      </c>
      <c r="L19" s="121">
        <f>COUNTIFS('Members Data'!$C$2:$C$61, "Hunter", 'Members Data'!$D$2:$D$61, "RDPS", 'wk2'!B$10:B$69,"Confirmed")+COUNTIFS('Members Data'!$C$2:$C$61, "Hunter", 'Members Data'!$D$2:$D$61, "RDPS", 'wk2'!B$10:B$69,"Standby")</f>
        <v>0</v>
      </c>
      <c r="M19" s="121">
        <f>COUNTIFS('Members Data'!$C$2:$C$61, "Hunter", 'Members Data'!$D$2:$D$61, "RDPS", 'wk2'!C$10:C$69,"Confirmed")+COUNTIFS('Members Data'!$C$2:$C$61, "Hunter", 'Members Data'!$D$2:$D$61, "RDPS", 'wk2'!C$10:C$69,"Standby")</f>
        <v>0</v>
      </c>
      <c r="N19" s="121">
        <f>COUNTIFS('Members Data'!$C$2:$C$61, "Hunter", 'Members Data'!$D$2:$D$61, "RDPS", 'wk2'!D$10:D$69,"Confirmed")+COUNTIFS('Members Data'!$C$2:$C$61, "Hunter", 'Members Data'!$D$2:$D$61, "RDPS", 'wk2'!D$10:D$69,"Standby")</f>
        <v>0</v>
      </c>
      <c r="O19" s="121">
        <f>COUNTIFS('Members Data'!$C$2:$C$61, "Hunter", 'Members Data'!$D$2:$D$61, "RDPS", 'wk2'!E$10:E$69,"Confirmed")+COUNTIFS('Members Data'!$C$2:$C$61, "Hunter", 'Members Data'!$D$2:$D$61, "RDPS", 'wk2'!E$10:E$69,"Standby")</f>
        <v>0</v>
      </c>
      <c r="P19" s="121">
        <f>COUNTIFS('Members Data'!$C$2:$C$61, "Hunter", 'Members Data'!$D$2:$D$61, "RDPS", 'wk2'!F$10:F$69,"Confirmed")+COUNTIFS('Members Data'!$C$2:$C$61, "Hunter", 'Members Data'!$D$2:$D$61, "RDPS", 'wk2'!F$10:F$69,"Standby")</f>
        <v>0</v>
      </c>
      <c r="Q19" s="121">
        <f>COUNTIFS('Members Data'!$C$2:$C$61, "Hunter", 'Members Data'!$D$2:$D$61, "RDPS", 'wk2'!G$10:G$69,"Confirmed")+COUNTIFS('Members Data'!$C$2:$C$61, "Hunter", 'Members Data'!$D$2:$D$61, "RDPS", 'wk2'!G$10:G$69,"Standby")</f>
        <v>0</v>
      </c>
      <c r="R19" s="121">
        <f>COUNTIFS('Members Data'!$C$2:$C$61, "Hunter", 'Members Data'!$D$2:$D$61, "RDPS", 'wk2'!H$10:H$69,"Confirmed")+COUNTIFS('Members Data'!$C$2:$C$61, "Hunter", 'Members Data'!$D$2:$D$61, "RDPS", 'wk2'!H$10:H$69,"Standby")</f>
        <v>0</v>
      </c>
      <c r="S19" s="108">
        <f>SUM(L19:R19)</f>
        <v>0</v>
      </c>
      <c r="T19" s="106">
        <f>COUNTIFS('Members Data'!$C$2:$C$61, "Hunter", 'Members Data'!$D$2:$D$61, "RDPS", 'wk3'!B$10:B$69,"Confirmed")+COUNTIFS('Members Data'!$C$2:$C$61, "Hunter", 'Members Data'!$D$2:$D$61, "RDPS", 'wk3'!B$10:B$69,"Standby")</f>
        <v>1</v>
      </c>
      <c r="U19" s="106">
        <f>COUNTIFS('Members Data'!$C$2:$C$61, "Hunter", 'Members Data'!$D$2:$D$61, "RDPS", 'wk3'!C$10:C$69,"Confirmed")+COUNTIFS('Members Data'!$C$2:$C$61, "Hunter", 'Members Data'!$D$2:$D$61, "RDPS", 'wk3'!C$10:C$69,"Standby")</f>
        <v>0</v>
      </c>
      <c r="V19" s="106">
        <f>COUNTIFS('Members Data'!$C$2:$C$61, "Hunter", 'Members Data'!$D$2:$D$61, "RDPS", 'wk3'!D$10:D$69,"Confirmed")+COUNTIFS('Members Data'!$C$2:$C$61, "Hunter", 'Members Data'!$D$2:$D$61, "RDPS", 'wk3'!D$10:D$69,"Standby")</f>
        <v>1</v>
      </c>
      <c r="W19" s="106">
        <f>COUNTIFS('Members Data'!$C$2:$C$61, "Hunter", 'Members Data'!$D$2:$D$61, "RDPS", 'wk3'!E$10:E$69,"Confirmed")+COUNTIFS('Members Data'!$C$2:$C$61, "Hunter", 'Members Data'!$D$2:$D$61, "RDPS", 'wk3'!E$10:E$69,"Standby")</f>
        <v>0</v>
      </c>
      <c r="X19" s="106">
        <f>COUNTIFS('Members Data'!$C$2:$C$61, "Hunter", 'Members Data'!$D$2:$D$61, "RDPS", 'wk3'!F$10:F$69,"Confirmed")+COUNTIFS('Members Data'!$C$2:$C$61, "Hunter", 'Members Data'!$D$2:$D$61, "RDPS", 'wk3'!F$10:F$69,"Standby")</f>
        <v>0</v>
      </c>
      <c r="Y19" s="106">
        <f>COUNTIFS('Members Data'!$C$2:$C$61, "Hunter", 'Members Data'!$D$2:$D$61, "RDPS", 'wk3'!G$10:G$69,"Confirmed")+COUNTIFS('Members Data'!$C$2:$C$61, "Hunter", 'Members Data'!$D$2:$D$61, "RDPS", 'wk3'!G$10:G$69,"Standby")</f>
        <v>0</v>
      </c>
      <c r="Z19" s="106">
        <f>COUNTIFS('Members Data'!$C$2:$C$61, "Hunter", 'Members Data'!$D$2:$D$61, "RDPS", 'wk3'!H$10:H$69,"Confirmed")+COUNTIFS('Members Data'!$C$2:$C$61, "Hunter", 'Members Data'!$D$2:$D$61, "RDPS", 'wk3'!H$10:H$69,"Standby")</f>
        <v>2</v>
      </c>
      <c r="AA19" s="108">
        <f>SUM(T19:Z19)</f>
        <v>4</v>
      </c>
      <c r="AB19" s="106">
        <f>COUNTIFS('Members Data'!$C$2:$C$61, "Hunter", 'Members Data'!$D$2:$D$61, "RDPS", 'wk4'!B$10:B$69,"Confirmed")+COUNTIFS('Members Data'!$C$2:$C$61, "Hunter", 'Members Data'!$D$2:$D$61, "RDPS", 'wk4'!B$10:B$69,"Standby")</f>
        <v>2</v>
      </c>
      <c r="AC19" s="106">
        <f>COUNTIFS('Members Data'!$C$2:$C$61, "Hunter", 'Members Data'!$D$2:$D$61, "RDPS", 'wk4'!C$10:C$69,"Confirmed")+COUNTIFS('Members Data'!$C$2:$C$61, "Hunter", 'Members Data'!$D$2:$D$61, "RDPS", 'wk4'!C$10:C$69,"Standby")</f>
        <v>0</v>
      </c>
      <c r="AD19" s="106">
        <f>COUNTIFS('Members Data'!$C$2:$C$61, "Hunter", 'Members Data'!$D$2:$D$61, "RDPS", 'wk4'!D$10:D$69,"Confirmed")+COUNTIFS('Members Data'!$C$2:$C$61, "Hunter", 'Members Data'!$D$2:$D$61, "RDPS", 'wk4'!D$10:D$69,"Standby")</f>
        <v>2</v>
      </c>
      <c r="AE19" s="106">
        <f>COUNTIFS('Members Data'!$C$2:$C$61, "Hunter", 'Members Data'!$D$2:$D$61, "RDPS", 'wk4'!E$10:E$69,"Confirmed")+COUNTIFS('Members Data'!$C$2:$C$61, "Hunter", 'Members Data'!$D$2:$D$61, "RDPS", 'wk4'!E$10:E$69,"Standby")</f>
        <v>0</v>
      </c>
      <c r="AF19" s="106">
        <f>COUNTIFS('Members Data'!$C$2:$C$61, "Hunter", 'Members Data'!$D$2:$D$61, "RDPS", 'wk4'!F$10:F$69,"Confirmed")+COUNTIFS('Members Data'!$C$2:$C$61, "Hunter", 'Members Data'!$D$2:$D$61, "RDPS", 'wk4'!F$10:F$69,"Standby")</f>
        <v>0</v>
      </c>
      <c r="AG19" s="106">
        <f>COUNTIFS('Members Data'!$C$2:$C$61, "Hunter", 'Members Data'!$D$2:$D$61, "RDPS", 'wk4'!G$10:G$69,"Confirmed")+COUNTIFS('Members Data'!$C$2:$C$61, "Hunter", 'Members Data'!$D$2:$D$61, "RDPS", 'wk4'!G$10:G$69,"Standby")</f>
        <v>0</v>
      </c>
      <c r="AH19" s="106">
        <f>COUNTIFS('Members Data'!$C$2:$C$61, "Hunter", 'Members Data'!$D$2:$D$61, "RDPS", 'wk4'!H$10:H$69,"Confirmed")+COUNTIFS('Members Data'!$C$2:$C$61, "Hunter", 'Members Data'!$D$2:$D$61, "RDPS", 'wk4'!H$10:H$69,"Standby")</f>
        <v>1</v>
      </c>
      <c r="AI19" s="108">
        <f>SUM(AB19:AH19)</f>
        <v>5</v>
      </c>
      <c r="AJ19" s="106">
        <f>COUNTIFS('Members Data'!$C$2:$C$61, "Hunter", 'Members Data'!$D$2:$D$61, "RDPS", 'wk5'!B$10:B$69,"Confirmed")+COUNTIFS('Members Data'!$C$2:$C$61, "Hunter", 'Members Data'!$D$2:$D$61, "RDPS", 'wk5'!B$10:B$69,"Standby")</f>
        <v>2</v>
      </c>
      <c r="AK19" s="106">
        <f>COUNTIFS('Members Data'!$C$2:$C$61, "Hunter", 'Members Data'!$D$2:$D$61, "RDPS", 'wk5'!C$10:C$69,"Confirmed")+COUNTIFS('Members Data'!$C$2:$C$61, "Hunter", 'Members Data'!$D$2:$D$61, "RDPS", 'wk5'!C$10:C$69,"Standby")</f>
        <v>0</v>
      </c>
      <c r="AL19" s="106">
        <f>COUNTIFS('Members Data'!$C$2:$C$61, "Hunter", 'Members Data'!$D$2:$D$61, "RDPS", 'wk5'!D$10:D$69,"Confirmed")+COUNTIFS('Members Data'!$C$2:$C$61, "Hunter", 'Members Data'!$D$2:$D$61, "RDPS", 'wk5'!D$10:D$69,"Standby")</f>
        <v>2</v>
      </c>
      <c r="AM19" s="106">
        <f>COUNTIFS('Members Data'!$C$2:$C$61, "Hunter", 'Members Data'!$D$2:$D$61, "RDPS", 'wk5'!E$10:E$69,"Confirmed")+COUNTIFS('Members Data'!$C$2:$C$61, "Hunter", 'Members Data'!$D$2:$D$61, "RDPS", 'wk5'!E$10:E$69,"Standby")</f>
        <v>0</v>
      </c>
      <c r="AN19" s="106">
        <f>COUNTIFS('Members Data'!$C$2:$C$61, "Hunter", 'Members Data'!$D$2:$D$61, "RDPS", 'wk5'!F$10:F$69,"Confirmed")+COUNTIFS('Members Data'!$C$2:$C$61, "Hunter", 'Members Data'!$D$2:$D$61, "RDPS", 'wk5'!F$10:F$69,"Standby")</f>
        <v>0</v>
      </c>
      <c r="AO19" s="106">
        <f>COUNTIFS('Members Data'!$C$2:$C$61, "Hunter", 'Members Data'!$D$2:$D$61, "RDPS", 'wk5'!G$10:G$69,"Confirmed")+COUNTIFS('Members Data'!$C$2:$C$61, "Hunter", 'Members Data'!$D$2:$D$61, "RDPS", 'wk5'!G$10:G$69,"Standby")</f>
        <v>0</v>
      </c>
      <c r="AP19" s="106">
        <f>COUNTIFS('Members Data'!$C$2:$C$61, "Hunter", 'Members Data'!$D$2:$D$61, "RDPS", 'wk5'!H$10:H$69,"Confirmed")+COUNTIFS('Members Data'!$C$2:$C$61, "Hunter", 'Members Data'!$D$2:$D$61, "RDPS", 'wk5'!H$10:H$69,"Standby")</f>
        <v>0</v>
      </c>
      <c r="AQ19" s="108">
        <f>SUM(AJ19:AP19)</f>
        <v>4</v>
      </c>
    </row>
    <row r="20" spans="1:43" ht="13.5" thickBot="1"/>
    <row r="21" spans="1:43" ht="13.5" thickBot="1">
      <c r="A21" s="104" t="s">
        <v>18</v>
      </c>
      <c r="B21" s="105"/>
    </row>
    <row r="22" spans="1:43" ht="15.75" thickBot="1">
      <c r="A22" s="122" t="s">
        <v>76</v>
      </c>
      <c r="B22" s="115">
        <f>K22+S22+AA22+AI22+AQ22</f>
        <v>22</v>
      </c>
      <c r="D22" s="120">
        <f>COUNTIFS('Members Data'!$C$2:$C$61, "Mage", 'Members Data'!$D$2:$D$61, "RDPS", 'wk1'!B$10:B$69,"Confirmed")+COUNTIFS('Members Data'!$C$2:$C$61, "Mage", 'Members Data'!$D$2:$D$61, "RDPS", 'wk1'!B$10:B$69,"Standby")</f>
        <v>0</v>
      </c>
      <c r="E22" s="120">
        <f>COUNTIFS('Members Data'!$C$2:$C$61, "Mage", 'Members Data'!$D$2:$D$61, "RDPS", 'wk1'!C$10:C$69,"Confirmed")+COUNTIFS('Members Data'!$C$2:$C$61, "Mage", 'Members Data'!$D$2:$D$61, "RDPS", 'wk1'!C$10:C$69,"Standby")</f>
        <v>0</v>
      </c>
      <c r="F22" s="120">
        <f>COUNTIFS('Members Data'!$C$2:$C$61, "Mage", 'Members Data'!$D$2:$D$61, "RDPS", 'wk1'!D$10:D$69,"Confirmed")+COUNTIFS('Members Data'!$C$2:$C$61, "Mage", 'Members Data'!$D$2:$D$61, "RDPS", 'wk1'!D$10:D$69,"Standby")</f>
        <v>0</v>
      </c>
      <c r="G22" s="120">
        <f>COUNTIFS('Members Data'!$C$2:$C$61, "Mage", 'Members Data'!$D$2:$D$61, "RDPS", 'wk1'!E$10:E$69,"Confirmed")+COUNTIFS('Members Data'!$C$2:$C$61, "Mage", 'Members Data'!$D$2:$D$61, "RDPS", 'wk1'!E$10:E$69,"Standby")</f>
        <v>0</v>
      </c>
      <c r="H22" s="120">
        <f>COUNTIFS('Members Data'!$C$2:$C$61, "Mage", 'Members Data'!$D$2:$D$61, "RDPS", 'wk1'!F$10:F$69,"Confirmed")+COUNTIFS('Members Data'!$C$2:$C$61, "Mage", 'Members Data'!$D$2:$D$61, "RDPS", 'wk1'!F$10:F$69,"Standby")</f>
        <v>0</v>
      </c>
      <c r="I22" s="120">
        <f>COUNTIFS('Members Data'!$C$2:$C$61, "Mage", 'Members Data'!$D$2:$D$61, "RDPS", 'wk1'!G$10:G$69,"Confirmed")+COUNTIFS('Members Data'!$C$2:$C$61, "Mage", 'Members Data'!$D$2:$D$61, "RDPS", 'wk1'!G$10:G$69,"Standby")</f>
        <v>0</v>
      </c>
      <c r="J22" s="120">
        <f>COUNTIFS('Members Data'!$C$2:$C$61, "Mage", 'Members Data'!$D$2:$D$61, "RDPS", 'wk1'!H$10:H$69,"Confirmed")+COUNTIFS('Members Data'!$C$2:$C$61, "Mage", 'Members Data'!$D$2:$D$61, "RDPS", 'wk1'!H$10:H$69,"Standby")</f>
        <v>0</v>
      </c>
      <c r="K22" s="108">
        <f>SUM(D22:J22)</f>
        <v>0</v>
      </c>
      <c r="L22" s="121">
        <f>COUNTIFS('Members Data'!$C$2:$C$61, "Mage", 'Members Data'!$D$2:$D$61, "RDPS", 'wk2'!B$10:B$69,"Confirmed")+COUNTIFS('Members Data'!$C$2:$C$61, "Mage", 'Members Data'!$D$2:$D$61, "RDPS", 'wk2'!B$10:B$69,"Standby")</f>
        <v>0</v>
      </c>
      <c r="M22" s="121">
        <f>COUNTIFS('Members Data'!$C$2:$C$61, "Mage", 'Members Data'!$D$2:$D$61, "RDPS", 'wk2'!C$10:C$69,"Confirmed")+COUNTIFS('Members Data'!$C$2:$C$61, "Mage", 'Members Data'!$D$2:$D$61, "RDPS", 'wk2'!C$10:C$69,"Standby")</f>
        <v>0</v>
      </c>
      <c r="N22" s="121">
        <f>COUNTIFS('Members Data'!$C$2:$C$61, "Mage", 'Members Data'!$D$2:$D$61, "RDPS", 'wk2'!D$10:D$69,"Confirmed")+COUNTIFS('Members Data'!$C$2:$C$61, "Mage", 'Members Data'!$D$2:$D$61, "RDPS", 'wk2'!D$10:D$69,"Standby")</f>
        <v>0</v>
      </c>
      <c r="O22" s="121">
        <f>COUNTIFS('Members Data'!$C$2:$C$61, "Mage", 'Members Data'!$D$2:$D$61, "RDPS", 'wk2'!E$10:E$69,"Confirmed")+COUNTIFS('Members Data'!$C$2:$C$61, "Mage", 'Members Data'!$D$2:$D$61, "RDPS", 'wk2'!E$10:E$69,"Standby")</f>
        <v>0</v>
      </c>
      <c r="P22" s="121">
        <f>COUNTIFS('Members Data'!$C$2:$C$61, "Mage", 'Members Data'!$D$2:$D$61, "RDPS", 'wk2'!F$10:F$69,"Confirmed")+COUNTIFS('Members Data'!$C$2:$C$61, "Mage", 'Members Data'!$D$2:$D$61, "RDPS", 'wk2'!F$10:F$69,"Standby")</f>
        <v>0</v>
      </c>
      <c r="Q22" s="121">
        <f>COUNTIFS('Members Data'!$C$2:$C$61, "Mage", 'Members Data'!$D$2:$D$61, "RDPS", 'wk2'!G$10:G$69,"Confirmed")+COUNTIFS('Members Data'!$C$2:$C$61, "Mage", 'Members Data'!$D$2:$D$61, "RDPS", 'wk2'!G$10:G$69,"Standby")</f>
        <v>0</v>
      </c>
      <c r="R22" s="121">
        <f>COUNTIFS('Members Data'!$C$2:$C$61, "Mage", 'Members Data'!$D$2:$D$61, "RDPS", 'wk2'!H$10:H$69,"Confirmed")+COUNTIFS('Members Data'!$C$2:$C$61, "Mage", 'Members Data'!$D$2:$D$61, "RDPS", 'wk2'!H$10:H$69,"Standby")</f>
        <v>0</v>
      </c>
      <c r="S22" s="108">
        <f>SUM(L22:R22)</f>
        <v>0</v>
      </c>
      <c r="T22" s="106">
        <f>COUNTIFS('Members Data'!$C$2:$C$61, "Mage", 'Members Data'!$D$2:$D$61, "RDPS", 'wk3'!B$10:B$69,"Confirmed")+COUNTIFS('Members Data'!$C$2:$C$61, "Mage", 'Members Data'!$D$2:$D$61, "RDPS", 'wk3'!B$10:B$69,"Standby")</f>
        <v>2</v>
      </c>
      <c r="U22" s="106">
        <f>COUNTIFS('Members Data'!$C$2:$C$61, "Mage", 'Members Data'!$D$2:$D$61, "RDPS", 'wk3'!C$10:C$69,"Confirmed")+COUNTIFS('Members Data'!$C$2:$C$61, "Mage", 'Members Data'!$D$2:$D$61, "RDPS", 'wk3'!C$10:C$69,"Standby")</f>
        <v>0</v>
      </c>
      <c r="V22" s="106">
        <f>COUNTIFS('Members Data'!$C$2:$C$61, "Mage", 'Members Data'!$D$2:$D$61, "RDPS", 'wk3'!D$10:D$69,"Confirmed")+COUNTIFS('Members Data'!$C$2:$C$61, "Mage", 'Members Data'!$D$2:$D$61, "RDPS", 'wk3'!D$10:D$69,"Standby")</f>
        <v>3</v>
      </c>
      <c r="W22" s="106">
        <f>COUNTIFS('Members Data'!$C$2:$C$61, "Mage", 'Members Data'!$D$2:$D$61, "RDPS", 'wk3'!E$10:E$69,"Confirmed")+COUNTIFS('Members Data'!$C$2:$C$61, "Mage", 'Members Data'!$D$2:$D$61, "RDPS", 'wk3'!E$10:E$69,"Standby")</f>
        <v>0</v>
      </c>
      <c r="X22" s="106">
        <f>COUNTIFS('Members Data'!$C$2:$C$61, "Mage", 'Members Data'!$D$2:$D$61, "RDPS", 'wk3'!F$10:F$69,"Confirmed")+COUNTIFS('Members Data'!$C$2:$C$61, "Mage", 'Members Data'!$D$2:$D$61, "RDPS", 'wk3'!F$10:F$69,"Standby")</f>
        <v>0</v>
      </c>
      <c r="Y22" s="106">
        <f>COUNTIFS('Members Data'!$C$2:$C$61, "Mage", 'Members Data'!$D$2:$D$61, "RDPS", 'wk3'!G$10:G$69,"Confirmed")+COUNTIFS('Members Data'!$C$2:$C$61, "Mage", 'Members Data'!$D$2:$D$61, "RDPS", 'wk3'!G$10:G$69,"Standby")</f>
        <v>0</v>
      </c>
      <c r="Z22" s="106">
        <f>COUNTIFS('Members Data'!$C$2:$C$61, "Mage", 'Members Data'!$D$2:$D$61, "RDPS", 'wk3'!H$10:H$69,"Confirmed")+COUNTIFS('Members Data'!$C$2:$C$61, "Mage", 'Members Data'!$D$2:$D$61, "RDPS", 'wk3'!H$10:H$69,"Standby")</f>
        <v>3</v>
      </c>
      <c r="AA22" s="108">
        <f>SUM(T22:Z22)</f>
        <v>8</v>
      </c>
      <c r="AB22" s="106">
        <f>COUNTIFS('Members Data'!$C$2:$C$61, "Mage", 'Members Data'!$D$2:$D$61, "RDPS", 'wk4'!B$10:B$69,"Confirmed")+COUNTIFS('Members Data'!$C$2:$C$61, "Mage", 'Members Data'!$D$2:$D$61, "RDPS", 'wk4'!B$10:B$69,"Standby")</f>
        <v>3</v>
      </c>
      <c r="AC22" s="106">
        <f>COUNTIFS('Members Data'!$C$2:$C$61, "Mage", 'Members Data'!$D$2:$D$61, "RDPS", 'wk4'!C$10:C$69,"Confirmed")+COUNTIFS('Members Data'!$C$2:$C$61, "Mage", 'Members Data'!$D$2:$D$61, "RDPS", 'wk4'!C$10:C$69,"Standby")</f>
        <v>0</v>
      </c>
      <c r="AD22" s="106">
        <f>COUNTIFS('Members Data'!$C$2:$C$61, "Mage", 'Members Data'!$D$2:$D$61, "RDPS", 'wk4'!D$10:D$69,"Confirmed")+COUNTIFS('Members Data'!$C$2:$C$61, "Mage", 'Members Data'!$D$2:$D$61, "RDPS", 'wk4'!D$10:D$69,"Standby")</f>
        <v>3</v>
      </c>
      <c r="AE22" s="106">
        <f>COUNTIFS('Members Data'!$C$2:$C$61, "Mage", 'Members Data'!$D$2:$D$61, "RDPS", 'wk4'!E$10:E$69,"Confirmed")+COUNTIFS('Members Data'!$C$2:$C$61, "Mage", 'Members Data'!$D$2:$D$61, "RDPS", 'wk4'!E$10:E$69,"Standby")</f>
        <v>0</v>
      </c>
      <c r="AF22" s="106">
        <f>COUNTIFS('Members Data'!$C$2:$C$61, "Mage", 'Members Data'!$D$2:$D$61, "RDPS", 'wk4'!F$10:F$69,"Confirmed")+COUNTIFS('Members Data'!$C$2:$C$61, "Mage", 'Members Data'!$D$2:$D$61, "RDPS", 'wk4'!F$10:F$69,"Standby")</f>
        <v>0</v>
      </c>
      <c r="AG22" s="106">
        <f>COUNTIFS('Members Data'!$C$2:$C$61, "Mage", 'Members Data'!$D$2:$D$61, "RDPS", 'wk4'!G$10:G$69,"Confirmed")+COUNTIFS('Members Data'!$C$2:$C$61, "Mage", 'Members Data'!$D$2:$D$61, "RDPS", 'wk4'!G$10:G$69,"Standby")</f>
        <v>0</v>
      </c>
      <c r="AH22" s="106">
        <f>COUNTIFS('Members Data'!$C$2:$C$61, "Mage", 'Members Data'!$D$2:$D$61, "RDPS", 'wk4'!H$10:H$69,"Confirmed")+COUNTIFS('Members Data'!$C$2:$C$61, "Mage", 'Members Data'!$D$2:$D$61, "RDPS", 'wk4'!H$10:H$69,"Standby")</f>
        <v>2</v>
      </c>
      <c r="AI22" s="108">
        <f>SUM(AB22:AH22)</f>
        <v>8</v>
      </c>
      <c r="AJ22" s="106">
        <f>COUNTIFS('Members Data'!$C$2:$C$61, "Mage", 'Members Data'!$D$2:$D$61, "RDPS", 'wk5'!B$10:B$69,"Confirmed")+COUNTIFS('Members Data'!$C$2:$C$61, "Mage", 'Members Data'!$D$2:$D$61, "RDPS", 'wk5'!B$10:B$69,"Standby")</f>
        <v>3</v>
      </c>
      <c r="AK22" s="106">
        <f>COUNTIFS('Members Data'!$C$2:$C$61, "Mage", 'Members Data'!$D$2:$D$61, "RDPS", 'wk5'!C$10:C$69,"Confirmed")+COUNTIFS('Members Data'!$C$2:$C$61, "Mage", 'Members Data'!$D$2:$D$61, "RDPS", 'wk5'!C$10:C$69,"Standby")</f>
        <v>0</v>
      </c>
      <c r="AL22" s="106">
        <f>COUNTIFS('Members Data'!$C$2:$C$61, "Mage", 'Members Data'!$D$2:$D$61, "RDPS", 'wk5'!D$10:D$69,"Confirmed")+COUNTIFS('Members Data'!$C$2:$C$61, "Mage", 'Members Data'!$D$2:$D$61, "RDPS", 'wk5'!D$10:D$69,"Standby")</f>
        <v>3</v>
      </c>
      <c r="AM22" s="106">
        <f>COUNTIFS('Members Data'!$C$2:$C$61, "Mage", 'Members Data'!$D$2:$D$61, "RDPS", 'wk5'!E$10:E$69,"Confirmed")+COUNTIFS('Members Data'!$C$2:$C$61, "Mage", 'Members Data'!$D$2:$D$61, "RDPS", 'wk5'!E$10:E$69,"Standby")</f>
        <v>0</v>
      </c>
      <c r="AN22" s="106">
        <f>COUNTIFS('Members Data'!$C$2:$C$61, "Mage", 'Members Data'!$D$2:$D$61, "RDPS", 'wk5'!F$10:F$69,"Confirmed")+COUNTIFS('Members Data'!$C$2:$C$61, "Mage", 'Members Data'!$D$2:$D$61, "RDPS", 'wk5'!F$10:F$69,"Standby")</f>
        <v>0</v>
      </c>
      <c r="AO22" s="106">
        <f>COUNTIFS('Members Data'!$C$2:$C$61, "Mage", 'Members Data'!$D$2:$D$61, "RDPS", 'wk5'!G$10:G$69,"Confirmed")+COUNTIFS('Members Data'!$C$2:$C$61, "Mage", 'Members Data'!$D$2:$D$61, "RDPS", 'wk5'!G$10:G$69,"Standby")</f>
        <v>0</v>
      </c>
      <c r="AP22" s="106">
        <f>COUNTIFS('Members Data'!$C$2:$C$61, "Mage", 'Members Data'!$D$2:$D$61, "RDPS", 'wk5'!H$10:H$69,"Confirmed")+COUNTIFS('Members Data'!$C$2:$C$61, "Mage", 'Members Data'!$D$2:$D$61, "RDPS", 'wk5'!H$10:H$69,"Standby")</f>
        <v>0</v>
      </c>
      <c r="AQ22" s="108">
        <f>SUM(AJ22:AP22)</f>
        <v>6</v>
      </c>
    </row>
    <row r="23" spans="1:43" ht="13.5" thickBot="1"/>
    <row r="24" spans="1:43" ht="13.5" thickBot="1">
      <c r="A24" s="355" t="s">
        <v>182</v>
      </c>
      <c r="B24" s="105"/>
    </row>
    <row r="25" spans="1:43" ht="15.75" thickBot="1">
      <c r="A25" s="109" t="s">
        <v>14</v>
      </c>
      <c r="B25" s="110">
        <f>K25+S25+AA25+AI25+AQ25</f>
        <v>8</v>
      </c>
      <c r="D25" s="120">
        <f>COUNTIFS('Members Data'!$C$2:$C$61, "Monk", 'Members Data'!$D$2:$D$61, "Tank", 'wk1'!B$10:B$69,"Confirmed")+COUNTIFS('Members Data'!$C$2:$C$61, "Monk", 'Members Data'!$D$2:$D$61, "Tank", 'wk1'!B$10:B$69,"Standby")</f>
        <v>0</v>
      </c>
      <c r="E25" s="120">
        <f>COUNTIFS('Members Data'!$C$2:$C$61, "Monk", 'Members Data'!$D$2:$D$61, "Tank", 'wk1'!C$10:C$69,"Confirmed")+COUNTIFS('Members Data'!$C$2:$C$61, "Monk", 'Members Data'!$D$2:$D$61, "Tank", 'wk1'!C$10:C$69,"Standby")</f>
        <v>0</v>
      </c>
      <c r="F25" s="120">
        <f>COUNTIFS('Members Data'!$C$2:$C$61, "Monk", 'Members Data'!$D$2:$D$61, "Tank", 'wk1'!D$10:D$69,"Confirmed")+COUNTIFS('Members Data'!$C$2:$C$61, "Monk", 'Members Data'!$D$2:$D$61, "Tank", 'wk1'!D$10:D$69,"Standby")</f>
        <v>0</v>
      </c>
      <c r="G25" s="120">
        <f>COUNTIFS('Members Data'!$C$2:$C$61, "Monk", 'Members Data'!$D$2:$D$61, "Tank", 'wk1'!E$10:E$69,"Confirmed")+COUNTIFS('Members Data'!$C$2:$C$61, "Monk", 'Members Data'!$D$2:$D$61, "Tank", 'wk1'!E$10:E$69,"Standby")</f>
        <v>0</v>
      </c>
      <c r="H25" s="120">
        <f>COUNTIFS('Members Data'!$C$2:$C$61, "Monk", 'Members Data'!$D$2:$D$61, "Tank", 'wk1'!F$10:F$69,"Confirmed")+COUNTIFS('Members Data'!$C$2:$C$61, "Monk", 'Members Data'!$D$2:$D$61, "Tank", 'wk1'!F$10:F$69,"Standby")</f>
        <v>0</v>
      </c>
      <c r="I25" s="120">
        <f>COUNTIFS('Members Data'!$C$2:$C$61, "Monk", 'Members Data'!$D$2:$D$61, "Tank", 'wk1'!G$10:G$69,"Confirmed")+COUNTIFS('Members Data'!$C$2:$C$61, "Monk", 'Members Data'!$D$2:$D$61, "Tank", 'wk1'!G$10:G$69,"Standby")</f>
        <v>0</v>
      </c>
      <c r="J25" s="120">
        <f>COUNTIFS('Members Data'!$C$2:$C$61, "Monk", 'Members Data'!$D$2:$D$61, "Tank", 'wk1'!H$10:H$69,"Confirmed")+COUNTIFS('Members Data'!$C$2:$C$61, "Monk", 'Members Data'!$D$2:$D$61, "Tank", 'wk1'!H$10:H$69,"Standby")</f>
        <v>0</v>
      </c>
      <c r="K25" s="108">
        <f>SUM(D25:J25)</f>
        <v>0</v>
      </c>
      <c r="L25" s="121">
        <f>COUNTIFS('Members Data'!$C$2:$C$61, "Monk", 'Members Data'!$D$2:$D$61, "Tank", 'wk2'!B$10:B$69,"Confirmed")+COUNTIFS('Members Data'!$C$2:$C$61, "Monk", 'Members Data'!$D$2:$D$61, "Tank", 'wk2'!B$10:B$69,"Standby")</f>
        <v>0</v>
      </c>
      <c r="M25" s="121">
        <f>COUNTIFS('Members Data'!$C$2:$C$61, "Monk", 'Members Data'!$D$2:$D$61, "Tank", 'wk2'!C$10:C$69,"Confirmed")+COUNTIFS('Members Data'!$C$2:$C$61, "Monk", 'Members Data'!$D$2:$D$61, "Tank", 'wk2'!C$10:C$69,"Standby")</f>
        <v>0</v>
      </c>
      <c r="N25" s="121">
        <f>COUNTIFS('Members Data'!$C$2:$C$61, "Monk", 'Members Data'!$D$2:$D$61, "Tank", 'wk2'!D$10:D$69,"Confirmed")+COUNTIFS('Members Data'!$C$2:$C$61, "Monk", 'Members Data'!$D$2:$D$61, "Tank", 'wk2'!D$10:D$69,"Standby")</f>
        <v>0</v>
      </c>
      <c r="O25" s="121">
        <f>COUNTIFS('Members Data'!$C$2:$C$61, "Monk", 'Members Data'!$D$2:$D$61, "Tank", 'wk2'!E$10:E$69,"Confirmed")+COUNTIFS('Members Data'!$C$2:$C$61, "Monk", 'Members Data'!$D$2:$D$61, "Tank", 'wk2'!E$10:E$69,"Standby")</f>
        <v>0</v>
      </c>
      <c r="P25" s="121">
        <f>COUNTIFS('Members Data'!$C$2:$C$61, "Monk", 'Members Data'!$D$2:$D$61, "Tank", 'wk2'!F$10:F$69,"Confirmed")+COUNTIFS('Members Data'!$C$2:$C$61, "Monk", 'Members Data'!$D$2:$D$61, "Tank", 'wk2'!F$10:F$69,"Standby")</f>
        <v>0</v>
      </c>
      <c r="Q25" s="121">
        <f>COUNTIFS('Members Data'!$C$2:$C$61, "Monk", 'Members Data'!$D$2:$D$61, "Tank", 'wk2'!G$10:G$69,"Confirmed")+COUNTIFS('Members Data'!$C$2:$C$61, "Monk", 'Members Data'!$D$2:$D$61, "Tank", 'wk2'!G$10:G$69,"Standby")</f>
        <v>0</v>
      </c>
      <c r="R25" s="121">
        <f>COUNTIFS('Members Data'!$C$2:$C$61, "Monk", 'Members Data'!$D$2:$D$61, "Tank", 'wk2'!H$10:H$69,"Confirmed")+COUNTIFS('Members Data'!$C$2:$C$61, "Monk", 'Members Data'!$D$2:$D$61, "Tank", 'wk2'!H$10:H$69,"Standby")</f>
        <v>0</v>
      </c>
      <c r="S25" s="108">
        <f>SUM(L25:R25)</f>
        <v>0</v>
      </c>
      <c r="T25" s="106">
        <f>COUNTIFS('Members Data'!$C$2:$C$61, "Monk", 'Members Data'!$D$2:$D$61, "Tank", 'wk3'!B$10:B$69,"Confirmed")+COUNTIFS('Members Data'!$C$2:$C$61, "Monk", 'Members Data'!$D$2:$D$61, "Tank", 'wk3'!B$10:B$69,"Standby")</f>
        <v>1</v>
      </c>
      <c r="U25" s="106">
        <f>COUNTIFS('Members Data'!$C$2:$C$61, "Monk", 'Members Data'!$D$2:$D$61, "Tank", 'wk3'!C$10:C$69,"Confirmed")+COUNTIFS('Members Data'!$C$2:$C$61, "Monk", 'Members Data'!$D$2:$D$61, "Tank", 'wk3'!C$10:C$69,"Standby")</f>
        <v>0</v>
      </c>
      <c r="V25" s="106">
        <f>COUNTIFS('Members Data'!$C$2:$C$61, "Monk", 'Members Data'!$D$2:$D$61, "Tank", 'wk3'!D$10:D$69,"Confirmed")+COUNTIFS('Members Data'!$C$2:$C$61, "Monk", 'Members Data'!$D$2:$D$61, "Tank", 'wk3'!D$10:D$69,"Standby")</f>
        <v>1</v>
      </c>
      <c r="W25" s="106">
        <f>COUNTIFS('Members Data'!$C$2:$C$61, "Monk", 'Members Data'!$D$2:$D$61, "Tank", 'wk3'!E$10:E$69,"Confirmed")+COUNTIFS('Members Data'!$C$2:$C$61, "Monk", 'Members Data'!$D$2:$D$61, "Tank", 'wk3'!E$10:E$69,"Standby")</f>
        <v>0</v>
      </c>
      <c r="X25" s="106">
        <f>COUNTIFS('Members Data'!$C$2:$C$61, "Monk", 'Members Data'!$D$2:$D$61, "Tank", 'wk3'!F$10:F$69,"Confirmed")+COUNTIFS('Members Data'!$C$2:$C$61, "Monk", 'Members Data'!$D$2:$D$61, "Tank", 'wk3'!F$10:F$69,"Standby")</f>
        <v>0</v>
      </c>
      <c r="Y25" s="106">
        <f>COUNTIFS('Members Data'!$C$2:$C$61, "Monk", 'Members Data'!$D$2:$D$61, "Tank", 'wk3'!G$10:G$69,"Confirmed")+COUNTIFS('Members Data'!$C$2:$C$61, "Monk", 'Members Data'!$D$2:$D$61, "Tank", 'wk3'!G$10:G$69,"Standby")</f>
        <v>0</v>
      </c>
      <c r="Z25" s="106">
        <f>COUNTIFS('Members Data'!$C$2:$C$61, "Monk", 'Members Data'!$D$2:$D$61, "Tank", 'wk3'!H$10:H$69,"Confirmed")+COUNTIFS('Members Data'!$C$2:$C$61, "Monk", 'Members Data'!$D$2:$D$61, "Tank", 'wk3'!H$10:H$69,"Standby")</f>
        <v>1</v>
      </c>
      <c r="AA25" s="108">
        <f>SUM(T25:Z25)</f>
        <v>3</v>
      </c>
      <c r="AB25" s="106">
        <f>COUNTIFS('Members Data'!$C$2:$C$61, "Monk", 'Members Data'!$D$2:$D$61, "Tank", 'wk4'!B$10:B$69,"Confirmed")+COUNTIFS('Members Data'!$C$2:$C$61, "Monk", 'Members Data'!$D$2:$D$61, "Tank", 'wk4'!B$10:B$69,"Standby")</f>
        <v>1</v>
      </c>
      <c r="AC25" s="106">
        <f>COUNTIFS('Members Data'!$C$2:$C$61, "Monk", 'Members Data'!$D$2:$D$61, "Tank", 'wk4'!C$10:C$69,"Confirmed")+COUNTIFS('Members Data'!$C$2:$C$61, "Monk", 'Members Data'!$D$2:$D$61, "Tank", 'wk4'!C$10:C$69,"Standby")</f>
        <v>0</v>
      </c>
      <c r="AD25" s="106">
        <f>COUNTIFS('Members Data'!$C$2:$C$61, "Monk", 'Members Data'!$D$2:$D$61, "Tank", 'wk4'!D$10:D$69,"Confirmed")+COUNTIFS('Members Data'!$C$2:$C$61, "Monk", 'Members Data'!$D$2:$D$61, "Tank", 'wk4'!D$10:D$69,"Standby")</f>
        <v>1</v>
      </c>
      <c r="AE25" s="106">
        <f>COUNTIFS('Members Data'!$C$2:$C$61, "Monk", 'Members Data'!$D$2:$D$61, "Tank", 'wk4'!E$10:E$69,"Confirmed")+COUNTIFS('Members Data'!$C$2:$C$61, "Monk", 'Members Data'!$D$2:$D$61, "Tank", 'wk4'!E$10:E$69,"Standby")</f>
        <v>0</v>
      </c>
      <c r="AF25" s="106">
        <f>COUNTIFS('Members Data'!$C$2:$C$61, "Monk", 'Members Data'!$D$2:$D$61, "Tank", 'wk4'!F$10:F$69,"Confirmed")+COUNTIFS('Members Data'!$C$2:$C$61, "Monk", 'Members Data'!$D$2:$D$61, "Tank", 'wk4'!F$10:F$69,"Standby")</f>
        <v>0</v>
      </c>
      <c r="AG25" s="106">
        <f>COUNTIFS('Members Data'!$C$2:$C$61, "Monk", 'Members Data'!$D$2:$D$61, "Tank", 'wk4'!G$10:G$69,"Confirmed")+COUNTIFS('Members Data'!$C$2:$C$61, "Monk", 'Members Data'!$D$2:$D$61, "Tank", 'wk4'!G$10:G$69,"Standby")</f>
        <v>0</v>
      </c>
      <c r="AH25" s="106">
        <f>COUNTIFS('Members Data'!$C$2:$C$61, "Monk", 'Members Data'!$D$2:$D$61, "Tank", 'wk4'!H$10:H$69,"Confirmed")+COUNTIFS('Members Data'!$C$2:$C$61, "Monk", 'Members Data'!$D$2:$D$61, "Tank", 'wk4'!H$10:H$69,"Standby")</f>
        <v>1</v>
      </c>
      <c r="AI25" s="108">
        <f>SUM(AB25:AH25)</f>
        <v>3</v>
      </c>
      <c r="AJ25" s="106">
        <f>COUNTIFS('Members Data'!$C$2:$C$61, "Monk", 'Members Data'!$D$2:$D$61, "Tank", 'wk5'!B$10:B$69,"Confirmed")+COUNTIFS('Members Data'!$C$2:$C$61, "Monk", 'Members Data'!$D$2:$D$61, "Tank", 'wk5'!B$10:B$69,"Standby")</f>
        <v>1</v>
      </c>
      <c r="AK25" s="106">
        <f>COUNTIFS('Members Data'!$C$2:$C$61, "Monk", 'Members Data'!$D$2:$D$61, "Tank", 'wk5'!C$10:C$69,"Confirmed")+COUNTIFS('Members Data'!$C$2:$C$61, "Monk", 'Members Data'!$D$2:$D$61, "Tank", 'wk5'!C$10:C$69,"Standby")</f>
        <v>0</v>
      </c>
      <c r="AL25" s="106">
        <f>COUNTIFS('Members Data'!$C$2:$C$61, "Monk", 'Members Data'!$D$2:$D$61, "Tank", 'wk5'!D$10:D$69,"Confirmed")+COUNTIFS('Members Data'!$C$2:$C$61, "Monk", 'Members Data'!$D$2:$D$61, "Tank", 'wk5'!D$10:D$69,"Standby")</f>
        <v>1</v>
      </c>
      <c r="AM25" s="106">
        <f>COUNTIFS('Members Data'!$C$2:$C$61, "Monk", 'Members Data'!$D$2:$D$61, "Tank", 'wk5'!E$10:E$69,"Confirmed")+COUNTIFS('Members Data'!$C$2:$C$61, "Monk", 'Members Data'!$D$2:$D$61, "Tank", 'wk5'!E$10:E$69,"Standby")</f>
        <v>0</v>
      </c>
      <c r="AN25" s="106">
        <f>COUNTIFS('Members Data'!$C$2:$C$61, "Monk", 'Members Data'!$D$2:$D$61, "Tank", 'wk5'!F$10:F$69,"Confirmed")+COUNTIFS('Members Data'!$C$2:$C$61, "Monk", 'Members Data'!$D$2:$D$61, "Tank", 'wk5'!F$10:F$69,"Standby")</f>
        <v>0</v>
      </c>
      <c r="AO25" s="106">
        <f>COUNTIFS('Members Data'!$C$2:$C$61, "Monk", 'Members Data'!$D$2:$D$61, "Tank", 'wk5'!G$10:G$69,"Confirmed")+COUNTIFS('Members Data'!$C$2:$C$61, "Monk", 'Members Data'!$D$2:$D$61, "Tank", 'wk5'!G$10:G$69,"Standby")</f>
        <v>0</v>
      </c>
      <c r="AP25" s="106">
        <f>COUNTIFS('Members Data'!$C$2:$C$61, "Monk", 'Members Data'!$D$2:$D$61, "Tank", 'wk5'!H$10:H$69,"Confirmed")+COUNTIFS('Members Data'!$C$2:$C$61, "Monk", 'Members Data'!$D$2:$D$61, "Tank", 'wk5'!H$10:H$69,"Standby")</f>
        <v>0</v>
      </c>
      <c r="AQ25" s="108">
        <f>SUM(AJ25:AP25)</f>
        <v>2</v>
      </c>
    </row>
    <row r="26" spans="1:43" ht="15.75" thickBot="1">
      <c r="A26" s="123" t="s">
        <v>77</v>
      </c>
      <c r="B26" s="110">
        <f>K26+S26+AA26+AI26+AQ26</f>
        <v>16</v>
      </c>
      <c r="D26" s="120">
        <f>COUNTIFS('Members Data'!$C$2:$C$61, "Monk", 'Members Data'!$D$2:$D$61, "MDPS", 'wk1'!B$10:B$69,"Confirmed")+COUNTIFS('Members Data'!$C$2:$C$61, "Monk", 'Members Data'!$D$2:$D$61, "MDPS", 'wk1'!B$10:B$69,"Standby")</f>
        <v>0</v>
      </c>
      <c r="E26" s="120">
        <f>COUNTIFS('Members Data'!$C$2:$C$61, "Monk", 'Members Data'!$D$2:$D$61, "MDPS", 'wk1'!C$10:C$69,"Confirmed")+COUNTIFS('Members Data'!$C$2:$C$61, "Monk", 'Members Data'!$D$2:$D$61, "MDPS", 'wk1'!C$10:C$69,"Standby")</f>
        <v>0</v>
      </c>
      <c r="F26" s="120">
        <f>COUNTIFS('Members Data'!$C$2:$C$61, "Monk", 'Members Data'!$D$2:$D$61, "MDPS", 'wk1'!D$10:D$69,"Confirmed")+COUNTIFS('Members Data'!$C$2:$C$61, "Monk", 'Members Data'!$D$2:$D$61, "MDPS", 'wk1'!D$10:D$69,"Standby")</f>
        <v>0</v>
      </c>
      <c r="G26" s="120">
        <f>COUNTIFS('Members Data'!$C$2:$C$61, "Monk", 'Members Data'!$D$2:$D$61, "MDPS", 'wk1'!E$10:E$69,"Confirmed")+COUNTIFS('Members Data'!$C$2:$C$61, "Monk", 'Members Data'!$D$2:$D$61, "MDPS", 'wk1'!E$10:E$69,"Standby")</f>
        <v>0</v>
      </c>
      <c r="H26" s="120">
        <f>COUNTIFS('Members Data'!$C$2:$C$61, "Monk", 'Members Data'!$D$2:$D$61, "MDPS", 'wk1'!F$10:F$69,"Confirmed")+COUNTIFS('Members Data'!$C$2:$C$61, "Monk", 'Members Data'!$D$2:$D$61, "MDPS", 'wk1'!F$10:F$69,"Standby")</f>
        <v>0</v>
      </c>
      <c r="I26" s="120">
        <f>COUNTIFS('Members Data'!$C$2:$C$61, "Monk", 'Members Data'!$D$2:$D$61, "MDPS", 'wk1'!G$10:G$69,"Confirmed")+COUNTIFS('Members Data'!$C$2:$C$61, "Monk", 'Members Data'!$D$2:$D$61, "MDPS", 'wk1'!G$10:G$69,"Standby")</f>
        <v>0</v>
      </c>
      <c r="J26" s="120">
        <f>COUNTIFS('Members Data'!$C$2:$C$61, "Monk", 'Members Data'!$D$2:$D$61, "MDPS", 'wk1'!H$10:H$69,"Confirmed")+COUNTIFS('Members Data'!$C$2:$C$61, "Monk", 'Members Data'!$D$2:$D$61, "MDPS", 'wk1'!H$10:H$69,"Standby")</f>
        <v>0</v>
      </c>
      <c r="K26" s="108">
        <f>SUM(D26:J26)</f>
        <v>0</v>
      </c>
      <c r="L26" s="121">
        <f>COUNTIFS('Members Data'!$C$2:$C$61, "Monk", 'Members Data'!$D$2:$D$61, "MDPS", 'wk2'!B$10:B$69,"Confirmed")+COUNTIFS('Members Data'!$C$2:$C$61, "Monk", 'Members Data'!$D$2:$D$61, "MDPS", 'wk2'!B$10:B$69,"Standby")</f>
        <v>0</v>
      </c>
      <c r="M26" s="121">
        <f>COUNTIFS('Members Data'!$C$2:$C$61, "Monk", 'Members Data'!$D$2:$D$61, "MDPS", 'wk2'!C$10:C$69,"Confirmed")+COUNTIFS('Members Data'!$C$2:$C$61, "Monk", 'Members Data'!$D$2:$D$61, "MDPS", 'wk2'!C$10:C$69,"Standby")</f>
        <v>0</v>
      </c>
      <c r="N26" s="121">
        <f>COUNTIFS('Members Data'!$C$2:$C$61, "Monk", 'Members Data'!$D$2:$D$61, "MDPS", 'wk2'!D$10:D$69,"Confirmed")+COUNTIFS('Members Data'!$C$2:$C$61, "Monk", 'Members Data'!$D$2:$D$61, "MDPS", 'wk2'!D$10:D$69,"Standby")</f>
        <v>0</v>
      </c>
      <c r="O26" s="121">
        <f>COUNTIFS('Members Data'!$C$2:$C$61, "Monk", 'Members Data'!$D$2:$D$61, "MDPS", 'wk2'!E$10:E$69,"Confirmed")+COUNTIFS('Members Data'!$C$2:$C$61, "Monk", 'Members Data'!$D$2:$D$61, "MDPS", 'wk2'!E$10:E$69,"Standby")</f>
        <v>0</v>
      </c>
      <c r="P26" s="121">
        <f>COUNTIFS('Members Data'!$C$2:$C$61, "Monk", 'Members Data'!$D$2:$D$61, "MDPS", 'wk2'!F$10:F$69,"Confirmed")+COUNTIFS('Members Data'!$C$2:$C$61, "Monk", 'Members Data'!$D$2:$D$61, "MDPS", 'wk2'!F$10:F$69,"Standby")</f>
        <v>0</v>
      </c>
      <c r="Q26" s="121">
        <f>COUNTIFS('Members Data'!$C$2:$C$61, "Monk", 'Members Data'!$D$2:$D$61, "MDPS", 'wk2'!G$10:G$69,"Confirmed")+COUNTIFS('Members Data'!$C$2:$C$61, "Monk", 'Members Data'!$D$2:$D$61, "MDPS", 'wk2'!G$10:G$69,"Standby")</f>
        <v>0</v>
      </c>
      <c r="R26" s="121">
        <f>COUNTIFS('Members Data'!$C$2:$C$61, "Monk", 'Members Data'!$D$2:$D$61, "MDPS", 'wk2'!H$10:H$69,"Confirmed")+COUNTIFS('Members Data'!$C$2:$C$61, "Monk", 'Members Data'!$D$2:$D$61, "MDPS", 'wk2'!H$10:H$69,"Standby")</f>
        <v>0</v>
      </c>
      <c r="S26" s="108">
        <f>SUM(L26:R26)</f>
        <v>0</v>
      </c>
      <c r="T26" s="106">
        <f>COUNTIFS('Members Data'!$C$2:$C$61, "Monk", 'Members Data'!$D$2:$D$61, "MDPS", 'wk3'!B$10:B$69,"Confirmed")+COUNTIFS('Members Data'!$C$2:$C$61, "Monk", 'Members Data'!$D$2:$D$61, "MDPS", 'wk3'!B$10:B$69,"Standby")</f>
        <v>2</v>
      </c>
      <c r="U26" s="106">
        <f>COUNTIFS('Members Data'!$C$2:$C$61, "Monk", 'Members Data'!$D$2:$D$61, "MDPS", 'wk3'!C$10:C$69,"Confirmed")+COUNTIFS('Members Data'!$C$2:$C$61, "Monk", 'Members Data'!$D$2:$D$61, "MDPS", 'wk3'!C$10:C$69,"Standby")</f>
        <v>0</v>
      </c>
      <c r="V26" s="106">
        <f>COUNTIFS('Members Data'!$C$2:$C$61, "Monk", 'Members Data'!$D$2:$D$61, "MDPS", 'wk3'!D$10:D$69,"Confirmed")+COUNTIFS('Members Data'!$C$2:$C$61, "Monk", 'Members Data'!$D$2:$D$61, "MDPS", 'wk3'!D$10:D$69,"Standby")</f>
        <v>2</v>
      </c>
      <c r="W26" s="106">
        <f>COUNTIFS('Members Data'!$C$2:$C$61, "Monk", 'Members Data'!$D$2:$D$61, "MDPS", 'wk3'!E$10:E$69,"Confirmed")+COUNTIFS('Members Data'!$C$2:$C$61, "Monk", 'Members Data'!$D$2:$D$61, "MDPS", 'wk3'!E$10:E$69,"Standby")</f>
        <v>0</v>
      </c>
      <c r="X26" s="106">
        <f>COUNTIFS('Members Data'!$C$2:$C$61, "Monk", 'Members Data'!$D$2:$D$61, "MDPS", 'wk3'!F$10:F$69,"Confirmed")+COUNTIFS('Members Data'!$C$2:$C$61, "Monk", 'Members Data'!$D$2:$D$61, "MDPS", 'wk3'!F$10:F$69,"Standby")</f>
        <v>0</v>
      </c>
      <c r="Y26" s="106">
        <f>COUNTIFS('Members Data'!$C$2:$C$61, "Monk", 'Members Data'!$D$2:$D$61, "MDPS", 'wk3'!G$10:G$69,"Confirmed")+COUNTIFS('Members Data'!$C$2:$C$61, "Monk", 'Members Data'!$D$2:$D$61, "MDPS", 'wk3'!G$10:G$69,"Standby")</f>
        <v>0</v>
      </c>
      <c r="Z26" s="106">
        <f>COUNTIFS('Members Data'!$C$2:$C$61, "Monk", 'Members Data'!$D$2:$D$61, "MDPS", 'wk3'!H$10:H$69,"Confirmed")+COUNTIFS('Members Data'!$C$2:$C$61, "Monk", 'Members Data'!$D$2:$D$61, "MDPS", 'wk3'!H$10:H$69,"Standby")</f>
        <v>2</v>
      </c>
      <c r="AA26" s="108">
        <f>SUM(T26:Z26)</f>
        <v>6</v>
      </c>
      <c r="AB26" s="106">
        <f>COUNTIFS('Members Data'!$C$2:$C$61, "Monk", 'Members Data'!$D$2:$D$61, "MDPS", 'wk4'!B$10:B$69,"Confirmed")+COUNTIFS('Members Data'!$C$2:$C$61, "Monk", 'Members Data'!$D$2:$D$61, "MDPS", 'wk4'!B$10:B$69,"Standby")</f>
        <v>2</v>
      </c>
      <c r="AC26" s="106">
        <f>COUNTIFS('Members Data'!$C$2:$C$61, "Monk", 'Members Data'!$D$2:$D$61, "MDPS", 'wk4'!C$10:C$69,"Confirmed")+COUNTIFS('Members Data'!$C$2:$C$61, "Monk", 'Members Data'!$D$2:$D$61, "MDPS", 'wk4'!C$10:C$69,"Standby")</f>
        <v>0</v>
      </c>
      <c r="AD26" s="106">
        <f>COUNTIFS('Members Data'!$C$2:$C$61, "Monk", 'Members Data'!$D$2:$D$61, "MDPS", 'wk4'!D$10:D$69,"Confirmed")+COUNTIFS('Members Data'!$C$2:$C$61, "Monk", 'Members Data'!$D$2:$D$61, "MDPS", 'wk4'!D$10:D$69,"Standby")</f>
        <v>2</v>
      </c>
      <c r="AE26" s="106">
        <f>COUNTIFS('Members Data'!$C$2:$C$61, "Monk", 'Members Data'!$D$2:$D$61, "MDPS", 'wk4'!E$10:E$69,"Confirmed")+COUNTIFS('Members Data'!$C$2:$C$61, "Monk", 'Members Data'!$D$2:$D$61, "MDPS", 'wk4'!E$10:E$69,"Standby")</f>
        <v>0</v>
      </c>
      <c r="AF26" s="106">
        <f>COUNTIFS('Members Data'!$C$2:$C$61, "Monk", 'Members Data'!$D$2:$D$61, "MDPS", 'wk4'!F$10:F$69,"Confirmed")+COUNTIFS('Members Data'!$C$2:$C$61, "Monk", 'Members Data'!$D$2:$D$61, "MDPS", 'wk4'!F$10:F$69,"Standby")</f>
        <v>0</v>
      </c>
      <c r="AG26" s="106">
        <f>COUNTIFS('Members Data'!$C$2:$C$61, "Monk", 'Members Data'!$D$2:$D$61, "MDPS", 'wk4'!G$10:G$69,"Confirmed")+COUNTIFS('Members Data'!$C$2:$C$61, "Monk", 'Members Data'!$D$2:$D$61, "MDPS", 'wk4'!G$10:G$69,"Standby")</f>
        <v>0</v>
      </c>
      <c r="AH26" s="106">
        <f>COUNTIFS('Members Data'!$C$2:$C$61, "Monk", 'Members Data'!$D$2:$D$61, "MDPS", 'wk4'!H$10:H$69,"Confirmed")+COUNTIFS('Members Data'!$C$2:$C$61, "Monk", 'Members Data'!$D$2:$D$61, "MDPS", 'wk4'!H$10:H$69,"Standby")</f>
        <v>2</v>
      </c>
      <c r="AI26" s="108">
        <f>SUM(AB26:AH26)</f>
        <v>6</v>
      </c>
      <c r="AJ26" s="106">
        <f>COUNTIFS('Members Data'!$C$2:$C$61, "Monk", 'Members Data'!$D$2:$D$61, "MDPS", 'wk5'!B$10:B$69,"Confirmed")+COUNTIFS('Members Data'!$C$2:$C$61, "Monk", 'Members Data'!$D$2:$D$61, "MDPS", 'wk5'!B$10:B$69,"Standby")</f>
        <v>2</v>
      </c>
      <c r="AK26" s="106">
        <f>COUNTIFS('Members Data'!$C$2:$C$61, "Monk", 'Members Data'!$D$2:$D$61, "MDPS", 'wk5'!C$10:C$69,"Confirmed")+COUNTIFS('Members Data'!$C$2:$C$61, "Monk", 'Members Data'!$D$2:$D$61, "MDPS", 'wk5'!C$10:C$69,"Standby")</f>
        <v>0</v>
      </c>
      <c r="AL26" s="106">
        <f>COUNTIFS('Members Data'!$C$2:$C$61, "Monk", 'Members Data'!$D$2:$D$61, "MDPS", 'wk5'!D$10:D$69,"Confirmed")+COUNTIFS('Members Data'!$C$2:$C$61, "Monk", 'Members Data'!$D$2:$D$61, "MDPS", 'wk5'!D$10:D$69,"Standby")</f>
        <v>2</v>
      </c>
      <c r="AM26" s="106">
        <f>COUNTIFS('Members Data'!$C$2:$C$61, "Monk", 'Members Data'!$D$2:$D$61, "MDPS", 'wk5'!E$10:E$69,"Confirmed")+COUNTIFS('Members Data'!$C$2:$C$61, "Monk", 'Members Data'!$D$2:$D$61, "MDPS", 'wk5'!E$10:E$69,"Standby")</f>
        <v>0</v>
      </c>
      <c r="AN26" s="106">
        <f>COUNTIFS('Members Data'!$C$2:$C$61, "Monk", 'Members Data'!$D$2:$D$61, "MDPS", 'wk5'!F$10:F$69,"Confirmed")+COUNTIFS('Members Data'!$C$2:$C$61, "Monk", 'Members Data'!$D$2:$D$61, "MDPS", 'wk5'!F$10:F$69,"Standby")</f>
        <v>0</v>
      </c>
      <c r="AO26" s="106">
        <f>COUNTIFS('Members Data'!$C$2:$C$61, "Monk", 'Members Data'!$D$2:$D$61, "MDPS", 'wk5'!G$10:G$69,"Confirmed")+COUNTIFS('Members Data'!$C$2:$C$61, "Monk", 'Members Data'!$D$2:$D$61, "MDPS", 'wk5'!G$10:G$69,"Standby")</f>
        <v>0</v>
      </c>
      <c r="AP26" s="106">
        <f>COUNTIFS('Members Data'!$C$2:$C$61, "Monk", 'Members Data'!$D$2:$D$61, "MDPS", 'wk5'!H$10:H$69,"Confirmed")+COUNTIFS('Members Data'!$C$2:$C$61, "Monk", 'Members Data'!$D$2:$D$61, "MDPS", 'wk5'!H$10:H$69,"Standby")</f>
        <v>0</v>
      </c>
      <c r="AQ26" s="108">
        <f>SUM(AJ26:AP26)</f>
        <v>4</v>
      </c>
    </row>
    <row r="27" spans="1:43" ht="15.75" thickBot="1">
      <c r="A27" s="114" t="s">
        <v>13</v>
      </c>
      <c r="B27" s="115">
        <f>K27+S27+AA27+AI27+AQ27</f>
        <v>15</v>
      </c>
      <c r="D27" s="120">
        <f>COUNTIFS('Members Data'!$C$2:$C$61, "Monk", 'Members Data'!$D$2:$D$61, "Healer", 'wk1'!B$10:B$69,"Confirmed")+COUNTIFS('Members Data'!$C$2:$C$61, "Monk", 'Members Data'!$D$2:$D$61, "Healer", 'wk1'!B$10:B$69,"Standby")</f>
        <v>0</v>
      </c>
      <c r="E27" s="120">
        <f>COUNTIFS('Members Data'!$C$2:$C$61, "Monk", 'Members Data'!$D$2:$D$61, "Healer", 'wk1'!C$10:C$69,"Confirmed")+COUNTIFS('Members Data'!$C$2:$C$61, "Monk", 'Members Data'!$D$2:$D$61, "Healer", 'wk1'!C$10:C$69,"Standby")</f>
        <v>0</v>
      </c>
      <c r="F27" s="120">
        <f>COUNTIFS('Members Data'!$C$2:$C$61, "Monk", 'Members Data'!$D$2:$D$61, "Healer", 'wk1'!D$10:D$69,"Confirmed")+COUNTIFS('Members Data'!$C$2:$C$61, "Monk", 'Members Data'!$D$2:$D$61, "Healer", 'wk1'!D$10:D$69,"Standby")</f>
        <v>0</v>
      </c>
      <c r="G27" s="120">
        <f>COUNTIFS('Members Data'!$C$2:$C$61, "Monk", 'Members Data'!$D$2:$D$61, "Healer", 'wk1'!E$10:E$69,"Confirmed")+COUNTIFS('Members Data'!$C$2:$C$61, "Monk", 'Members Data'!$D$2:$D$61, "Healer", 'wk1'!E$10:E$69,"Standby")</f>
        <v>0</v>
      </c>
      <c r="H27" s="120">
        <f>COUNTIFS('Members Data'!$C$2:$C$61, "Monk", 'Members Data'!$D$2:$D$61, "Healer", 'wk1'!F$10:F$69,"Confirmed")+COUNTIFS('Members Data'!$C$2:$C$61, "Monk", 'Members Data'!$D$2:$D$61, "Healer", 'wk1'!F$10:F$69,"Standby")</f>
        <v>0</v>
      </c>
      <c r="I27" s="120">
        <f>COUNTIFS('Members Data'!$C$2:$C$61, "Monk", 'Members Data'!$D$2:$D$61, "Healer", 'wk1'!G$10:G$69,"Confirmed")+COUNTIFS('Members Data'!$C$2:$C$61, "Monk", 'Members Data'!$D$2:$D$61, "Healer", 'wk1'!G$10:G$69,"Standby")</f>
        <v>0</v>
      </c>
      <c r="J27" s="120">
        <f>COUNTIFS('Members Data'!$C$2:$C$61, "Monk", 'Members Data'!$D$2:$D$61, "Healer", 'wk1'!H$10:H$69,"Confirmed")+COUNTIFS('Members Data'!$C$2:$C$61, "Monk", 'Members Data'!$D$2:$D$61, "Healer", 'wk1'!H$10:H$69,"Standby")</f>
        <v>0</v>
      </c>
      <c r="K27" s="108">
        <f>SUM(D27:J27)</f>
        <v>0</v>
      </c>
      <c r="L27" s="121">
        <f>COUNTIFS('Members Data'!$C$2:$C$61, "Monk", 'Members Data'!$D$2:$D$61, "Healer", 'wk2'!B$10:B$69,"Confirmed")+COUNTIFS('Members Data'!$C$2:$C$61, "Monk", 'Members Data'!$D$2:$D$61, "Healer", 'wk2'!B$10:B$69,"Standby")</f>
        <v>0</v>
      </c>
      <c r="M27" s="121">
        <f>COUNTIFS('Members Data'!$C$2:$C$61, "Monk", 'Members Data'!$D$2:$D$61, "Healer", 'wk2'!C$10:C$69,"Confirmed")+COUNTIFS('Members Data'!$C$2:$C$61, "Monk", 'Members Data'!$D$2:$D$61, "Healer", 'wk2'!C$10:C$69,"Standby")</f>
        <v>0</v>
      </c>
      <c r="N27" s="121">
        <f>COUNTIFS('Members Data'!$C$2:$C$61, "Monk", 'Members Data'!$D$2:$D$61, "Healer", 'wk2'!D$10:D$69,"Confirmed")+COUNTIFS('Members Data'!$C$2:$C$61, "Monk", 'Members Data'!$D$2:$D$61, "Healer", 'wk2'!D$10:D$69,"Standby")</f>
        <v>0</v>
      </c>
      <c r="O27" s="121">
        <f>COUNTIFS('Members Data'!$C$2:$C$61, "Monk", 'Members Data'!$D$2:$D$61, "Healer", 'wk2'!E$10:E$69,"Confirmed")+COUNTIFS('Members Data'!$C$2:$C$61, "Monk", 'Members Data'!$D$2:$D$61, "Healer", 'wk2'!E$10:E$69,"Standby")</f>
        <v>0</v>
      </c>
      <c r="P27" s="121">
        <f>COUNTIFS('Members Data'!$C$2:$C$61, "Monk", 'Members Data'!$D$2:$D$61, "Healer", 'wk2'!F$10:F$69,"Confirmed")+COUNTIFS('Members Data'!$C$2:$C$61, "Monk", 'Members Data'!$D$2:$D$61, "Healer", 'wk2'!F$10:F$69,"Standby")</f>
        <v>0</v>
      </c>
      <c r="Q27" s="121">
        <f>COUNTIFS('Members Data'!$C$2:$C$61, "Monk", 'Members Data'!$D$2:$D$61, "Healer", 'wk2'!G$10:G$69,"Confirmed")+COUNTIFS('Members Data'!$C$2:$C$61, "Monk", 'Members Data'!$D$2:$D$61, "Healer", 'wk2'!G$10:G$69,"Standby")</f>
        <v>0</v>
      </c>
      <c r="R27" s="121">
        <f>COUNTIFS('Members Data'!$C$2:$C$61, "Monk", 'Members Data'!$D$2:$D$61, "Healer", 'wk2'!H$10:H$69,"Confirmed")+COUNTIFS('Members Data'!$C$2:$C$61, "Monk", 'Members Data'!$D$2:$D$61, "Healer", 'wk2'!H$10:H$69,"Standby")</f>
        <v>0</v>
      </c>
      <c r="S27" s="108">
        <f>SUM(L27:R27)</f>
        <v>0</v>
      </c>
      <c r="T27" s="106">
        <f>COUNTIFS('Members Data'!$C$2:$C$61, "Monk", 'Members Data'!$D$2:$D$61, "Healer", 'wk3'!B$10:B$69,"Confirmed")+COUNTIFS('Members Data'!$C$2:$C$61, "Monk", 'Members Data'!$D$2:$D$61, "Healer", 'wk3'!B$10:B$69,"Standby")</f>
        <v>2</v>
      </c>
      <c r="U27" s="106">
        <f>COUNTIFS('Members Data'!$C$2:$C$61, "Monk", 'Members Data'!$D$2:$D$61, "Healer", 'wk3'!C$10:C$69,"Confirmed")+COUNTIFS('Members Data'!$C$2:$C$61, "Monk", 'Members Data'!$D$2:$D$61, "Healer", 'wk3'!C$10:C$69,"Standby")</f>
        <v>0</v>
      </c>
      <c r="V27" s="106">
        <f>COUNTIFS('Members Data'!$C$2:$C$61, "Monk", 'Members Data'!$D$2:$D$61, "Healer", 'wk3'!D$10:D$69,"Confirmed")+COUNTIFS('Members Data'!$C$2:$C$61, "Monk", 'Members Data'!$D$2:$D$61, "Healer", 'wk3'!D$10:D$69,"Standby")</f>
        <v>2</v>
      </c>
      <c r="W27" s="106">
        <f>COUNTIFS('Members Data'!$C$2:$C$61, "Monk", 'Members Data'!$D$2:$D$61, "Healer", 'wk3'!E$10:E$69,"Confirmed")+COUNTIFS('Members Data'!$C$2:$C$61, "Monk", 'Members Data'!$D$2:$D$61, "Healer", 'wk3'!E$10:E$69,"Standby")</f>
        <v>0</v>
      </c>
      <c r="X27" s="106">
        <f>COUNTIFS('Members Data'!$C$2:$C$61, "Monk", 'Members Data'!$D$2:$D$61, "Healer", 'wk3'!F$10:F$69,"Confirmed")+COUNTIFS('Members Data'!$C$2:$C$61, "Monk", 'Members Data'!$D$2:$D$61, "Healer", 'wk3'!F$10:F$69,"Standby")</f>
        <v>0</v>
      </c>
      <c r="Y27" s="106">
        <f>COUNTIFS('Members Data'!$C$2:$C$61, "Monk", 'Members Data'!$D$2:$D$61, "Healer", 'wk3'!G$10:G$69,"Confirmed")+COUNTIFS('Members Data'!$C$2:$C$61, "Monk", 'Members Data'!$D$2:$D$61, "Healer", 'wk3'!G$10:G$69,"Standby")</f>
        <v>0</v>
      </c>
      <c r="Z27" s="106">
        <f>COUNTIFS('Members Data'!$C$2:$C$61, "Monk", 'Members Data'!$D$2:$D$61, "Healer", 'wk3'!H$10:H$69,"Confirmed")+COUNTIFS('Members Data'!$C$2:$C$61, "Monk", 'Members Data'!$D$2:$D$61, "Healer", 'wk3'!H$10:H$69,"Standby")</f>
        <v>2</v>
      </c>
      <c r="AA27" s="108">
        <f>SUM(T27:Z27)</f>
        <v>6</v>
      </c>
      <c r="AB27" s="106">
        <f>COUNTIFS('Members Data'!$C$2:$C$61, "Monk", 'Members Data'!$D$2:$D$61, "Healer", 'wk4'!B$10:B$69,"Confirmed")+COUNTIFS('Members Data'!$C$2:$C$61, "Monk", 'Members Data'!$D$2:$D$61, "Healer", 'wk4'!B$10:B$69,"Standby")</f>
        <v>2</v>
      </c>
      <c r="AC27" s="106">
        <f>COUNTIFS('Members Data'!$C$2:$C$61, "Monk", 'Members Data'!$D$2:$D$61, "Healer", 'wk4'!C$10:C$69,"Confirmed")+COUNTIFS('Members Data'!$C$2:$C$61, "Monk", 'Members Data'!$D$2:$D$61, "Healer", 'wk4'!C$10:C$69,"Standby")</f>
        <v>0</v>
      </c>
      <c r="AD27" s="106">
        <f>COUNTIFS('Members Data'!$C$2:$C$61, "Monk", 'Members Data'!$D$2:$D$61, "Healer", 'wk4'!D$10:D$69,"Confirmed")+COUNTIFS('Members Data'!$C$2:$C$61, "Monk", 'Members Data'!$D$2:$D$61, "Healer", 'wk4'!D$10:D$69,"Standby")</f>
        <v>2</v>
      </c>
      <c r="AE27" s="106">
        <f>COUNTIFS('Members Data'!$C$2:$C$61, "Monk", 'Members Data'!$D$2:$D$61, "Healer", 'wk4'!E$10:E$69,"Confirmed")+COUNTIFS('Members Data'!$C$2:$C$61, "Monk", 'Members Data'!$D$2:$D$61, "Healer", 'wk4'!E$10:E$69,"Standby")</f>
        <v>0</v>
      </c>
      <c r="AF27" s="106">
        <f>COUNTIFS('Members Data'!$C$2:$C$61, "Monk", 'Members Data'!$D$2:$D$61, "Healer", 'wk4'!F$10:F$69,"Confirmed")+COUNTIFS('Members Data'!$C$2:$C$61, "Monk", 'Members Data'!$D$2:$D$61, "Healer", 'wk4'!F$10:F$69,"Standby")</f>
        <v>0</v>
      </c>
      <c r="AG27" s="106">
        <f>COUNTIFS('Members Data'!$C$2:$C$61, "Monk", 'Members Data'!$D$2:$D$61, "Healer", 'wk4'!G$10:G$69,"Confirmed")+COUNTIFS('Members Data'!$C$2:$C$61, "Monk", 'Members Data'!$D$2:$D$61, "Healer", 'wk4'!G$10:G$69,"Standby")</f>
        <v>0</v>
      </c>
      <c r="AH27" s="106">
        <f>COUNTIFS('Members Data'!$C$2:$C$61, "Monk", 'Members Data'!$D$2:$D$61, "Healer", 'wk4'!H$10:H$69,"Confirmed")+COUNTIFS('Members Data'!$C$2:$C$61, "Monk", 'Members Data'!$D$2:$D$61, "Healer", 'wk4'!H$10:H$69,"Standby")</f>
        <v>2</v>
      </c>
      <c r="AI27" s="108">
        <f>SUM(AB27:AH27)</f>
        <v>6</v>
      </c>
      <c r="AJ27" s="106">
        <f>COUNTIFS('Members Data'!$C$2:$C$61, "Monk", 'Members Data'!$D$2:$D$61, "Healer", 'wk5'!B$10:B$69,"Confirmed")+COUNTIFS('Members Data'!$C$2:$C$61, "Monk", 'Members Data'!$D$2:$D$61, "Healer", 'wk5'!B$10:B$69,"Standby")</f>
        <v>2</v>
      </c>
      <c r="AK27" s="106">
        <f>COUNTIFS('Members Data'!$C$2:$C$61, "Monk", 'Members Data'!$D$2:$D$61, "Healer", 'wk5'!C$10:C$69,"Confirmed")+COUNTIFS('Members Data'!$C$2:$C$61, "Monk", 'Members Data'!$D$2:$D$61, "Healer", 'wk5'!C$10:C$69,"Standby")</f>
        <v>0</v>
      </c>
      <c r="AL27" s="106">
        <f>COUNTIFS('Members Data'!$C$2:$C$61, "Monk", 'Members Data'!$D$2:$D$61, "Healer", 'wk5'!D$10:D$69,"Confirmed")+COUNTIFS('Members Data'!$C$2:$C$61, "Monk", 'Members Data'!$D$2:$D$61, "Healer", 'wk5'!D$10:D$69,"Standby")</f>
        <v>1</v>
      </c>
      <c r="AM27" s="106">
        <f>COUNTIFS('Members Data'!$C$2:$C$61, "Monk", 'Members Data'!$D$2:$D$61, "Healer", 'wk5'!E$10:E$69,"Confirmed")+COUNTIFS('Members Data'!$C$2:$C$61, "Monk", 'Members Data'!$D$2:$D$61, "Healer", 'wk5'!E$10:E$69,"Standby")</f>
        <v>0</v>
      </c>
      <c r="AN27" s="106">
        <f>COUNTIFS('Members Data'!$C$2:$C$61, "Monk", 'Members Data'!$D$2:$D$61, "Healer", 'wk5'!F$10:F$69,"Confirmed")+COUNTIFS('Members Data'!$C$2:$C$61, "Monk", 'Members Data'!$D$2:$D$61, "Healer", 'wk5'!F$10:F$69,"Standby")</f>
        <v>0</v>
      </c>
      <c r="AO27" s="106">
        <f>COUNTIFS('Members Data'!$C$2:$C$61, "Monk", 'Members Data'!$D$2:$D$61, "Healer", 'wk5'!G$10:G$69,"Confirmed")+COUNTIFS('Members Data'!$C$2:$C$61, "Monk", 'Members Data'!$D$2:$D$61, "Healer", 'wk5'!G$10:G$69,"Standby")</f>
        <v>0</v>
      </c>
      <c r="AP27" s="106">
        <f>COUNTIFS('Members Data'!$C$2:$C$61, "Paladin", 'Members Data'!$D$2:$D$61, "Healer", 'wk5'!H$10:H$69,"Confirmed")+COUNTIFS('Members Data'!$C$2:$C$61, "Paladin", 'Members Data'!$D$2:$D$61, "Healer", 'wk5'!H$10:H$69,"Standby")</f>
        <v>0</v>
      </c>
      <c r="AQ27" s="108">
        <f>SUM(AJ27:AP27)</f>
        <v>3</v>
      </c>
    </row>
    <row r="28" spans="1:43" ht="13.5" thickBot="1"/>
    <row r="29" spans="1:43" ht="13.5" thickBot="1">
      <c r="A29" s="104" t="s">
        <v>19</v>
      </c>
      <c r="B29" s="105"/>
    </row>
    <row r="30" spans="1:43" ht="15.75" thickBot="1">
      <c r="A30" s="109" t="s">
        <v>14</v>
      </c>
      <c r="B30" s="110">
        <f>K30+S30+AA30+AI30+AQ30</f>
        <v>7</v>
      </c>
      <c r="D30" s="120">
        <f>COUNTIFS('Members Data'!$C$2:$C$61, "Paladin", 'Members Data'!$D$2:$D$61, "Tank", 'wk1'!B$10:B$69,"Confirmed")+COUNTIFS('Members Data'!$C$2:$C$61, "Paladin", 'Members Data'!$D$2:$D$61, "Tank", 'wk1'!B$10:B$69,"Standby")</f>
        <v>0</v>
      </c>
      <c r="E30" s="120">
        <f>COUNTIFS('Members Data'!$C$2:$C$61, "Paladin", 'Members Data'!$D$2:$D$61, "Tank", 'wk1'!C$10:C$69,"Confirmed")+COUNTIFS('Members Data'!$C$2:$C$61, "Paladin", 'Members Data'!$D$2:$D$61, "Tank", 'wk1'!C$10:C$69,"Standby")</f>
        <v>0</v>
      </c>
      <c r="F30" s="120">
        <f>COUNTIFS('Members Data'!$C$2:$C$61, "Paladin", 'Members Data'!$D$2:$D$61, "Tank", 'wk1'!D$10:D$69,"Confirmed")+COUNTIFS('Members Data'!$C$2:$C$61, "Paladin", 'Members Data'!$D$2:$D$61, "Tank", 'wk1'!D$10:D$69,"Standby")</f>
        <v>0</v>
      </c>
      <c r="G30" s="120">
        <f>COUNTIFS('Members Data'!$C$2:$C$61, "Paladin", 'Members Data'!$D$2:$D$61, "Tank", 'wk1'!E$10:E$69,"Confirmed")+COUNTIFS('Members Data'!$C$2:$C$61, "Paladin", 'Members Data'!$D$2:$D$61, "Tank", 'wk1'!E$10:E$69,"Standby")</f>
        <v>0</v>
      </c>
      <c r="H30" s="120">
        <f>COUNTIFS('Members Data'!$C$2:$C$61, "Paladin", 'Members Data'!$D$2:$D$61, "Tank", 'wk1'!F$10:F$69,"Confirmed")+COUNTIFS('Members Data'!$C$2:$C$61, "Paladin", 'Members Data'!$D$2:$D$61, "Tank", 'wk1'!F$10:F$69,"Standby")</f>
        <v>0</v>
      </c>
      <c r="I30" s="120">
        <f>COUNTIFS('Members Data'!$C$2:$C$61, "Paladin", 'Members Data'!$D$2:$D$61, "Tank", 'wk1'!G$10:G$69,"Confirmed")+COUNTIFS('Members Data'!$C$2:$C$61, "Paladin", 'Members Data'!$D$2:$D$61, "Tank", 'wk1'!G$10:G$69,"Standby")</f>
        <v>0</v>
      </c>
      <c r="J30" s="120">
        <f>COUNTIFS('Members Data'!$C$2:$C$61, "Paladin", 'Members Data'!$D$2:$D$61, "Tank", 'wk1'!H$10:H$69,"Confirmed")+COUNTIFS('Members Data'!$C$2:$C$61, "Paladin", 'Members Data'!$D$2:$D$61, "Tank", 'wk1'!H$10:H$69,"Standby")</f>
        <v>0</v>
      </c>
      <c r="K30" s="108">
        <f>SUM(D30:J30)</f>
        <v>0</v>
      </c>
      <c r="L30" s="121">
        <f>COUNTIFS('Members Data'!$C$2:$C$61, "Paladin", 'Members Data'!$D$2:$D$61, "Tank", 'wk2'!B$10:B$69,"Confirmed")+COUNTIFS('Members Data'!$C$2:$C$61, "Paladin", 'Members Data'!$D$2:$D$61, "Tank", 'wk2'!B$10:B$69,"Standby")</f>
        <v>0</v>
      </c>
      <c r="M30" s="121">
        <f>COUNTIFS('Members Data'!$C$2:$C$61, "Paladin", 'Members Data'!$D$2:$D$61, "Tank", 'wk2'!C$10:C$69,"Confirmed")+COUNTIFS('Members Data'!$C$2:$C$61, "Paladin", 'Members Data'!$D$2:$D$61, "Tank", 'wk2'!C$10:C$69,"Standby")</f>
        <v>0</v>
      </c>
      <c r="N30" s="121">
        <f>COUNTIFS('Members Data'!$C$2:$C$61, "Paladin", 'Members Data'!$D$2:$D$61, "Tank", 'wk2'!D$10:D$69,"Confirmed")+COUNTIFS('Members Data'!$C$2:$C$61, "Paladin", 'Members Data'!$D$2:$D$61, "Tank", 'wk2'!D$10:D$69,"Standby")</f>
        <v>0</v>
      </c>
      <c r="O30" s="121">
        <f>COUNTIFS('Members Data'!$C$2:$C$61, "Paladin", 'Members Data'!$D$2:$D$61, "Tank", 'wk2'!E$10:E$69,"Confirmed")+COUNTIFS('Members Data'!$C$2:$C$61, "Paladin", 'Members Data'!$D$2:$D$61, "Tank", 'wk2'!E$10:E$69,"Standby")</f>
        <v>0</v>
      </c>
      <c r="P30" s="121">
        <f>COUNTIFS('Members Data'!$C$2:$C$61, "Paladin", 'Members Data'!$D$2:$D$61, "Tank", 'wk2'!F$10:F$69,"Confirmed")+COUNTIFS('Members Data'!$C$2:$C$61, "Paladin", 'Members Data'!$D$2:$D$61, "Tank", 'wk2'!F$10:F$69,"Standby")</f>
        <v>0</v>
      </c>
      <c r="Q30" s="121">
        <f>COUNTIFS('Members Data'!$C$2:$C$61, "Paladin", 'Members Data'!$D$2:$D$61, "Tank", 'wk2'!G$10:G$69,"Confirmed")+COUNTIFS('Members Data'!$C$2:$C$61, "Paladin", 'Members Data'!$D$2:$D$61, "Tank", 'wk2'!G$10:G$69,"Standby")</f>
        <v>0</v>
      </c>
      <c r="R30" s="121">
        <f>COUNTIFS('Members Data'!$C$2:$C$61, "Paladin", 'Members Data'!$D$2:$D$61, "Tank", 'wk2'!H$10:H$69,"Confirmed")+COUNTIFS('Members Data'!$C$2:$C$61, "Paladin", 'Members Data'!$D$2:$D$61, "Tank", 'wk2'!H$10:H$69,"Standby")</f>
        <v>0</v>
      </c>
      <c r="S30" s="108">
        <f>SUM(L30:R30)</f>
        <v>0</v>
      </c>
      <c r="T30" s="106">
        <f>COUNTIFS('Members Data'!$C$2:$C$61, "Paladin", 'Members Data'!$D$2:$D$61, "Tank", 'wk3'!B$10:B$69,"Confirmed")+COUNTIFS('Members Data'!$C$2:$C$61, "Paladin", 'Members Data'!$D$2:$D$61, "Tank", 'wk3'!B$10:B$69,"Standby")</f>
        <v>0</v>
      </c>
      <c r="U30" s="106">
        <f>COUNTIFS('Members Data'!$C$2:$C$61, "Paladin", 'Members Data'!$D$2:$D$61, "Tank", 'wk3'!C$10:C$69,"Confirmed")+COUNTIFS('Members Data'!$C$2:$C$61, "Paladin", 'Members Data'!$D$2:$D$61, "Tank", 'wk3'!C$10:C$69,"Standby")</f>
        <v>0</v>
      </c>
      <c r="V30" s="106">
        <f>COUNTIFS('Members Data'!$C$2:$C$61, "Paladin", 'Members Data'!$D$2:$D$61, "Tank", 'wk3'!D$10:D$69,"Confirmed")+COUNTIFS('Members Data'!$C$2:$C$61, "Paladin", 'Members Data'!$D$2:$D$61, "Tank", 'wk3'!D$10:D$69,"Standby")</f>
        <v>1</v>
      </c>
      <c r="W30" s="106">
        <f>COUNTIFS('Members Data'!$C$2:$C$61, "Paladin", 'Members Data'!$D$2:$D$61, "Tank", 'wk3'!E$10:E$69,"Confirmed")+COUNTIFS('Members Data'!$C$2:$C$61, "Paladin", 'Members Data'!$D$2:$D$61, "Tank", 'wk3'!E$10:E$69,"Standby")</f>
        <v>0</v>
      </c>
      <c r="X30" s="106">
        <f>COUNTIFS('Members Data'!$C$2:$C$61, "Paladin", 'Members Data'!$D$2:$D$61, "Tank", 'wk3'!F$10:F$69,"Confirmed")+COUNTIFS('Members Data'!$C$2:$C$61, "Paladin", 'Members Data'!$D$2:$D$61, "Tank", 'wk3'!F$10:F$69,"Standby")</f>
        <v>0</v>
      </c>
      <c r="Y30" s="106">
        <f>COUNTIFS('Members Data'!$C$2:$C$61, "Paladin", 'Members Data'!$D$2:$D$61, "Tank", 'wk3'!G$10:G$69,"Confirmed")+COUNTIFS('Members Data'!$C$2:$C$61, "Paladin", 'Members Data'!$D$2:$D$61, "Tank", 'wk3'!G$10:G$69,"Standby")</f>
        <v>0</v>
      </c>
      <c r="Z30" s="106">
        <f>COUNTIFS('Members Data'!$C$2:$C$61, "Paladin", 'Members Data'!$D$2:$D$61, "Tank", 'wk3'!H$10:H$69,"Confirmed")+COUNTIFS('Members Data'!$C$2:$C$61, "Paladin", 'Members Data'!$D$2:$D$61, "Tank", 'wk3'!H$10:H$69,"Standby")</f>
        <v>1</v>
      </c>
      <c r="AA30" s="108">
        <f>SUM(T30:Z30)</f>
        <v>2</v>
      </c>
      <c r="AB30" s="106">
        <f>COUNTIFS('Members Data'!$C$2:$C$61, "Paladin", 'Members Data'!$D$2:$D$61, "Tank", 'wk4'!B$10:B$69,"Confirmed")+COUNTIFS('Members Data'!$C$2:$C$61, "Paladin", 'Members Data'!$D$2:$D$61, "Tank", 'wk4'!B$10:B$69,"Standby")</f>
        <v>1</v>
      </c>
      <c r="AC30" s="106">
        <f>COUNTIFS('Members Data'!$C$2:$C$61, "Paladin", 'Members Data'!$D$2:$D$61, "Tank", 'wk4'!C$10:C$69,"Confirmed")+COUNTIFS('Members Data'!$C$2:$C$61, "Paladin", 'Members Data'!$D$2:$D$61, "Tank", 'wk4'!C$10:C$69,"Standby")</f>
        <v>0</v>
      </c>
      <c r="AD30" s="106">
        <f>COUNTIFS('Members Data'!$C$2:$C$61, "Paladin", 'Members Data'!$D$2:$D$61, "Tank", 'wk4'!D$10:D$69,"Confirmed")+COUNTIFS('Members Data'!$C$2:$C$61, "Paladin", 'Members Data'!$D$2:$D$61, "Tank", 'wk4'!D$10:D$69,"Standby")</f>
        <v>1</v>
      </c>
      <c r="AE30" s="106">
        <f>COUNTIFS('Members Data'!$C$2:$C$61, "Paladin", 'Members Data'!$D$2:$D$61, "Tank", 'wk4'!E$10:E$69,"Confirmed")+COUNTIFS('Members Data'!$C$2:$C$61, "Paladin", 'Members Data'!$D$2:$D$61, "Tank", 'wk4'!E$10:E$69,"Standby")</f>
        <v>0</v>
      </c>
      <c r="AF30" s="106">
        <f>COUNTIFS('Members Data'!$C$2:$C$61, "Paladin", 'Members Data'!$D$2:$D$61, "Tank", 'wk4'!F$10:F$69,"Confirmed")+COUNTIFS('Members Data'!$C$2:$C$61, "Paladin", 'Members Data'!$D$2:$D$61, "Tank", 'wk4'!F$10:F$69,"Standby")</f>
        <v>0</v>
      </c>
      <c r="AG30" s="106">
        <f>COUNTIFS('Members Data'!$C$2:$C$61, "Paladin", 'Members Data'!$D$2:$D$61, "Tank", 'wk4'!G$10:G$69,"Confirmed")+COUNTIFS('Members Data'!$C$2:$C$61, "Paladin", 'Members Data'!$D$2:$D$61, "Tank", 'wk4'!G$10:G$69,"Standby")</f>
        <v>0</v>
      </c>
      <c r="AH30" s="106">
        <f>COUNTIFS('Members Data'!$C$2:$C$61, "Paladin", 'Members Data'!$D$2:$D$61, "Tank", 'wk4'!H$10:H$69,"Confirmed")+COUNTIFS('Members Data'!$C$2:$C$61, "Paladin", 'Members Data'!$D$2:$D$61, "Tank", 'wk4'!H$10:H$69,"Standby")</f>
        <v>1</v>
      </c>
      <c r="AI30" s="108">
        <f>SUM(AB30:AH30)</f>
        <v>3</v>
      </c>
      <c r="AJ30" s="106">
        <f>COUNTIFS('Members Data'!$C$2:$C$61, "Paladin", 'Members Data'!$D$2:$D$61, "Tank", 'wk5'!B$10:B$69,"Confirmed")+COUNTIFS('Members Data'!$C$2:$C$61, "Paladin", 'Members Data'!$D$2:$D$61, "Tank", 'wk5'!B$10:B$69,"Standby")</f>
        <v>1</v>
      </c>
      <c r="AK30" s="106">
        <f>COUNTIFS('Members Data'!$C$2:$C$61, "Paladin", 'Members Data'!$D$2:$D$61, "Tank", 'wk5'!C$10:C$69,"Confirmed")+COUNTIFS('Members Data'!$C$2:$C$61, "Paladin", 'Members Data'!$D$2:$D$61, "Tank", 'wk5'!C$10:C$69,"Standby")</f>
        <v>0</v>
      </c>
      <c r="AL30" s="106">
        <f>COUNTIFS('Members Data'!$C$2:$C$61, "Paladin", 'Members Data'!$D$2:$D$61, "Tank", 'wk5'!D$10:D$69,"Confirmed")+COUNTIFS('Members Data'!$C$2:$C$61, "Paladin", 'Members Data'!$D$2:$D$61, "Tank", 'wk5'!D$10:D$69,"Standby")</f>
        <v>1</v>
      </c>
      <c r="AM30" s="106">
        <f>COUNTIFS('Members Data'!$C$2:$C$61, "Paladin", 'Members Data'!$D$2:$D$61, "Tank", 'wk5'!E$10:E$69,"Confirmed")+COUNTIFS('Members Data'!$C$2:$C$61, "Paladin", 'Members Data'!$D$2:$D$61, "Tank", 'wk5'!E$10:E$69,"Standby")</f>
        <v>0</v>
      </c>
      <c r="AN30" s="106">
        <f>COUNTIFS('Members Data'!$C$2:$C$61, "Paladin", 'Members Data'!$D$2:$D$61, "Tank", 'wk5'!F$10:F$69,"Confirmed")+COUNTIFS('Members Data'!$C$2:$C$61, "Paladin", 'Members Data'!$D$2:$D$61, "Tank", 'wk5'!F$10:F$69,"Standby")</f>
        <v>0</v>
      </c>
      <c r="AO30" s="106">
        <f>COUNTIFS('Members Data'!$C$2:$C$61, "Paladin", 'Members Data'!$D$2:$D$61, "Tank", 'wk5'!G$10:G$69,"Confirmed")+COUNTIFS('Members Data'!$C$2:$C$61, "Paladin", 'Members Data'!$D$2:$D$61, "Tank", 'wk5'!G$10:G$69,"Standby")</f>
        <v>0</v>
      </c>
      <c r="AP30" s="106">
        <f>COUNTIFS('Members Data'!$C$2:$C$61, "Paladin", 'Members Data'!$D$2:$D$61, "Tank", 'wk5'!H$10:H$69,"Confirmed")+COUNTIFS('Members Data'!$C$2:$C$61, "Paladin", 'Members Data'!$D$2:$D$61, "Tank", 'wk5'!H$10:H$69,"Standby")</f>
        <v>0</v>
      </c>
      <c r="AQ30" s="108">
        <f>SUM(AJ30:AP30)</f>
        <v>2</v>
      </c>
    </row>
    <row r="31" spans="1:43" ht="15.75" thickBot="1">
      <c r="A31" s="123" t="s">
        <v>77</v>
      </c>
      <c r="B31" s="110">
        <f>K31+S31+AA31+AI31+AQ31</f>
        <v>9</v>
      </c>
      <c r="D31" s="120">
        <f>COUNTIFS('Members Data'!$C$2:$C$61, "Paladin", 'Members Data'!$D$2:$D$61, "MDPS", 'wk1'!B$10:B$69,"Confirmed")+COUNTIFS('Members Data'!$C$2:$C$61, "Paladin", 'Members Data'!$D$2:$D$61, "MDPS", 'wk1'!B$10:B$69,"Standby")</f>
        <v>0</v>
      </c>
      <c r="E31" s="120">
        <f>COUNTIFS('Members Data'!$C$2:$C$61, "Paladin", 'Members Data'!$D$2:$D$61, "MDPS", 'wk1'!C$10:C$69,"Confirmed")+COUNTIFS('Members Data'!$C$2:$C$61, "Paladin", 'Members Data'!$D$2:$D$61, "MDPS", 'wk1'!C$10:C$69,"Standby")</f>
        <v>0</v>
      </c>
      <c r="F31" s="120">
        <f>COUNTIFS('Members Data'!$C$2:$C$61, "Paladin", 'Members Data'!$D$2:$D$61, "MDPS", 'wk1'!D$10:D$69,"Confirmed")+COUNTIFS('Members Data'!$C$2:$C$61, "Paladin", 'Members Data'!$D$2:$D$61, "MDPS", 'wk1'!D$10:D$69,"Standby")</f>
        <v>0</v>
      </c>
      <c r="G31" s="120">
        <f>COUNTIFS('Members Data'!$C$2:$C$61, "Paladin", 'Members Data'!$D$2:$D$61, "MDPS", 'wk1'!E$10:E$69,"Confirmed")+COUNTIFS('Members Data'!$C$2:$C$61, "Paladin", 'Members Data'!$D$2:$D$61, "MDPS", 'wk1'!E$10:E$69,"Standby")</f>
        <v>0</v>
      </c>
      <c r="H31" s="120">
        <f>COUNTIFS('Members Data'!$C$2:$C$61, "Paladin", 'Members Data'!$D$2:$D$61, "MDPS", 'wk1'!F$10:F$69,"Confirmed")+COUNTIFS('Members Data'!$C$2:$C$61, "Paladin", 'Members Data'!$D$2:$D$61, "MDPS", 'wk1'!F$10:F$69,"Standby")</f>
        <v>0</v>
      </c>
      <c r="I31" s="120">
        <f>COUNTIFS('Members Data'!$C$2:$C$61, "Paladin", 'Members Data'!$D$2:$D$61, "MDPS", 'wk1'!G$10:G$69,"Confirmed")+COUNTIFS('Members Data'!$C$2:$C$61, "Paladin", 'Members Data'!$D$2:$D$61, "MDPS", 'wk1'!G$10:G$69,"Standby")</f>
        <v>0</v>
      </c>
      <c r="J31" s="120">
        <f>COUNTIFS('Members Data'!$C$2:$C$61, "Paladin", 'Members Data'!$D$2:$D$61, "MDPS", 'wk1'!H$10:H$69,"Confirmed")+COUNTIFS('Members Data'!$C$2:$C$61, "Paladin", 'Members Data'!$D$2:$D$61, "MDPS", 'wk1'!H$10:H$69,"Standby")</f>
        <v>0</v>
      </c>
      <c r="K31" s="108">
        <f>SUM(D31:J31)</f>
        <v>0</v>
      </c>
      <c r="L31" s="121">
        <f>COUNTIFS('Members Data'!$C$2:$C$61, "Paladin", 'Members Data'!$D$2:$D$61, "MDPS", 'wk2'!B$10:B$69,"Confirmed")+COUNTIFS('Members Data'!$C$2:$C$61, "Paladin", 'Members Data'!$D$2:$D$61, "MDPS", 'wk2'!B$10:B$69,"Standby")</f>
        <v>0</v>
      </c>
      <c r="M31" s="121">
        <f>COUNTIFS('Members Data'!$C$2:$C$61, "Paladin", 'Members Data'!$D$2:$D$61, "MDPS", 'wk2'!C$10:C$69,"Confirmed")+COUNTIFS('Members Data'!$C$2:$C$61, "Paladin", 'Members Data'!$D$2:$D$61, "MDPS", 'wk2'!C$10:C$69,"Standby")</f>
        <v>0</v>
      </c>
      <c r="N31" s="121">
        <f>COUNTIFS('Members Data'!$C$2:$C$61, "Paladin", 'Members Data'!$D$2:$D$61, "MDPS", 'wk2'!D$10:D$69,"Confirmed")+COUNTIFS('Members Data'!$C$2:$C$61, "Paladin", 'Members Data'!$D$2:$D$61, "MDPS", 'wk2'!D$10:D$69,"Standby")</f>
        <v>0</v>
      </c>
      <c r="O31" s="121">
        <f>COUNTIFS('Members Data'!$C$2:$C$61, "Paladin", 'Members Data'!$D$2:$D$61, "MDPS", 'wk2'!E$10:E$69,"Confirmed")+COUNTIFS('Members Data'!$C$2:$C$61, "Paladin", 'Members Data'!$D$2:$D$61, "MDPS", 'wk2'!E$10:E$69,"Standby")</f>
        <v>0</v>
      </c>
      <c r="P31" s="121">
        <f>COUNTIFS('Members Data'!$C$2:$C$61, "Paladin", 'Members Data'!$D$2:$D$61, "MDPS", 'wk2'!F$10:F$69,"Confirmed")+COUNTIFS('Members Data'!$C$2:$C$61, "Paladin", 'Members Data'!$D$2:$D$61, "MDPS", 'wk2'!F$10:F$69,"Standby")</f>
        <v>0</v>
      </c>
      <c r="Q31" s="121">
        <f>COUNTIFS('Members Data'!$C$2:$C$61, "Paladin", 'Members Data'!$D$2:$D$61, "MDPS", 'wk2'!G$10:G$69,"Confirmed")+COUNTIFS('Members Data'!$C$2:$C$61, "Paladin", 'Members Data'!$D$2:$D$61, "MDPS", 'wk2'!G$10:G$69,"Standby")</f>
        <v>0</v>
      </c>
      <c r="R31" s="121">
        <f>COUNTIFS('Members Data'!$C$2:$C$61, "Paladin", 'Members Data'!$D$2:$D$61, "MDPS", 'wk2'!H$10:H$69,"Confirmed")+COUNTIFS('Members Data'!$C$2:$C$61, "Paladin", 'Members Data'!$D$2:$D$61, "MDPS", 'wk2'!H$10:H$69,"Standby")</f>
        <v>0</v>
      </c>
      <c r="S31" s="108">
        <f>SUM(L31:R31)</f>
        <v>0</v>
      </c>
      <c r="T31" s="106">
        <f>COUNTIFS('Members Data'!$C$2:$C$61, "Paladin", 'Members Data'!$D$2:$D$61, "MDPS", 'wk3'!B$10:B$69,"Confirmed")+COUNTIFS('Members Data'!$C$2:$C$61, "Paladin", 'Members Data'!$D$2:$D$61, "MDPS", 'wk3'!B$10:B$69,"Standby")</f>
        <v>2</v>
      </c>
      <c r="U31" s="106">
        <f>COUNTIFS('Members Data'!$C$2:$C$61, "Paladin", 'Members Data'!$D$2:$D$61, "MDPS", 'wk3'!C$10:C$69,"Confirmed")+COUNTIFS('Members Data'!$C$2:$C$61, "Paladin", 'Members Data'!$D$2:$D$61, "MDPS", 'wk3'!C$10:C$69,"Standby")</f>
        <v>0</v>
      </c>
      <c r="V31" s="106">
        <f>COUNTIFS('Members Data'!$C$2:$C$61, "Paladin", 'Members Data'!$D$2:$D$61, "MDPS", 'wk3'!D$10:D$69,"Confirmed")+COUNTIFS('Members Data'!$C$2:$C$61, "Paladin", 'Members Data'!$D$2:$D$61, "MDPS", 'wk3'!D$10:D$69,"Standby")</f>
        <v>1</v>
      </c>
      <c r="W31" s="106">
        <f>COUNTIFS('Members Data'!$C$2:$C$61, "Paladin", 'Members Data'!$D$2:$D$61, "MDPS", 'wk3'!E$10:E$69,"Confirmed")+COUNTIFS('Members Data'!$C$2:$C$61, "Paladin", 'Members Data'!$D$2:$D$61, "MDPS", 'wk3'!E$10:E$69,"Standby")</f>
        <v>0</v>
      </c>
      <c r="X31" s="106">
        <f>COUNTIFS('Members Data'!$C$2:$C$61, "Paladin", 'Members Data'!$D$2:$D$61, "MDPS", 'wk3'!F$10:F$69,"Confirmed")+COUNTIFS('Members Data'!$C$2:$C$61, "Paladin", 'Members Data'!$D$2:$D$61, "MDPS", 'wk3'!F$10:F$69,"Standby")</f>
        <v>0</v>
      </c>
      <c r="Y31" s="106">
        <f>COUNTIFS('Members Data'!$C$2:$C$61, "Paladin", 'Members Data'!$D$2:$D$61, "MDPS", 'wk3'!G$10:G$69,"Confirmed")+COUNTIFS('Members Data'!$C$2:$C$61, "Paladin", 'Members Data'!$D$2:$D$61, "MDPS", 'wk3'!G$10:G$69,"Standby")</f>
        <v>0</v>
      </c>
      <c r="Z31" s="106">
        <f>COUNTIFS('Members Data'!$C$2:$C$61, "Paladin", 'Members Data'!$D$2:$D$61, "MDPS", 'wk3'!H$10:H$69,"Confirmed")+COUNTIFS('Members Data'!$C$2:$C$61, "Paladin", 'Members Data'!$D$2:$D$61, "MDPS", 'wk3'!H$10:H$69,"Standby")</f>
        <v>2</v>
      </c>
      <c r="AA31" s="108">
        <f>SUM(T31:Z31)</f>
        <v>5</v>
      </c>
      <c r="AB31" s="106">
        <f>COUNTIFS('Members Data'!$C$2:$C$61, "Paladin", 'Members Data'!$D$2:$D$61, "MDPS", 'wk4'!B$10:B$69,"Confirmed")+COUNTIFS('Members Data'!$C$2:$C$61, "Paladin", 'Members Data'!$D$2:$D$61, "MDPS", 'wk4'!B$10:B$69,"Standby")</f>
        <v>2</v>
      </c>
      <c r="AC31" s="106">
        <f>COUNTIFS('Members Data'!$C$2:$C$61, "Paladin", 'Members Data'!$D$2:$D$61, "MDPS", 'wk4'!C$10:C$69,"Confirmed")+COUNTIFS('Members Data'!$C$2:$C$61, "Paladin", 'Members Data'!$D$2:$D$61, "MDPS", 'wk4'!C$10:C$69,"Standby")</f>
        <v>0</v>
      </c>
      <c r="AD31" s="106">
        <f>COUNTIFS('Members Data'!$C$2:$C$61, "Paladin", 'Members Data'!$D$2:$D$61, "MDPS", 'wk4'!D$10:D$69,"Confirmed")+COUNTIFS('Members Data'!$C$2:$C$61, "Paladin", 'Members Data'!$D$2:$D$61, "MDPS", 'wk4'!D$10:D$69,"Standby")</f>
        <v>1</v>
      </c>
      <c r="AE31" s="106">
        <f>COUNTIFS('Members Data'!$C$2:$C$61, "Paladin", 'Members Data'!$D$2:$D$61, "MDPS", 'wk4'!E$10:E$69,"Confirmed")+COUNTIFS('Members Data'!$C$2:$C$61, "Paladin", 'Members Data'!$D$2:$D$61, "MDPS", 'wk4'!E$10:E$69,"Standby")</f>
        <v>0</v>
      </c>
      <c r="AF31" s="106">
        <f>COUNTIFS('Members Data'!$C$2:$C$61, "Paladin", 'Members Data'!$D$2:$D$61, "MDPS", 'wk4'!F$10:F$69,"Confirmed")+COUNTIFS('Members Data'!$C$2:$C$61, "Paladin", 'Members Data'!$D$2:$D$61, "MDPS", 'wk4'!F$10:F$69,"Standby")</f>
        <v>0</v>
      </c>
      <c r="AG31" s="106">
        <f>COUNTIFS('Members Data'!$C$2:$C$61, "Paladin", 'Members Data'!$D$2:$D$61, "MDPS", 'wk4'!G$10:G$69,"Confirmed")+COUNTIFS('Members Data'!$C$2:$C$61, "Paladin", 'Members Data'!$D$2:$D$61, "MDPS", 'wk4'!G$10:G$69,"Standby")</f>
        <v>0</v>
      </c>
      <c r="AH31" s="106">
        <f>COUNTIFS('Members Data'!$C$2:$C$61, "Paladin", 'Members Data'!$D$2:$D$61, "MDPS", 'wk4'!H$10:H$69,"Confirmed")+COUNTIFS('Members Data'!$C$2:$C$61, "Paladin", 'Members Data'!$D$2:$D$61, "MDPS", 'wk4'!H$10:H$69,"Standby")</f>
        <v>0</v>
      </c>
      <c r="AI31" s="108">
        <f>SUM(AB31:AH31)</f>
        <v>3</v>
      </c>
      <c r="AJ31" s="106">
        <f>COUNTIFS('Members Data'!$C$2:$C$61, "Paladin", 'Members Data'!$D$2:$D$61, "MDPS", 'wk5'!B$10:B$69,"Confirmed")+COUNTIFS('Members Data'!$C$2:$C$61, "Paladin", 'Members Data'!$D$2:$D$61, "MDPS", 'wk5'!B$10:B$69,"Standby")</f>
        <v>1</v>
      </c>
      <c r="AK31" s="106">
        <f>COUNTIFS('Members Data'!$C$2:$C$61, "Paladin", 'Members Data'!$D$2:$D$61, "MDPS", 'wk5'!C$10:C$69,"Confirmed")+COUNTIFS('Members Data'!$C$2:$C$61, "Paladin", 'Members Data'!$D$2:$D$61, "MDPS", 'wk5'!C$10:C$69,"Standby")</f>
        <v>0</v>
      </c>
      <c r="AL31" s="106">
        <f>COUNTIFS('Members Data'!$C$2:$C$61, "Paladin", 'Members Data'!$D$2:$D$61, "MDPS", 'wk5'!D$10:D$69,"Confirmed")+COUNTIFS('Members Data'!$C$2:$C$61, "Paladin", 'Members Data'!$D$2:$D$61, "MDPS", 'wk5'!D$10:D$69,"Standby")</f>
        <v>0</v>
      </c>
      <c r="AM31" s="106">
        <f>COUNTIFS('Members Data'!$C$2:$C$61, "Paladin", 'Members Data'!$D$2:$D$61, "MDPS", 'wk5'!E$10:E$69,"Confirmed")+COUNTIFS('Members Data'!$C$2:$C$61, "Paladin", 'Members Data'!$D$2:$D$61, "MDPS", 'wk5'!E$10:E$69,"Standby")</f>
        <v>0</v>
      </c>
      <c r="AN31" s="106">
        <f>COUNTIFS('Members Data'!$C$2:$C$61, "Paladin", 'Members Data'!$D$2:$D$61, "MDPS", 'wk5'!F$10:F$69,"Confirmed")+COUNTIFS('Members Data'!$C$2:$C$61, "Paladin", 'Members Data'!$D$2:$D$61, "MDPS", 'wk5'!F$10:F$69,"Standby")</f>
        <v>0</v>
      </c>
      <c r="AO31" s="106">
        <f>COUNTIFS('Members Data'!$C$2:$C$61, "Paladin", 'Members Data'!$D$2:$D$61, "MDPS", 'wk5'!G$10:G$69,"Confirmed")+COUNTIFS('Members Data'!$C$2:$C$61, "Paladin", 'Members Data'!$D$2:$D$61, "MDPS", 'wk5'!G$10:G$69,"Standby")</f>
        <v>0</v>
      </c>
      <c r="AP31" s="106">
        <f>COUNTIFS('Members Data'!$C$2:$C$61, "Paladin", 'Members Data'!$D$2:$D$61, "MDPS", 'wk5'!H$10:H$69,"Confirmed")+COUNTIFS('Members Data'!$C$2:$C$61, "Paladin", 'Members Data'!$D$2:$D$61, "MDPS", 'wk5'!H$10:H$69,"Standby")</f>
        <v>0</v>
      </c>
      <c r="AQ31" s="108">
        <f>SUM(AJ31:AP31)</f>
        <v>1</v>
      </c>
    </row>
    <row r="32" spans="1:43" ht="15.75" thickBot="1">
      <c r="A32" s="114" t="s">
        <v>13</v>
      </c>
      <c r="B32" s="115">
        <f>K32+S32+AA32+AI32+AQ32</f>
        <v>8</v>
      </c>
      <c r="D32" s="120">
        <f>COUNTIFS('Members Data'!$C$2:$C$61, "Paladin", 'Members Data'!$D$2:$D$61, "Healer", 'wk1'!B$10:B$69,"Confirmed")+COUNTIFS('Members Data'!$C$2:$C$61, "Paladin", 'Members Data'!$D$2:$D$61, "Healer", 'wk1'!B$10:B$69,"Standby")</f>
        <v>0</v>
      </c>
      <c r="E32" s="120">
        <f>COUNTIFS('Members Data'!$C$2:$C$61, "Paladin", 'Members Data'!$D$2:$D$61, "Healer", 'wk1'!C$10:C$69,"Confirmed")+COUNTIFS('Members Data'!$C$2:$C$61, "Paladin", 'Members Data'!$D$2:$D$61, "Healer", 'wk1'!C$10:C$69,"Standby")</f>
        <v>0</v>
      </c>
      <c r="F32" s="120">
        <f>COUNTIFS('Members Data'!$C$2:$C$61, "Paladin", 'Members Data'!$D$2:$D$61, "Healer", 'wk1'!D$10:D$69,"Confirmed")+COUNTIFS('Members Data'!$C$2:$C$61, "Paladin", 'Members Data'!$D$2:$D$61, "Healer", 'wk1'!D$10:D$69,"Standby")</f>
        <v>0</v>
      </c>
      <c r="G32" s="120">
        <f>COUNTIFS('Members Data'!$C$2:$C$61, "Paladin", 'Members Data'!$D$2:$D$61, "Healer", 'wk1'!E$10:E$69,"Confirmed")+COUNTIFS('Members Data'!$C$2:$C$61, "Paladin", 'Members Data'!$D$2:$D$61, "Healer", 'wk1'!E$10:E$69,"Standby")</f>
        <v>0</v>
      </c>
      <c r="H32" s="120">
        <f>COUNTIFS('Members Data'!$C$2:$C$61, "Paladin", 'Members Data'!$D$2:$D$61, "Healer", 'wk1'!F$10:F$69,"Confirmed")+COUNTIFS('Members Data'!$C$2:$C$61, "Paladin", 'Members Data'!$D$2:$D$61, "Healer", 'wk1'!F$10:F$69,"Standby")</f>
        <v>0</v>
      </c>
      <c r="I32" s="120">
        <f>COUNTIFS('Members Data'!$C$2:$C$61, "Paladin", 'Members Data'!$D$2:$D$61, "Healer", 'wk1'!G$10:G$69,"Confirmed")+COUNTIFS('Members Data'!$C$2:$C$61, "Paladin", 'Members Data'!$D$2:$D$61, "Healer", 'wk1'!G$10:G$69,"Standby")</f>
        <v>0</v>
      </c>
      <c r="J32" s="120">
        <f>COUNTIFS('Members Data'!$C$2:$C$61, "Paladin", 'Members Data'!$D$2:$D$61, "Healer", 'wk1'!H$10:H$69,"Confirmed")+COUNTIFS('Members Data'!$C$2:$C$61, "Paladin", 'Members Data'!$D$2:$D$61, "Healer", 'wk1'!H$10:H$69,"Standby")</f>
        <v>0</v>
      </c>
      <c r="K32" s="108">
        <f>SUM(D32:J32)</f>
        <v>0</v>
      </c>
      <c r="L32" s="121">
        <f>COUNTIFS('Members Data'!$C$2:$C$61, "Paladin", 'Members Data'!$D$2:$D$61, "Healer", 'wk2'!B$10:B$69,"Confirmed")+COUNTIFS('Members Data'!$C$2:$C$61, "Paladin", 'Members Data'!$D$2:$D$61, "Healer", 'wk2'!B$10:B$69,"Standby")</f>
        <v>0</v>
      </c>
      <c r="M32" s="121">
        <f>COUNTIFS('Members Data'!$C$2:$C$61, "Paladin", 'Members Data'!$D$2:$D$61, "Healer", 'wk2'!C$10:C$69,"Confirmed")+COUNTIFS('Members Data'!$C$2:$C$61, "Paladin", 'Members Data'!$D$2:$D$61, "Healer", 'wk2'!C$10:C$69,"Standby")</f>
        <v>0</v>
      </c>
      <c r="N32" s="121">
        <f>COUNTIFS('Members Data'!$C$2:$C$61, "Paladin", 'Members Data'!$D$2:$D$61, "Healer", 'wk2'!D$10:D$69,"Confirmed")+COUNTIFS('Members Data'!$C$2:$C$61, "Paladin", 'Members Data'!$D$2:$D$61, "Healer", 'wk2'!D$10:D$69,"Standby")</f>
        <v>0</v>
      </c>
      <c r="O32" s="121">
        <f>COUNTIFS('Members Data'!$C$2:$C$61, "Paladin", 'Members Data'!$D$2:$D$61, "Healer", 'wk2'!E$10:E$69,"Confirmed")+COUNTIFS('Members Data'!$C$2:$C$61, "Paladin", 'Members Data'!$D$2:$D$61, "Healer", 'wk2'!E$10:E$69,"Standby")</f>
        <v>0</v>
      </c>
      <c r="P32" s="121">
        <f>COUNTIFS('Members Data'!$C$2:$C$61, "Paladin", 'Members Data'!$D$2:$D$61, "Healer", 'wk2'!F$10:F$69,"Confirmed")+COUNTIFS('Members Data'!$C$2:$C$61, "Paladin", 'Members Data'!$D$2:$D$61, "Healer", 'wk2'!F$10:F$69,"Standby")</f>
        <v>0</v>
      </c>
      <c r="Q32" s="121">
        <f>COUNTIFS('Members Data'!$C$2:$C$61, "Paladin", 'Members Data'!$D$2:$D$61, "Healer", 'wk2'!G$10:G$69,"Confirmed")+COUNTIFS('Members Data'!$C$2:$C$61, "Paladin", 'Members Data'!$D$2:$D$61, "Healer", 'wk2'!G$10:G$69,"Standby")</f>
        <v>0</v>
      </c>
      <c r="R32" s="121">
        <f>COUNTIFS('Members Data'!$C$2:$C$61, "Paladin", 'Members Data'!$D$2:$D$61, "Healer", 'wk2'!H$10:H$69,"Confirmed")+COUNTIFS('Members Data'!$C$2:$C$61, "Paladin", 'Members Data'!$D$2:$D$61, "Healer", 'wk2'!H$10:H$69,"Standby")</f>
        <v>0</v>
      </c>
      <c r="S32" s="108">
        <f>SUM(L32:R32)</f>
        <v>0</v>
      </c>
      <c r="T32" s="106">
        <f>COUNTIFS('Members Data'!$C$2:$C$61, "Paladin", 'Members Data'!$D$2:$D$61, "Healer", 'wk3'!B$10:B$69,"Confirmed")+COUNTIFS('Members Data'!$C$2:$C$61, "Paladin", 'Members Data'!$D$2:$D$61, "Healer", 'wk3'!B$10:B$69,"Standby")</f>
        <v>1</v>
      </c>
      <c r="U32" s="106">
        <f>COUNTIFS('Members Data'!$C$2:$C$61, "Paladin", 'Members Data'!$D$2:$D$61, "Healer", 'wk3'!C$10:C$69,"Confirmed")+COUNTIFS('Members Data'!$C$2:$C$61, "Paladin", 'Members Data'!$D$2:$D$61, "Healer", 'wk3'!C$10:C$69,"Standby")</f>
        <v>0</v>
      </c>
      <c r="V32" s="106">
        <f>COUNTIFS('Members Data'!$C$2:$C$61, "Paladin", 'Members Data'!$D$2:$D$61, "Healer", 'wk3'!D$10:D$69,"Confirmed")+COUNTIFS('Members Data'!$C$2:$C$61, "Paladin", 'Members Data'!$D$2:$D$61, "Healer", 'wk3'!D$10:D$69,"Standby")</f>
        <v>1</v>
      </c>
      <c r="W32" s="106">
        <f>COUNTIFS('Members Data'!$C$2:$C$61, "Paladin", 'Members Data'!$D$2:$D$61, "Healer", 'wk3'!E$10:E$69,"Confirmed")+COUNTIFS('Members Data'!$C$2:$C$61, "Paladin", 'Members Data'!$D$2:$D$61, "Healer", 'wk3'!E$10:E$69,"Standby")</f>
        <v>0</v>
      </c>
      <c r="X32" s="106">
        <f>COUNTIFS('Members Data'!$C$2:$C$61, "Paladin", 'Members Data'!$D$2:$D$61, "Healer", 'wk3'!F$10:F$69,"Confirmed")+COUNTIFS('Members Data'!$C$2:$C$61, "Paladin", 'Members Data'!$D$2:$D$61, "Healer", 'wk3'!F$10:F$69,"Standby")</f>
        <v>0</v>
      </c>
      <c r="Y32" s="106">
        <f>COUNTIFS('Members Data'!$C$2:$C$61, "Paladin", 'Members Data'!$D$2:$D$61, "Healer", 'wk3'!G$10:G$69,"Confirmed")+COUNTIFS('Members Data'!$C$2:$C$61, "Paladin", 'Members Data'!$D$2:$D$61, "Healer", 'wk3'!G$10:G$69,"Standby")</f>
        <v>0</v>
      </c>
      <c r="Z32" s="106">
        <f>COUNTIFS('Members Data'!$C$2:$C$61, "Paladin", 'Members Data'!$D$2:$D$61, "Healer", 'wk3'!H$10:H$69,"Confirmed")+COUNTIFS('Members Data'!$C$2:$C$61, "Paladin", 'Members Data'!$D$2:$D$61, "Healer", 'wk3'!H$10:H$69,"Standby")</f>
        <v>1</v>
      </c>
      <c r="AA32" s="108">
        <f>SUM(T32:Z32)</f>
        <v>3</v>
      </c>
      <c r="AB32" s="106">
        <f>COUNTIFS('Members Data'!$C$2:$C$61, "Paladin", 'Members Data'!$D$2:$D$61, "Healer", 'wk4'!B$10:B$69,"Confirmed")+COUNTIFS('Members Data'!$C$2:$C$61, "Paladin", 'Members Data'!$D$2:$D$61, "Healer", 'wk4'!B$10:B$69,"Standby")</f>
        <v>1</v>
      </c>
      <c r="AC32" s="106">
        <f>COUNTIFS('Members Data'!$C$2:$C$61, "Paladin", 'Members Data'!$D$2:$D$61, "Healer", 'wk4'!C$10:C$69,"Confirmed")+COUNTIFS('Members Data'!$C$2:$C$61, "Paladin", 'Members Data'!$D$2:$D$61, "Healer", 'wk4'!C$10:C$69,"Standby")</f>
        <v>0</v>
      </c>
      <c r="AD32" s="106">
        <f>COUNTIFS('Members Data'!$C$2:$C$61, "Paladin", 'Members Data'!$D$2:$D$61, "Healer", 'wk4'!D$10:D$69,"Confirmed")+COUNTIFS('Members Data'!$C$2:$C$61, "Paladin", 'Members Data'!$D$2:$D$61, "Healer", 'wk4'!D$10:D$69,"Standby")</f>
        <v>1</v>
      </c>
      <c r="AE32" s="106">
        <f>COUNTIFS('Members Data'!$C$2:$C$61, "Paladin", 'Members Data'!$D$2:$D$61, "Healer", 'wk4'!E$10:E$69,"Confirmed")+COUNTIFS('Members Data'!$C$2:$C$61, "Paladin", 'Members Data'!$D$2:$D$61, "Healer", 'wk4'!E$10:E$69,"Standby")</f>
        <v>0</v>
      </c>
      <c r="AF32" s="106">
        <f>COUNTIFS('Members Data'!$C$2:$C$61, "Paladin", 'Members Data'!$D$2:$D$61, "Healer", 'wk4'!F$10:F$69,"Confirmed")+COUNTIFS('Members Data'!$C$2:$C$61, "Paladin", 'Members Data'!$D$2:$D$61, "Healer", 'wk4'!F$10:F$69,"Standby")</f>
        <v>0</v>
      </c>
      <c r="AG32" s="106">
        <f>COUNTIFS('Members Data'!$C$2:$C$61, "Paladin", 'Members Data'!$D$2:$D$61, "Healer", 'wk4'!G$10:G$69,"Confirmed")+COUNTIFS('Members Data'!$C$2:$C$61, "Paladin", 'Members Data'!$D$2:$D$61, "Healer", 'wk4'!G$10:G$69,"Standby")</f>
        <v>0</v>
      </c>
      <c r="AH32" s="106">
        <f>COUNTIFS('Members Data'!$C$2:$C$61, "Paladin", 'Members Data'!$D$2:$D$61, "Healer", 'wk4'!H$10:H$69,"Confirmed")+COUNTIFS('Members Data'!$C$2:$C$61, "Paladin", 'Members Data'!$D$2:$D$61, "Healer", 'wk4'!H$10:H$69,"Standby")</f>
        <v>1</v>
      </c>
      <c r="AI32" s="108">
        <f>SUM(AB32:AH32)</f>
        <v>3</v>
      </c>
      <c r="AJ32" s="106">
        <f>COUNTIFS('Members Data'!$C$2:$C$61, "Paladin", 'Members Data'!$D$2:$D$61, "Healer", 'wk5'!B$10:B$69,"Confirmed")+COUNTIFS('Members Data'!$C$2:$C$61, "Paladin", 'Members Data'!$D$2:$D$61, "Healer", 'wk5'!B$10:B$69,"Standby")</f>
        <v>1</v>
      </c>
      <c r="AK32" s="106">
        <f>COUNTIFS('Members Data'!$C$2:$C$61, "Paladin", 'Members Data'!$D$2:$D$61, "Healer", 'wk5'!C$10:C$69,"Confirmed")+COUNTIFS('Members Data'!$C$2:$C$61, "Paladin", 'Members Data'!$D$2:$D$61, "Healer", 'wk5'!C$10:C$69,"Standby")</f>
        <v>0</v>
      </c>
      <c r="AL32" s="106">
        <f>COUNTIFS('Members Data'!$C$2:$C$61, "Paladin", 'Members Data'!$D$2:$D$61, "Healer", 'wk5'!D$10:D$69,"Confirmed")+COUNTIFS('Members Data'!$C$2:$C$61, "Paladin", 'Members Data'!$D$2:$D$61, "Healer", 'wk5'!D$10:D$69,"Standby")</f>
        <v>1</v>
      </c>
      <c r="AM32" s="106">
        <f>COUNTIFS('Members Data'!$C$2:$C$61, "Paladin", 'Members Data'!$D$2:$D$61, "Healer", 'wk5'!E$10:E$69,"Confirmed")+COUNTIFS('Members Data'!$C$2:$C$61, "Paladin", 'Members Data'!$D$2:$D$61, "Healer", 'wk5'!E$10:E$69,"Standby")</f>
        <v>0</v>
      </c>
      <c r="AN32" s="106">
        <f>COUNTIFS('Members Data'!$C$2:$C$61, "Paladin", 'Members Data'!$D$2:$D$61, "Healer", 'wk5'!F$10:F$69,"Confirmed")+COUNTIFS('Members Data'!$C$2:$C$61, "Paladin", 'Members Data'!$D$2:$D$61, "Healer", 'wk5'!F$10:F$69,"Standby")</f>
        <v>0</v>
      </c>
      <c r="AO32" s="106">
        <f>COUNTIFS('Members Data'!$C$2:$C$61, "Paladin", 'Members Data'!$D$2:$D$61, "Healer", 'wk5'!G$10:G$69,"Confirmed")+COUNTIFS('Members Data'!$C$2:$C$61, "Paladin", 'Members Data'!$D$2:$D$61, "Healer", 'wk5'!G$10:G$69,"Standby")</f>
        <v>0</v>
      </c>
      <c r="AP32" s="106">
        <f>COUNTIFS('Members Data'!$C$2:$C$61, "Paladin", 'Members Data'!$D$2:$D$61, "Healer", 'wk5'!H$10:H$69,"Confirmed")+COUNTIFS('Members Data'!$C$2:$C$61, "Paladin", 'Members Data'!$D$2:$D$61, "Healer", 'wk5'!H$10:H$69,"Standby")</f>
        <v>0</v>
      </c>
      <c r="AQ32" s="108">
        <f>SUM(AJ32:AP32)</f>
        <v>2</v>
      </c>
    </row>
    <row r="33" spans="1:43" ht="13.5" thickBot="1"/>
    <row r="34" spans="1:43">
      <c r="A34" s="104" t="s">
        <v>20</v>
      </c>
      <c r="B34" s="105"/>
    </row>
    <row r="35" spans="1:43" ht="15.75" thickBot="1">
      <c r="A35" s="123" t="s">
        <v>76</v>
      </c>
      <c r="B35" s="110">
        <f>K35+S35+AA35+AI35+AQ35</f>
        <v>13</v>
      </c>
      <c r="D35" s="120">
        <f>COUNTIFS('Members Data'!$C$2:$C$61, "Priest", 'Members Data'!$D$2:$D$61, "RDPS", 'wk1'!B$10:B$69,"Confirmed")+COUNTIFS('Members Data'!$C$2:$C$61, "Priest", 'Members Data'!$D$2:$D$61, "RDPS", 'wk1'!B$10:B$69,"Standby")</f>
        <v>0</v>
      </c>
      <c r="E35" s="120">
        <f>COUNTIFS('Members Data'!$C$2:$C$61, "Priest", 'Members Data'!$D$2:$D$61, "RDPS", 'wk1'!C$10:C$69,"Confirmed")+COUNTIFS('Members Data'!$C$2:$C$61, "Priest", 'Members Data'!$D$2:$D$61, "RDPS", 'wk1'!C$10:C$69,"Standby")</f>
        <v>0</v>
      </c>
      <c r="F35" s="120">
        <f>COUNTIFS('Members Data'!$C$2:$C$61, "Priest", 'Members Data'!$D$2:$D$61, "RDPS", 'wk1'!D$10:D$69,"Confirmed")+COUNTIFS('Members Data'!$C$2:$C$61, "Priest", 'Members Data'!$D$2:$D$61, "RDPS", 'wk1'!D$10:D$69,"Standby")</f>
        <v>0</v>
      </c>
      <c r="G35" s="120">
        <f>COUNTIFS('Members Data'!$C$2:$C$61, "Priest", 'Members Data'!$D$2:$D$61, "RDPS", 'wk1'!E$10:E$69,"Confirmed")+COUNTIFS('Members Data'!$C$2:$C$61, "Priest", 'Members Data'!$D$2:$D$61, "RDPS", 'wk1'!E$10:E$69,"Standby")</f>
        <v>0</v>
      </c>
      <c r="H35" s="120">
        <f>COUNTIFS('Members Data'!$C$2:$C$61, "Priest", 'Members Data'!$D$2:$D$61, "RDPS", 'wk1'!F$10:F$69,"Confirmed")+COUNTIFS('Members Data'!$C$2:$C$61, "Priest", 'Members Data'!$D$2:$D$61, "RDPS", 'wk1'!F$10:F$69,"Standby")</f>
        <v>0</v>
      </c>
      <c r="I35" s="120">
        <f>COUNTIFS('Members Data'!$C$2:$C$61, "Priest", 'Members Data'!$D$2:$D$61, "RDPS", 'wk1'!G$10:G$69,"Confirmed")+COUNTIFS('Members Data'!$C$2:$C$61, "Priest", 'Members Data'!$D$2:$D$61, "RDPS", 'wk1'!G$10:G$69,"Standby")</f>
        <v>0</v>
      </c>
      <c r="J35" s="120">
        <f>COUNTIFS('Members Data'!$C$2:$C$61, "Priest", 'Members Data'!$D$2:$D$61, "RDPS", 'wk1'!H$10:H$69,"Confirmed")+COUNTIFS('Members Data'!$C$2:$C$61, "Priest", 'Members Data'!$D$2:$D$61, "RDPS", 'wk1'!H$10:H$69,"Standby")</f>
        <v>0</v>
      </c>
      <c r="K35" s="108">
        <f>SUM(D35:J35)</f>
        <v>0</v>
      </c>
      <c r="L35" s="121">
        <f>COUNTIFS('Members Data'!$C$2:$C$61, "Priest", 'Members Data'!$D$2:$D$61, "RDPS", 'wk2'!B$10:B$69,"Confirmed")+COUNTIFS('Members Data'!$C$2:$C$61, "Priest", 'Members Data'!$D$2:$D$61, "RDPS", 'wk2'!B$10:B$69,"Standby")</f>
        <v>0</v>
      </c>
      <c r="M35" s="121">
        <f>COUNTIFS('Members Data'!$C$2:$C$61, "Priest", 'Members Data'!$D$2:$D$61, "RDPS", 'wk2'!C$10:C$69,"Confirmed")+COUNTIFS('Members Data'!$C$2:$C$61, "Priest", 'Members Data'!$D$2:$D$61, "RDPS", 'wk2'!C$10:C$69,"Standby")</f>
        <v>0</v>
      </c>
      <c r="N35" s="121">
        <f>COUNTIFS('Members Data'!$C$2:$C$61, "Priest", 'Members Data'!$D$2:$D$61, "RDPS", 'wk2'!D$10:D$69,"Confirmed")+COUNTIFS('Members Data'!$C$2:$C$61, "Priest", 'Members Data'!$D$2:$D$61, "RDPS", 'wk2'!D$10:D$69,"Standby")</f>
        <v>0</v>
      </c>
      <c r="O35" s="121">
        <f>COUNTIFS('Members Data'!$C$2:$C$61, "Priest", 'Members Data'!$D$2:$D$61, "RDPS", 'wk2'!E$10:E$69,"Confirmed")+COUNTIFS('Members Data'!$C$2:$C$61, "Priest", 'Members Data'!$D$2:$D$61, "RDPS", 'wk2'!E$10:E$69,"Standby")</f>
        <v>0</v>
      </c>
      <c r="P35" s="121">
        <f>COUNTIFS('Members Data'!$C$2:$C$61, "Priest", 'Members Data'!$D$2:$D$61, "RDPS", 'wk2'!F$10:F$69,"Confirmed")+COUNTIFS('Members Data'!$C$2:$C$61, "Priest", 'Members Data'!$D$2:$D$61, "RDPS", 'wk2'!F$10:F$69,"Standby")</f>
        <v>0</v>
      </c>
      <c r="Q35" s="121">
        <f>COUNTIFS('Members Data'!$C$2:$C$61, "Priest", 'Members Data'!$D$2:$D$61, "RDPS", 'wk2'!G$10:G$69,"Confirmed")+COUNTIFS('Members Data'!$C$2:$C$61, "Priest", 'Members Data'!$D$2:$D$61, "RDPS", 'wk2'!G$10:G$69,"Standby")</f>
        <v>0</v>
      </c>
      <c r="R35" s="121">
        <f>COUNTIFS('Members Data'!$C$2:$C$61, "Priest", 'Members Data'!$D$2:$D$61, "RDPS", 'wk2'!H$10:H$69,"Confirmed")+COUNTIFS('Members Data'!$C$2:$C$61, "Priest", 'Members Data'!$D$2:$D$61, "RDPS", 'wk2'!H$10:H$69,"Standby")</f>
        <v>0</v>
      </c>
      <c r="S35" s="108">
        <f>SUM(L35:R35)</f>
        <v>0</v>
      </c>
      <c r="T35" s="106">
        <f>COUNTIFS('Members Data'!$C$2:$C$61, "Priest", 'Members Data'!$D$2:$D$61, "RDPS", 'wk3'!B$10:B$69,"Confirmed")+COUNTIFS('Members Data'!$C$2:$C$61, "Priest", 'Members Data'!$D$2:$D$61, "RDPS", 'wk3'!B$10:B$69,"Standby")</f>
        <v>1</v>
      </c>
      <c r="U35" s="106">
        <f>COUNTIFS('Members Data'!$C$2:$C$61, "Priest", 'Members Data'!$D$2:$D$61, "RDPS", 'wk3'!C$10:C$69,"Confirmed")+COUNTIFS('Members Data'!$C$2:$C$61, "Priest", 'Members Data'!$D$2:$D$61, "RDPS", 'wk3'!C$10:C$69,"Standby")</f>
        <v>0</v>
      </c>
      <c r="V35" s="106">
        <f>COUNTIFS('Members Data'!$C$2:$C$61, "Priest", 'Members Data'!$D$2:$D$61, "RDPS", 'wk3'!D$10:D$69,"Confirmed")+COUNTIFS('Members Data'!$C$2:$C$61, "Priest", 'Members Data'!$D$2:$D$61, "RDPS", 'wk3'!D$10:D$69,"Standby")</f>
        <v>1</v>
      </c>
      <c r="W35" s="106">
        <f>COUNTIFS('Members Data'!$C$2:$C$61, "Priest", 'Members Data'!$D$2:$D$61, "RDPS", 'wk3'!E$10:E$69,"Confirmed")+COUNTIFS('Members Data'!$C$2:$C$61, "Priest", 'Members Data'!$D$2:$D$61, "RDPS", 'wk3'!E$10:E$69,"Standby")</f>
        <v>0</v>
      </c>
      <c r="X35" s="106">
        <f>COUNTIFS('Members Data'!$C$2:$C$61, "Priest", 'Members Data'!$D$2:$D$61, "RDPS", 'wk3'!F$10:F$69,"Confirmed")+COUNTIFS('Members Data'!$C$2:$C$61, "Priest", 'Members Data'!$D$2:$D$61, "RDPS", 'wk3'!F$10:F$69,"Standby")</f>
        <v>0</v>
      </c>
      <c r="Y35" s="106">
        <f>COUNTIFS('Members Data'!$C$2:$C$61, "Priest", 'Members Data'!$D$2:$D$61, "RDPS", 'wk3'!G$10:G$69,"Confirmed")+COUNTIFS('Members Data'!$C$2:$C$61, "Priest", 'Members Data'!$D$2:$D$61, "RDPS", 'wk3'!G$10:G$69,"Standby")</f>
        <v>0</v>
      </c>
      <c r="Z35" s="106">
        <f>COUNTIFS('Members Data'!$C$2:$C$61, "Priest", 'Members Data'!$D$2:$D$61, "RDPS", 'wk3'!H$10:H$69,"Confirmed")+COUNTIFS('Members Data'!$C$2:$C$61, "Priest", 'Members Data'!$D$2:$D$61, "RDPS", 'wk3'!H$10:H$69,"Standby")</f>
        <v>2</v>
      </c>
      <c r="AA35" s="108">
        <f>SUM(T35:Z35)</f>
        <v>4</v>
      </c>
      <c r="AB35" s="106">
        <f>COUNTIFS('Members Data'!$C$2:$C$61, "Priest", 'Members Data'!$D$2:$D$61, "RDPS", 'wk4'!B$10:B$69,"Confirmed")+COUNTIFS('Members Data'!$C$2:$C$61, "Priest", 'Members Data'!$D$2:$D$61, "RDPS", 'wk4'!B$10:B$69,"Standby")</f>
        <v>2</v>
      </c>
      <c r="AC35" s="106">
        <f>COUNTIFS('Members Data'!$C$2:$C$61, "Priest", 'Members Data'!$D$2:$D$61, "RDPS", 'wk4'!C$10:C$69,"Confirmed")+COUNTIFS('Members Data'!$C$2:$C$61, "Priest", 'Members Data'!$D$2:$D$61, "RDPS", 'wk4'!C$10:C$69,"Standby")</f>
        <v>0</v>
      </c>
      <c r="AD35" s="106">
        <f>COUNTIFS('Members Data'!$C$2:$C$61, "Priest", 'Members Data'!$D$2:$D$61, "RDPS", 'wk4'!D$10:D$69,"Confirmed")+COUNTIFS('Members Data'!$C$2:$C$61, "Priest", 'Members Data'!$D$2:$D$61, "RDPS", 'wk4'!D$10:D$69,"Standby")</f>
        <v>2</v>
      </c>
      <c r="AE35" s="106">
        <f>COUNTIFS('Members Data'!$C$2:$C$61, "Priest", 'Members Data'!$D$2:$D$61, "RDPS", 'wk4'!E$10:E$69,"Confirmed")+COUNTIFS('Members Data'!$C$2:$C$61, "Priest", 'Members Data'!$D$2:$D$61, "RDPS", 'wk4'!E$10:E$69,"Standby")</f>
        <v>0</v>
      </c>
      <c r="AF35" s="106">
        <f>COUNTIFS('Members Data'!$C$2:$C$61, "Priest", 'Members Data'!$D$2:$D$61, "RDPS", 'wk4'!F$10:F$69,"Confirmed")+COUNTIFS('Members Data'!$C$2:$C$61, "Priest", 'Members Data'!$D$2:$D$61, "RDPS", 'wk4'!F$10:F$69,"Standby")</f>
        <v>0</v>
      </c>
      <c r="AG35" s="106">
        <f>COUNTIFS('Members Data'!$C$2:$C$61, "Priest", 'Members Data'!$D$2:$D$61, "RDPS", 'wk4'!G$10:G$69,"Confirmed")+COUNTIFS('Members Data'!$C$2:$C$61, "Priest", 'Members Data'!$D$2:$D$61, "RDPS", 'wk4'!G$10:G$69,"Standby")</f>
        <v>0</v>
      </c>
      <c r="AH35" s="106">
        <f>COUNTIFS('Members Data'!$C$2:$C$61, "Priest", 'Members Data'!$D$2:$D$61, "RDPS", 'wk4'!H$10:H$69,"Confirmed")+COUNTIFS('Members Data'!$C$2:$C$61, "Priest", 'Members Data'!$D$2:$D$61, "RDPS", 'wk4'!H$10:H$69,"Standby")</f>
        <v>1</v>
      </c>
      <c r="AI35" s="108">
        <f>SUM(AB35:AH35)</f>
        <v>5</v>
      </c>
      <c r="AJ35" s="106">
        <f>COUNTIFS('Members Data'!$C$2:$C$61, "Priest", 'Members Data'!$D$2:$D$61, "RDPS", 'wk5'!B$10:B$69,"Confirmed")+COUNTIFS('Members Data'!$C$2:$C$61, "Priest", 'Members Data'!$D$2:$D$61, "RDPS", 'wk5'!B$10:B$69,"Standby")</f>
        <v>2</v>
      </c>
      <c r="AK35" s="106">
        <f>COUNTIFS('Members Data'!$C$2:$C$61, "Priest", 'Members Data'!$D$2:$D$61, "RDPS", 'wk5'!C$10:C$69,"Confirmed")+COUNTIFS('Members Data'!$C$2:$C$61, "Priest", 'Members Data'!$D$2:$D$61, "RDPS", 'wk5'!C$10:C$69,"Standby")</f>
        <v>0</v>
      </c>
      <c r="AL35" s="106">
        <f>COUNTIFS('Members Data'!$C$2:$C$61, "Priest", 'Members Data'!$D$2:$D$61, "RDPS", 'wk5'!D$10:D$69,"Confirmed")+COUNTIFS('Members Data'!$C$2:$C$61, "Priest", 'Members Data'!$D$2:$D$61, "RDPS", 'wk5'!D$10:D$69,"Standby")</f>
        <v>2</v>
      </c>
      <c r="AM35" s="106">
        <f>COUNTIFS('Members Data'!$C$2:$C$61, "Priest", 'Members Data'!$D$2:$D$61, "RDPS", 'wk5'!E$10:E$69,"Confirmed")+COUNTIFS('Members Data'!$C$2:$C$61, "Priest", 'Members Data'!$D$2:$D$61, "RDPS", 'wk5'!E$10:E$69,"Standby")</f>
        <v>0</v>
      </c>
      <c r="AN35" s="106">
        <f>COUNTIFS('Members Data'!$C$2:$C$61, "Priest", 'Members Data'!$D$2:$D$61, "RDPS", 'wk5'!F$10:F$69,"Confirmed")+COUNTIFS('Members Data'!$C$2:$C$61, "Priest", 'Members Data'!$D$2:$D$61, "RDPS", 'wk5'!F$10:F$69,"Standby")</f>
        <v>0</v>
      </c>
      <c r="AO35" s="106">
        <f>COUNTIFS('Members Data'!$C$2:$C$61, "Priest", 'Members Data'!$D$2:$D$61, "RDPS", 'wk5'!G$10:G$69,"Confirmed")+COUNTIFS('Members Data'!$C$2:$C$61, "Priest", 'Members Data'!$D$2:$D$61, "RDPS", 'wk5'!G$10:G$69,"Standby")</f>
        <v>0</v>
      </c>
      <c r="AP35" s="106">
        <f>COUNTIFS('Members Data'!$C$2:$C$61, "Priest", 'Members Data'!$D$2:$D$61, "RDPS", 'wk5'!H$10:H$69,"Confirmed")+COUNTIFS('Members Data'!$C$2:$C$61, "Priest", 'Members Data'!$D$2:$D$61, "RDPS", 'wk5'!H$10:H$69,"Standby")</f>
        <v>0</v>
      </c>
      <c r="AQ35" s="108">
        <f>SUM(AJ35:AP35)</f>
        <v>4</v>
      </c>
    </row>
    <row r="36" spans="1:43" ht="15.75" thickBot="1">
      <c r="A36" s="114" t="s">
        <v>13</v>
      </c>
      <c r="B36" s="115">
        <f>K36+S36+AA36+AI36+AQ36</f>
        <v>15</v>
      </c>
      <c r="D36" s="120">
        <f>COUNTIFS('Members Data'!$C$2:$C$61, "Priest", 'Members Data'!$D$2:$D$61, "Healer", 'wk1'!B$10:B$69,"Confirmed")+COUNTIFS('Members Data'!$C$2:$C$61, "Priest", 'Members Data'!$D$2:$D$61, "Healer", 'wk1'!B$10:B$69,"Standby")</f>
        <v>0</v>
      </c>
      <c r="E36" s="120">
        <f>COUNTIFS('Members Data'!$C$2:$C$61, "Priest", 'Members Data'!$D$2:$D$61, "Healer", 'wk1'!C$10:C$69,"Confirmed")+COUNTIFS('Members Data'!$C$2:$C$61, "Priest", 'Members Data'!$D$2:$D$61, "Healer", 'wk1'!C$10:C$69,"Standby")</f>
        <v>0</v>
      </c>
      <c r="F36" s="120">
        <f>COUNTIFS('Members Data'!$C$2:$C$61, "Priest", 'Members Data'!$D$2:$D$61, "Healer", 'wk1'!D$10:D$69,"Confirmed")+COUNTIFS('Members Data'!$C$2:$C$61, "Priest", 'Members Data'!$D$2:$D$61, "Healer", 'wk1'!D$10:D$69,"Standby")</f>
        <v>0</v>
      </c>
      <c r="G36" s="120">
        <f>COUNTIFS('Members Data'!$C$2:$C$61, "Priest", 'Members Data'!$D$2:$D$61, "Healer", 'wk1'!E$10:E$69,"Confirmed")+COUNTIFS('Members Data'!$C$2:$C$61, "Priest", 'Members Data'!$D$2:$D$61, "Healer", 'wk1'!E$10:E$69,"Standby")</f>
        <v>0</v>
      </c>
      <c r="H36" s="120">
        <f>COUNTIFS('Members Data'!$C$2:$C$61, "Priest", 'Members Data'!$D$2:$D$61, "Healer", 'wk1'!F$10:F$69,"Confirmed")+COUNTIFS('Members Data'!$C$2:$C$61, "Priest", 'Members Data'!$D$2:$D$61, "Healer", 'wk1'!F$10:F$69,"Standby")</f>
        <v>0</v>
      </c>
      <c r="I36" s="120">
        <f>COUNTIFS('Members Data'!$C$2:$C$61, "Priest", 'Members Data'!$D$2:$D$61, "Healer", 'wk1'!G$10:G$69,"Confirmed")+COUNTIFS('Members Data'!$C$2:$C$61, "Priest", 'Members Data'!$D$2:$D$61, "Healer", 'wk1'!G$10:G$69,"Standby")</f>
        <v>0</v>
      </c>
      <c r="J36" s="120">
        <f>COUNTIFS('Members Data'!$C$2:$C$61, "Priest", 'Members Data'!$D$2:$D$61, "Healer", 'wk1'!H$10:H$69,"Confirmed")+COUNTIFS('Members Data'!$C$2:$C$61, "Priest", 'Members Data'!$D$2:$D$61, "Healer", 'wk1'!H$10:H$69,"Standby")</f>
        <v>0</v>
      </c>
      <c r="K36" s="108">
        <f>SUM(D36:J36)</f>
        <v>0</v>
      </c>
      <c r="L36" s="121">
        <f>COUNTIFS('Members Data'!$C$2:$C$61, "Priest", 'Members Data'!$D$2:$D$61, "Healer", 'wk2'!B$10:B$69,"Confirmed")+COUNTIFS('Members Data'!$C$2:$C$61, "Priest", 'Members Data'!$D$2:$D$61, "Healer", 'wk2'!B$10:B$69,"Standby")</f>
        <v>0</v>
      </c>
      <c r="M36" s="121">
        <f>COUNTIFS('Members Data'!$C$2:$C$61, "Priest", 'Members Data'!$D$2:$D$61, "Healer", 'wk2'!C$10:C$69,"Confirmed")+COUNTIFS('Members Data'!$C$2:$C$61, "Priest", 'Members Data'!$D$2:$D$61, "Healer", 'wk2'!C$10:C$69,"Standby")</f>
        <v>0</v>
      </c>
      <c r="N36" s="121">
        <f>COUNTIFS('Members Data'!$C$2:$C$61, "Priest", 'Members Data'!$D$2:$D$61, "Healer", 'wk2'!D$10:D$69,"Confirmed")+COUNTIFS('Members Data'!$C$2:$C$61, "Priest", 'Members Data'!$D$2:$D$61, "Healer", 'wk2'!D$10:D$69,"Standby")</f>
        <v>0</v>
      </c>
      <c r="O36" s="121">
        <f>COUNTIFS('Members Data'!$C$2:$C$61, "Priest", 'Members Data'!$D$2:$D$61, "Healer", 'wk2'!E$10:E$69,"Confirmed")+COUNTIFS('Members Data'!$C$2:$C$61, "Priest", 'Members Data'!$D$2:$D$61, "Healer", 'wk2'!E$10:E$69,"Standby")</f>
        <v>0</v>
      </c>
      <c r="P36" s="121">
        <f>COUNTIFS('Members Data'!$C$2:$C$61, "Priest", 'Members Data'!$D$2:$D$61, "Healer", 'wk2'!F$10:F$69,"Confirmed")+COUNTIFS('Members Data'!$C$2:$C$61, "Priest", 'Members Data'!$D$2:$D$61, "Healer", 'wk2'!F$10:F$69,"Standby")</f>
        <v>0</v>
      </c>
      <c r="Q36" s="121">
        <f>COUNTIFS('Members Data'!$C$2:$C$61, "Priest", 'Members Data'!$D$2:$D$61, "Healer", 'wk2'!G$10:G$69,"Confirmed")+COUNTIFS('Members Data'!$C$2:$C$61, "Priest", 'Members Data'!$D$2:$D$61, "Healer", 'wk2'!G$10:G$69,"Standby")</f>
        <v>0</v>
      </c>
      <c r="R36" s="121">
        <f>COUNTIFS('Members Data'!$C$2:$C$61, "Priest", 'Members Data'!$D$2:$D$61, "Healer", 'wk2'!H$10:H$69,"Confirmed")+COUNTIFS('Members Data'!$C$2:$C$61, "Priest", 'Members Data'!$D$2:$D$61, "Healer", 'wk2'!H$10:H$69,"Standby")</f>
        <v>0</v>
      </c>
      <c r="S36" s="108">
        <f>SUM(L36:R36)</f>
        <v>0</v>
      </c>
      <c r="T36" s="106">
        <f>COUNTIFS('Members Data'!$C$2:$C$61, "Priest", 'Members Data'!$D$2:$D$61, "Healer", 'wk3'!B$10:B$69,"Confirmed")+COUNTIFS('Members Data'!$C$2:$C$61, "Priest", 'Members Data'!$D$2:$D$61, "Healer", 'wk3'!B$10:B$69,"Standby")</f>
        <v>3</v>
      </c>
      <c r="U36" s="106">
        <f>COUNTIFS('Members Data'!$C$2:$C$61, "Priest", 'Members Data'!$D$2:$D$61, "Healer", 'wk3'!C$10:C$69,"Confirmed")+COUNTIFS('Members Data'!$C$2:$C$61, "Priest", 'Members Data'!$D$2:$D$61, "Healer", 'wk3'!C$10:C$69,"Standby")</f>
        <v>0</v>
      </c>
      <c r="V36" s="106">
        <f>COUNTIFS('Members Data'!$C$2:$C$61, "Priest", 'Members Data'!$D$2:$D$61, "Healer", 'wk3'!D$10:D$69,"Confirmed")+COUNTIFS('Members Data'!$C$2:$C$61, "Priest", 'Members Data'!$D$2:$D$61, "Healer", 'wk3'!D$10:D$69,"Standby")</f>
        <v>3</v>
      </c>
      <c r="W36" s="106">
        <f>COUNTIFS('Members Data'!$C$2:$C$61, "Priest", 'Members Data'!$D$2:$D$61, "Healer", 'wk3'!E$10:E$69,"Confirmed")+COUNTIFS('Members Data'!$C$2:$C$61, "Priest", 'Members Data'!$D$2:$D$61, "Healer", 'wk3'!E$10:E$69,"Standby")</f>
        <v>0</v>
      </c>
      <c r="X36" s="106">
        <f>COUNTIFS('Members Data'!$C$2:$C$61, "Priest", 'Members Data'!$D$2:$D$61, "Healer", 'wk3'!F$10:F$69,"Confirmed")+COUNTIFS('Members Data'!$C$2:$C$61, "Priest", 'Members Data'!$D$2:$D$61, "Healer", 'wk3'!F$10:F$69,"Standby")</f>
        <v>0</v>
      </c>
      <c r="Y36" s="106">
        <f>COUNTIFS('Members Data'!$C$2:$C$61, "Priest", 'Members Data'!$D$2:$D$61, "Healer", 'wk3'!G$10:G$69,"Confirmed")+COUNTIFS('Members Data'!$C$2:$C$61, "Priest", 'Members Data'!$D$2:$D$61, "Healer", 'wk3'!G$10:G$69,"Standby")</f>
        <v>0</v>
      </c>
      <c r="Z36" s="106">
        <f>COUNTIFS('Members Data'!$C$2:$C$61, "Priest", 'Members Data'!$D$2:$D$61, "Healer", 'wk3'!H$10:H$69,"Confirmed")+COUNTIFS('Members Data'!$C$2:$C$61, "Priest", 'Members Data'!$D$2:$D$61, "Healer", 'wk3'!H$10:H$69,"Standby")</f>
        <v>2</v>
      </c>
      <c r="AA36" s="108">
        <f>SUM(T36:Z36)</f>
        <v>8</v>
      </c>
      <c r="AB36" s="106">
        <f>COUNTIFS('Members Data'!$C$2:$C$61, "Priest", 'Members Data'!$D$2:$D$61, "Healer", 'wk4'!B$10:B$69,"Confirmed")+COUNTIFS('Members Data'!$C$2:$C$61, "Priest", 'Members Data'!$D$2:$D$61, "Healer", 'wk4'!B$10:B$69,"Standby")</f>
        <v>2</v>
      </c>
      <c r="AC36" s="106">
        <f>COUNTIFS('Members Data'!$C$2:$C$61, "Priest", 'Members Data'!$D$2:$D$61, "Healer", 'wk4'!C$10:C$69,"Confirmed")+COUNTIFS('Members Data'!$C$2:$C$61, "Priest", 'Members Data'!$D$2:$D$61, "Healer", 'wk4'!C$10:C$69,"Standby")</f>
        <v>0</v>
      </c>
      <c r="AD36" s="106">
        <f>COUNTIFS('Members Data'!$C$2:$C$61, "Priest", 'Members Data'!$D$2:$D$61, "Healer", 'wk4'!D$10:D$69,"Confirmed")+COUNTIFS('Members Data'!$C$2:$C$61, "Priest", 'Members Data'!$D$2:$D$61, "Healer", 'wk4'!D$10:D$69,"Standby")</f>
        <v>2</v>
      </c>
      <c r="AE36" s="106">
        <f>COUNTIFS('Members Data'!$C$2:$C$61, "Priest", 'Members Data'!$D$2:$D$61, "Healer", 'wk4'!E$10:E$69,"Confirmed")+COUNTIFS('Members Data'!$C$2:$C$61, "Priest", 'Members Data'!$D$2:$D$61, "Healer", 'wk4'!E$10:E$69,"Standby")</f>
        <v>0</v>
      </c>
      <c r="AF36" s="106">
        <f>COUNTIFS('Members Data'!$C$2:$C$61, "Priest", 'Members Data'!$D$2:$D$61, "Healer", 'wk4'!F$10:F$69,"Confirmed")+COUNTIFS('Members Data'!$C$2:$C$61, "Priest", 'Members Data'!$D$2:$D$61, "Healer", 'wk4'!F$10:F$69,"Standby")</f>
        <v>0</v>
      </c>
      <c r="AG36" s="106">
        <f>COUNTIFS('Members Data'!$C$2:$C$61, "Priest", 'Members Data'!$D$2:$D$61, "Healer", 'wk4'!G$10:G$69,"Confirmed")+COUNTIFS('Members Data'!$C$2:$C$61, "Priest", 'Members Data'!$D$2:$D$61, "Healer", 'wk4'!G$10:G$69,"Standby")</f>
        <v>0</v>
      </c>
      <c r="AH36" s="106">
        <f>COUNTIFS('Members Data'!$C$2:$C$61, "Priest", 'Members Data'!$D$2:$D$61, "Healer", 'wk4'!H$10:H$69,"Confirmed")+COUNTIFS('Members Data'!$C$2:$C$61, "Priest", 'Members Data'!$D$2:$D$61, "Healer", 'wk4'!H$10:H$69,"Standby")</f>
        <v>1</v>
      </c>
      <c r="AI36" s="108">
        <f>SUM(AB36:AH36)</f>
        <v>5</v>
      </c>
      <c r="AJ36" s="106">
        <f>COUNTIFS('Members Data'!$C$2:$C$61, "Priest", 'Members Data'!$D$2:$D$61, "Healer", 'wk5'!B$10:B$69,"Confirmed")+COUNTIFS('Members Data'!$C$2:$C$61, "Priest", 'Members Data'!$D$2:$D$61, "Healer", 'wk5'!B$10:B$69,"Standby")</f>
        <v>1</v>
      </c>
      <c r="AK36" s="106">
        <f>COUNTIFS('Members Data'!$C$2:$C$61, "Priest", 'Members Data'!$D$2:$D$61, "Healer", 'wk5'!C$10:C$69,"Confirmed")+COUNTIFS('Members Data'!$C$2:$C$61, "Priest", 'Members Data'!$D$2:$D$61, "Healer", 'wk5'!C$10:C$69,"Standby")</f>
        <v>0</v>
      </c>
      <c r="AL36" s="106">
        <f>COUNTIFS('Members Data'!$C$2:$C$61, "Priest", 'Members Data'!$D$2:$D$61, "Healer", 'wk5'!D$10:D$69,"Confirmed")+COUNTIFS('Members Data'!$C$2:$C$61, "Priest", 'Members Data'!$D$2:$D$61, "Healer", 'wk5'!D$10:D$69,"Standby")</f>
        <v>1</v>
      </c>
      <c r="AM36" s="106">
        <f>COUNTIFS('Members Data'!$C$2:$C$61, "Priest", 'Members Data'!$D$2:$D$61, "Healer", 'wk5'!E$10:E$69,"Confirmed")+COUNTIFS('Members Data'!$C$2:$C$61, "Priest", 'Members Data'!$D$2:$D$61, "Healer", 'wk5'!E$10:E$69,"Standby")</f>
        <v>0</v>
      </c>
      <c r="AN36" s="106">
        <f>COUNTIFS('Members Data'!$C$2:$C$61, "Priest", 'Members Data'!$D$2:$D$61, "Healer", 'wk5'!F$10:F$69,"Confirmed")+COUNTIFS('Members Data'!$C$2:$C$61, "Priest", 'Members Data'!$D$2:$D$61, "Healer", 'wk5'!F$10:F$69,"Standby")</f>
        <v>0</v>
      </c>
      <c r="AO36" s="106">
        <f>COUNTIFS('Members Data'!$C$2:$C$61, "Priest", 'Members Data'!$D$2:$D$61, "Healer", 'wk5'!G$10:G$69,"Confirmed")+COUNTIFS('Members Data'!$C$2:$C$61, "Priest", 'Members Data'!$D$2:$D$61, "Healer", 'wk5'!G$10:G$69,"Standby")</f>
        <v>0</v>
      </c>
      <c r="AP36" s="106">
        <f>COUNTIFS('Members Data'!$C$2:$C$61, "Priest", 'Members Data'!$D$2:$D$61, "Healer", 'wk5'!H$10:H$69,"Confirmed")+COUNTIFS('Members Data'!$C$2:$C$61, "Priest", 'Members Data'!$D$2:$D$61, "Healer", 'wk5'!H$10:H$69,"Standby")</f>
        <v>0</v>
      </c>
      <c r="AQ36" s="108">
        <f>SUM(AJ36:AP36)</f>
        <v>2</v>
      </c>
    </row>
    <row r="37" spans="1:43" ht="13.5" thickBot="1"/>
    <row r="38" spans="1:43" ht="13.5" thickBot="1">
      <c r="A38" s="104" t="s">
        <v>21</v>
      </c>
      <c r="B38" s="105"/>
    </row>
    <row r="39" spans="1:43" ht="15.75" thickBot="1">
      <c r="A39" s="122" t="s">
        <v>77</v>
      </c>
      <c r="B39" s="115">
        <f>K39+S39+AA39+AI39+AQ39</f>
        <v>8</v>
      </c>
      <c r="D39" s="120">
        <f>COUNTIFS('Members Data'!$C$2:$C$61, "Rogue", 'Members Data'!$D$2:$D$61, "MDPS", 'wk1'!B$10:B$69,"Confirmed")+COUNTIFS('Members Data'!$C$2:$C$61, "Rogue", 'Members Data'!$D$2:$D$61, "MDPS", 'wk1'!B$10:B$69,"Standby")</f>
        <v>0</v>
      </c>
      <c r="E39" s="120">
        <f>COUNTIFS('Members Data'!$C$2:$C$61, "Rogue", 'Members Data'!$D$2:$D$61, "MDPS", 'wk1'!C$10:C$69,"Confirmed")+COUNTIFS('Members Data'!$C$2:$C$61, "Rogue", 'Members Data'!$D$2:$D$61, "MDPS", 'wk1'!C$10:C$69,"Standby")</f>
        <v>0</v>
      </c>
      <c r="F39" s="120">
        <f>COUNTIFS('Members Data'!$C$2:$C$61, "Rogue", 'Members Data'!$D$2:$D$61, "MDPS", 'wk1'!D$10:D$69,"Confirmed")+COUNTIFS('Members Data'!$C$2:$C$61, "Rogue", 'Members Data'!$D$2:$D$61, "MDPS", 'wk1'!D$10:D$69,"Standby")</f>
        <v>0</v>
      </c>
      <c r="G39" s="120">
        <f>COUNTIFS('Members Data'!$C$2:$C$61, "Rogue", 'Members Data'!$D$2:$D$61, "MDPS", 'wk1'!E$10:E$69,"Confirmed")+COUNTIFS('Members Data'!$C$2:$C$61, "Rogue", 'Members Data'!$D$2:$D$61, "MDPS", 'wk1'!E$10:E$69,"Standby")</f>
        <v>0</v>
      </c>
      <c r="H39" s="120">
        <f>COUNTIFS('Members Data'!$C$2:$C$61, "Rogue", 'Members Data'!$D$2:$D$61, "MDPS", 'wk1'!F$10:F$69,"Confirmed")+COUNTIFS('Members Data'!$C$2:$C$61, "Rogue", 'Members Data'!$D$2:$D$61, "MDPS", 'wk1'!F$10:F$69,"Standby")</f>
        <v>0</v>
      </c>
      <c r="I39" s="120">
        <f>COUNTIFS('Members Data'!$C$2:$C$61, "Rogue", 'Members Data'!$D$2:$D$61, "MDPS", 'wk1'!G$10:G$69,"Confirmed")+COUNTIFS('Members Data'!$C$2:$C$61, "Rogue", 'Members Data'!$D$2:$D$61, "MDPS", 'wk1'!G$10:G$69,"Standby")</f>
        <v>0</v>
      </c>
      <c r="J39" s="120">
        <f>COUNTIFS('Members Data'!$C$2:$C$61, "Rogue", 'Members Data'!$D$2:$D$61, "MDPS", 'wk1'!H$10:H$69,"Confirmed")+COUNTIFS('Members Data'!$C$2:$C$61, "Rogue", 'Members Data'!$D$2:$D$61, "MDPS", 'wk1'!H$10:H$69,"Standby")</f>
        <v>0</v>
      </c>
      <c r="K39" s="108">
        <f>SUM(D39:J39)</f>
        <v>0</v>
      </c>
      <c r="L39" s="121">
        <f>COUNTIFS('Members Data'!$C$2:$C$61, "Rogue", 'Members Data'!$D$2:$D$61, "MDPS", 'wk2'!B$10:B$69,"Confirmed")+COUNTIFS('Members Data'!$C$2:$C$61, "Rogue", 'Members Data'!$D$2:$D$61, "MDPS", 'wk2'!B$10:B$69,"Standby")</f>
        <v>0</v>
      </c>
      <c r="M39" s="121">
        <f>COUNTIFS('Members Data'!$C$2:$C$61, "Rogue", 'Members Data'!$D$2:$D$61, "MDPS", 'wk2'!C$10:C$69,"Confirmed")+COUNTIFS('Members Data'!$C$2:$C$61, "Rogue", 'Members Data'!$D$2:$D$61, "MDPS", 'wk2'!C$10:C$69,"Standby")</f>
        <v>0</v>
      </c>
      <c r="N39" s="121">
        <f>COUNTIFS('Members Data'!$C$2:$C$61, "Rogue", 'Members Data'!$D$2:$D$61, "MDPS", 'wk2'!D$10:D$69,"Confirmed")+COUNTIFS('Members Data'!$C$2:$C$61, "Rogue", 'Members Data'!$D$2:$D$61, "MDPS", 'wk2'!D$10:D$69,"Standby")</f>
        <v>0</v>
      </c>
      <c r="O39" s="121">
        <f>COUNTIFS('Members Data'!$C$2:$C$61, "Rogue", 'Members Data'!$D$2:$D$61, "MDPS", 'wk2'!E$10:E$69,"Confirmed")+COUNTIFS('Members Data'!$C$2:$C$61, "Rogue", 'Members Data'!$D$2:$D$61, "MDPS", 'wk2'!E$10:E$69,"Standby")</f>
        <v>0</v>
      </c>
      <c r="P39" s="121">
        <f>COUNTIFS('Members Data'!$C$2:$C$61, "Rogue", 'Members Data'!$D$2:$D$61, "MDPS", 'wk2'!F$10:F$69,"Confirmed")+COUNTIFS('Members Data'!$C$2:$C$61, "Rogue", 'Members Data'!$D$2:$D$61, "MDPS", 'wk2'!F$10:F$69,"Standby")</f>
        <v>0</v>
      </c>
      <c r="Q39" s="121">
        <f>COUNTIFS('Members Data'!$C$2:$C$61, "Rogue", 'Members Data'!$D$2:$D$61, "MDPS", 'wk2'!G$10:G$69,"Confirmed")+COUNTIFS('Members Data'!$C$2:$C$61, "Rogue", 'Members Data'!$D$2:$D$61, "MDPS", 'wk2'!G$10:G$69,"Standby")</f>
        <v>0</v>
      </c>
      <c r="R39" s="121">
        <f>COUNTIFS('Members Data'!$C$2:$C$61, "Rogue", 'Members Data'!$D$2:$D$61, "MDPS", 'wk2'!H$10:H$69,"Confirmed")+COUNTIFS('Members Data'!$C$2:$C$61, "Rogue", 'Members Data'!$D$2:$D$61, "MDPS", 'wk2'!H$10:H$69,"Standby")</f>
        <v>0</v>
      </c>
      <c r="S39" s="108">
        <f>SUM(L39:R39)</f>
        <v>0</v>
      </c>
      <c r="T39" s="106">
        <f>COUNTIFS('Members Data'!$C$2:$C$61, "Rogue", 'Members Data'!$D$2:$D$61, "MDPS", 'wk3'!B$10:B$69,"Confirmed")+COUNTIFS('Members Data'!$C$2:$C$61, "Rogue", 'Members Data'!$D$2:$D$61, "MDPS", 'wk3'!B$10:B$69,"Standby")</f>
        <v>1</v>
      </c>
      <c r="U39" s="106">
        <f>COUNTIFS('Members Data'!$C$2:$C$61, "Rogue", 'Members Data'!$D$2:$D$61, "MDPS", 'wk3'!C$10:C$69,"Confirmed")+COUNTIFS('Members Data'!$C$2:$C$61, "Rogue", 'Members Data'!$D$2:$D$61, "MDPS", 'wk3'!C$10:C$69,"Standby")</f>
        <v>0</v>
      </c>
      <c r="V39" s="106">
        <f>COUNTIFS('Members Data'!$C$2:$C$61, "Rogue", 'Members Data'!$D$2:$D$61, "MDPS", 'wk3'!D$10:D$69,"Confirmed")+COUNTIFS('Members Data'!$C$2:$C$61, "Rogue", 'Members Data'!$D$2:$D$61, "MDPS", 'wk3'!D$10:D$69,"Standby")</f>
        <v>1</v>
      </c>
      <c r="W39" s="106">
        <f>COUNTIFS('Members Data'!$C$2:$C$61, "Rogue", 'Members Data'!$D$2:$D$61, "MDPS", 'wk3'!E$10:E$69,"Confirmed")+COUNTIFS('Members Data'!$C$2:$C$61, "Rogue", 'Members Data'!$D$2:$D$61, "MDPS", 'wk3'!E$10:E$69,"Standby")</f>
        <v>0</v>
      </c>
      <c r="X39" s="106">
        <f>COUNTIFS('Members Data'!$C$2:$C$61, "Rogue", 'Members Data'!$D$2:$D$61, "MDPS", 'wk3'!F$10:F$69,"Confirmed")+COUNTIFS('Members Data'!$C$2:$C$61, "Rogue", 'Members Data'!$D$2:$D$61, "MDPS", 'wk3'!F$10:F$69,"Standby")</f>
        <v>0</v>
      </c>
      <c r="Y39" s="106">
        <f>COUNTIFS('Members Data'!$C$2:$C$61, "Rogue", 'Members Data'!$D$2:$D$61, "MDPS", 'wk3'!G$10:G$69,"Confirmed")+COUNTIFS('Members Data'!$C$2:$C$61, "Rogue", 'Members Data'!$D$2:$D$61, "MDPS", 'wk3'!G$10:G$69,"Standby")</f>
        <v>0</v>
      </c>
      <c r="Z39" s="106">
        <f>COUNTIFS('Members Data'!$C$2:$C$61, "Rogue", 'Members Data'!$D$2:$D$61, "MDPS", 'wk3'!H$10:H$69,"Confirmed")+COUNTIFS('Members Data'!$C$2:$C$61, "Rogue", 'Members Data'!$D$2:$D$61, "MDPS", 'wk3'!H$10:H$69,"Standby")</f>
        <v>1</v>
      </c>
      <c r="AA39" s="108">
        <f>SUM(T39:Z39)</f>
        <v>3</v>
      </c>
      <c r="AB39" s="106">
        <f>COUNTIFS('Members Data'!$C$2:$C$61, "Rogue", 'Members Data'!$D$2:$D$61, "MDPS", 'wk4'!B$10:B$69,"Confirmed")+COUNTIFS('Members Data'!$C$2:$C$61, "Rogue", 'Members Data'!$D$2:$D$61, "MDPS", 'wk4'!B$10:B$69,"Standby")</f>
        <v>1</v>
      </c>
      <c r="AC39" s="106">
        <f>COUNTIFS('Members Data'!$C$2:$C$61, "Rogue", 'Members Data'!$D$2:$D$61, "MDPS", 'wk4'!C$10:C$69,"Confirmed")+COUNTIFS('Members Data'!$C$2:$C$61, "Rogue", 'Members Data'!$D$2:$D$61, "MDPS", 'wk4'!C$10:C$69,"Standby")</f>
        <v>0</v>
      </c>
      <c r="AD39" s="106">
        <f>COUNTIFS('Members Data'!$C$2:$C$61, "Rogue", 'Members Data'!$D$2:$D$61, "MDPS", 'wk4'!D$10:D$69,"Confirmed")+COUNTIFS('Members Data'!$C$2:$C$61, "Rogue", 'Members Data'!$D$2:$D$61, "MDPS", 'wk4'!D$10:D$69,"Standby")</f>
        <v>1</v>
      </c>
      <c r="AE39" s="106">
        <f>COUNTIFS('Members Data'!$C$2:$C$61, "Rogue", 'Members Data'!$D$2:$D$61, "MDPS", 'wk4'!E$10:E$69,"Confirmed")+COUNTIFS('Members Data'!$C$2:$C$61, "Rogue", 'Members Data'!$D$2:$D$61, "MDPS", 'wk4'!E$10:E$69,"Standby")</f>
        <v>0</v>
      </c>
      <c r="AF39" s="106">
        <f>COUNTIFS('Members Data'!$C$2:$C$61, "Rogue", 'Members Data'!$D$2:$D$61, "MDPS", 'wk4'!F$10:F$69,"Confirmed")+COUNTIFS('Members Data'!$C$2:$C$61, "Rogue", 'Members Data'!$D$2:$D$61, "MDPS", 'wk4'!F$10:F$69,"Standby")</f>
        <v>0</v>
      </c>
      <c r="AG39" s="106">
        <f>COUNTIFS('Members Data'!$C$2:$C$61, "Rogue", 'Members Data'!$D$2:$D$61, "MDPS", 'wk4'!G$10:G$69,"Confirmed")+COUNTIFS('Members Data'!$C$2:$C$61, "Rogue", 'Members Data'!$D$2:$D$61, "MDPS", 'wk4'!G$10:G$69,"Standby")</f>
        <v>0</v>
      </c>
      <c r="AH39" s="106">
        <f>COUNTIFS('Members Data'!$C$2:$C$61, "Rogue", 'Members Data'!$D$2:$D$61, "MDPS", 'wk4'!H$10:H$69,"Confirmed")+COUNTIFS('Members Data'!$C$2:$C$61, "Rogue", 'Members Data'!$D$2:$D$61, "MDPS", 'wk4'!H$10:H$69,"Standby")</f>
        <v>1</v>
      </c>
      <c r="AI39" s="108">
        <f>SUM(AB39:AH39)</f>
        <v>3</v>
      </c>
      <c r="AJ39" s="106">
        <f>COUNTIFS('Members Data'!$C$2:$C$61, "Rogue", 'Members Data'!$D$2:$D$61, "MDPS", 'wk5'!B$10:B$69,"Confirmed")+COUNTIFS('Members Data'!$C$2:$C$61, "Rogue", 'Members Data'!$D$2:$D$61, "MDPS", 'wk5'!B$10:B$69,"Standby")</f>
        <v>1</v>
      </c>
      <c r="AK39" s="106">
        <f>COUNTIFS('Members Data'!$C$2:$C$61, "Rogue", 'Members Data'!$D$2:$D$61, "MDPS", 'wk5'!C$10:C$69,"Confirmed")+COUNTIFS('Members Data'!$C$2:$C$61, "Rogue", 'Members Data'!$D$2:$D$61, "MDPS", 'wk5'!C$10:C$69,"Standby")</f>
        <v>0</v>
      </c>
      <c r="AL39" s="106">
        <f>COUNTIFS('Members Data'!$C$2:$C$61, "Rogue", 'Members Data'!$D$2:$D$61, "MDPS", 'wk5'!D$10:D$69,"Confirmed")+COUNTIFS('Members Data'!$C$2:$C$61, "Rogue", 'Members Data'!$D$2:$D$61, "MDPS", 'wk5'!D$10:D$69,"Standby")</f>
        <v>1</v>
      </c>
      <c r="AM39" s="106">
        <f>COUNTIFS('Members Data'!$C$2:$C$61, "Rogue", 'Members Data'!$D$2:$D$61, "MDPS", 'wk5'!E$10:E$69,"Confirmed")+COUNTIFS('Members Data'!$C$2:$C$61, "Rogue", 'Members Data'!$D$2:$D$61, "MDPS", 'wk5'!E$10:E$69,"Standby")</f>
        <v>0</v>
      </c>
      <c r="AN39" s="106">
        <f>COUNTIFS('Members Data'!$C$2:$C$61, "Rogue", 'Members Data'!$D$2:$D$61, "MDPS", 'wk5'!F$10:F$69,"Confirmed")+COUNTIFS('Members Data'!$C$2:$C$61, "Rogue", 'Members Data'!$D$2:$D$61, "MDPS", 'wk5'!F$10:F$69,"Standby")</f>
        <v>0</v>
      </c>
      <c r="AO39" s="106">
        <f>COUNTIFS('Members Data'!$C$2:$C$61, "Rogue", 'Members Data'!$D$2:$D$61, "MDPS", 'wk5'!G$10:G$69,"Confirmed")+COUNTIFS('Members Data'!$C$2:$C$61, "Rogue", 'Members Data'!$D$2:$D$61, "MDPS", 'wk5'!G$10:G$69,"Standby")</f>
        <v>0</v>
      </c>
      <c r="AP39" s="106">
        <f>COUNTIFS('Members Data'!$C$2:$C$61, "Rogue", 'Members Data'!$D$2:$D$61, "MDPS", 'wk5'!H$10:H$69,"Confirmed")+COUNTIFS('Members Data'!$C$2:$C$61, "Rogue", 'Members Data'!$D$2:$D$61, "MDPS", 'wk5'!H$10:H$69,"Standby")</f>
        <v>0</v>
      </c>
      <c r="AQ39" s="108">
        <f>SUM(AJ39:AP39)</f>
        <v>2</v>
      </c>
    </row>
    <row r="40" spans="1:43" ht="13.5" thickBot="1"/>
    <row r="41" spans="1:43" ht="13.5" thickBot="1">
      <c r="A41" s="104" t="s">
        <v>22</v>
      </c>
      <c r="B41" s="105"/>
    </row>
    <row r="42" spans="1:43" ht="15.75" thickBot="1">
      <c r="A42" s="109" t="s">
        <v>76</v>
      </c>
      <c r="B42" s="110">
        <f>K42+S42+AA42+AI42+AQ42</f>
        <v>21</v>
      </c>
      <c r="D42" s="120">
        <f>COUNTIFS('Members Data'!$C$2:$C$61, "Shaman", 'Members Data'!$D$2:$D$61, "RDPS", 'wk1'!B$10:B$69,"Confirmed")+COUNTIFS('Members Data'!$C$2:$C$61, "Shaman", 'Members Data'!$D$2:$D$61, "RDPS", 'wk1'!B$10:B$69,"Standby")</f>
        <v>0</v>
      </c>
      <c r="E42" s="120">
        <f>COUNTIFS('Members Data'!$C$2:$C$61, "Shaman", 'Members Data'!$D$2:$D$61, "RDPS", 'wk1'!C$10:C$69,"Confirmed")+COUNTIFS('Members Data'!$C$2:$C$61, "Shaman", 'Members Data'!$D$2:$D$61, "RDPS", 'wk1'!C$10:C$69,"Standby")</f>
        <v>0</v>
      </c>
      <c r="F42" s="120">
        <f>COUNTIFS('Members Data'!$C$2:$C$61, "Shaman", 'Members Data'!$D$2:$D$61, "RDPS", 'wk1'!D$10:D$69,"Confirmed")+COUNTIFS('Members Data'!$C$2:$C$61, "Shaman", 'Members Data'!$D$2:$D$61, "RDPS", 'wk1'!D$10:D$69,"Standby")</f>
        <v>0</v>
      </c>
      <c r="G42" s="120">
        <f>COUNTIFS('Members Data'!$C$2:$C$61, "Shaman", 'Members Data'!$D$2:$D$61, "RDPS", 'wk1'!E$10:E$69,"Confirmed")+COUNTIFS('Members Data'!$C$2:$C$61, "Shaman", 'Members Data'!$D$2:$D$61, "RDPS", 'wk1'!E$10:E$69,"Standby")</f>
        <v>0</v>
      </c>
      <c r="H42" s="120">
        <f>COUNTIFS('Members Data'!$C$2:$C$61, "Shaman", 'Members Data'!$D$2:$D$61, "RDPS", 'wk1'!F$10:F$69,"Confirmed")+COUNTIFS('Members Data'!$C$2:$C$61, "Shaman", 'Members Data'!$D$2:$D$61, "RDPS", 'wk1'!F$10:F$69,"Standby")</f>
        <v>0</v>
      </c>
      <c r="I42" s="120">
        <f>COUNTIFS('Members Data'!$C$2:$C$61, "Shaman", 'Members Data'!$D$2:$D$61, "RDPS", 'wk1'!G$10:G$69,"Confirmed")+COUNTIFS('Members Data'!$C$2:$C$61, "Shaman", 'Members Data'!$D$2:$D$61, "RDPS", 'wk1'!G$10:G$69,"Standby")</f>
        <v>0</v>
      </c>
      <c r="J42" s="120">
        <f>COUNTIFS('Members Data'!$C$2:$C$61, "Shaman", 'Members Data'!$D$2:$D$61, "RDPS", 'wk1'!H$10:H$69,"Confirmed")+COUNTIFS('Members Data'!$C$2:$C$61, "Shaman", 'Members Data'!$D$2:$D$61, "RDPS", 'wk1'!H$10:H$69,"Standby")</f>
        <v>0</v>
      </c>
      <c r="K42" s="108">
        <f>SUM(D42:J42)</f>
        <v>0</v>
      </c>
      <c r="L42" s="121">
        <f>COUNTIFS('Members Data'!$C$2:$C$61, "Shaman", 'Members Data'!$D$2:$D$61, "RDPS", 'wk2'!B$10:B$69,"Confirmed")+COUNTIFS('Members Data'!$C$2:$C$61, "Shaman", 'Members Data'!$D$2:$D$61, "RDPS", 'wk2'!B$10:B$69,"Standby")</f>
        <v>0</v>
      </c>
      <c r="M42" s="121">
        <f>COUNTIFS('Members Data'!$C$2:$C$61, "Shaman", 'Members Data'!$D$2:$D$61, "RDPS", 'wk2'!C$10:C$69,"Confirmed")+COUNTIFS('Members Data'!$C$2:$C$61, "Shaman", 'Members Data'!$D$2:$D$61, "RDPS", 'wk2'!C$10:C$69,"Standby")</f>
        <v>0</v>
      </c>
      <c r="N42" s="121">
        <f>COUNTIFS('Members Data'!$C$2:$C$61, "Shaman", 'Members Data'!$D$2:$D$61, "RDPS", 'wk2'!D$10:D$69,"Confirmed")+COUNTIFS('Members Data'!$C$2:$C$61, "Shaman", 'Members Data'!$D$2:$D$61, "RDPS", 'wk2'!D$10:D$69,"Standby")</f>
        <v>0</v>
      </c>
      <c r="O42" s="121">
        <f>COUNTIFS('Members Data'!$C$2:$C$61, "Shaman", 'Members Data'!$D$2:$D$61, "RDPS", 'wk2'!E$10:E$69,"Confirmed")+COUNTIFS('Members Data'!$C$2:$C$61, "Shaman", 'Members Data'!$D$2:$D$61, "RDPS", 'wk2'!E$10:E$69,"Standby")</f>
        <v>0</v>
      </c>
      <c r="P42" s="121">
        <f>COUNTIFS('Members Data'!$C$2:$C$61, "Shaman", 'Members Data'!$D$2:$D$61, "RDPS", 'wk2'!F$10:F$69,"Confirmed")+COUNTIFS('Members Data'!$C$2:$C$61, "Shaman", 'Members Data'!$D$2:$D$61, "RDPS", 'wk2'!F$10:F$69,"Standby")</f>
        <v>0</v>
      </c>
      <c r="Q42" s="121">
        <f>COUNTIFS('Members Data'!$C$2:$C$61, "Shaman", 'Members Data'!$D$2:$D$61, "RDPS", 'wk2'!G$10:G$69,"Confirmed")+COUNTIFS('Members Data'!$C$2:$C$61, "Shaman", 'Members Data'!$D$2:$D$61, "RDPS", 'wk2'!G$10:G$69,"Standby")</f>
        <v>0</v>
      </c>
      <c r="R42" s="121">
        <f>COUNTIFS('Members Data'!$C$2:$C$61, "Shaman", 'Members Data'!$D$2:$D$61, "RDPS", 'wk2'!H$10:H$69,"Confirmed")+COUNTIFS('Members Data'!$C$2:$C$61, "Shaman", 'Members Data'!$D$2:$D$61, "RDPS", 'wk2'!H$10:H$69,"Standby")</f>
        <v>0</v>
      </c>
      <c r="S42" s="108">
        <f>SUM(L42:R42)</f>
        <v>0</v>
      </c>
      <c r="T42" s="106">
        <f>COUNTIFS('Members Data'!$C$2:$C$61, "Shaman", 'Members Data'!$D$2:$D$61, "RDPS", 'wk3'!B$10:B$69,"Confirmed")+COUNTIFS('Members Data'!$C$2:$C$61, "Shaman", 'Members Data'!$D$2:$D$61, "RDPS", 'wk3'!B$10:B$69,"Standby")</f>
        <v>2</v>
      </c>
      <c r="U42" s="106">
        <f>COUNTIFS('Members Data'!$C$2:$C$61, "Shaman", 'Members Data'!$D$2:$D$61, "RDPS", 'wk3'!C$10:C$69,"Confirmed")+COUNTIFS('Members Data'!$C$2:$C$61, "Shaman", 'Members Data'!$D$2:$D$61, "RDPS", 'wk3'!C$10:C$69,"Standby")</f>
        <v>0</v>
      </c>
      <c r="V42" s="106">
        <f>COUNTIFS('Members Data'!$C$2:$C$61, "Shaman", 'Members Data'!$D$2:$D$61, "RDPS", 'wk3'!D$10:D$69,"Confirmed")+COUNTIFS('Members Data'!$C$2:$C$61, "Shaman", 'Members Data'!$D$2:$D$61, "RDPS", 'wk3'!D$10:D$69,"Standby")</f>
        <v>2</v>
      </c>
      <c r="W42" s="106">
        <f>COUNTIFS('Members Data'!$C$2:$C$61, "Shaman", 'Members Data'!$D$2:$D$61, "RDPS", 'wk3'!E$10:E$69,"Confirmed")+COUNTIFS('Members Data'!$C$2:$C$61, "Shaman", 'Members Data'!$D$2:$D$61, "RDPS", 'wk3'!E$10:E$69,"Standby")</f>
        <v>0</v>
      </c>
      <c r="X42" s="106">
        <f>COUNTIFS('Members Data'!$C$2:$C$61, "Shaman", 'Members Data'!$D$2:$D$61, "RDPS", 'wk3'!F$10:F$69,"Confirmed")+COUNTIFS('Members Data'!$C$2:$C$61, "Shaman", 'Members Data'!$D$2:$D$61, "RDPS", 'wk3'!F$10:F$69,"Standby")</f>
        <v>0</v>
      </c>
      <c r="Y42" s="106">
        <f>COUNTIFS('Members Data'!$C$2:$C$61, "Shaman", 'Members Data'!$D$2:$D$61, "RDPS", 'wk3'!G$10:G$69,"Confirmed")+COUNTIFS('Members Data'!$C$2:$C$61, "Shaman", 'Members Data'!$D$2:$D$61, "RDPS", 'wk3'!G$10:G$69,"Standby")</f>
        <v>0</v>
      </c>
      <c r="Z42" s="106">
        <f>COUNTIFS('Members Data'!$C$2:$C$61, "Shaman", 'Members Data'!$D$2:$D$61, "RDPS", 'wk3'!H$10:H$69,"Confirmed")+COUNTIFS('Members Data'!$C$2:$C$61, "Shaman", 'Members Data'!$D$2:$D$61, "RDPS", 'wk3'!H$10:H$69,"Standby")</f>
        <v>3</v>
      </c>
      <c r="AA42" s="108">
        <f>SUM(T42:Z42)</f>
        <v>7</v>
      </c>
      <c r="AB42" s="106">
        <f>COUNTIFS('Members Data'!$C$2:$C$61, "Shaman", 'Members Data'!$D$2:$D$61, "RDPS", 'wk4'!B$10:B$69,"Confirmed")+COUNTIFS('Members Data'!$C$2:$C$61, "Shaman", 'Members Data'!$D$2:$D$61, "RDPS", 'wk4'!B$10:B$69,"Standby")</f>
        <v>3</v>
      </c>
      <c r="AC42" s="106">
        <f>COUNTIFS('Members Data'!$C$2:$C$61, "Shaman", 'Members Data'!$D$2:$D$61, "RDPS", 'wk4'!C$10:C$69,"Confirmed")+COUNTIFS('Members Data'!$C$2:$C$61, "Shaman", 'Members Data'!$D$2:$D$61, "RDPS", 'wk4'!C$10:C$69,"Standby")</f>
        <v>0</v>
      </c>
      <c r="AD42" s="106">
        <f>COUNTIFS('Members Data'!$C$2:$C$61, "Shaman", 'Members Data'!$D$2:$D$61, "RDPS", 'wk4'!D$10:D$69,"Confirmed")+COUNTIFS('Members Data'!$C$2:$C$61, "Shaman", 'Members Data'!$D$2:$D$61, "RDPS", 'wk4'!D$10:D$69,"Standby")</f>
        <v>3</v>
      </c>
      <c r="AE42" s="106">
        <f>COUNTIFS('Members Data'!$C$2:$C$61, "Shaman", 'Members Data'!$D$2:$D$61, "RDPS", 'wk4'!E$10:E$69,"Confirmed")+COUNTIFS('Members Data'!$C$2:$C$61, "Shaman", 'Members Data'!$D$2:$D$61, "RDPS", 'wk4'!E$10:E$69,"Standby")</f>
        <v>0</v>
      </c>
      <c r="AF42" s="106">
        <f>COUNTIFS('Members Data'!$C$2:$C$61, "Shaman", 'Members Data'!$D$2:$D$61, "RDPS", 'wk4'!F$10:F$69,"Confirmed")+COUNTIFS('Members Data'!$C$2:$C$61, "Shaman", 'Members Data'!$D$2:$D$61, "RDPS", 'wk4'!F$10:F$69,"Standby")</f>
        <v>0</v>
      </c>
      <c r="AG42" s="106">
        <f>COUNTIFS('Members Data'!$C$2:$C$61, "Shaman", 'Members Data'!$D$2:$D$61, "RDPS", 'wk4'!G$10:G$69,"Confirmed")+COUNTIFS('Members Data'!$C$2:$C$61, "Shaman", 'Members Data'!$D$2:$D$61, "RDPS", 'wk4'!G$10:G$69,"Standby")</f>
        <v>0</v>
      </c>
      <c r="AH42" s="106">
        <f>COUNTIFS('Members Data'!$C$2:$C$61, "Shaman", 'Members Data'!$D$2:$D$61, "RDPS", 'wk4'!H$10:H$69,"Confirmed")+COUNTIFS('Members Data'!$C$2:$C$61, "Shaman", 'Members Data'!$D$2:$D$61, "RDPS", 'wk4'!H$10:H$69,"Standby")</f>
        <v>3</v>
      </c>
      <c r="AI42" s="108">
        <f>SUM(AB42:AH42)</f>
        <v>9</v>
      </c>
      <c r="AJ42" s="106">
        <f>COUNTIFS('Members Data'!$C$2:$C$61, "Shaman", 'Members Data'!$D$2:$D$61, "RDPS", 'wk5'!B$10:B$69,"Confirmed")+COUNTIFS('Members Data'!$C$2:$C$61, "Shaman", 'Members Data'!$D$2:$D$61, "RDPS", 'wk5'!B$10:B$69,"Standby")</f>
        <v>3</v>
      </c>
      <c r="AK42" s="106">
        <f>COUNTIFS('Members Data'!$C$2:$C$61, "Shaman", 'Members Data'!$D$2:$D$61, "RDPS", 'wk5'!C$10:C$69,"Confirmed")+COUNTIFS('Members Data'!$C$2:$C$61, "Shaman", 'Members Data'!$D$2:$D$61, "RDPS", 'wk5'!C$10:C$69,"Standby")</f>
        <v>0</v>
      </c>
      <c r="AL42" s="106">
        <f>COUNTIFS('Members Data'!$C$2:$C$61, "Shaman", 'Members Data'!$D$2:$D$61, "RDPS", 'wk5'!D$10:D$69,"Confirmed")+COUNTIFS('Members Data'!$C$2:$C$61, "Shaman", 'Members Data'!$D$2:$D$61, "RDPS", 'wk5'!D$10:D$69,"Standby")</f>
        <v>2</v>
      </c>
      <c r="AM42" s="106">
        <f>COUNTIFS('Members Data'!$C$2:$C$61, "Shaman", 'Members Data'!$D$2:$D$61, "RDPS", 'wk5'!E$10:E$69,"Confirmed")+COUNTIFS('Members Data'!$C$2:$C$61, "Shaman", 'Members Data'!$D$2:$D$61, "RDPS", 'wk5'!E$10:E$69,"Standby")</f>
        <v>0</v>
      </c>
      <c r="AN42" s="106">
        <f>COUNTIFS('Members Data'!$C$2:$C$61, "Shaman", 'Members Data'!$D$2:$D$61, "RDPS", 'wk5'!F$10:F$69,"Confirmed")+COUNTIFS('Members Data'!$C$2:$C$61, "Shaman", 'Members Data'!$D$2:$D$61, "RDPS", 'wk5'!F$10:F$69,"Standby")</f>
        <v>0</v>
      </c>
      <c r="AO42" s="106">
        <f>COUNTIFS('Members Data'!$C$2:$C$61, "Shaman", 'Members Data'!$D$2:$D$61, "RDPS", 'wk5'!G$10:G$69,"Confirmed")+COUNTIFS('Members Data'!$C$2:$C$61, "Shaman", 'Members Data'!$D$2:$D$61, "RDPS", 'wk5'!G$10:G$69,"Standby")</f>
        <v>0</v>
      </c>
      <c r="AP42" s="106">
        <f>COUNTIFS('Members Data'!$C$2:$C$61, "Shaman", 'Members Data'!$D$2:$D$61, "RDPS", 'wk5'!H$10:H$69,"Confirmed")+COUNTIFS('Members Data'!$C$2:$C$61, "Shaman", 'Members Data'!$D$2:$D$61, "RDPS", 'wk5'!H$10:H$69,"Standby")</f>
        <v>0</v>
      </c>
      <c r="AQ42" s="108">
        <f>SUM(AJ42:AP42)</f>
        <v>5</v>
      </c>
    </row>
    <row r="43" spans="1:43" ht="15.75" thickBot="1">
      <c r="A43" s="109" t="s">
        <v>77</v>
      </c>
      <c r="B43" s="110">
        <f>K43+S43+AA43+AI43+AQ43</f>
        <v>4</v>
      </c>
      <c r="D43" s="120">
        <f>COUNTIFS('Members Data'!$C$2:$C$61, "Shaman", 'Members Data'!$D$2:$D$61, "MDPS", 'wk1'!B$10:B$69,"Confirmed")+COUNTIFS('Members Data'!$C$2:$C$61, "Shaman", 'Members Data'!$D$2:$D$61, "MDPS", 'wk1'!B$10:B$69,"Standby")</f>
        <v>0</v>
      </c>
      <c r="E43" s="120">
        <f>COUNTIFS('Members Data'!$C$2:$C$61, "Shaman", 'Members Data'!$D$2:$D$61, "MDPS", 'wk1'!C$10:C$69,"Confirmed")+COUNTIFS('Members Data'!$C$2:$C$61, "Shaman", 'Members Data'!$D$2:$D$61, "MDPS", 'wk1'!C$10:C$69,"Standby")</f>
        <v>0</v>
      </c>
      <c r="F43" s="120">
        <f>COUNTIFS('Members Data'!$C$2:$C$61, "Shaman", 'Members Data'!$D$2:$D$61, "MDPS", 'wk1'!D$10:D$69,"Confirmed")+COUNTIFS('Members Data'!$C$2:$C$61, "Shaman", 'Members Data'!$D$2:$D$61, "MDPS", 'wk1'!D$10:D$69,"Standby")</f>
        <v>0</v>
      </c>
      <c r="G43" s="120">
        <f>COUNTIFS('Members Data'!$C$2:$C$61, "Shaman", 'Members Data'!$D$2:$D$61, "MDPS", 'wk1'!E$10:E$69,"Confirmed")+COUNTIFS('Members Data'!$C$2:$C$61, "Shaman", 'Members Data'!$D$2:$D$61, "MDPS", 'wk1'!E$10:E$69,"Standby")</f>
        <v>0</v>
      </c>
      <c r="H43" s="120">
        <f>COUNTIFS('Members Data'!$C$2:$C$61, "Shaman", 'Members Data'!$D$2:$D$61, "MDPS", 'wk1'!F$10:F$69,"Confirmed")+COUNTIFS('Members Data'!$C$2:$C$61, "Shaman", 'Members Data'!$D$2:$D$61, "MDPS", 'wk1'!F$10:F$69,"Standby")</f>
        <v>0</v>
      </c>
      <c r="I43" s="120">
        <f>COUNTIFS('Members Data'!$C$2:$C$61, "Shaman", 'Members Data'!$D$2:$D$61, "MDPS", 'wk1'!G$10:G$69,"Confirmed")+COUNTIFS('Members Data'!$C$2:$C$61, "Shaman", 'Members Data'!$D$2:$D$61, "MDPS", 'wk1'!G$10:G$69,"Standby")</f>
        <v>0</v>
      </c>
      <c r="J43" s="120">
        <f>COUNTIFS('Members Data'!$C$2:$C$61, "Shaman", 'Members Data'!$D$2:$D$61, "MDPS", 'wk1'!H$10:H$69,"Confirmed")+COUNTIFS('Members Data'!$C$2:$C$61, "Shaman", 'Members Data'!$D$2:$D$61, "MDPS", 'wk1'!H$10:H$69,"Standby")</f>
        <v>0</v>
      </c>
      <c r="K43" s="108">
        <f>SUM(D43:J43)</f>
        <v>0</v>
      </c>
      <c r="L43" s="121">
        <f>COUNTIFS('Members Data'!$C$2:$C$61, "Shaman", 'Members Data'!$D$2:$D$61, "MDPS", 'wk2'!B$10:B$69,"Confirmed")+COUNTIFS('Members Data'!$C$2:$C$61, "Shaman", 'Members Data'!$D$2:$D$61, "MDPS", 'wk2'!B$10:B$69,"Standby")</f>
        <v>0</v>
      </c>
      <c r="M43" s="121">
        <f>COUNTIFS('Members Data'!$C$2:$C$61, "Shaman", 'Members Data'!$D$2:$D$61, "MDPS", 'wk2'!C$10:C$69,"Confirmed")+COUNTIFS('Members Data'!$C$2:$C$61, "Shaman", 'Members Data'!$D$2:$D$61, "MDPS", 'wk2'!C$10:C$69,"Standby")</f>
        <v>0</v>
      </c>
      <c r="N43" s="121">
        <f>COUNTIFS('Members Data'!$C$2:$C$61, "Shaman", 'Members Data'!$D$2:$D$61, "MDPS", 'wk2'!D$10:D$69,"Confirmed")+COUNTIFS('Members Data'!$C$2:$C$61, "Shaman", 'Members Data'!$D$2:$D$61, "MDPS", 'wk2'!D$10:D$69,"Standby")</f>
        <v>0</v>
      </c>
      <c r="O43" s="121">
        <f>COUNTIFS('Members Data'!$C$2:$C$61, "Shaman", 'Members Data'!$D$2:$D$61, "MDPS", 'wk2'!E$10:E$69,"Confirmed")+COUNTIFS('Members Data'!$C$2:$C$61, "Shaman", 'Members Data'!$D$2:$D$61, "MDPS", 'wk2'!E$10:E$69,"Standby")</f>
        <v>0</v>
      </c>
      <c r="P43" s="121">
        <f>COUNTIFS('Members Data'!$C$2:$C$61, "Shaman", 'Members Data'!$D$2:$D$61, "MDPS", 'wk2'!F$10:F$69,"Confirmed")+COUNTIFS('Members Data'!$C$2:$C$61, "Shaman", 'Members Data'!$D$2:$D$61, "MDPS", 'wk2'!F$10:F$69,"Standby")</f>
        <v>0</v>
      </c>
      <c r="Q43" s="121">
        <f>COUNTIFS('Members Data'!$C$2:$C$61, "Shaman", 'Members Data'!$D$2:$D$61, "MDPS", 'wk2'!G$10:G$69,"Confirmed")+COUNTIFS('Members Data'!$C$2:$C$61, "Shaman", 'Members Data'!$D$2:$D$61, "MDPS", 'wk2'!G$10:G$69,"Standby")</f>
        <v>0</v>
      </c>
      <c r="R43" s="121">
        <f>COUNTIFS('Members Data'!$C$2:$C$61, "Shaman", 'Members Data'!$D$2:$D$61, "MDPS", 'wk2'!H$10:H$69,"Confirmed")+COUNTIFS('Members Data'!$C$2:$C$61, "Shaman", 'Members Data'!$D$2:$D$61, "MDPS", 'wk2'!H$10:H$69,"Standby")</f>
        <v>0</v>
      </c>
      <c r="S43" s="108">
        <f>SUM(L43:R43)</f>
        <v>0</v>
      </c>
      <c r="T43" s="106">
        <f>COUNTIFS('Members Data'!$C$2:$C$61, "Shaman", 'Members Data'!$D$2:$D$61, "MDPS", 'wk3'!B$10:B$69,"Confirmed")+COUNTIFS('Members Data'!$C$2:$C$61, "Shaman", 'Members Data'!$D$2:$D$61, "MDPS", 'wk3'!B$10:B$69,"Standby")</f>
        <v>1</v>
      </c>
      <c r="U43" s="106">
        <f>COUNTIFS('Members Data'!$C$2:$C$61, "Shaman", 'Members Data'!$D$2:$D$61, "MDPS", 'wk3'!C$10:C$69,"Confirmed")+COUNTIFS('Members Data'!$C$2:$C$61, "Shaman", 'Members Data'!$D$2:$D$61, "MDPS", 'wk3'!C$10:C$69,"Standby")</f>
        <v>0</v>
      </c>
      <c r="V43" s="106">
        <f>COUNTIFS('Members Data'!$C$2:$C$61, "Shaman", 'Members Data'!$D$2:$D$61, "MDPS", 'wk3'!D$10:D$69,"Confirmed")+COUNTIFS('Members Data'!$C$2:$C$61, "Shaman", 'Members Data'!$D$2:$D$61, "MDPS", 'wk3'!D$10:D$69,"Standby")</f>
        <v>1</v>
      </c>
      <c r="W43" s="106">
        <f>COUNTIFS('Members Data'!$C$2:$C$61, "Shaman", 'Members Data'!$D$2:$D$61, "MDPS", 'wk3'!E$10:E$69,"Confirmed")+COUNTIFS('Members Data'!$C$2:$C$61, "Shaman", 'Members Data'!$D$2:$D$61, "MDPS", 'wk3'!E$10:E$69,"Standby")</f>
        <v>0</v>
      </c>
      <c r="X43" s="106">
        <f>COUNTIFS('Members Data'!$C$2:$C$61, "Shaman", 'Members Data'!$D$2:$D$61, "MDPS", 'wk3'!F$10:F$69,"Confirmed")+COUNTIFS('Members Data'!$C$2:$C$61, "Shaman", 'Members Data'!$D$2:$D$61, "MDPS", 'wk3'!F$10:F$69,"Standby")</f>
        <v>0</v>
      </c>
      <c r="Y43" s="106">
        <f>COUNTIFS('Members Data'!$C$2:$C$61, "Shaman", 'Members Data'!$D$2:$D$61, "MDPS", 'wk3'!G$10:G$69,"Confirmed")+COUNTIFS('Members Data'!$C$2:$C$61, "Shaman", 'Members Data'!$D$2:$D$61, "MDPS", 'wk3'!G$10:G$69,"Standby")</f>
        <v>0</v>
      </c>
      <c r="Z43" s="106">
        <f>COUNTIFS('Members Data'!$C$2:$C$61, "Shaman", 'Members Data'!$D$2:$D$61, "MDPS", 'wk3'!H$10:H$69,"Confirmed")+COUNTIFS('Members Data'!$C$2:$C$61, "Shaman", 'Members Data'!$D$2:$D$61, "MDPS", 'wk3'!H$10:H$69,"Standby")</f>
        <v>0</v>
      </c>
      <c r="AA43" s="108">
        <f>SUM(T43:Z43)</f>
        <v>2</v>
      </c>
      <c r="AB43" s="106">
        <f>COUNTIFS('Members Data'!$C$2:$C$61, "Shaman", 'Members Data'!$D$2:$D$61, "MDPS", 'wk4'!B$10:B$69,"Confirmed")+COUNTIFS('Members Data'!$C$2:$C$61, "Shaman", 'Members Data'!$D$2:$D$61, "MDPS", 'wk4'!B$10:B$69,"Standby")</f>
        <v>1</v>
      </c>
      <c r="AC43" s="106">
        <f>COUNTIFS('Members Data'!$C$2:$C$61, "Shaman", 'Members Data'!$D$2:$D$61, "MDPS", 'wk4'!C$10:C$69,"Confirmed")+COUNTIFS('Members Data'!$C$2:$C$61, "Shaman", 'Members Data'!$D$2:$D$61, "MDPS", 'wk4'!C$10:C$69,"Standby")</f>
        <v>0</v>
      </c>
      <c r="AD43" s="106">
        <f>COUNTIFS('Members Data'!$C$2:$C$61, "Shaman", 'Members Data'!$D$2:$D$61, "MDPS", 'wk4'!D$10:D$69,"Confirmed")+COUNTIFS('Members Data'!$C$2:$C$61, "Shaman", 'Members Data'!$D$2:$D$61, "MDPS", 'wk4'!D$10:D$69,"Standby")</f>
        <v>0</v>
      </c>
      <c r="AE43" s="106">
        <f>COUNTIFS('Members Data'!$C$2:$C$61, "Shaman", 'Members Data'!$D$2:$D$61, "MDPS", 'wk4'!E$10:E$69,"Confirmed")+COUNTIFS('Members Data'!$C$2:$C$61, "Shaman", 'Members Data'!$D$2:$D$61, "MDPS", 'wk4'!E$10:E$69,"Standby")</f>
        <v>0</v>
      </c>
      <c r="AF43" s="106">
        <f>COUNTIFS('Members Data'!$C$2:$C$61, "Shaman", 'Members Data'!$D$2:$D$61, "MDPS", 'wk4'!F$10:F$69,"Confirmed")+COUNTIFS('Members Data'!$C$2:$C$61, "Shaman", 'Members Data'!$D$2:$D$61, "MDPS", 'wk4'!F$10:F$69,"Standby")</f>
        <v>0</v>
      </c>
      <c r="AG43" s="106">
        <f>COUNTIFS('Members Data'!$C$2:$C$61, "Shaman", 'Members Data'!$D$2:$D$61, "MDPS", 'wk4'!G$10:G$69,"Confirmed")+COUNTIFS('Members Data'!$C$2:$C$61, "Shaman", 'Members Data'!$D$2:$D$61, "MDPS", 'wk4'!G$10:G$69,"Standby")</f>
        <v>0</v>
      </c>
      <c r="AH43" s="106">
        <f>COUNTIFS('Members Data'!$C$2:$C$61, "Shaman", 'Members Data'!$D$2:$D$61, "MDPS", 'wk4'!H$10:H$69,"Confirmed")+COUNTIFS('Members Data'!$C$2:$C$61, "Shaman", 'Members Data'!$D$2:$D$61, "MDPS", 'wk4'!H$10:H$69,"Standby")</f>
        <v>0</v>
      </c>
      <c r="AI43" s="108">
        <f>SUM(AB43:AH43)</f>
        <v>1</v>
      </c>
      <c r="AJ43" s="106">
        <f>COUNTIFS('Members Data'!$C$2:$C$61, "Shaman", 'Members Data'!$D$2:$D$61, "MDPS", 'wk5'!B$10:B$69,"Confirmed")+COUNTIFS('Members Data'!$C$2:$C$61, "Shaman", 'Members Data'!$D$2:$D$61, "MDPS", 'wk5'!B$10:B$69,"Standby")</f>
        <v>1</v>
      </c>
      <c r="AK43" s="106">
        <f>COUNTIFS('Members Data'!$C$2:$C$61, "Shaman", 'Members Data'!$D$2:$D$61, "MDPS", 'wk5'!C$10:C$69,"Confirmed")+COUNTIFS('Members Data'!$C$2:$C$61, "Shaman", 'Members Data'!$D$2:$D$61, "MDPS", 'wk5'!C$10:C$69,"Standby")</f>
        <v>0</v>
      </c>
      <c r="AL43" s="106">
        <f>COUNTIFS('Members Data'!$C$2:$C$61, "Shaman", 'Members Data'!$D$2:$D$61, "MDPS", 'wk5'!D$10:D$69,"Confirmed")+COUNTIFS('Members Data'!$C$2:$C$61, "Shaman", 'Members Data'!$D$2:$D$61, "MDPS", 'wk5'!D$10:D$69,"Standby")</f>
        <v>0</v>
      </c>
      <c r="AM43" s="106">
        <f>COUNTIFS('Members Data'!$C$2:$C$61, "Shaman", 'Members Data'!$D$2:$D$61, "MDPS", 'wk5'!E$10:E$69,"Confirmed")+COUNTIFS('Members Data'!$C$2:$C$61, "Shaman", 'Members Data'!$D$2:$D$61, "MDPS", 'wk5'!E$10:E$69,"Standby")</f>
        <v>0</v>
      </c>
      <c r="AN43" s="106">
        <f>COUNTIFS('Members Data'!$C$2:$C$61, "Shaman", 'Members Data'!$D$2:$D$61, "MDPS", 'wk5'!F$10:F$69,"Confirmed")+COUNTIFS('Members Data'!$C$2:$C$61, "Shaman", 'Members Data'!$D$2:$D$61, "MDPS", 'wk5'!F$10:F$69,"Standby")</f>
        <v>0</v>
      </c>
      <c r="AO43" s="106">
        <f>COUNTIFS('Members Data'!$C$2:$C$61, "Shaman", 'Members Data'!$D$2:$D$61, "MDPS", 'wk5'!G$10:G$69,"Confirmed")+COUNTIFS('Members Data'!$C$2:$C$61, "Shaman", 'Members Data'!$D$2:$D$61, "MDPS", 'wk5'!G$10:G$69,"Standby")</f>
        <v>0</v>
      </c>
      <c r="AP43" s="106">
        <f>COUNTIFS('Members Data'!$C$2:$C$61, "Shaman", 'Members Data'!$D$2:$D$61, "MDPS", 'wk5'!H$10:H$69,"Confirmed")+COUNTIFS('Members Data'!$C$2:$C$61, "Shaman", 'Members Data'!$D$2:$D$61, "MDPS", 'wk5'!H$10:H$69,"Standby")</f>
        <v>0</v>
      </c>
      <c r="AQ43" s="108">
        <f>SUM(AJ43:AP43)</f>
        <v>1</v>
      </c>
    </row>
    <row r="44" spans="1:43" ht="15.75" thickBot="1">
      <c r="A44" s="114" t="s">
        <v>13</v>
      </c>
      <c r="B44" s="115">
        <f>K44+S44+AA44+AI44+AQ44</f>
        <v>5</v>
      </c>
      <c r="D44" s="120">
        <f>COUNTIFS('Members Data'!$C$2:$C$61, "Shaman", 'Members Data'!$D$2:$D$61, "Healer", 'wk1'!B$10:B$69,"Confirmed")+COUNTIFS('Members Data'!$C$2:$C$61, "Shaman", 'Members Data'!$D$2:$D$61, "Healer", 'wk1'!B$10:B$69,"Standby")</f>
        <v>0</v>
      </c>
      <c r="E44" s="120">
        <f>COUNTIFS('Members Data'!$C$2:$C$61, "Shaman", 'Members Data'!$D$2:$D$61, "Healer", 'wk1'!C$10:C$69,"Confirmed")+COUNTIFS('Members Data'!$C$2:$C$61, "Shaman", 'Members Data'!$D$2:$D$61, "Healer", 'wk1'!C$10:C$69,"Standby")</f>
        <v>0</v>
      </c>
      <c r="F44" s="120">
        <f>COUNTIFS('Members Data'!$C$2:$C$61, "Shaman", 'Members Data'!$D$2:$D$61, "Healer", 'wk1'!D$10:D$69,"Confirmed")+COUNTIFS('Members Data'!$C$2:$C$61, "Shaman", 'Members Data'!$D$2:$D$61, "Healer", 'wk1'!D$10:D$69,"Standby")</f>
        <v>0</v>
      </c>
      <c r="G44" s="120">
        <f>COUNTIFS('Members Data'!$C$2:$C$61, "Shaman", 'Members Data'!$D$2:$D$61, "Healer", 'wk1'!E$10:E$69,"Confirmed")+COUNTIFS('Members Data'!$C$2:$C$61, "Shaman", 'Members Data'!$D$2:$D$61, "Healer", 'wk1'!E$10:E$69,"Standby")</f>
        <v>0</v>
      </c>
      <c r="H44" s="120">
        <f>COUNTIFS('Members Data'!$C$2:$C$61, "Shaman", 'Members Data'!$D$2:$D$61, "Healer", 'wk1'!F$10:F$69,"Confirmed")+COUNTIFS('Members Data'!$C$2:$C$61, "Shaman", 'Members Data'!$D$2:$D$61, "Healer", 'wk1'!F$10:F$69,"Standby")</f>
        <v>0</v>
      </c>
      <c r="I44" s="120">
        <f>COUNTIFS('Members Data'!$C$2:$C$61, "Shaman", 'Members Data'!$D$2:$D$61, "Healer", 'wk1'!G$10:G$69,"Confirmed")+COUNTIFS('Members Data'!$C$2:$C$61, "Shaman", 'Members Data'!$D$2:$D$61, "Healer", 'wk1'!G$10:G$69,"Standby")</f>
        <v>0</v>
      </c>
      <c r="J44" s="120">
        <f>COUNTIFS('Members Data'!$C$2:$C$61, "Shaman", 'Members Data'!$D$2:$D$61, "Healer", 'wk1'!H$10:H$69,"Confirmed")+COUNTIFS('Members Data'!$C$2:$C$61, "Shaman", 'Members Data'!$D$2:$D$61, "Healer", 'wk1'!H$10:H$69,"Standby")</f>
        <v>0</v>
      </c>
      <c r="K44" s="108">
        <f>SUM(D44:J44)</f>
        <v>0</v>
      </c>
      <c r="L44" s="121">
        <f>COUNTIFS('Members Data'!$C$2:$C$61, "Shaman", 'Members Data'!$D$2:$D$61, "Healer", 'wk2'!B$10:B$69,"Confirmed")+COUNTIFS('Members Data'!$C$2:$C$61, "Shaman", 'Members Data'!$D$2:$D$61, "Healer", 'wk2'!B$10:B$69,"Standby")</f>
        <v>0</v>
      </c>
      <c r="M44" s="121">
        <f>COUNTIFS('Members Data'!$C$2:$C$61, "Shaman", 'Members Data'!$D$2:$D$61, "Healer", 'wk2'!C$10:C$69,"Confirmed")+COUNTIFS('Members Data'!$C$2:$C$61, "Shaman", 'Members Data'!$D$2:$D$61, "Healer", 'wk2'!C$10:C$69,"Standby")</f>
        <v>0</v>
      </c>
      <c r="N44" s="121">
        <f>COUNTIFS('Members Data'!$C$2:$C$61, "Shaman", 'Members Data'!$D$2:$D$61, "Healer", 'wk2'!D$10:D$69,"Confirmed")+COUNTIFS('Members Data'!$C$2:$C$61, "Shaman", 'Members Data'!$D$2:$D$61, "Healer", 'wk2'!D$10:D$69,"Standby")</f>
        <v>0</v>
      </c>
      <c r="O44" s="121">
        <f>COUNTIFS('Members Data'!$C$2:$C$61, "Shaman", 'Members Data'!$D$2:$D$61, "Healer", 'wk2'!E$10:E$69,"Confirmed")+COUNTIFS('Members Data'!$C$2:$C$61, "Shaman", 'Members Data'!$D$2:$D$61, "Healer", 'wk2'!E$10:E$69,"Standby")</f>
        <v>0</v>
      </c>
      <c r="P44" s="121">
        <f>COUNTIFS('Members Data'!$C$2:$C$61, "Shaman", 'Members Data'!$D$2:$D$61, "Healer", 'wk2'!F$10:F$69,"Confirmed")+COUNTIFS('Members Data'!$C$2:$C$61, "Shaman", 'Members Data'!$D$2:$D$61, "Healer", 'wk2'!F$10:F$69,"Standby")</f>
        <v>0</v>
      </c>
      <c r="Q44" s="121">
        <f>COUNTIFS('Members Data'!$C$2:$C$61, "Shaman", 'Members Data'!$D$2:$D$61, "Healer", 'wk2'!G$10:G$69,"Confirmed")+COUNTIFS('Members Data'!$C$2:$C$61, "Shaman", 'Members Data'!$D$2:$D$61, "Healer", 'wk2'!G$10:G$69,"Standby")</f>
        <v>0</v>
      </c>
      <c r="R44" s="121">
        <f>COUNTIFS('Members Data'!$C$2:$C$61, "Shaman", 'Members Data'!$D$2:$D$61, "Healer", 'wk2'!H$10:H$69,"Confirmed")+COUNTIFS('Members Data'!$C$2:$C$61, "Shaman", 'Members Data'!$D$2:$D$61, "Healer", 'wk2'!H$10:H$69,"Standby")</f>
        <v>0</v>
      </c>
      <c r="S44" s="108">
        <f>SUM(L44:R44)</f>
        <v>0</v>
      </c>
      <c r="T44" s="106">
        <f>COUNTIFS('Members Data'!$C$2:$C$61, "Shaman", 'Members Data'!$D$2:$D$61, "Healer", 'wk3'!B$10:B$69,"Confirmed")+COUNTIFS('Members Data'!$C$2:$C$61, "Shaman", 'Members Data'!$D$2:$D$61, "Healer", 'wk3'!B$10:B$69,"Standby")</f>
        <v>1</v>
      </c>
      <c r="U44" s="106">
        <f>COUNTIFS('Members Data'!$C$2:$C$61, "Shaman", 'Members Data'!$D$2:$D$61, "Healer", 'wk3'!C$10:C$69,"Confirmed")+COUNTIFS('Members Data'!$C$2:$C$61, "Shaman", 'Members Data'!$D$2:$D$61, "Healer", 'wk3'!C$10:C$69,"Standby")</f>
        <v>0</v>
      </c>
      <c r="V44" s="106">
        <f>COUNTIFS('Members Data'!$C$2:$C$61, "Shaman", 'Members Data'!$D$2:$D$61, "Healer", 'wk3'!D$10:D$69,"Confirmed")+COUNTIFS('Members Data'!$C$2:$C$61, "Shaman", 'Members Data'!$D$2:$D$61, "Healer", 'wk3'!D$10:D$69,"Standby")</f>
        <v>1</v>
      </c>
      <c r="W44" s="106">
        <f>COUNTIFS('Members Data'!$C$2:$C$61, "Shaman", 'Members Data'!$D$2:$D$61, "Healer", 'wk3'!E$10:E$69,"Confirmed")+COUNTIFS('Members Data'!$C$2:$C$61, "Shaman", 'Members Data'!$D$2:$D$61, "Healer", 'wk3'!E$10:E$69,"Standby")</f>
        <v>0</v>
      </c>
      <c r="X44" s="106">
        <f>COUNTIFS('Members Data'!$C$2:$C$61, "Shaman", 'Members Data'!$D$2:$D$61, "Healer", 'wk3'!F$10:F$69,"Confirmed")+COUNTIFS('Members Data'!$C$2:$C$61, "Shaman", 'Members Data'!$D$2:$D$61, "Healer", 'wk3'!F$10:F$69,"Standby")</f>
        <v>0</v>
      </c>
      <c r="Y44" s="106">
        <f>COUNTIFS('Members Data'!$C$2:$C$61, "Shaman", 'Members Data'!$D$2:$D$61, "Healer", 'wk3'!G$10:G$69,"Confirmed")+COUNTIFS('Members Data'!$C$2:$C$61, "Shaman", 'Members Data'!$D$2:$D$61, "Healer", 'wk3'!G$10:G$69,"Standby")</f>
        <v>0</v>
      </c>
      <c r="Z44" s="106">
        <f>COUNTIFS('Members Data'!$C$2:$C$61, "Shaman", 'Members Data'!$D$2:$D$61, "Healer", 'wk3'!H$10:H$69,"Confirmed")+COUNTIFS('Members Data'!$C$2:$C$61, "Shaman", 'Members Data'!$D$2:$D$61, "Healer", 'wk3'!H$10:H$69,"Standby")</f>
        <v>0</v>
      </c>
      <c r="AA44" s="108">
        <f>SUM(T44:Z44)</f>
        <v>2</v>
      </c>
      <c r="AB44" s="106">
        <f>COUNTIFS('Members Data'!$C$2:$C$61, "Shaman", 'Members Data'!$D$2:$D$61, "Healer", 'wk4'!B$10:B$69,"Confirmed")+COUNTIFS('Members Data'!$C$2:$C$61, "Shaman", 'Members Data'!$D$2:$D$61, "Healer", 'wk4'!B$10:B$69,"Standby")</f>
        <v>0</v>
      </c>
      <c r="AC44" s="106">
        <f>COUNTIFS('Members Data'!$C$2:$C$61, "Shaman", 'Members Data'!$D$2:$D$61, "Healer", 'wk4'!C$10:C$69,"Confirmed")+COUNTIFS('Members Data'!$C$2:$C$61, "Shaman", 'Members Data'!$D$2:$D$61, "Healer", 'wk4'!C$10:C$69,"Standby")</f>
        <v>0</v>
      </c>
      <c r="AD44" s="106">
        <f>COUNTIFS('Members Data'!$C$2:$C$61, "Shaman", 'Members Data'!$D$2:$D$61, "Healer", 'wk4'!D$10:D$69,"Confirmed")+COUNTIFS('Members Data'!$C$2:$C$61, "Shaman", 'Members Data'!$D$2:$D$61, "Healer", 'wk4'!D$10:D$69,"Standby")</f>
        <v>0</v>
      </c>
      <c r="AE44" s="106">
        <f>COUNTIFS('Members Data'!$C$2:$C$61, "Shaman", 'Members Data'!$D$2:$D$61, "Healer", 'wk4'!E$10:E$69,"Confirmed")+COUNTIFS('Members Data'!$C$2:$C$61, "Shaman", 'Members Data'!$D$2:$D$61, "Healer", 'wk4'!E$10:E$69,"Standby")</f>
        <v>0</v>
      </c>
      <c r="AF44" s="106">
        <f>COUNTIFS('Members Data'!$C$2:$C$61, "Shaman", 'Members Data'!$D$2:$D$61, "Healer", 'wk4'!F$10:F$69,"Confirmed")+COUNTIFS('Members Data'!$C$2:$C$61, "Shaman", 'Members Data'!$D$2:$D$61, "Healer", 'wk4'!F$10:F$69,"Standby")</f>
        <v>0</v>
      </c>
      <c r="AG44" s="106">
        <f>COUNTIFS('Members Data'!$C$2:$C$61, "Shaman", 'Members Data'!$D$2:$D$61, "Healer", 'wk4'!G$10:G$69,"Confirmed")+COUNTIFS('Members Data'!$C$2:$C$61, "Shaman", 'Members Data'!$D$2:$D$61, "Healer", 'wk4'!G$10:G$69,"Standby")</f>
        <v>0</v>
      </c>
      <c r="AH44" s="106">
        <f>COUNTIFS('Members Data'!$C$2:$C$61, "Shaman", 'Members Data'!$D$2:$D$61, "Healer", 'wk4'!H$10:H$69,"Confirmed")+COUNTIFS('Members Data'!$C$2:$C$61, "Shaman", 'Members Data'!$D$2:$D$61, "Healer", 'wk4'!H$10:H$69,"Standby")</f>
        <v>1</v>
      </c>
      <c r="AI44" s="108">
        <f>SUM(AB44:AH44)</f>
        <v>1</v>
      </c>
      <c r="AJ44" s="106">
        <f>COUNTIFS('Members Data'!$C$2:$C$61, "Shaman", 'Members Data'!$D$2:$D$61, "Healer", 'wk5'!B$10:B$69,"Confirmed")+COUNTIFS('Members Data'!$C$2:$C$61, "Shaman", 'Members Data'!$D$2:$D$61, "Healer", 'wk5'!B$10:B$69,"Standby")</f>
        <v>1</v>
      </c>
      <c r="AK44" s="106">
        <f>COUNTIFS('Members Data'!$C$2:$C$61, "Shaman", 'Members Data'!$D$2:$D$61, "Healer", 'wk5'!C$10:C$69,"Confirmed")+COUNTIFS('Members Data'!$C$2:$C$61, "Shaman", 'Members Data'!$D$2:$D$61, "Healer", 'wk5'!C$10:C$69,"Standby")</f>
        <v>0</v>
      </c>
      <c r="AL44" s="106">
        <f>COUNTIFS('Members Data'!$C$2:$C$61, "Shaman", 'Members Data'!$D$2:$D$61, "Healer", 'wk5'!D$10:D$69,"Confirmed")+COUNTIFS('Members Data'!$C$2:$C$61, "Shaman", 'Members Data'!$D$2:$D$61, "Healer", 'wk5'!D$10:D$69,"Standby")</f>
        <v>1</v>
      </c>
      <c r="AM44" s="106">
        <f>COUNTIFS('Members Data'!$C$2:$C$61, "Shaman", 'Members Data'!$D$2:$D$61, "Healer", 'wk5'!E$10:E$69,"Confirmed")+COUNTIFS('Members Data'!$C$2:$C$61, "Shaman", 'Members Data'!$D$2:$D$61, "Healer", 'wk5'!E$10:E$69,"Standby")</f>
        <v>0</v>
      </c>
      <c r="AN44" s="106">
        <f>COUNTIFS('Members Data'!$C$2:$C$61, "Shaman", 'Members Data'!$D$2:$D$61, "Healer", 'wk5'!F$10:F$69,"Confirmed")+COUNTIFS('Members Data'!$C$2:$C$61, "Shaman", 'Members Data'!$D$2:$D$61, "Healer", 'wk5'!F$10:F$69,"Standby")</f>
        <v>0</v>
      </c>
      <c r="AO44" s="106">
        <f>COUNTIFS('Members Data'!$C$2:$C$61, "Shaman", 'Members Data'!$D$2:$D$61, "Healer", 'wk5'!G$10:G$69,"Confirmed")+COUNTIFS('Members Data'!$C$2:$C$61, "Shaman", 'Members Data'!$D$2:$D$61, "Healer", 'wk5'!G$10:G$69,"Standby")</f>
        <v>0</v>
      </c>
      <c r="AP44" s="106">
        <f>COUNTIFS('Members Data'!$C$2:$C$61, "Shaman", 'Members Data'!$D$2:$D$61, "Healer", 'wk5'!H$10:H$69,"Confirmed")+COUNTIFS('Members Data'!$C$2:$C$61, "Shaman", 'Members Data'!$D$2:$D$61, "Healer", 'wk5'!H$10:H$69,"Standby")</f>
        <v>0</v>
      </c>
      <c r="AQ44" s="108">
        <f>SUM(AJ44:AP44)</f>
        <v>2</v>
      </c>
    </row>
    <row r="45" spans="1:43" ht="13.5" thickBot="1"/>
    <row r="46" spans="1:43" ht="13.5" thickBot="1">
      <c r="A46" s="104" t="s">
        <v>30</v>
      </c>
      <c r="B46" s="105"/>
    </row>
    <row r="47" spans="1:43" ht="15.75" thickBot="1">
      <c r="A47" s="122" t="s">
        <v>76</v>
      </c>
      <c r="B47" s="115">
        <f>K47+S47+AA47+AI47+AQ47</f>
        <v>14</v>
      </c>
      <c r="D47" s="120">
        <f>COUNTIFS('Members Data'!$C$2:$C$61, "Warlock", 'Members Data'!$D$2:$D$61, "RDPS", 'wk1'!B$10:B$69,"Confirmed")+COUNTIFS('Members Data'!$C$2:$C$61, "Warlock", 'Members Data'!$D$2:$D$61, "RDPS", 'wk1'!B$10:B$69,"Standby")</f>
        <v>0</v>
      </c>
      <c r="E47" s="120">
        <f>COUNTIFS('Members Data'!$C$2:$C$61, "Warlock", 'Members Data'!$D$2:$D$61, "RDPS", 'wk1'!C$10:C$69,"Confirmed")+COUNTIFS('Members Data'!$C$2:$C$61, "Warlock", 'Members Data'!$D$2:$D$61, "RDPS", 'wk1'!C$10:C$69,"Standby")</f>
        <v>0</v>
      </c>
      <c r="F47" s="120">
        <f>COUNTIFS('Members Data'!$C$2:$C$61, "Warlock", 'Members Data'!$D$2:$D$61, "RDPS", 'wk1'!D$10:D$69,"Confirmed")+COUNTIFS('Members Data'!$C$2:$C$61, "Warlock", 'Members Data'!$D$2:$D$61, "RDPS", 'wk1'!D$10:D$69,"Standby")</f>
        <v>0</v>
      </c>
      <c r="G47" s="120">
        <f>COUNTIFS('Members Data'!$C$2:$C$61, "Warlock", 'Members Data'!$D$2:$D$61, "RDPS", 'wk1'!E$10:E$69,"Confirmed")+COUNTIFS('Members Data'!$C$2:$C$61, "Warlock", 'Members Data'!$D$2:$D$61, "RDPS", 'wk1'!E$10:E$69,"Standby")</f>
        <v>0</v>
      </c>
      <c r="H47" s="120">
        <f>COUNTIFS('Members Data'!$C$2:$C$61, "Warlock", 'Members Data'!$D$2:$D$61, "RDPS", 'wk1'!F$10:F$69,"Confirmed")+COUNTIFS('Members Data'!$C$2:$C$61, "Warlock", 'Members Data'!$D$2:$D$61, "RDPS", 'wk1'!F$10:F$69,"Standby")</f>
        <v>0</v>
      </c>
      <c r="I47" s="120">
        <f>COUNTIFS('Members Data'!$C$2:$C$61, "Warlock", 'Members Data'!$D$2:$D$61, "RDPS", 'wk1'!G$10:G$69,"Confirmed")+COUNTIFS('Members Data'!$C$2:$C$61, "Warlock", 'Members Data'!$D$2:$D$61, "RDPS", 'wk1'!G$10:G$69,"Standby")</f>
        <v>0</v>
      </c>
      <c r="J47" s="120">
        <f>COUNTIFS('Members Data'!$C$2:$C$61, "Warlock", 'Members Data'!$D$2:$D$61, "RDPS", 'wk1'!H$10:H$69,"Confirmed")+COUNTIFS('Members Data'!$C$2:$C$61, "Warlock", 'Members Data'!$D$2:$D$61, "RDPS", 'wk1'!H$10:H$69,"Standby")</f>
        <v>0</v>
      </c>
      <c r="K47" s="108">
        <f>SUM(D47:J47)</f>
        <v>0</v>
      </c>
      <c r="L47" s="121">
        <f>COUNTIFS('Members Data'!$C$2:$C$61, "Warlock", 'Members Data'!$D$2:$D$61, "RDPS", 'wk2'!B$10:B$69,"Confirmed")+COUNTIFS('Members Data'!$C$2:$C$61, "Warlock", 'Members Data'!$D$2:$D$61, "RDPS", 'wk2'!B$10:B$69,"Standby")</f>
        <v>0</v>
      </c>
      <c r="M47" s="121">
        <f>COUNTIFS('Members Data'!$C$2:$C$61, "Warlock", 'Members Data'!$D$2:$D$61, "RDPS", 'wk2'!C$10:C$69,"Confirmed")+COUNTIFS('Members Data'!$C$2:$C$61, "Warlock", 'Members Data'!$D$2:$D$61, "RDPS", 'wk2'!C$10:C$69,"Standby")</f>
        <v>0</v>
      </c>
      <c r="N47" s="121">
        <f>COUNTIFS('Members Data'!$C$2:$C$61, "Warlock", 'Members Data'!$D$2:$D$61, "RDPS", 'wk2'!D$10:D$69,"Confirmed")+COUNTIFS('Members Data'!$C$2:$C$61, "Warlock", 'Members Data'!$D$2:$D$61, "RDPS", 'wk2'!D$10:D$69,"Standby")</f>
        <v>0</v>
      </c>
      <c r="O47" s="121">
        <f>COUNTIFS('Members Data'!$C$2:$C$61, "Warlock", 'Members Data'!$D$2:$D$61, "RDPS", 'wk2'!E$10:E$69,"Confirmed")+COUNTIFS('Members Data'!$C$2:$C$61, "Warlock", 'Members Data'!$D$2:$D$61, "RDPS", 'wk2'!E$10:E$69,"Standby")</f>
        <v>0</v>
      </c>
      <c r="P47" s="121">
        <f>COUNTIFS('Members Data'!$C$2:$C$61, "Warlock", 'Members Data'!$D$2:$D$61, "RDPS", 'wk2'!F$10:F$69,"Confirmed")+COUNTIFS('Members Data'!$C$2:$C$61, "Warlock", 'Members Data'!$D$2:$D$61, "RDPS", 'wk2'!F$10:F$69,"Standby")</f>
        <v>0</v>
      </c>
      <c r="Q47" s="121">
        <f>COUNTIFS('Members Data'!$C$2:$C$61, "Warlock", 'Members Data'!$D$2:$D$61, "RDPS", 'wk2'!G$10:G$69,"Confirmed")+COUNTIFS('Members Data'!$C$2:$C$61, "Warlock", 'Members Data'!$D$2:$D$61, "RDPS", 'wk2'!G$10:G$69,"Standby")</f>
        <v>0</v>
      </c>
      <c r="R47" s="121">
        <f>COUNTIFS('Members Data'!$C$2:$C$61, "Warlock", 'Members Data'!$D$2:$D$61, "RDPS", 'wk2'!H$10:H$69,"Confirmed")+COUNTIFS('Members Data'!$C$2:$C$61, "Warlock", 'Members Data'!$D$2:$D$61, "RDPS", 'wk2'!H$10:H$69,"Standby")</f>
        <v>0</v>
      </c>
      <c r="S47" s="108">
        <f>SUM(L47:R47)</f>
        <v>0</v>
      </c>
      <c r="T47" s="106">
        <f>COUNTIFS('Members Data'!$C$2:$C$61, "Warlock", 'Members Data'!$D$2:$D$61, "RDPS", 'wk3'!B$10:B$69,"Confirmed")+COUNTIFS('Members Data'!$C$2:$C$61, "Warlock", 'Members Data'!$D$2:$D$61, "RDPS", 'wk3'!B$10:B$69,"Standby")</f>
        <v>2</v>
      </c>
      <c r="U47" s="106">
        <f>COUNTIFS('Members Data'!$C$2:$C$61, "Warlock", 'Members Data'!$D$2:$D$61, "RDPS", 'wk3'!C$10:C$69,"Confirmed")+COUNTIFS('Members Data'!$C$2:$C$61, "Warlock", 'Members Data'!$D$2:$D$61, "RDPS", 'wk3'!C$10:C$69,"Standby")</f>
        <v>0</v>
      </c>
      <c r="V47" s="106">
        <f>COUNTIFS('Members Data'!$C$2:$C$61, "Warlock", 'Members Data'!$D$2:$D$61, "RDPS", 'wk3'!D$10:D$69,"Confirmed")+COUNTIFS('Members Data'!$C$2:$C$61, "Warlock", 'Members Data'!$D$2:$D$61, "RDPS", 'wk3'!D$10:D$69,"Standby")</f>
        <v>1</v>
      </c>
      <c r="W47" s="106">
        <f>COUNTIFS('Members Data'!$C$2:$C$61, "Warlock", 'Members Data'!$D$2:$D$61, "RDPS", 'wk3'!E$10:E$69,"Confirmed")+COUNTIFS('Members Data'!$C$2:$C$61, "Warlock", 'Members Data'!$D$2:$D$61, "RDPS", 'wk3'!E$10:E$69,"Standby")</f>
        <v>0</v>
      </c>
      <c r="X47" s="106">
        <f>COUNTIFS('Members Data'!$C$2:$C$61, "Warlock", 'Members Data'!$D$2:$D$61, "RDPS", 'wk3'!F$10:F$69,"Confirmed")+COUNTIFS('Members Data'!$C$2:$C$61, "Warlock", 'Members Data'!$D$2:$D$61, "RDPS", 'wk3'!F$10:F$69,"Standby")</f>
        <v>0</v>
      </c>
      <c r="Y47" s="106">
        <f>COUNTIFS('Members Data'!$C$2:$C$61, "Warlock", 'Members Data'!$D$2:$D$61, "RDPS", 'wk3'!G$10:G$69,"Confirmed")+COUNTIFS('Members Data'!$C$2:$C$61, "Warlock", 'Members Data'!$D$2:$D$61, "RDPS", 'wk3'!G$10:G$69,"Standby")</f>
        <v>0</v>
      </c>
      <c r="Z47" s="106">
        <f>COUNTIFS('Members Data'!$C$2:$C$61, "Warlock", 'Members Data'!$D$2:$D$61, "RDPS", 'wk3'!H$10:H$69,"Confirmed")+COUNTIFS('Members Data'!$C$2:$C$61, "Warlock", 'Members Data'!$D$2:$D$61, "RDPS", 'wk3'!H$10:H$69,"Standby")</f>
        <v>2</v>
      </c>
      <c r="AA47" s="108">
        <f>SUM(T47:Z47)</f>
        <v>5</v>
      </c>
      <c r="AB47" s="106">
        <f>COUNTIFS('Members Data'!$C$2:$C$61, "Warlock", 'Members Data'!$D$2:$D$61, "RDPS", 'wk4'!B$10:B$69,"Confirmed")+COUNTIFS('Members Data'!$C$2:$C$61, "Warlock", 'Members Data'!$D$2:$D$61, "RDPS", 'wk4'!B$10:B$69,"Standby")</f>
        <v>2</v>
      </c>
      <c r="AC47" s="106">
        <f>COUNTIFS('Members Data'!$C$2:$C$61, "Warlock", 'Members Data'!$D$2:$D$61, "RDPS", 'wk4'!C$10:C$69,"Confirmed")+COUNTIFS('Members Data'!$C$2:$C$61, "Warlock", 'Members Data'!$D$2:$D$61, "RDPS", 'wk4'!C$10:C$69,"Standby")</f>
        <v>0</v>
      </c>
      <c r="AD47" s="106">
        <f>COUNTIFS('Members Data'!$C$2:$C$61, "Warlock", 'Members Data'!$D$2:$D$61, "RDPS", 'wk4'!D$10:D$69,"Confirmed")+COUNTIFS('Members Data'!$C$2:$C$61, "Warlock", 'Members Data'!$D$2:$D$61, "RDPS", 'wk4'!D$10:D$69,"Standby")</f>
        <v>2</v>
      </c>
      <c r="AE47" s="106">
        <f>COUNTIFS('Members Data'!$C$2:$C$61, "Warlock", 'Members Data'!$D$2:$D$61, "RDPS", 'wk4'!E$10:E$69,"Confirmed")+COUNTIFS('Members Data'!$C$2:$C$61, "Warlock", 'Members Data'!$D$2:$D$61, "RDPS", 'wk4'!E$10:E$69,"Standby")</f>
        <v>0</v>
      </c>
      <c r="AF47" s="106">
        <f>COUNTIFS('Members Data'!$C$2:$C$61, "Warlock", 'Members Data'!$D$2:$D$61, "RDPS", 'wk4'!F$10:F$69,"Confirmed")+COUNTIFS('Members Data'!$C$2:$C$61, "Warlock", 'Members Data'!$D$2:$D$61, "RDPS", 'wk4'!F$10:F$69,"Standby")</f>
        <v>0</v>
      </c>
      <c r="AG47" s="106">
        <f>COUNTIFS('Members Data'!$C$2:$C$61, "Warlock", 'Members Data'!$D$2:$D$61, "RDPS", 'wk4'!G$10:G$69,"Confirmed")+COUNTIFS('Members Data'!$C$2:$C$61, "Warlock", 'Members Data'!$D$2:$D$61, "RDPS", 'wk4'!G$10:G$69,"Standby")</f>
        <v>0</v>
      </c>
      <c r="AH47" s="106">
        <f>COUNTIFS('Members Data'!$C$2:$C$61, "Warlock", 'Members Data'!$D$2:$D$61, "RDPS", 'wk4'!H$10:H$69,"Confirmed")+COUNTIFS('Members Data'!$C$2:$C$61, "Warlock", 'Members Data'!$D$2:$D$61, "RDPS", 'wk4'!H$10:H$69,"Standby")</f>
        <v>2</v>
      </c>
      <c r="AI47" s="108">
        <f>SUM(AB47:AH47)</f>
        <v>6</v>
      </c>
      <c r="AJ47" s="106">
        <f>COUNTIFS('Members Data'!$C$2:$C$61, "Warlock", 'Members Data'!$D$2:$D$61, "RDPS", 'wk5'!B$10:B$69,"Confirmed")+COUNTIFS('Members Data'!$C$2:$C$61, "Warlock", 'Members Data'!$D$2:$D$61, "RDPS", 'wk5'!B$10:B$69,"Standby")</f>
        <v>2</v>
      </c>
      <c r="AK47" s="106">
        <f>COUNTIFS('Members Data'!$C$2:$C$61, "Warlock", 'Members Data'!$D$2:$D$61, "RDPS", 'wk5'!C$10:C$69,"Confirmed")+COUNTIFS('Members Data'!$C$2:$C$61, "Warlock", 'Members Data'!$D$2:$D$61, "RDPS", 'wk5'!C$10:C$69,"Standby")</f>
        <v>0</v>
      </c>
      <c r="AL47" s="106">
        <f>COUNTIFS('Members Data'!$C$2:$C$61, "Warlock", 'Members Data'!$D$2:$D$61, "RDPS", 'wk5'!D$10:D$69,"Confirmed")+COUNTIFS('Members Data'!$C$2:$C$61, "Warlock", 'Members Data'!$D$2:$D$61, "RDPS", 'wk5'!D$10:D$69,"Standby")</f>
        <v>1</v>
      </c>
      <c r="AM47" s="106">
        <f>COUNTIFS('Members Data'!$C$2:$C$61, "Warlock", 'Members Data'!$D$2:$D$61, "RDPS", 'wk5'!E$10:E$69,"Confirmed")+COUNTIFS('Members Data'!$C$2:$C$61, "Warlock", 'Members Data'!$D$2:$D$61, "RDPS", 'wk5'!E$10:E$69,"Standby")</f>
        <v>0</v>
      </c>
      <c r="AN47" s="106">
        <f>COUNTIFS('Members Data'!$C$2:$C$61, "Warlock", 'Members Data'!$D$2:$D$61, "RDPS", 'wk5'!F$10:F$69,"Confirmed")+COUNTIFS('Members Data'!$C$2:$C$61, "Warlock", 'Members Data'!$D$2:$D$61, "RDPS", 'wk5'!F$10:F$69,"Standby")</f>
        <v>0</v>
      </c>
      <c r="AO47" s="106">
        <f>COUNTIFS('Members Data'!$C$2:$C$61, "Warlock", 'Members Data'!$D$2:$D$61, "RDPS", 'wk5'!G$10:G$69,"Confirmed")+COUNTIFS('Members Data'!$C$2:$C$61, "Warlock", 'Members Data'!$D$2:$D$61, "RDPS", 'wk5'!G$10:G$69,"Standby")</f>
        <v>0</v>
      </c>
      <c r="AP47" s="106">
        <f>COUNTIFS('Members Data'!$C$2:$C$61, "Warlock", 'Members Data'!$D$2:$D$61, "RDPS", 'wk5'!H$10:H$69,"Confirmed")+COUNTIFS('Members Data'!$C$2:$C$61, "Warlock", 'Members Data'!$D$2:$D$61, "RDPS", 'wk5'!H$10:H$69,"Standby")</f>
        <v>0</v>
      </c>
      <c r="AQ47" s="108">
        <f>SUM(AJ47:AP47)</f>
        <v>3</v>
      </c>
    </row>
    <row r="48" spans="1:43" ht="13.5" thickBot="1"/>
    <row r="49" spans="1:43" ht="13.5" thickBot="1">
      <c r="A49" s="104" t="s">
        <v>24</v>
      </c>
      <c r="B49" s="105"/>
    </row>
    <row r="50" spans="1:43" ht="15.75" thickBot="1">
      <c r="A50" s="109" t="s">
        <v>14</v>
      </c>
      <c r="B50" s="110">
        <f>K50+S50+AA50+AI50+AQ50</f>
        <v>0</v>
      </c>
      <c r="D50" s="120">
        <f>COUNTIFS('Members Data'!$C$2:$C$61, "Warrior", 'Members Data'!$D$2:$D$61, "Tank", 'wk1'!B$10:B$69,"Confirmed")+COUNTIFS('Members Data'!$C$2:$C$61, "Warrior", 'Members Data'!$D$2:$D$61, "Tank", 'wk1'!B$10:B$69,"Standby")</f>
        <v>0</v>
      </c>
      <c r="E50" s="120">
        <f>COUNTIFS('Members Data'!$C$2:$C$61, "Warrior", 'Members Data'!$D$2:$D$61, "Tank", 'wk1'!C$10:C$69,"Confirmed")+COUNTIFS('Members Data'!$C$2:$C$61, "Warrior", 'Members Data'!$D$2:$D$61, "Tank", 'wk1'!C$10:C$69,"Standby")</f>
        <v>0</v>
      </c>
      <c r="F50" s="120">
        <f>COUNTIFS('Members Data'!$C$2:$C$61, "Warrior", 'Members Data'!$D$2:$D$61, "Tank", 'wk1'!D$10:D$69,"Confirmed")+COUNTIFS('Members Data'!$C$2:$C$61, "Warrior", 'Members Data'!$D$2:$D$61, "Tank", 'wk1'!D$10:D$69,"Standby")</f>
        <v>0</v>
      </c>
      <c r="G50" s="120">
        <f>COUNTIFS('Members Data'!$C$2:$C$61, "Warrior", 'Members Data'!$D$2:$D$61, "Tank", 'wk1'!E$10:E$69,"Confirmed")+COUNTIFS('Members Data'!$C$2:$C$61, "Warrior", 'Members Data'!$D$2:$D$61, "Tank", 'wk1'!E$10:E$69,"Standby")</f>
        <v>0</v>
      </c>
      <c r="H50" s="120">
        <f>COUNTIFS('Members Data'!$C$2:$C$61, "Warrior", 'Members Data'!$D$2:$D$61, "Tank", 'wk1'!F$10:F$69,"Confirmed")+COUNTIFS('Members Data'!$C$2:$C$61, "Warrior", 'Members Data'!$D$2:$D$61, "Tank", 'wk1'!F$10:F$69,"Standby")</f>
        <v>0</v>
      </c>
      <c r="I50" s="120">
        <f>COUNTIFS('Members Data'!$C$2:$C$61, "Warrior", 'Members Data'!$D$2:$D$61, "Tank", 'wk1'!G$10:G$69,"Confirmed")+COUNTIFS('Members Data'!$C$2:$C$61, "Warrior", 'Members Data'!$D$2:$D$61, "Tank", 'wk1'!G$10:G$69,"Standby")</f>
        <v>0</v>
      </c>
      <c r="J50" s="120">
        <f>COUNTIFS('Members Data'!$C$2:$C$61, "Warrior", 'Members Data'!$D$2:$D$61, "Tank", 'wk1'!H$10:H$69,"Confirmed")+COUNTIFS('Members Data'!$C$2:$C$61, "Warrior", 'Members Data'!$D$2:$D$61, "Tank", 'wk1'!H$10:H$69,"Standby")</f>
        <v>0</v>
      </c>
      <c r="K50" s="108">
        <f>SUM(D50:J50)</f>
        <v>0</v>
      </c>
      <c r="L50" s="121">
        <f>COUNTIFS('Members Data'!$C$2:$C$61, "Warrior", 'Members Data'!$D$2:$D$61, "Tank", 'wk2'!B$10:B$69,"Confirmed")+COUNTIFS('Members Data'!$C$2:$C$61, "Warrior", 'Members Data'!$D$2:$D$61, "Tank", 'wk2'!B$10:B$69,"Standby")</f>
        <v>0</v>
      </c>
      <c r="M50" s="121">
        <f>COUNTIFS('Members Data'!$C$2:$C$61, "Warrior", 'Members Data'!$D$2:$D$61, "Tank", 'wk2'!C$10:C$69,"Confirmed")+COUNTIFS('Members Data'!$C$2:$C$61, "Warrior", 'Members Data'!$D$2:$D$61, "Tank", 'wk2'!C$10:C$69,"Standby")</f>
        <v>0</v>
      </c>
      <c r="N50" s="121">
        <f>COUNTIFS('Members Data'!$C$2:$C$61, "Warrior", 'Members Data'!$D$2:$D$61, "Tank", 'wk2'!D$10:D$69,"Confirmed")+COUNTIFS('Members Data'!$C$2:$C$61, "Warrior", 'Members Data'!$D$2:$D$61, "Tank", 'wk2'!D$10:D$69,"Standby")</f>
        <v>0</v>
      </c>
      <c r="O50" s="121">
        <f>COUNTIFS('Members Data'!$C$2:$C$61, "Warrior", 'Members Data'!$D$2:$D$61, "Tank", 'wk2'!E$10:E$69,"Confirmed")+COUNTIFS('Members Data'!$C$2:$C$61, "Warrior", 'Members Data'!$D$2:$D$61, "Tank", 'wk2'!E$10:E$69,"Standby")</f>
        <v>0</v>
      </c>
      <c r="P50" s="121">
        <f>COUNTIFS('Members Data'!$C$2:$C$61, "Warrior", 'Members Data'!$D$2:$D$61, "Tank", 'wk2'!F$10:F$69,"Confirmed")+COUNTIFS('Members Data'!$C$2:$C$61, "Warrior", 'Members Data'!$D$2:$D$61, "Tank", 'wk2'!F$10:F$69,"Standby")</f>
        <v>0</v>
      </c>
      <c r="Q50" s="121">
        <f>COUNTIFS('Members Data'!$C$2:$C$61, "Warrior", 'Members Data'!$D$2:$D$61, "Tank", 'wk2'!G$10:G$69,"Confirmed")+COUNTIFS('Members Data'!$C$2:$C$61, "Warrior", 'Members Data'!$D$2:$D$61, "Tank", 'wk2'!G$10:G$69,"Standby")</f>
        <v>0</v>
      </c>
      <c r="R50" s="121">
        <f>COUNTIFS('Members Data'!$C$2:$C$61, "Warrior", 'Members Data'!$D$2:$D$61, "Tank", 'wk2'!H$10:H$69,"Confirmed")+COUNTIFS('Members Data'!$C$2:$C$61, "Warrior", 'Members Data'!$D$2:$D$61, "Tank", 'wk2'!H$10:H$69,"Standby")</f>
        <v>0</v>
      </c>
      <c r="S50" s="108">
        <f>SUM(L50:R50)</f>
        <v>0</v>
      </c>
      <c r="T50" s="106">
        <f>COUNTIFS('Members Data'!$C$2:$C$61, "Warrior", 'Members Data'!$D$2:$D$61, "Tank", 'wk3'!B$10:B$69,"Confirmed")+COUNTIFS('Members Data'!$C$2:$C$61, "Warrior", 'Members Data'!$D$2:$D$61, "Tank", 'wk3'!B$10:B$69,"Standby")</f>
        <v>0</v>
      </c>
      <c r="U50" s="106">
        <f>COUNTIFS('Members Data'!$C$2:$C$61, "Warrior", 'Members Data'!$D$2:$D$61, "Tank", 'wk3'!C$10:C$69,"Confirmed")+COUNTIFS('Members Data'!$C$2:$C$61, "Warrior", 'Members Data'!$D$2:$D$61, "Tank", 'wk3'!C$10:C$69,"Standby")</f>
        <v>0</v>
      </c>
      <c r="V50" s="106">
        <f>COUNTIFS('Members Data'!$C$2:$C$61, "Warrior", 'Members Data'!$D$2:$D$61, "Tank", 'wk3'!D$10:D$69,"Confirmed")+COUNTIFS('Members Data'!$C$2:$C$61, "Warrior", 'Members Data'!$D$2:$D$61, "Tank", 'wk3'!D$10:D$69,"Standby")</f>
        <v>0</v>
      </c>
      <c r="W50" s="106">
        <f>COUNTIFS('Members Data'!$C$2:$C$61, "Warrior", 'Members Data'!$D$2:$D$61, "Tank", 'wk3'!E$10:E$69,"Confirmed")+COUNTIFS('Members Data'!$C$2:$C$61, "Warrior", 'Members Data'!$D$2:$D$61, "Tank", 'wk3'!E$10:E$69,"Standby")</f>
        <v>0</v>
      </c>
      <c r="X50" s="106">
        <f>COUNTIFS('Members Data'!$C$2:$C$61, "Warrior", 'Members Data'!$D$2:$D$61, "Tank", 'wk3'!F$10:F$69,"Confirmed")+COUNTIFS('Members Data'!$C$2:$C$61, "Warrior", 'Members Data'!$D$2:$D$61, "Tank", 'wk3'!F$10:F$69,"Standby")</f>
        <v>0</v>
      </c>
      <c r="Y50" s="106">
        <f>COUNTIFS('Members Data'!$C$2:$C$61, "Warrior", 'Members Data'!$D$2:$D$61, "Tank", 'wk3'!G$10:G$69,"Confirmed")+COUNTIFS('Members Data'!$C$2:$C$61, "Warrior", 'Members Data'!$D$2:$D$61, "Tank", 'wk3'!G$10:G$69,"Standby")</f>
        <v>0</v>
      </c>
      <c r="Z50" s="106">
        <f>COUNTIFS('Members Data'!$C$2:$C$61, "Warrior", 'Members Data'!$D$2:$D$61, "Tank", 'wk3'!H$10:H$69,"Confirmed")+COUNTIFS('Members Data'!$C$2:$C$61, "Warrior", 'Members Data'!$D$2:$D$61, "Tank", 'wk3'!H$10:H$69,"Standby")</f>
        <v>0</v>
      </c>
      <c r="AA50" s="108">
        <f>SUM(T50:Z50)</f>
        <v>0</v>
      </c>
      <c r="AB50" s="106">
        <f>COUNTIFS('Members Data'!$C$2:$C$61, "Warrior", 'Members Data'!$D$2:$D$61, "Tank", 'wk4'!B$10:B$69,"Confirmed")+COUNTIFS('Members Data'!$C$2:$C$61, "Warrior", 'Members Data'!$D$2:$D$61, "Tank", 'wk4'!B$10:B$69,"Standby")</f>
        <v>0</v>
      </c>
      <c r="AC50" s="106">
        <f>COUNTIFS('Members Data'!$C$2:$C$61, "Warrior", 'Members Data'!$D$2:$D$61, "Tank", 'wk4'!C$10:C$69,"Confirmed")+COUNTIFS('Members Data'!$C$2:$C$61, "Warrior", 'Members Data'!$D$2:$D$61, "Tank", 'wk4'!C$10:C$69,"Standby")</f>
        <v>0</v>
      </c>
      <c r="AD50" s="106">
        <f>COUNTIFS('Members Data'!$C$2:$C$61, "Warrior", 'Members Data'!$D$2:$D$61, "Tank", 'wk4'!D$10:D$69,"Confirmed")+COUNTIFS('Members Data'!$C$2:$C$61, "Warrior", 'Members Data'!$D$2:$D$61, "Tank", 'wk4'!D$10:D$69,"Standby")</f>
        <v>0</v>
      </c>
      <c r="AE50" s="106">
        <f>COUNTIFS('Members Data'!$C$2:$C$61, "Warrior", 'Members Data'!$D$2:$D$61, "Tank", 'wk4'!E$10:E$69,"Confirmed")+COUNTIFS('Members Data'!$C$2:$C$61, "Warrior", 'Members Data'!$D$2:$D$61, "Tank", 'wk4'!E$10:E$69,"Standby")</f>
        <v>0</v>
      </c>
      <c r="AF50" s="106">
        <f>COUNTIFS('Members Data'!$C$2:$C$61, "Warrior", 'Members Data'!$D$2:$D$61, "Tank", 'wk4'!F$10:F$69,"Confirmed")+COUNTIFS('Members Data'!$C$2:$C$61, "Warrior", 'Members Data'!$D$2:$D$61, "Tank", 'wk4'!F$10:F$69,"Standby")</f>
        <v>0</v>
      </c>
      <c r="AG50" s="106">
        <f>COUNTIFS('Members Data'!$C$2:$C$61, "Warrior", 'Members Data'!$D$2:$D$61, "Tank", 'wk4'!G$10:G$69,"Confirmed")+COUNTIFS('Members Data'!$C$2:$C$61, "Warrior", 'Members Data'!$D$2:$D$61, "Tank", 'wk4'!G$10:G$69,"Standby")</f>
        <v>0</v>
      </c>
      <c r="AH50" s="106">
        <f>COUNTIFS('Members Data'!$C$2:$C$61, "Warrior", 'Members Data'!$D$2:$D$61, "Tank", 'wk4'!H$10:H$69,"Confirmed")+COUNTIFS('Members Data'!$C$2:$C$61, "Warrior", 'Members Data'!$D$2:$D$61, "Tank", 'wk4'!H$10:H$69,"Standby")</f>
        <v>0</v>
      </c>
      <c r="AI50" s="108">
        <f>SUM(AB50:AH50)</f>
        <v>0</v>
      </c>
      <c r="AJ50" s="106">
        <f>COUNTIFS('Members Data'!$C$2:$C$61, "Warrior", 'Members Data'!$D$2:$D$61, "Tank", 'wk5'!B$10:B$69,"Confirmed")+COUNTIFS('Members Data'!$C$2:$C$61, "Warrior", 'Members Data'!$D$2:$D$61, "Tank", 'wk5'!B$10:B$69,"Standby")</f>
        <v>0</v>
      </c>
      <c r="AK50" s="106">
        <f>COUNTIFS('Members Data'!$C$2:$C$61, "Warrior", 'Members Data'!$D$2:$D$61, "Tank", 'wk5'!C$10:C$69,"Confirmed")+COUNTIFS('Members Data'!$C$2:$C$61, "Warrior", 'Members Data'!$D$2:$D$61, "Tank", 'wk5'!C$10:C$69,"Standby")</f>
        <v>0</v>
      </c>
      <c r="AL50" s="106">
        <f>COUNTIFS('Members Data'!$C$2:$C$61, "Warrior", 'Members Data'!$D$2:$D$61, "Tank", 'wk5'!D$10:D$69,"Confirmed")+COUNTIFS('Members Data'!$C$2:$C$61, "Warrior", 'Members Data'!$D$2:$D$61, "Tank", 'wk5'!D$10:D$69,"Standby")</f>
        <v>0</v>
      </c>
      <c r="AM50" s="106">
        <f>COUNTIFS('Members Data'!$C$2:$C$61, "Warrior", 'Members Data'!$D$2:$D$61, "Tank", 'wk5'!E$10:E$69,"Confirmed")+COUNTIFS('Members Data'!$C$2:$C$61, "Warrior", 'Members Data'!$D$2:$D$61, "Tank", 'wk5'!E$10:E$69,"Standby")</f>
        <v>0</v>
      </c>
      <c r="AN50" s="106">
        <f>COUNTIFS('Members Data'!$C$2:$C$61, "Warrior", 'Members Data'!$D$2:$D$61, "Tank", 'wk5'!F$10:F$69,"Confirmed")+COUNTIFS('Members Data'!$C$2:$C$61, "Warrior", 'Members Data'!$D$2:$D$61, "Tank", 'wk5'!F$10:F$69,"Standby")</f>
        <v>0</v>
      </c>
      <c r="AO50" s="106">
        <f>COUNTIFS('Members Data'!$C$2:$C$61, "Warrior", 'Members Data'!$D$2:$D$61, "Tank", 'wk5'!G$10:G$69,"Confirmed")+COUNTIFS('Members Data'!$C$2:$C$61, "Warrior", 'Members Data'!$D$2:$D$61, "Tank", 'wk5'!G$10:G$69,"Standby")</f>
        <v>0</v>
      </c>
      <c r="AP50" s="106">
        <f>COUNTIFS('Members Data'!$C$2:$C$61, "Warrior", 'Members Data'!$D$2:$D$61, "Tank", 'wk5'!H$10:H$69,"Confirmed")+COUNTIFS('Members Data'!$C$2:$C$61, "Warrior", 'Members Data'!$D$2:$D$61, "Tank", 'wk5'!H$10:H$69,"Standby")</f>
        <v>0</v>
      </c>
      <c r="AQ50" s="108">
        <f>SUM(AJ50:AP50)</f>
        <v>0</v>
      </c>
    </row>
    <row r="51" spans="1:43" ht="15.75" thickBot="1">
      <c r="A51" s="122" t="s">
        <v>77</v>
      </c>
      <c r="B51" s="115">
        <f>K51+S51+AA51+AI51+AQ51</f>
        <v>11</v>
      </c>
      <c r="D51" s="120">
        <f>COUNTIFS('Members Data'!$C$2:$C$61, "Warrior", 'Members Data'!$D$2:$D$61, "MDPS", 'wk1'!B$10:B$69,"Confirmed")+COUNTIFS('Members Data'!$C$2:$C$61, "Warrior", 'Members Data'!$D$2:$D$61, "MDPS", 'wk1'!B$10:B$69,"Standby")</f>
        <v>0</v>
      </c>
      <c r="E51" s="120">
        <f>COUNTIFS('Members Data'!$C$2:$C$61, "Warrior", 'Members Data'!$D$2:$D$61, "MDPS", 'wk1'!C$10:C$69,"Confirmed")+COUNTIFS('Members Data'!$C$2:$C$61, "Warrior", 'Members Data'!$D$2:$D$61, "MDPS", 'wk1'!C$10:C$69,"Standby")</f>
        <v>0</v>
      </c>
      <c r="F51" s="120">
        <f>COUNTIFS('Members Data'!$C$2:$C$61, "Warrior", 'Members Data'!$D$2:$D$61, "MDPS", 'wk1'!D$10:D$69,"Confirmed")+COUNTIFS('Members Data'!$C$2:$C$61, "Warrior", 'Members Data'!$D$2:$D$61, "MDPS", 'wk1'!D$10:D$69,"Standby")</f>
        <v>0</v>
      </c>
      <c r="G51" s="120">
        <f>COUNTIFS('Members Data'!$C$2:$C$61, "Warrior", 'Members Data'!$D$2:$D$61, "MDPS", 'wk1'!E$10:E$69,"Confirmed")+COUNTIFS('Members Data'!$C$2:$C$61, "Warrior", 'Members Data'!$D$2:$D$61, "MDPS", 'wk1'!E$10:E$69,"Standby")</f>
        <v>0</v>
      </c>
      <c r="H51" s="120">
        <f>COUNTIFS('Members Data'!$C$2:$C$61, "Warrior", 'Members Data'!$D$2:$D$61, "MDPS", 'wk1'!F$10:F$69,"Confirmed")+COUNTIFS('Members Data'!$C$2:$C$61, "Warrior", 'Members Data'!$D$2:$D$61, "MDPS", 'wk1'!F$10:F$69,"Standby")</f>
        <v>0</v>
      </c>
      <c r="I51" s="120">
        <f>COUNTIFS('Members Data'!$C$2:$C$61, "Warrior", 'Members Data'!$D$2:$D$61, "MDPS", 'wk1'!G$10:G$69,"Confirmed")+COUNTIFS('Members Data'!$C$2:$C$61, "Warrior", 'Members Data'!$D$2:$D$61, "MDPS", 'wk1'!G$10:G$69,"Standby")</f>
        <v>0</v>
      </c>
      <c r="J51" s="120">
        <f>COUNTIFS('Members Data'!$C$2:$C$61, "Warrior", 'Members Data'!$D$2:$D$61, "MDPS", 'wk1'!H$10:H$69,"Confirmed")+COUNTIFS('Members Data'!$C$2:$C$61, "Warrior", 'Members Data'!$D$2:$D$61, "MDPS", 'wk1'!H$10:H$69,"Standby")</f>
        <v>0</v>
      </c>
      <c r="K51" s="108">
        <f>SUM(D51:J51)</f>
        <v>0</v>
      </c>
      <c r="L51" s="121">
        <f>COUNTIFS('Members Data'!$C$2:$C$61, "Warrior", 'Members Data'!$D$2:$D$61, "MDPS", 'wk2'!B$10:B$69,"Confirmed")+COUNTIFS('Members Data'!$C$2:$C$61, "Warrior", 'Members Data'!$D$2:$D$61, "MDPS", 'wk2'!B$10:B$69,"Standby")</f>
        <v>0</v>
      </c>
      <c r="M51" s="121">
        <f>COUNTIFS('Members Data'!$C$2:$C$61, "Warrior", 'Members Data'!$D$2:$D$61, "MDPS", 'wk2'!C$10:C$69,"Confirmed")+COUNTIFS('Members Data'!$C$2:$C$61, "Warrior", 'Members Data'!$D$2:$D$61, "MDPS", 'wk2'!C$10:C$69,"Standby")</f>
        <v>0</v>
      </c>
      <c r="N51" s="121">
        <f>COUNTIFS('Members Data'!$C$2:$C$61, "Warrior", 'Members Data'!$D$2:$D$61, "MDPS", 'wk2'!D$10:D$69,"Confirmed")+COUNTIFS('Members Data'!$C$2:$C$61, "Warrior", 'Members Data'!$D$2:$D$61, "MDPS", 'wk2'!D$10:D$69,"Standby")</f>
        <v>0</v>
      </c>
      <c r="O51" s="121">
        <f>COUNTIFS('Members Data'!$C$2:$C$61, "Warrior", 'Members Data'!$D$2:$D$61, "MDPS", 'wk2'!E$10:E$69,"Confirmed")+COUNTIFS('Members Data'!$C$2:$C$61, "Warrior", 'Members Data'!$D$2:$D$61, "MDPS", 'wk2'!E$10:E$69,"Standby")</f>
        <v>0</v>
      </c>
      <c r="P51" s="121">
        <f>COUNTIFS('Members Data'!$C$2:$C$61, "Warrior", 'Members Data'!$D$2:$D$61, "MDPS", 'wk2'!F$10:F$69,"Confirmed")+COUNTIFS('Members Data'!$C$2:$C$61, "Warrior", 'Members Data'!$D$2:$D$61, "MDPS", 'wk2'!F$10:F$69,"Standby")</f>
        <v>0</v>
      </c>
      <c r="Q51" s="121">
        <f>COUNTIFS('Members Data'!$C$2:$C$61, "Warrior", 'Members Data'!$D$2:$D$61, "MDPS", 'wk2'!G$10:G$69,"Confirmed")+COUNTIFS('Members Data'!$C$2:$C$61, "Warrior", 'Members Data'!$D$2:$D$61, "MDPS", 'wk2'!G$10:G$69,"Standby")</f>
        <v>0</v>
      </c>
      <c r="R51" s="121">
        <f>COUNTIFS('Members Data'!$C$2:$C$61, "Warrior", 'Members Data'!$D$2:$D$61, "MDPS", 'wk2'!H$10:H$69,"Confirmed")+COUNTIFS('Members Data'!$C$2:$C$61, "Warrior", 'Members Data'!$D$2:$D$61, "MDPS", 'wk2'!H$10:H$69,"Standby")</f>
        <v>0</v>
      </c>
      <c r="S51" s="108">
        <f>SUM(L51:R51)</f>
        <v>0</v>
      </c>
      <c r="T51" s="106">
        <f>COUNTIFS('Members Data'!$C$2:$C$61, "Warrior", 'Members Data'!$D$2:$D$61, "MDPS", 'wk3'!B$10:B$69,"Confirmed")+COUNTIFS('Members Data'!$C$2:$C$61, "Warrior", 'Members Data'!$D$2:$D$61, "MDPS", 'wk3'!B$10:B$69,"Standby")</f>
        <v>1</v>
      </c>
      <c r="U51" s="106">
        <f>COUNTIFS('Members Data'!$C$2:$C$61, "Warrior", 'Members Data'!$D$2:$D$61, "MDPS", 'wk3'!C$10:C$69,"Confirmed")+COUNTIFS('Members Data'!$C$2:$C$61, "Warrior", 'Members Data'!$D$2:$D$61, "MDPS", 'wk3'!C$10:C$69,"Standby")</f>
        <v>0</v>
      </c>
      <c r="V51" s="106">
        <f>COUNTIFS('Members Data'!$C$2:$C$61, "Warrior", 'Members Data'!$D$2:$D$61, "MDPS", 'wk3'!D$10:D$69,"Confirmed")+COUNTIFS('Members Data'!$C$2:$C$61, "Warrior", 'Members Data'!$D$2:$D$61, "MDPS", 'wk3'!D$10:D$69,"Standby")</f>
        <v>0</v>
      </c>
      <c r="W51" s="106">
        <f>COUNTIFS('Members Data'!$C$2:$C$61, "Warrior", 'Members Data'!$D$2:$D$61, "MDPS", 'wk3'!E$10:E$69,"Confirmed")+COUNTIFS('Members Data'!$C$2:$C$61, "Warrior", 'Members Data'!$D$2:$D$61, "MDPS", 'wk3'!E$10:E$69,"Standby")</f>
        <v>0</v>
      </c>
      <c r="X51" s="106">
        <f>COUNTIFS('Members Data'!$C$2:$C$61, "Warrior", 'Members Data'!$D$2:$D$61, "MDPS", 'wk3'!F$10:F$69,"Confirmed")+COUNTIFS('Members Data'!$C$2:$C$61, "Warrior", 'Members Data'!$D$2:$D$61, "MDPS", 'wk3'!F$10:F$69,"Standby")</f>
        <v>0</v>
      </c>
      <c r="Y51" s="106">
        <f>COUNTIFS('Members Data'!$C$2:$C$61, "Warrior", 'Members Data'!$D$2:$D$61, "MDPS", 'wk3'!G$10:G$69,"Confirmed")+COUNTIFS('Members Data'!$C$2:$C$61, "Warrior", 'Members Data'!$D$2:$D$61, "MDPS", 'wk3'!G$10:G$69,"Standby")</f>
        <v>0</v>
      </c>
      <c r="Z51" s="106">
        <f>COUNTIFS('Members Data'!$C$2:$C$61, "Warrior", 'Members Data'!$D$2:$D$61, "MDPS", 'wk3'!H$10:H$69,"Confirmed")+COUNTIFS('Members Data'!$C$2:$C$61, "Warrior", 'Members Data'!$D$2:$D$61, "MDPS", 'wk3'!H$10:H$69,"Standby")</f>
        <v>2</v>
      </c>
      <c r="AA51" s="108">
        <f>SUM(T51:Z51)</f>
        <v>3</v>
      </c>
      <c r="AB51" s="106">
        <f>COUNTIFS('Members Data'!$C$2:$C$61, "Warrior", 'Members Data'!$D$2:$D$61, "MDPS", 'wk4'!B$10:B$69,"Confirmed")+COUNTIFS('Members Data'!$C$2:$C$61, "Warrior", 'Members Data'!$D$2:$D$61, "MDPS", 'wk4'!B$10:B$69,"Standby")</f>
        <v>1</v>
      </c>
      <c r="AC51" s="106">
        <f>COUNTIFS('Members Data'!$C$2:$C$61, "Warrior", 'Members Data'!$D$2:$D$61, "MDPS", 'wk4'!C$10:C$69,"Confirmed")+COUNTIFS('Members Data'!$C$2:$C$61, "Warrior", 'Members Data'!$D$2:$D$61, "MDPS", 'wk4'!C$10:C$69,"Standby")</f>
        <v>0</v>
      </c>
      <c r="AD51" s="106">
        <f>COUNTIFS('Members Data'!$C$2:$C$61, "Warrior", 'Members Data'!$D$2:$D$61, "MDPS", 'wk4'!D$10:D$69,"Confirmed")+COUNTIFS('Members Data'!$C$2:$C$61, "Warrior", 'Members Data'!$D$2:$D$61, "MDPS", 'wk4'!D$10:D$69,"Standby")</f>
        <v>2</v>
      </c>
      <c r="AE51" s="106">
        <f>COUNTIFS('Members Data'!$C$2:$C$61, "Warrior", 'Members Data'!$D$2:$D$61, "MDPS", 'wk4'!E$10:E$69,"Confirmed")+COUNTIFS('Members Data'!$C$2:$C$61, "Warrior", 'Members Data'!$D$2:$D$61, "MDPS", 'wk4'!E$10:E$69,"Standby")</f>
        <v>0</v>
      </c>
      <c r="AF51" s="106">
        <f>COUNTIFS('Members Data'!$C$2:$C$61, "Warrior", 'Members Data'!$D$2:$D$61, "MDPS", 'wk4'!F$10:F$69,"Confirmed")+COUNTIFS('Members Data'!$C$2:$C$61, "Warrior", 'Members Data'!$D$2:$D$61, "MDPS", 'wk4'!F$10:F$69,"Standby")</f>
        <v>0</v>
      </c>
      <c r="AG51" s="106">
        <f>COUNTIFS('Members Data'!$C$2:$C$61, "Warrior", 'Members Data'!$D$2:$D$61, "MDPS", 'wk4'!G$10:G$69,"Confirmed")+COUNTIFS('Members Data'!$C$2:$C$61, "Warrior", 'Members Data'!$D$2:$D$61, "MDPS", 'wk4'!G$10:G$69,"Standby")</f>
        <v>0</v>
      </c>
      <c r="AH51" s="106">
        <f>COUNTIFS('Members Data'!$C$2:$C$61, "Warrior", 'Members Data'!$D$2:$D$61, "MDPS", 'wk4'!H$10:H$69,"Confirmed")+COUNTIFS('Members Data'!$C$2:$C$61, "Warrior", 'Members Data'!$D$2:$D$61, "MDPS", 'wk4'!H$10:H$69,"Standby")</f>
        <v>2</v>
      </c>
      <c r="AI51" s="108">
        <f>SUM(AB51:AH51)</f>
        <v>5</v>
      </c>
      <c r="AJ51" s="106">
        <f>COUNTIFS('Members Data'!$C$2:$C$61, "Warrior", 'Members Data'!$D$2:$D$61, "MDPS", 'wk5'!B$10:B$69,"Confirmed")+COUNTIFS('Members Data'!$C$2:$C$61, "Warrior", 'Members Data'!$D$2:$D$61, "MDPS", 'wk5'!B$10:B$69,"Standby")</f>
        <v>1</v>
      </c>
      <c r="AK51" s="106">
        <f>COUNTIFS('Members Data'!$C$2:$C$61, "Warrior", 'Members Data'!$D$2:$D$61, "MDPS", 'wk5'!C$10:C$69,"Confirmed")+COUNTIFS('Members Data'!$C$2:$C$61, "Warrior", 'Members Data'!$D$2:$D$61, "MDPS", 'wk5'!C$10:C$69,"Standby")</f>
        <v>0</v>
      </c>
      <c r="AL51" s="106">
        <f>COUNTIFS('Members Data'!$C$2:$C$61, "Warrior", 'Members Data'!$D$2:$D$61, "MDPS", 'wk5'!D$10:D$69,"Confirmed")+COUNTIFS('Members Data'!$C$2:$C$61, "Warrior", 'Members Data'!$D$2:$D$61, "MDPS", 'wk5'!D$10:D$69,"Standby")</f>
        <v>2</v>
      </c>
      <c r="AM51" s="106">
        <f>COUNTIFS('Members Data'!$C$2:$C$61, "Warrior", 'Members Data'!$D$2:$D$61, "MDPS", 'wk5'!E$10:E$69,"Confirmed")+COUNTIFS('Members Data'!$C$2:$C$61, "Warrior", 'Members Data'!$D$2:$D$61, "MDPS", 'wk5'!E$10:E$69,"Standby")</f>
        <v>0</v>
      </c>
      <c r="AN51" s="106">
        <f>COUNTIFS('Members Data'!$C$2:$C$61, "Warrior", 'Members Data'!$D$2:$D$61, "MDPS", 'wk5'!F$10:F$69,"Confirmed")+COUNTIFS('Members Data'!$C$2:$C$61, "Warrior", 'Members Data'!$D$2:$D$61, "MDPS", 'wk5'!F$10:F$69,"Standby")</f>
        <v>0</v>
      </c>
      <c r="AO51" s="106">
        <f>COUNTIFS('Members Data'!$C$2:$C$61, "Warrior", 'Members Data'!$D$2:$D$61, "MDPS", 'wk5'!G$10:G$69,"Confirmed")+COUNTIFS('Members Data'!$C$2:$C$61, "Warrior", 'Members Data'!$D$2:$D$61, "MDPS", 'wk5'!G$10:G$69,"Standby")</f>
        <v>0</v>
      </c>
      <c r="AP51" s="106">
        <f>COUNTIFS('Members Data'!$C$2:$C$61, "Warrior", 'Members Data'!$D$2:$D$61, "MDPS", 'wk5'!H$10:H$69,"Confirmed")+COUNTIFS('Members Data'!$C$2:$C$61, "Warrior", 'Members Data'!$D$2:$D$61, "MDPS", 'wk5'!H$10:H$69,"Standby")</f>
        <v>0</v>
      </c>
      <c r="AQ51" s="108">
        <f>SUM(AJ51:AP51)</f>
        <v>3</v>
      </c>
    </row>
  </sheetData>
  <sheetProtection sheet="1" objects="1" scenarios="1"/>
  <mergeCells count="5">
    <mergeCell ref="D1:K1"/>
    <mergeCell ref="L1:S1"/>
    <mergeCell ref="T1:AA1"/>
    <mergeCell ref="AB1:AI1"/>
    <mergeCell ref="AJ1:AQ1"/>
  </mergeCells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/>
  <headerFooter alignWithMargins="0">
    <oddHeader>&amp;C&amp;"Times New Roman,Regular"&amp;12&amp;A</oddHeader>
    <oddFooter>&amp;C&amp;"Times New Roman,Regular"&amp;12Page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A1:H124"/>
  <sheetViews>
    <sheetView topLeftCell="A3" workbookViewId="0">
      <selection activeCell="A40" sqref="A40"/>
    </sheetView>
  </sheetViews>
  <sheetFormatPr defaultRowHeight="12.75"/>
  <cols>
    <col min="1" max="1" width="12.85546875" style="262" bestFit="1" customWidth="1"/>
    <col min="2" max="2" width="9.140625" style="264"/>
    <col min="5" max="5" width="12.5703125" style="265" bestFit="1" customWidth="1"/>
    <col min="6" max="6" width="17.28515625" style="264" bestFit="1" customWidth="1"/>
    <col min="7" max="7" width="9.140625" style="242"/>
    <col min="8" max="8" width="9.140625" style="243"/>
  </cols>
  <sheetData>
    <row r="1" spans="1:8" ht="14.25" thickTop="1" thickBot="1">
      <c r="A1" s="511" t="s">
        <v>137</v>
      </c>
      <c r="B1" s="512"/>
      <c r="E1" s="513" t="s">
        <v>138</v>
      </c>
      <c r="F1" s="514"/>
      <c r="G1" s="514"/>
      <c r="H1" s="515"/>
    </row>
    <row r="2" spans="1:8" ht="13.5" thickTop="1">
      <c r="A2" s="262" t="s">
        <v>26</v>
      </c>
      <c r="B2" s="264" t="s">
        <v>203</v>
      </c>
      <c r="E2" s="265" t="s">
        <v>26</v>
      </c>
      <c r="F2" s="264" t="s">
        <v>34</v>
      </c>
      <c r="G2" s="253" t="s">
        <v>53</v>
      </c>
      <c r="H2" s="255" t="s">
        <v>52</v>
      </c>
    </row>
    <row r="3" spans="1:8">
      <c r="A3" s="262">
        <v>0</v>
      </c>
      <c r="B3" s="264">
        <v>0</v>
      </c>
      <c r="G3" s="253"/>
      <c r="H3" s="253"/>
    </row>
    <row r="4" spans="1:8">
      <c r="A4" s="262" t="s">
        <v>236</v>
      </c>
      <c r="B4" s="264">
        <v>8057</v>
      </c>
      <c r="G4" s="318"/>
      <c r="H4" s="318"/>
    </row>
    <row r="5" spans="1:8">
      <c r="A5" s="262" t="s">
        <v>213</v>
      </c>
      <c r="B5" s="264">
        <v>7793</v>
      </c>
      <c r="G5" s="318"/>
      <c r="H5" s="318"/>
    </row>
    <row r="6" spans="1:8">
      <c r="A6" s="262" t="s">
        <v>232</v>
      </c>
      <c r="B6" s="264">
        <v>8070</v>
      </c>
      <c r="G6" s="253"/>
      <c r="H6" s="253"/>
    </row>
    <row r="7" spans="1:8">
      <c r="A7" s="262" t="s">
        <v>258</v>
      </c>
      <c r="B7" s="264">
        <v>7753</v>
      </c>
      <c r="G7" s="253"/>
      <c r="H7" s="253"/>
    </row>
    <row r="8" spans="1:8">
      <c r="A8" s="262" t="s">
        <v>243</v>
      </c>
      <c r="B8" s="264">
        <v>7765</v>
      </c>
      <c r="G8" s="253"/>
      <c r="H8" s="253"/>
    </row>
    <row r="9" spans="1:8">
      <c r="A9" s="262" t="s">
        <v>231</v>
      </c>
      <c r="B9" s="264">
        <v>8106</v>
      </c>
      <c r="G9" s="253"/>
      <c r="H9" s="253"/>
    </row>
    <row r="10" spans="1:8">
      <c r="A10" s="262" t="s">
        <v>250</v>
      </c>
      <c r="B10" s="264">
        <v>7644</v>
      </c>
      <c r="G10" s="318"/>
      <c r="H10" s="318"/>
    </row>
    <row r="11" spans="1:8">
      <c r="A11" s="262" t="s">
        <v>224</v>
      </c>
      <c r="B11" s="264">
        <v>7990</v>
      </c>
      <c r="G11" s="253"/>
      <c r="H11" s="253"/>
    </row>
    <row r="12" spans="1:8">
      <c r="A12" s="262" t="s">
        <v>252</v>
      </c>
      <c r="B12" s="264">
        <v>7757</v>
      </c>
      <c r="G12" s="318"/>
      <c r="H12" s="318"/>
    </row>
    <row r="13" spans="1:8">
      <c r="A13" s="262" t="s">
        <v>251</v>
      </c>
      <c r="B13" s="264">
        <v>7834</v>
      </c>
      <c r="G13" s="318"/>
      <c r="H13" s="318"/>
    </row>
    <row r="14" spans="1:8">
      <c r="A14" s="262" t="s">
        <v>214</v>
      </c>
      <c r="B14" s="264">
        <v>8058</v>
      </c>
      <c r="G14" s="318"/>
      <c r="H14" s="318"/>
    </row>
    <row r="15" spans="1:8">
      <c r="A15" s="262" t="s">
        <v>237</v>
      </c>
      <c r="B15" s="264">
        <v>7655</v>
      </c>
      <c r="G15" s="318"/>
      <c r="H15" s="318"/>
    </row>
    <row r="16" spans="1:8">
      <c r="A16" s="262" t="s">
        <v>234</v>
      </c>
      <c r="B16" s="264">
        <v>8168</v>
      </c>
      <c r="G16" s="253"/>
      <c r="H16" s="253"/>
    </row>
    <row r="17" spans="1:8">
      <c r="A17" s="262" t="s">
        <v>222</v>
      </c>
      <c r="B17" s="264">
        <v>7987</v>
      </c>
      <c r="G17" s="253"/>
      <c r="H17" s="253"/>
    </row>
    <row r="18" spans="1:8">
      <c r="A18" s="262" t="s">
        <v>226</v>
      </c>
      <c r="B18" s="264">
        <v>8049</v>
      </c>
      <c r="G18" s="253"/>
      <c r="H18" s="253"/>
    </row>
    <row r="19" spans="1:8">
      <c r="A19" s="262" t="s">
        <v>211</v>
      </c>
      <c r="B19" s="264">
        <v>8010</v>
      </c>
      <c r="G19" s="318"/>
      <c r="H19" s="318"/>
    </row>
    <row r="20" spans="1:8">
      <c r="A20" s="262" t="s">
        <v>253</v>
      </c>
      <c r="B20" s="264">
        <v>7991</v>
      </c>
      <c r="G20" s="318"/>
      <c r="H20" s="318"/>
    </row>
    <row r="21" spans="1:8">
      <c r="A21" s="262" t="s">
        <v>198</v>
      </c>
      <c r="B21" s="264">
        <v>8003</v>
      </c>
      <c r="G21" s="253"/>
      <c r="H21" s="253"/>
    </row>
    <row r="22" spans="1:8">
      <c r="A22" s="262" t="s">
        <v>240</v>
      </c>
      <c r="B22" s="264">
        <v>7665</v>
      </c>
      <c r="G22" s="253"/>
      <c r="H22" s="253"/>
    </row>
    <row r="23" spans="1:8">
      <c r="A23" s="262" t="s">
        <v>212</v>
      </c>
      <c r="B23" s="264">
        <v>7968</v>
      </c>
      <c r="G23" s="318"/>
      <c r="H23" s="318"/>
    </row>
    <row r="24" spans="1:8">
      <c r="A24" s="262" t="s">
        <v>254</v>
      </c>
      <c r="B24" s="264">
        <v>7706</v>
      </c>
      <c r="G24" s="253"/>
      <c r="H24" s="253"/>
    </row>
    <row r="25" spans="1:8">
      <c r="A25" s="262" t="s">
        <v>134</v>
      </c>
      <c r="B25" s="264">
        <v>8021</v>
      </c>
      <c r="G25" s="253"/>
      <c r="H25" s="253"/>
    </row>
    <row r="26" spans="1:8">
      <c r="A26" s="262" t="s">
        <v>244</v>
      </c>
      <c r="B26" s="264">
        <v>7876</v>
      </c>
      <c r="G26" s="253"/>
      <c r="H26" s="253"/>
    </row>
    <row r="27" spans="1:8">
      <c r="A27" s="262" t="s">
        <v>255</v>
      </c>
      <c r="B27" s="264">
        <v>7717</v>
      </c>
      <c r="G27" s="318"/>
      <c r="H27" s="264"/>
    </row>
    <row r="28" spans="1:8">
      <c r="A28" s="262" t="s">
        <v>245</v>
      </c>
      <c r="B28" s="264">
        <v>8072</v>
      </c>
      <c r="G28" s="318"/>
      <c r="H28" s="264"/>
    </row>
    <row r="29" spans="1:8">
      <c r="A29" s="262" t="s">
        <v>223</v>
      </c>
      <c r="B29" s="264">
        <v>7802</v>
      </c>
      <c r="G29" s="253"/>
      <c r="H29" s="255"/>
    </row>
    <row r="30" spans="1:8">
      <c r="A30" s="262" t="s">
        <v>241</v>
      </c>
      <c r="B30" s="264">
        <v>7732</v>
      </c>
      <c r="G30" s="318"/>
      <c r="H30" s="264"/>
    </row>
    <row r="31" spans="1:8">
      <c r="A31" s="262" t="s">
        <v>235</v>
      </c>
      <c r="B31" s="264">
        <v>7599</v>
      </c>
      <c r="G31" s="253"/>
      <c r="H31" s="255"/>
    </row>
    <row r="32" spans="1:8">
      <c r="A32" s="262" t="s">
        <v>246</v>
      </c>
      <c r="B32" s="264">
        <v>7808</v>
      </c>
      <c r="G32" s="253"/>
      <c r="H32" s="255"/>
    </row>
    <row r="33" spans="1:8">
      <c r="A33" s="262" t="s">
        <v>230</v>
      </c>
      <c r="B33" s="264">
        <v>8068</v>
      </c>
      <c r="G33" s="318"/>
      <c r="H33" s="264"/>
    </row>
    <row r="34" spans="1:8">
      <c r="A34" s="262" t="s">
        <v>199</v>
      </c>
      <c r="B34" s="264">
        <v>7919</v>
      </c>
      <c r="G34" s="318"/>
      <c r="H34" s="264"/>
    </row>
    <row r="35" spans="1:8">
      <c r="A35" s="262" t="s">
        <v>200</v>
      </c>
      <c r="B35" s="264">
        <v>7994</v>
      </c>
      <c r="G35" s="253"/>
      <c r="H35" s="255"/>
    </row>
    <row r="36" spans="1:8">
      <c r="A36" s="262" t="s">
        <v>256</v>
      </c>
      <c r="B36" s="264">
        <v>7817</v>
      </c>
      <c r="G36" s="253"/>
      <c r="H36" s="255"/>
    </row>
    <row r="37" spans="1:8">
      <c r="A37" s="262" t="s">
        <v>242</v>
      </c>
      <c r="B37" s="264">
        <v>7903</v>
      </c>
      <c r="G37" s="318"/>
      <c r="H37" s="264"/>
    </row>
    <row r="38" spans="1:8">
      <c r="A38" s="262" t="s">
        <v>257</v>
      </c>
      <c r="B38" s="264">
        <v>7764</v>
      </c>
      <c r="G38" s="253"/>
      <c r="H38" s="255"/>
    </row>
    <row r="39" spans="1:8">
      <c r="A39" s="262" t="s">
        <v>263</v>
      </c>
      <c r="G39" s="318"/>
      <c r="H39" s="264"/>
    </row>
    <row r="40" spans="1:8">
      <c r="G40" s="318"/>
      <c r="H40" s="264"/>
    </row>
    <row r="41" spans="1:8">
      <c r="G41" s="318"/>
      <c r="H41" s="264"/>
    </row>
    <row r="42" spans="1:8">
      <c r="G42" s="318"/>
      <c r="H42" s="264"/>
    </row>
    <row r="43" spans="1:8">
      <c r="G43" s="318"/>
      <c r="H43" s="264"/>
    </row>
    <row r="44" spans="1:8">
      <c r="G44" s="318"/>
      <c r="H44" s="264"/>
    </row>
    <row r="45" spans="1:8">
      <c r="G45" s="253"/>
      <c r="H45" s="255"/>
    </row>
    <row r="46" spans="1:8">
      <c r="G46" s="318"/>
      <c r="H46" s="264"/>
    </row>
    <row r="47" spans="1:8">
      <c r="G47" s="318"/>
      <c r="H47" s="264"/>
    </row>
    <row r="48" spans="1:8">
      <c r="G48" s="253"/>
      <c r="H48" s="255"/>
    </row>
    <row r="49" spans="7:8">
      <c r="G49" s="253"/>
      <c r="H49" s="255"/>
    </row>
    <row r="50" spans="7:8">
      <c r="G50" s="318"/>
      <c r="H50" s="264"/>
    </row>
    <row r="51" spans="7:8">
      <c r="G51" s="253"/>
      <c r="H51" s="255"/>
    </row>
    <row r="52" spans="7:8">
      <c r="G52" s="253"/>
      <c r="H52" s="255"/>
    </row>
    <row r="53" spans="7:8">
      <c r="G53" s="318"/>
      <c r="H53" s="264"/>
    </row>
    <row r="54" spans="7:8">
      <c r="G54" s="253"/>
      <c r="H54" s="255"/>
    </row>
    <row r="55" spans="7:8">
      <c r="G55" s="318"/>
      <c r="H55" s="264"/>
    </row>
    <row r="56" spans="7:8">
      <c r="G56" s="318"/>
      <c r="H56" s="264"/>
    </row>
    <row r="57" spans="7:8">
      <c r="G57" s="318"/>
      <c r="H57" s="264"/>
    </row>
    <row r="58" spans="7:8">
      <c r="G58" s="318"/>
      <c r="H58" s="264"/>
    </row>
    <row r="59" spans="7:8">
      <c r="G59" s="318"/>
      <c r="H59" s="264"/>
    </row>
    <row r="60" spans="7:8">
      <c r="G60" s="318"/>
      <c r="H60" s="264"/>
    </row>
    <row r="62" spans="7:8">
      <c r="G62" s="318"/>
      <c r="H62" s="264"/>
    </row>
    <row r="79" spans="7:8">
      <c r="G79" s="262"/>
      <c r="H79" s="263"/>
    </row>
    <row r="80" spans="7:8">
      <c r="G80" s="262"/>
      <c r="H80" s="263"/>
    </row>
    <row r="81" spans="7:8">
      <c r="G81" s="262"/>
      <c r="H81" s="263"/>
    </row>
    <row r="82" spans="7:8">
      <c r="G82" s="262"/>
      <c r="H82" s="263"/>
    </row>
    <row r="83" spans="7:8">
      <c r="G83" s="262"/>
      <c r="H83" s="263"/>
    </row>
    <row r="84" spans="7:8">
      <c r="G84" s="262"/>
      <c r="H84" s="263"/>
    </row>
    <row r="85" spans="7:8">
      <c r="G85" s="262"/>
      <c r="H85" s="263"/>
    </row>
    <row r="86" spans="7:8">
      <c r="G86" s="262"/>
      <c r="H86" s="263"/>
    </row>
    <row r="87" spans="7:8">
      <c r="G87" s="262"/>
      <c r="H87" s="263"/>
    </row>
    <row r="88" spans="7:8">
      <c r="G88" s="262"/>
      <c r="H88" s="263"/>
    </row>
    <row r="89" spans="7:8">
      <c r="G89" s="262"/>
      <c r="H89" s="263"/>
    </row>
    <row r="90" spans="7:8">
      <c r="G90" s="262"/>
      <c r="H90" s="263"/>
    </row>
    <row r="91" spans="7:8">
      <c r="G91" s="262"/>
      <c r="H91" s="263"/>
    </row>
    <row r="92" spans="7:8">
      <c r="G92" s="262"/>
      <c r="H92" s="263"/>
    </row>
    <row r="93" spans="7:8">
      <c r="G93" s="262"/>
      <c r="H93" s="263"/>
    </row>
    <row r="94" spans="7:8">
      <c r="G94" s="262"/>
      <c r="H94" s="263"/>
    </row>
    <row r="95" spans="7:8">
      <c r="G95" s="262"/>
      <c r="H95" s="263"/>
    </row>
    <row r="96" spans="7:8">
      <c r="G96" s="262"/>
      <c r="H96" s="263"/>
    </row>
    <row r="97" spans="7:8">
      <c r="G97" s="262"/>
      <c r="H97" s="263"/>
    </row>
    <row r="98" spans="7:8">
      <c r="G98" s="262"/>
      <c r="H98" s="263"/>
    </row>
    <row r="99" spans="7:8">
      <c r="G99" s="262"/>
      <c r="H99" s="263"/>
    </row>
    <row r="100" spans="7:8">
      <c r="G100" s="262"/>
      <c r="H100" s="263"/>
    </row>
    <row r="101" spans="7:8">
      <c r="G101" s="262"/>
      <c r="H101" s="263"/>
    </row>
    <row r="102" spans="7:8">
      <c r="G102" s="262"/>
      <c r="H102" s="263"/>
    </row>
    <row r="103" spans="7:8">
      <c r="G103" s="262"/>
      <c r="H103" s="263"/>
    </row>
    <row r="104" spans="7:8">
      <c r="G104" s="262"/>
      <c r="H104" s="263"/>
    </row>
    <row r="105" spans="7:8">
      <c r="G105" s="262"/>
      <c r="H105" s="263"/>
    </row>
    <row r="106" spans="7:8">
      <c r="G106" s="262"/>
      <c r="H106" s="263"/>
    </row>
    <row r="107" spans="7:8">
      <c r="G107" s="262"/>
      <c r="H107" s="263"/>
    </row>
    <row r="108" spans="7:8">
      <c r="G108" s="262"/>
      <c r="H108" s="263"/>
    </row>
    <row r="109" spans="7:8">
      <c r="G109" s="262"/>
      <c r="H109" s="263"/>
    </row>
    <row r="110" spans="7:8">
      <c r="G110" s="262"/>
      <c r="H110" s="263"/>
    </row>
    <row r="111" spans="7:8">
      <c r="G111" s="262"/>
      <c r="H111" s="263"/>
    </row>
    <row r="112" spans="7:8">
      <c r="G112" s="262"/>
      <c r="H112" s="263"/>
    </row>
    <row r="113" spans="7:8">
      <c r="G113" s="262"/>
      <c r="H113" s="263"/>
    </row>
    <row r="114" spans="7:8">
      <c r="G114" s="262"/>
      <c r="H114" s="263"/>
    </row>
    <row r="115" spans="7:8">
      <c r="G115" s="262"/>
      <c r="H115" s="263"/>
    </row>
    <row r="116" spans="7:8">
      <c r="G116" s="262"/>
      <c r="H116" s="263"/>
    </row>
    <row r="117" spans="7:8">
      <c r="G117" s="262"/>
      <c r="H117" s="263"/>
    </row>
    <row r="118" spans="7:8">
      <c r="G118" s="262"/>
      <c r="H118" s="263"/>
    </row>
    <row r="119" spans="7:8">
      <c r="G119" s="262"/>
      <c r="H119" s="263"/>
    </row>
    <row r="120" spans="7:8">
      <c r="G120" s="262"/>
      <c r="H120" s="263"/>
    </row>
    <row r="121" spans="7:8">
      <c r="G121" s="262"/>
      <c r="H121" s="263"/>
    </row>
    <row r="122" spans="7:8">
      <c r="G122" s="262"/>
      <c r="H122" s="263"/>
    </row>
    <row r="123" spans="7:8">
      <c r="G123" s="262"/>
      <c r="H123" s="263"/>
    </row>
    <row r="124" spans="7:8">
      <c r="G124" s="262"/>
      <c r="H124" s="263"/>
    </row>
  </sheetData>
  <sortState ref="A4:B38">
    <sortCondition ref="A3"/>
  </sortState>
  <mergeCells count="2">
    <mergeCell ref="A1:B1"/>
    <mergeCell ref="E1:H1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I101"/>
  <sheetViews>
    <sheetView workbookViewId="0">
      <selection activeCell="I1" sqref="I1"/>
    </sheetView>
  </sheetViews>
  <sheetFormatPr defaultRowHeight="12.75"/>
  <cols>
    <col min="3" max="3" width="15" bestFit="1" customWidth="1"/>
    <col min="5" max="5" width="5" bestFit="1" customWidth="1"/>
    <col min="6" max="6" width="1.7109375" customWidth="1"/>
    <col min="7" max="7" width="5.140625" bestFit="1" customWidth="1"/>
  </cols>
  <sheetData>
    <row r="1" spans="1:9">
      <c r="I1" t="s">
        <v>139</v>
      </c>
    </row>
    <row r="2" spans="1:9">
      <c r="A2" t="s">
        <v>140</v>
      </c>
      <c r="B2" t="str">
        <f>Gear!A2</f>
        <v>Adanya</v>
      </c>
      <c r="C2" t="s">
        <v>141</v>
      </c>
      <c r="D2" t="str">
        <f>'Members Data'!D2</f>
        <v>Healer</v>
      </c>
      <c r="E2" t="str">
        <f>IF(D2="MDPS","D",IF(D2="RDPS","D",IF(D2="Healer","H",IF(D2="Tank","T","Error"))))</f>
        <v>H</v>
      </c>
      <c r="F2" t="s">
        <v>142</v>
      </c>
      <c r="G2">
        <f>Gear!L2</f>
        <v>3</v>
      </c>
      <c r="H2" t="s">
        <v>143</v>
      </c>
      <c r="I2" t="str">
        <f t="shared" ref="I2:I48" si="0">IF(B2=0,"",A2&amp;B2&amp;C2&amp;E2&amp;F2&amp;G2&amp;H2)</f>
        <v>["Adanya"] = { ["note"] = "H(3)"}</v>
      </c>
    </row>
    <row r="3" spans="1:9">
      <c r="A3" t="s">
        <v>144</v>
      </c>
      <c r="B3" t="str">
        <f>Gear!A3</f>
        <v>Ambú</v>
      </c>
      <c r="C3" t="s">
        <v>141</v>
      </c>
      <c r="D3" t="str">
        <f>'Members Data'!D3</f>
        <v>MDPS</v>
      </c>
      <c r="E3" t="str">
        <f t="shared" ref="E3:E66" si="1">IF(D3="MDPS","D",IF(D3="RDPS","D",IF(D3="Healer","H",IF(D3="Tank","T","Error"))))</f>
        <v>D</v>
      </c>
      <c r="F3" t="s">
        <v>142</v>
      </c>
      <c r="G3">
        <f>Gear!L3</f>
        <v>2</v>
      </c>
      <c r="H3" t="s">
        <v>143</v>
      </c>
      <c r="I3" t="str">
        <f t="shared" si="0"/>
        <v>,["Ambú"] = { ["note"] = "D(2)"}</v>
      </c>
    </row>
    <row r="4" spans="1:9">
      <c r="A4" t="s">
        <v>144</v>
      </c>
      <c r="B4" t="str">
        <f>Gear!A4</f>
        <v>Ashenhand</v>
      </c>
      <c r="C4" t="s">
        <v>141</v>
      </c>
      <c r="D4" t="str">
        <f>'Members Data'!D4</f>
        <v>Tank</v>
      </c>
      <c r="E4" t="str">
        <f t="shared" si="1"/>
        <v>T</v>
      </c>
      <c r="F4" t="s">
        <v>142</v>
      </c>
      <c r="G4">
        <f>Gear!L4</f>
        <v>3</v>
      </c>
      <c r="H4" t="s">
        <v>143</v>
      </c>
      <c r="I4" t="str">
        <f t="shared" si="0"/>
        <v>,["Ashenhand"] = { ["note"] = "T(3)"}</v>
      </c>
    </row>
    <row r="5" spans="1:9">
      <c r="A5" t="s">
        <v>144</v>
      </c>
      <c r="B5" t="str">
        <f>Gear!A5</f>
        <v>Âspect</v>
      </c>
      <c r="C5" t="s">
        <v>141</v>
      </c>
      <c r="D5" t="str">
        <f>'Members Data'!D5</f>
        <v>RDPS</v>
      </c>
      <c r="E5" t="str">
        <f t="shared" si="1"/>
        <v>D</v>
      </c>
      <c r="F5" t="s">
        <v>142</v>
      </c>
      <c r="G5">
        <f>Gear!L5</f>
        <v>1</v>
      </c>
      <c r="H5" t="s">
        <v>143</v>
      </c>
      <c r="I5" t="str">
        <f t="shared" si="0"/>
        <v>,["Âspect"] = { ["note"] = "D(1)"}</v>
      </c>
    </row>
    <row r="6" spans="1:9">
      <c r="A6" t="s">
        <v>144</v>
      </c>
      <c r="B6" t="str">
        <f>Gear!A6</f>
        <v>Assap</v>
      </c>
      <c r="C6" t="s">
        <v>141</v>
      </c>
      <c r="D6" t="str">
        <f>'Members Data'!D6</f>
        <v>RDPS</v>
      </c>
      <c r="E6" t="str">
        <f t="shared" si="1"/>
        <v>D</v>
      </c>
      <c r="F6" t="s">
        <v>142</v>
      </c>
      <c r="G6">
        <f>Gear!L6</f>
        <v>1</v>
      </c>
      <c r="H6" t="s">
        <v>143</v>
      </c>
      <c r="I6" t="str">
        <f t="shared" si="0"/>
        <v>,["Assap"] = { ["note"] = "D(1)"}</v>
      </c>
    </row>
    <row r="7" spans="1:9">
      <c r="A7" t="s">
        <v>144</v>
      </c>
      <c r="B7" t="str">
        <f>Gear!A7</f>
        <v>Bonegasmic</v>
      </c>
      <c r="C7" t="s">
        <v>141</v>
      </c>
      <c r="D7" t="str">
        <f>'Members Data'!D7</f>
        <v>RDPS</v>
      </c>
      <c r="E7" t="str">
        <f t="shared" si="1"/>
        <v>D</v>
      </c>
      <c r="F7" t="s">
        <v>142</v>
      </c>
      <c r="G7">
        <f>Gear!L7</f>
        <v>4</v>
      </c>
      <c r="H7" t="s">
        <v>143</v>
      </c>
      <c r="I7" t="str">
        <f t="shared" si="0"/>
        <v>,["Bonegasmic"] = { ["note"] = "D(4)"}</v>
      </c>
    </row>
    <row r="8" spans="1:9">
      <c r="A8" t="s">
        <v>144</v>
      </c>
      <c r="B8" t="str">
        <f>Gear!A8</f>
        <v>Brákspak</v>
      </c>
      <c r="C8" t="s">
        <v>141</v>
      </c>
      <c r="D8" t="str">
        <f>'Members Data'!D8</f>
        <v>RDPS</v>
      </c>
      <c r="E8" t="str">
        <f t="shared" si="1"/>
        <v>D</v>
      </c>
      <c r="F8" t="s">
        <v>142</v>
      </c>
      <c r="G8">
        <f>Gear!L8</f>
        <v>0</v>
      </c>
      <c r="H8" t="s">
        <v>143</v>
      </c>
      <c r="I8" t="str">
        <f t="shared" si="0"/>
        <v>,["Brákspak"] = { ["note"] = "D(0)"}</v>
      </c>
    </row>
    <row r="9" spans="1:9">
      <c r="A9" t="s">
        <v>144</v>
      </c>
      <c r="B9" t="str">
        <f>Gear!A9</f>
        <v>Catena</v>
      </c>
      <c r="C9" t="s">
        <v>141</v>
      </c>
      <c r="D9" t="str">
        <f>'Members Data'!D9</f>
        <v>Healer</v>
      </c>
      <c r="E9" t="str">
        <f t="shared" si="1"/>
        <v>H</v>
      </c>
      <c r="F9" t="s">
        <v>142</v>
      </c>
      <c r="G9">
        <f>Gear!L9</f>
        <v>3</v>
      </c>
      <c r="H9" t="s">
        <v>143</v>
      </c>
      <c r="I9" t="str">
        <f t="shared" si="0"/>
        <v>,["Catena"] = { ["note"] = "H(3)"}</v>
      </c>
    </row>
    <row r="10" spans="1:9">
      <c r="A10" t="s">
        <v>144</v>
      </c>
      <c r="B10" t="str">
        <f>Gear!A10</f>
        <v>Céléstine</v>
      </c>
      <c r="C10" t="s">
        <v>141</v>
      </c>
      <c r="D10" t="str">
        <f>'Members Data'!D10</f>
        <v>Tank</v>
      </c>
      <c r="E10" t="str">
        <f t="shared" si="1"/>
        <v>T</v>
      </c>
      <c r="F10" t="s">
        <v>142</v>
      </c>
      <c r="G10">
        <f>Gear!L10</f>
        <v>1</v>
      </c>
      <c r="H10" t="s">
        <v>143</v>
      </c>
      <c r="I10" t="str">
        <f t="shared" si="0"/>
        <v>,["Céléstine"] = { ["note"] = "T(1)"}</v>
      </c>
    </row>
    <row r="11" spans="1:9">
      <c r="A11" t="s">
        <v>144</v>
      </c>
      <c r="B11" t="str">
        <f>Gear!A11</f>
        <v>Cottman</v>
      </c>
      <c r="C11" t="s">
        <v>141</v>
      </c>
      <c r="D11" t="str">
        <f>'Members Data'!D11</f>
        <v>RDPS</v>
      </c>
      <c r="E11" t="str">
        <f t="shared" si="1"/>
        <v>D</v>
      </c>
      <c r="F11" t="s">
        <v>142</v>
      </c>
      <c r="G11">
        <f>Gear!L11</f>
        <v>2</v>
      </c>
      <c r="H11" t="s">
        <v>143</v>
      </c>
      <c r="I11" t="str">
        <f t="shared" si="0"/>
        <v>,["Cottman"] = { ["note"] = "D(2)"}</v>
      </c>
    </row>
    <row r="12" spans="1:9">
      <c r="A12" t="s">
        <v>144</v>
      </c>
      <c r="B12" t="str">
        <f>Gear!A12</f>
        <v>Craving</v>
      </c>
      <c r="C12" t="s">
        <v>141</v>
      </c>
      <c r="D12" t="str">
        <f>'Members Data'!D12</f>
        <v>MDPS</v>
      </c>
      <c r="E12" t="str">
        <f t="shared" si="1"/>
        <v>D</v>
      </c>
      <c r="F12" t="s">
        <v>142</v>
      </c>
      <c r="G12">
        <f>Gear!L12</f>
        <v>3</v>
      </c>
      <c r="H12" t="s">
        <v>143</v>
      </c>
      <c r="I12" t="str">
        <f t="shared" si="0"/>
        <v>,["Craving"] = { ["note"] = "D(3)"}</v>
      </c>
    </row>
    <row r="13" spans="1:9">
      <c r="A13" t="s">
        <v>144</v>
      </c>
      <c r="B13" t="str">
        <f>Gear!A13</f>
        <v>Darshei</v>
      </c>
      <c r="C13" t="s">
        <v>141</v>
      </c>
      <c r="D13" t="str">
        <f>'Members Data'!D13</f>
        <v>Healer</v>
      </c>
      <c r="E13" t="str">
        <f t="shared" si="1"/>
        <v>H</v>
      </c>
      <c r="F13" t="s">
        <v>142</v>
      </c>
      <c r="G13">
        <f>Gear!L13</f>
        <v>1</v>
      </c>
      <c r="H13" t="s">
        <v>143</v>
      </c>
      <c r="I13" t="str">
        <f t="shared" si="0"/>
        <v>,["Darshei"] = { ["note"] = "H(1)"}</v>
      </c>
    </row>
    <row r="14" spans="1:9">
      <c r="A14" t="s">
        <v>144</v>
      </c>
      <c r="B14" t="str">
        <f>Gear!A14</f>
        <v>Difson</v>
      </c>
      <c r="C14" t="s">
        <v>141</v>
      </c>
      <c r="D14" t="str">
        <f>'Members Data'!D14</f>
        <v>RDPS</v>
      </c>
      <c r="E14" t="str">
        <f t="shared" si="1"/>
        <v>D</v>
      </c>
      <c r="F14" t="s">
        <v>142</v>
      </c>
      <c r="G14">
        <f>Gear!L14</f>
        <v>4</v>
      </c>
      <c r="H14" t="s">
        <v>143</v>
      </c>
      <c r="I14" t="str">
        <f t="shared" si="0"/>
        <v>,["Difson"] = { ["note"] = "D(4)"}</v>
      </c>
    </row>
    <row r="15" spans="1:9">
      <c r="A15" t="s">
        <v>144</v>
      </c>
      <c r="B15" t="str">
        <f>Gear!A15</f>
        <v>Grandhoof</v>
      </c>
      <c r="C15" t="s">
        <v>141</v>
      </c>
      <c r="D15" t="str">
        <f>'Members Data'!D15</f>
        <v>Healer</v>
      </c>
      <c r="E15" t="str">
        <f t="shared" si="1"/>
        <v>H</v>
      </c>
      <c r="F15" t="s">
        <v>142</v>
      </c>
      <c r="G15">
        <f>Gear!L15</f>
        <v>3</v>
      </c>
      <c r="H15" t="s">
        <v>143</v>
      </c>
      <c r="I15" t="str">
        <f t="shared" si="0"/>
        <v>,["Grandhoof"] = { ["note"] = "H(3)"}</v>
      </c>
    </row>
    <row r="16" spans="1:9">
      <c r="A16" t="s">
        <v>144</v>
      </c>
      <c r="B16" t="str">
        <f>Gear!A16</f>
        <v>Harkar</v>
      </c>
      <c r="C16" t="s">
        <v>141</v>
      </c>
      <c r="D16" t="str">
        <f>'Members Data'!D16</f>
        <v>RDPS</v>
      </c>
      <c r="E16" t="str">
        <f t="shared" si="1"/>
        <v>D</v>
      </c>
      <c r="F16" t="s">
        <v>142</v>
      </c>
      <c r="G16">
        <f>Gear!L16</f>
        <v>3</v>
      </c>
      <c r="H16" t="s">
        <v>143</v>
      </c>
      <c r="I16" t="str">
        <f t="shared" si="0"/>
        <v>,["Harkar"] = { ["note"] = "D(3)"}</v>
      </c>
    </row>
    <row r="17" spans="1:9">
      <c r="A17" t="s">
        <v>144</v>
      </c>
      <c r="B17" t="str">
        <f>Gear!A17</f>
        <v>Hyperïon</v>
      </c>
      <c r="C17" t="s">
        <v>141</v>
      </c>
      <c r="D17" t="str">
        <f>'Members Data'!D17</f>
        <v>MDPS</v>
      </c>
      <c r="E17" t="str">
        <f t="shared" si="1"/>
        <v>D</v>
      </c>
      <c r="F17" t="s">
        <v>142</v>
      </c>
      <c r="G17">
        <f>Gear!L17</f>
        <v>3</v>
      </c>
      <c r="H17" t="s">
        <v>143</v>
      </c>
      <c r="I17" t="str">
        <f t="shared" si="0"/>
        <v>,["Hyperïon"] = { ["note"] = "D(3)"}</v>
      </c>
    </row>
    <row r="18" spans="1:9">
      <c r="A18" t="s">
        <v>144</v>
      </c>
      <c r="B18" t="str">
        <f>Gear!A18</f>
        <v>Illianá</v>
      </c>
      <c r="C18" t="s">
        <v>141</v>
      </c>
      <c r="D18" t="str">
        <f>'Members Data'!D18</f>
        <v>Healer</v>
      </c>
      <c r="E18" t="str">
        <f t="shared" si="1"/>
        <v>H</v>
      </c>
      <c r="F18" t="s">
        <v>142</v>
      </c>
      <c r="G18">
        <f>Gear!L18</f>
        <v>3</v>
      </c>
      <c r="H18" t="s">
        <v>143</v>
      </c>
      <c r="I18" t="str">
        <f t="shared" si="0"/>
        <v>,["Illianá"] = { ["note"] = "H(3)"}</v>
      </c>
    </row>
    <row r="19" spans="1:9">
      <c r="A19" t="s">
        <v>144</v>
      </c>
      <c r="B19" t="str">
        <f>Gear!A19</f>
        <v>Izzabelle</v>
      </c>
      <c r="C19" t="s">
        <v>141</v>
      </c>
      <c r="D19" t="str">
        <f>'Members Data'!D19</f>
        <v>Healer</v>
      </c>
      <c r="E19" t="str">
        <f t="shared" si="1"/>
        <v>H</v>
      </c>
      <c r="F19" t="s">
        <v>142</v>
      </c>
      <c r="G19">
        <f>Gear!L19</f>
        <v>3</v>
      </c>
      <c r="H19" t="s">
        <v>143</v>
      </c>
      <c r="I19" t="str">
        <f t="shared" si="0"/>
        <v>,["Izzabelle"] = { ["note"] = "H(3)"}</v>
      </c>
    </row>
    <row r="20" spans="1:9">
      <c r="A20" t="s">
        <v>144</v>
      </c>
      <c r="B20" t="str">
        <f>Gear!A20</f>
        <v>Kátsumi</v>
      </c>
      <c r="C20" t="s">
        <v>141</v>
      </c>
      <c r="D20" t="str">
        <f>'Members Data'!D20</f>
        <v>MDPS</v>
      </c>
      <c r="E20" t="str">
        <f t="shared" si="1"/>
        <v>D</v>
      </c>
      <c r="F20" t="s">
        <v>142</v>
      </c>
      <c r="G20">
        <f>Gear!L20</f>
        <v>1</v>
      </c>
      <c r="H20" t="s">
        <v>143</v>
      </c>
      <c r="I20" t="str">
        <f t="shared" si="0"/>
        <v>,["Kátsumi"] = { ["note"] = "D(1)"}</v>
      </c>
    </row>
    <row r="21" spans="1:9">
      <c r="A21" t="s">
        <v>144</v>
      </c>
      <c r="B21" t="str">
        <f>Gear!A21</f>
        <v>Lychi</v>
      </c>
      <c r="C21" t="s">
        <v>141</v>
      </c>
      <c r="D21" t="str">
        <f>'Members Data'!D21</f>
        <v>Healer</v>
      </c>
      <c r="E21" t="str">
        <f t="shared" si="1"/>
        <v>H</v>
      </c>
      <c r="F21" t="s">
        <v>142</v>
      </c>
      <c r="G21">
        <f>Gear!L21</f>
        <v>3</v>
      </c>
      <c r="H21" t="s">
        <v>143</v>
      </c>
      <c r="I21" t="str">
        <f t="shared" si="0"/>
        <v>,["Lychi"] = { ["note"] = "H(3)"}</v>
      </c>
    </row>
    <row r="22" spans="1:9">
      <c r="A22" t="s">
        <v>144</v>
      </c>
      <c r="B22" t="str">
        <f>Gear!A22</f>
        <v>Méych</v>
      </c>
      <c r="C22" t="s">
        <v>141</v>
      </c>
      <c r="D22" t="str">
        <f>'Members Data'!D22</f>
        <v>RDPS</v>
      </c>
      <c r="E22" t="str">
        <f t="shared" si="1"/>
        <v>D</v>
      </c>
      <c r="F22" t="s">
        <v>142</v>
      </c>
      <c r="G22">
        <f>Gear!L22</f>
        <v>1</v>
      </c>
      <c r="H22" t="s">
        <v>143</v>
      </c>
      <c r="I22" t="str">
        <f t="shared" si="0"/>
        <v>,["Méych"] = { ["note"] = "D(1)"}</v>
      </c>
    </row>
    <row r="23" spans="1:9">
      <c r="A23" t="s">
        <v>144</v>
      </c>
      <c r="B23" t="str">
        <f>Gear!A23</f>
        <v>Muckyfloor</v>
      </c>
      <c r="C23" t="s">
        <v>141</v>
      </c>
      <c r="D23" t="str">
        <f>'Members Data'!D23</f>
        <v>MDPS</v>
      </c>
      <c r="E23" t="str">
        <f t="shared" si="1"/>
        <v>D</v>
      </c>
      <c r="F23" t="s">
        <v>142</v>
      </c>
      <c r="G23">
        <f>Gear!L23</f>
        <v>3</v>
      </c>
      <c r="H23" t="s">
        <v>143</v>
      </c>
      <c r="I23" t="str">
        <f t="shared" si="0"/>
        <v>,["Muckyfloor"] = { ["note"] = "D(3)"}</v>
      </c>
    </row>
    <row r="24" spans="1:9">
      <c r="A24" t="s">
        <v>144</v>
      </c>
      <c r="B24" t="str">
        <f>Gear!A24</f>
        <v>Müfti</v>
      </c>
      <c r="C24" t="s">
        <v>141</v>
      </c>
      <c r="D24" t="str">
        <f>'Members Data'!D24</f>
        <v>RDPS</v>
      </c>
      <c r="E24" t="str">
        <f t="shared" si="1"/>
        <v>D</v>
      </c>
      <c r="F24" t="s">
        <v>142</v>
      </c>
      <c r="G24">
        <f>Gear!L24</f>
        <v>2</v>
      </c>
      <c r="H24" t="s">
        <v>143</v>
      </c>
      <c r="I24" t="str">
        <f t="shared" si="0"/>
        <v>,["Müfti"] = { ["note"] = "D(2)"}</v>
      </c>
    </row>
    <row r="25" spans="1:9">
      <c r="A25" t="s">
        <v>144</v>
      </c>
      <c r="B25" t="str">
        <f>Gear!A25</f>
        <v>Palorde</v>
      </c>
      <c r="C25" t="s">
        <v>141</v>
      </c>
      <c r="D25" t="str">
        <f>'Members Data'!D25</f>
        <v>MDPS</v>
      </c>
      <c r="E25" t="str">
        <f t="shared" si="1"/>
        <v>D</v>
      </c>
      <c r="F25" t="s">
        <v>142</v>
      </c>
      <c r="G25">
        <f>Gear!L25</f>
        <v>1</v>
      </c>
      <c r="H25" t="s">
        <v>143</v>
      </c>
      <c r="I25" t="str">
        <f t="shared" si="0"/>
        <v>,["Palorde"] = { ["note"] = "D(1)"}</v>
      </c>
    </row>
    <row r="26" spans="1:9">
      <c r="A26" t="s">
        <v>144</v>
      </c>
      <c r="B26" t="str">
        <f>Gear!A26</f>
        <v>Páula</v>
      </c>
      <c r="C26" t="s">
        <v>141</v>
      </c>
      <c r="D26" t="str">
        <f>'Members Data'!D26</f>
        <v>RDPS</v>
      </c>
      <c r="E26" t="str">
        <f t="shared" si="1"/>
        <v>D</v>
      </c>
      <c r="F26" t="s">
        <v>142</v>
      </c>
      <c r="G26">
        <f>Gear!L26</f>
        <v>3</v>
      </c>
      <c r="H26" t="s">
        <v>143</v>
      </c>
      <c r="I26" t="str">
        <f t="shared" si="0"/>
        <v>,["Páula"] = { ["note"] = "D(3)"}</v>
      </c>
    </row>
    <row r="27" spans="1:9">
      <c r="A27" t="s">
        <v>144</v>
      </c>
      <c r="B27" t="str">
        <f>Gear!A27</f>
        <v>Quemzar</v>
      </c>
      <c r="C27" t="s">
        <v>141</v>
      </c>
      <c r="D27" t="str">
        <f>'Members Data'!D27</f>
        <v>RDPS</v>
      </c>
      <c r="E27" t="str">
        <f t="shared" si="1"/>
        <v>D</v>
      </c>
      <c r="F27" t="s">
        <v>142</v>
      </c>
      <c r="G27">
        <f>Gear!L27</f>
        <v>2</v>
      </c>
      <c r="H27" t="s">
        <v>143</v>
      </c>
      <c r="I27" t="str">
        <f t="shared" si="0"/>
        <v>,["Quemzar"] = { ["note"] = "D(2)"}</v>
      </c>
    </row>
    <row r="28" spans="1:9">
      <c r="A28" t="s">
        <v>144</v>
      </c>
      <c r="B28" t="str">
        <f>Gear!A28</f>
        <v>Rahwin</v>
      </c>
      <c r="C28" t="s">
        <v>141</v>
      </c>
      <c r="D28" t="str">
        <f>'Members Data'!D28</f>
        <v>RDPS</v>
      </c>
      <c r="E28" t="str">
        <f t="shared" si="1"/>
        <v>D</v>
      </c>
      <c r="F28" t="s">
        <v>142</v>
      </c>
      <c r="G28">
        <f>Gear!L28</f>
        <v>1</v>
      </c>
      <c r="H28" t="s">
        <v>143</v>
      </c>
      <c r="I28" t="str">
        <f t="shared" si="0"/>
        <v>,["Rahwin"] = { ["note"] = "D(1)"}</v>
      </c>
    </row>
    <row r="29" spans="1:9">
      <c r="A29" t="s">
        <v>144</v>
      </c>
      <c r="B29" t="str">
        <f>Gear!A29</f>
        <v>Raiyn</v>
      </c>
      <c r="C29" t="s">
        <v>141</v>
      </c>
      <c r="D29" t="str">
        <f>'Members Data'!D29</f>
        <v>Healer</v>
      </c>
      <c r="E29" t="str">
        <f t="shared" si="1"/>
        <v>H</v>
      </c>
      <c r="F29" t="s">
        <v>142</v>
      </c>
      <c r="G29">
        <f>Gear!L29</f>
        <v>0</v>
      </c>
      <c r="H29" t="s">
        <v>143</v>
      </c>
      <c r="I29" t="str">
        <f t="shared" si="0"/>
        <v>,["Raiyn"] = { ["note"] = "H(0)"}</v>
      </c>
    </row>
    <row r="30" spans="1:9">
      <c r="A30" t="s">
        <v>144</v>
      </c>
      <c r="B30" t="str">
        <f>Gear!A30</f>
        <v>Rokthrol</v>
      </c>
      <c r="C30" t="s">
        <v>141</v>
      </c>
      <c r="D30" t="str">
        <f>'Members Data'!D30</f>
        <v>MDPS</v>
      </c>
      <c r="E30" t="str">
        <f t="shared" si="1"/>
        <v>D</v>
      </c>
      <c r="F30" t="s">
        <v>142</v>
      </c>
      <c r="G30">
        <f>Gear!L30</f>
        <v>2</v>
      </c>
      <c r="H30" t="s">
        <v>143</v>
      </c>
      <c r="I30" t="str">
        <f t="shared" si="0"/>
        <v>,["Rokthrol"] = { ["note"] = "D(2)"}</v>
      </c>
    </row>
    <row r="31" spans="1:9">
      <c r="A31" t="s">
        <v>144</v>
      </c>
      <c r="B31" t="str">
        <f>Gear!A31</f>
        <v>Sáik</v>
      </c>
      <c r="C31" t="s">
        <v>141</v>
      </c>
      <c r="D31" t="str">
        <f>'Members Data'!D31</f>
        <v>RDPS</v>
      </c>
      <c r="E31" t="str">
        <f t="shared" si="1"/>
        <v>D</v>
      </c>
      <c r="F31" t="s">
        <v>142</v>
      </c>
      <c r="G31">
        <f>Gear!L31</f>
        <v>3</v>
      </c>
      <c r="H31" t="s">
        <v>143</v>
      </c>
      <c r="I31" t="str">
        <f t="shared" si="0"/>
        <v>,["Sáik"] = { ["note"] = "D(3)"}</v>
      </c>
    </row>
    <row r="32" spans="1:9">
      <c r="A32" t="s">
        <v>144</v>
      </c>
      <c r="B32" t="str">
        <f>Gear!A32</f>
        <v>Seraphÿm</v>
      </c>
      <c r="C32" t="s">
        <v>141</v>
      </c>
      <c r="D32" t="str">
        <f>'Members Data'!D32</f>
        <v>Healer</v>
      </c>
      <c r="E32" t="str">
        <f t="shared" si="1"/>
        <v>H</v>
      </c>
      <c r="F32" t="s">
        <v>142</v>
      </c>
      <c r="G32">
        <f>Gear!L32</f>
        <v>2</v>
      </c>
      <c r="H32" t="s">
        <v>143</v>
      </c>
      <c r="I32" t="str">
        <f t="shared" si="0"/>
        <v>,["Seraphÿm"] = { ["note"] = "H(2)"}</v>
      </c>
    </row>
    <row r="33" spans="1:9">
      <c r="A33" t="s">
        <v>144</v>
      </c>
      <c r="B33" t="str">
        <f>Gear!A33</f>
        <v>Shinkai</v>
      </c>
      <c r="C33" t="s">
        <v>141</v>
      </c>
      <c r="D33" t="str">
        <f>'Members Data'!D33</f>
        <v>MDPS</v>
      </c>
      <c r="E33" t="str">
        <f t="shared" si="1"/>
        <v>D</v>
      </c>
      <c r="F33" t="s">
        <v>142</v>
      </c>
      <c r="G33">
        <f>Gear!L33</f>
        <v>3</v>
      </c>
      <c r="H33" t="s">
        <v>143</v>
      </c>
      <c r="I33" t="str">
        <f t="shared" si="0"/>
        <v>,["Shinkai"] = { ["note"] = "D(3)"}</v>
      </c>
    </row>
    <row r="34" spans="1:9">
      <c r="A34" t="s">
        <v>144</v>
      </c>
      <c r="B34" t="str">
        <f>Gear!A34</f>
        <v>Yaodeng</v>
      </c>
      <c r="C34" t="s">
        <v>141</v>
      </c>
      <c r="D34" t="str">
        <f>'Members Data'!D34</f>
        <v>MDPS</v>
      </c>
      <c r="E34" t="str">
        <f t="shared" si="1"/>
        <v>D</v>
      </c>
      <c r="F34" t="s">
        <v>142</v>
      </c>
      <c r="G34">
        <f>Gear!L34</f>
        <v>2</v>
      </c>
      <c r="H34" t="s">
        <v>143</v>
      </c>
      <c r="I34" t="str">
        <f t="shared" si="0"/>
        <v>,["Yaodeng"] = { ["note"] = "D(2)"}</v>
      </c>
    </row>
    <row r="35" spans="1:9">
      <c r="A35" t="s">
        <v>144</v>
      </c>
      <c r="B35" t="str">
        <f>Gear!A35</f>
        <v>Zerobabe</v>
      </c>
      <c r="C35" t="s">
        <v>141</v>
      </c>
      <c r="D35" t="str">
        <f>'Members Data'!D35</f>
        <v>MDPS</v>
      </c>
      <c r="E35" t="str">
        <f t="shared" si="1"/>
        <v>D</v>
      </c>
      <c r="F35" t="s">
        <v>142</v>
      </c>
      <c r="G35">
        <f>Gear!L35</f>
        <v>2</v>
      </c>
      <c r="H35" t="s">
        <v>143</v>
      </c>
      <c r="I35" t="str">
        <f t="shared" si="0"/>
        <v>,["Zerobabe"] = { ["note"] = "D(2)"}</v>
      </c>
    </row>
    <row r="36" spans="1:9">
      <c r="A36" t="s">
        <v>144</v>
      </c>
      <c r="B36" t="str">
        <f>Gear!A36</f>
        <v>Zorrg</v>
      </c>
      <c r="C36" t="s">
        <v>141</v>
      </c>
      <c r="D36" t="str">
        <f>'Members Data'!D36</f>
        <v>MDPS</v>
      </c>
      <c r="E36" t="str">
        <f t="shared" si="1"/>
        <v>D</v>
      </c>
      <c r="F36" t="s">
        <v>142</v>
      </c>
      <c r="G36">
        <f>Gear!L36</f>
        <v>1</v>
      </c>
      <c r="H36" t="s">
        <v>143</v>
      </c>
      <c r="I36" t="str">
        <f t="shared" si="0"/>
        <v>,["Zorrg"] = { ["note"] = "D(1)"}</v>
      </c>
    </row>
    <row r="37" spans="1:9">
      <c r="A37" t="s">
        <v>144</v>
      </c>
      <c r="B37" t="str">
        <f>Gear!A37</f>
        <v>Volson</v>
      </c>
      <c r="C37" t="s">
        <v>141</v>
      </c>
      <c r="D37" t="str">
        <f>'Members Data'!D37</f>
        <v>RDPS</v>
      </c>
      <c r="E37" t="str">
        <f t="shared" si="1"/>
        <v>D</v>
      </c>
      <c r="F37" t="s">
        <v>142</v>
      </c>
      <c r="G37">
        <f>Gear!L37</f>
        <v>0</v>
      </c>
      <c r="H37" t="s">
        <v>143</v>
      </c>
      <c r="I37" t="str">
        <f t="shared" si="0"/>
        <v>,["Volson"] = { ["note"] = "D(0)"}</v>
      </c>
    </row>
    <row r="38" spans="1:9">
      <c r="A38" t="s">
        <v>144</v>
      </c>
      <c r="B38">
        <f>Gear!A38</f>
        <v>0</v>
      </c>
      <c r="C38" t="s">
        <v>141</v>
      </c>
      <c r="D38">
        <f>'Members Data'!D38</f>
        <v>0</v>
      </c>
      <c r="E38" t="str">
        <f t="shared" si="1"/>
        <v>Error</v>
      </c>
      <c r="F38" t="s">
        <v>142</v>
      </c>
      <c r="G38">
        <f>Gear!L38</f>
        <v>0</v>
      </c>
      <c r="H38" t="s">
        <v>143</v>
      </c>
      <c r="I38" t="str">
        <f t="shared" si="0"/>
        <v/>
      </c>
    </row>
    <row r="39" spans="1:9">
      <c r="A39" t="s">
        <v>144</v>
      </c>
      <c r="B39">
        <f>Gear!A39</f>
        <v>0</v>
      </c>
      <c r="C39" t="s">
        <v>141</v>
      </c>
      <c r="D39">
        <f>'Members Data'!D39</f>
        <v>0</v>
      </c>
      <c r="E39" t="str">
        <f t="shared" si="1"/>
        <v>Error</v>
      </c>
      <c r="F39" t="s">
        <v>142</v>
      </c>
      <c r="G39">
        <f>Gear!L39</f>
        <v>0</v>
      </c>
      <c r="H39" t="s">
        <v>143</v>
      </c>
      <c r="I39" t="str">
        <f t="shared" si="0"/>
        <v/>
      </c>
    </row>
    <row r="40" spans="1:9">
      <c r="A40" t="s">
        <v>144</v>
      </c>
      <c r="B40">
        <f>Gear!A40</f>
        <v>0</v>
      </c>
      <c r="C40" t="s">
        <v>141</v>
      </c>
      <c r="D40">
        <f>'Members Data'!D40</f>
        <v>0</v>
      </c>
      <c r="E40" t="str">
        <f t="shared" si="1"/>
        <v>Error</v>
      </c>
      <c r="F40" t="s">
        <v>142</v>
      </c>
      <c r="G40">
        <f>Gear!L40</f>
        <v>0</v>
      </c>
      <c r="H40" t="s">
        <v>143</v>
      </c>
      <c r="I40" t="str">
        <f t="shared" si="0"/>
        <v/>
      </c>
    </row>
    <row r="41" spans="1:9">
      <c r="A41" t="s">
        <v>144</v>
      </c>
      <c r="B41">
        <f>Gear!A41</f>
        <v>0</v>
      </c>
      <c r="C41" t="s">
        <v>141</v>
      </c>
      <c r="D41">
        <f>'Members Data'!D41</f>
        <v>0</v>
      </c>
      <c r="E41" t="str">
        <f t="shared" si="1"/>
        <v>Error</v>
      </c>
      <c r="F41" t="s">
        <v>142</v>
      </c>
      <c r="G41">
        <f>Gear!L41</f>
        <v>0</v>
      </c>
      <c r="H41" t="s">
        <v>143</v>
      </c>
      <c r="I41" t="str">
        <f t="shared" si="0"/>
        <v/>
      </c>
    </row>
    <row r="42" spans="1:9">
      <c r="A42" t="s">
        <v>144</v>
      </c>
      <c r="B42">
        <f>Gear!A42</f>
        <v>0</v>
      </c>
      <c r="C42" t="s">
        <v>141</v>
      </c>
      <c r="D42">
        <f>'Members Data'!D42</f>
        <v>0</v>
      </c>
      <c r="E42" t="str">
        <f t="shared" si="1"/>
        <v>Error</v>
      </c>
      <c r="F42" t="s">
        <v>142</v>
      </c>
      <c r="G42">
        <f>Gear!L42</f>
        <v>0</v>
      </c>
      <c r="H42" t="s">
        <v>143</v>
      </c>
      <c r="I42" t="str">
        <f t="shared" si="0"/>
        <v/>
      </c>
    </row>
    <row r="43" spans="1:9">
      <c r="A43" t="s">
        <v>144</v>
      </c>
      <c r="B43">
        <f>Gear!A43</f>
        <v>0</v>
      </c>
      <c r="C43" t="s">
        <v>141</v>
      </c>
      <c r="D43">
        <f>'Members Data'!D43</f>
        <v>0</v>
      </c>
      <c r="E43" t="str">
        <f t="shared" si="1"/>
        <v>Error</v>
      </c>
      <c r="F43" t="s">
        <v>142</v>
      </c>
      <c r="G43">
        <f>Gear!L43</f>
        <v>0</v>
      </c>
      <c r="H43" t="s">
        <v>143</v>
      </c>
      <c r="I43" t="str">
        <f t="shared" si="0"/>
        <v/>
      </c>
    </row>
    <row r="44" spans="1:9">
      <c r="A44" t="s">
        <v>144</v>
      </c>
      <c r="B44">
        <f>Gear!A44</f>
        <v>0</v>
      </c>
      <c r="C44" t="s">
        <v>141</v>
      </c>
      <c r="D44">
        <f>'Members Data'!D44</f>
        <v>0</v>
      </c>
      <c r="E44" t="str">
        <f t="shared" si="1"/>
        <v>Error</v>
      </c>
      <c r="F44" t="s">
        <v>142</v>
      </c>
      <c r="G44">
        <f>Gear!L44</f>
        <v>0</v>
      </c>
      <c r="H44" t="s">
        <v>143</v>
      </c>
      <c r="I44" t="str">
        <f t="shared" si="0"/>
        <v/>
      </c>
    </row>
    <row r="45" spans="1:9">
      <c r="A45" t="s">
        <v>144</v>
      </c>
      <c r="B45">
        <f>Gear!A45</f>
        <v>0</v>
      </c>
      <c r="C45" t="s">
        <v>141</v>
      </c>
      <c r="D45">
        <f>'Members Data'!D45</f>
        <v>0</v>
      </c>
      <c r="E45" t="str">
        <f t="shared" si="1"/>
        <v>Error</v>
      </c>
      <c r="F45" t="s">
        <v>142</v>
      </c>
      <c r="G45">
        <f>Gear!L45</f>
        <v>0</v>
      </c>
      <c r="H45" t="s">
        <v>143</v>
      </c>
      <c r="I45" t="str">
        <f t="shared" si="0"/>
        <v/>
      </c>
    </row>
    <row r="46" spans="1:9">
      <c r="A46" t="s">
        <v>144</v>
      </c>
      <c r="B46">
        <f>Gear!A46</f>
        <v>0</v>
      </c>
      <c r="C46" t="s">
        <v>141</v>
      </c>
      <c r="D46">
        <f>'Members Data'!D46</f>
        <v>0</v>
      </c>
      <c r="E46" t="str">
        <f t="shared" si="1"/>
        <v>Error</v>
      </c>
      <c r="F46" t="s">
        <v>142</v>
      </c>
      <c r="G46">
        <f>Gear!L46</f>
        <v>0</v>
      </c>
      <c r="H46" t="s">
        <v>143</v>
      </c>
      <c r="I46" t="str">
        <f t="shared" si="0"/>
        <v/>
      </c>
    </row>
    <row r="47" spans="1:9">
      <c r="A47" t="s">
        <v>144</v>
      </c>
      <c r="B47">
        <f>Gear!A47</f>
        <v>0</v>
      </c>
      <c r="C47" t="s">
        <v>141</v>
      </c>
      <c r="D47">
        <f>'Members Data'!D47</f>
        <v>0</v>
      </c>
      <c r="E47" t="str">
        <f t="shared" si="1"/>
        <v>Error</v>
      </c>
      <c r="F47" t="s">
        <v>142</v>
      </c>
      <c r="G47">
        <f>Gear!L47</f>
        <v>0</v>
      </c>
      <c r="H47" t="s">
        <v>143</v>
      </c>
      <c r="I47" t="str">
        <f t="shared" si="0"/>
        <v/>
      </c>
    </row>
    <row r="48" spans="1:9">
      <c r="A48" t="s">
        <v>144</v>
      </c>
      <c r="B48">
        <f>Gear!A48</f>
        <v>0</v>
      </c>
      <c r="C48" t="s">
        <v>141</v>
      </c>
      <c r="D48">
        <f>'Members Data'!D48</f>
        <v>0</v>
      </c>
      <c r="E48" t="str">
        <f t="shared" si="1"/>
        <v>Error</v>
      </c>
      <c r="F48" t="s">
        <v>142</v>
      </c>
      <c r="G48">
        <f>Gear!L48</f>
        <v>0</v>
      </c>
      <c r="H48" t="s">
        <v>143</v>
      </c>
      <c r="I48" t="str">
        <f t="shared" si="0"/>
        <v/>
      </c>
    </row>
    <row r="49" spans="1:9">
      <c r="A49" t="s">
        <v>144</v>
      </c>
      <c r="B49">
        <f>Gear!A49</f>
        <v>0</v>
      </c>
      <c r="C49" t="s">
        <v>141</v>
      </c>
      <c r="D49">
        <f>'Members Data'!D49</f>
        <v>0</v>
      </c>
      <c r="E49" t="str">
        <f t="shared" si="1"/>
        <v>Error</v>
      </c>
      <c r="F49" t="s">
        <v>142</v>
      </c>
      <c r="G49">
        <f>Gear!L49</f>
        <v>0</v>
      </c>
      <c r="H49" t="s">
        <v>143</v>
      </c>
      <c r="I49" t="str">
        <f>IF(B49=0,"",A49&amp;B49&amp;C49&amp;E49&amp;F49&amp;G49&amp;H49)</f>
        <v/>
      </c>
    </row>
    <row r="50" spans="1:9">
      <c r="A50" t="s">
        <v>144</v>
      </c>
      <c r="B50">
        <f>Gear!A50</f>
        <v>0</v>
      </c>
      <c r="C50" t="s">
        <v>141</v>
      </c>
      <c r="D50">
        <f>'Members Data'!D50</f>
        <v>0</v>
      </c>
      <c r="E50" t="str">
        <f t="shared" si="1"/>
        <v>Error</v>
      </c>
      <c r="F50" t="s">
        <v>142</v>
      </c>
      <c r="G50">
        <f>Gear!L50</f>
        <v>0</v>
      </c>
      <c r="H50" t="s">
        <v>143</v>
      </c>
      <c r="I50" t="str">
        <f t="shared" ref="I50:I100" si="2">IF(B50=0,"",A50&amp;B50&amp;C50&amp;E50&amp;F50&amp;G50&amp;H50)</f>
        <v/>
      </c>
    </row>
    <row r="51" spans="1:9">
      <c r="A51" t="s">
        <v>144</v>
      </c>
      <c r="B51">
        <f>Gear!A51</f>
        <v>0</v>
      </c>
      <c r="C51" t="s">
        <v>141</v>
      </c>
      <c r="D51">
        <f>'Members Data'!D51</f>
        <v>0</v>
      </c>
      <c r="E51" t="str">
        <f t="shared" si="1"/>
        <v>Error</v>
      </c>
      <c r="F51" t="s">
        <v>142</v>
      </c>
      <c r="G51">
        <f>Gear!L51</f>
        <v>0</v>
      </c>
      <c r="H51" t="s">
        <v>143</v>
      </c>
      <c r="I51" t="str">
        <f t="shared" si="2"/>
        <v/>
      </c>
    </row>
    <row r="52" spans="1:9">
      <c r="A52" t="s">
        <v>144</v>
      </c>
      <c r="B52">
        <f>Gear!A52</f>
        <v>0</v>
      </c>
      <c r="C52" t="s">
        <v>141</v>
      </c>
      <c r="D52">
        <f>'Members Data'!D52</f>
        <v>0</v>
      </c>
      <c r="E52" t="str">
        <f t="shared" si="1"/>
        <v>Error</v>
      </c>
      <c r="F52" t="s">
        <v>142</v>
      </c>
      <c r="G52">
        <f>Gear!L52</f>
        <v>0</v>
      </c>
      <c r="H52" t="s">
        <v>143</v>
      </c>
      <c r="I52" t="str">
        <f t="shared" si="2"/>
        <v/>
      </c>
    </row>
    <row r="53" spans="1:9">
      <c r="A53" t="s">
        <v>144</v>
      </c>
      <c r="B53">
        <f>Gear!A53</f>
        <v>0</v>
      </c>
      <c r="C53" t="s">
        <v>141</v>
      </c>
      <c r="D53">
        <f>'Members Data'!D53</f>
        <v>0</v>
      </c>
      <c r="E53" t="str">
        <f t="shared" si="1"/>
        <v>Error</v>
      </c>
      <c r="F53" t="s">
        <v>142</v>
      </c>
      <c r="G53">
        <f>Gear!L53</f>
        <v>0</v>
      </c>
      <c r="H53" t="s">
        <v>143</v>
      </c>
      <c r="I53" t="str">
        <f t="shared" si="2"/>
        <v/>
      </c>
    </row>
    <row r="54" spans="1:9">
      <c r="A54" t="s">
        <v>144</v>
      </c>
      <c r="B54">
        <f>Gear!A54</f>
        <v>0</v>
      </c>
      <c r="C54" t="s">
        <v>141</v>
      </c>
      <c r="D54">
        <f>'Members Data'!D54</f>
        <v>0</v>
      </c>
      <c r="E54" t="str">
        <f t="shared" si="1"/>
        <v>Error</v>
      </c>
      <c r="F54" t="s">
        <v>142</v>
      </c>
      <c r="G54">
        <f>Gear!L54</f>
        <v>0</v>
      </c>
      <c r="H54" t="s">
        <v>143</v>
      </c>
      <c r="I54" t="str">
        <f t="shared" si="2"/>
        <v/>
      </c>
    </row>
    <row r="55" spans="1:9">
      <c r="A55" t="s">
        <v>144</v>
      </c>
      <c r="B55">
        <f>Gear!A55</f>
        <v>0</v>
      </c>
      <c r="C55" t="s">
        <v>141</v>
      </c>
      <c r="D55">
        <f>'Members Data'!D55</f>
        <v>0</v>
      </c>
      <c r="E55" t="str">
        <f t="shared" si="1"/>
        <v>Error</v>
      </c>
      <c r="F55" t="s">
        <v>142</v>
      </c>
      <c r="G55">
        <f>Gear!L55</f>
        <v>0</v>
      </c>
      <c r="H55" t="s">
        <v>143</v>
      </c>
      <c r="I55" t="str">
        <f t="shared" si="2"/>
        <v/>
      </c>
    </row>
    <row r="56" spans="1:9">
      <c r="A56" t="s">
        <v>144</v>
      </c>
      <c r="B56">
        <f>Gear!A56</f>
        <v>0</v>
      </c>
      <c r="C56" t="s">
        <v>141</v>
      </c>
      <c r="D56">
        <f>'Members Data'!D56</f>
        <v>0</v>
      </c>
      <c r="E56" t="str">
        <f t="shared" si="1"/>
        <v>Error</v>
      </c>
      <c r="F56" t="s">
        <v>142</v>
      </c>
      <c r="G56">
        <f>Gear!L56</f>
        <v>0</v>
      </c>
      <c r="H56" t="s">
        <v>143</v>
      </c>
      <c r="I56" t="str">
        <f t="shared" si="2"/>
        <v/>
      </c>
    </row>
    <row r="57" spans="1:9">
      <c r="A57" t="s">
        <v>144</v>
      </c>
      <c r="B57">
        <f>Gear!A57</f>
        <v>0</v>
      </c>
      <c r="C57" t="s">
        <v>141</v>
      </c>
      <c r="D57">
        <f>'Members Data'!D57</f>
        <v>0</v>
      </c>
      <c r="E57" t="str">
        <f t="shared" si="1"/>
        <v>Error</v>
      </c>
      <c r="F57" t="s">
        <v>142</v>
      </c>
      <c r="G57">
        <f>Gear!L57</f>
        <v>0</v>
      </c>
      <c r="H57" t="s">
        <v>143</v>
      </c>
      <c r="I57" t="str">
        <f t="shared" si="2"/>
        <v/>
      </c>
    </row>
    <row r="58" spans="1:9">
      <c r="A58" t="s">
        <v>144</v>
      </c>
      <c r="B58">
        <f>Gear!A58</f>
        <v>0</v>
      </c>
      <c r="C58" t="s">
        <v>141</v>
      </c>
      <c r="D58">
        <f>'Members Data'!D58</f>
        <v>0</v>
      </c>
      <c r="E58" t="str">
        <f t="shared" si="1"/>
        <v>Error</v>
      </c>
      <c r="F58" t="s">
        <v>142</v>
      </c>
      <c r="G58">
        <f>Gear!L58</f>
        <v>0</v>
      </c>
      <c r="H58" t="s">
        <v>143</v>
      </c>
      <c r="I58" t="str">
        <f t="shared" si="2"/>
        <v/>
      </c>
    </row>
    <row r="59" spans="1:9">
      <c r="A59" t="s">
        <v>144</v>
      </c>
      <c r="B59">
        <f>Gear!A59</f>
        <v>0</v>
      </c>
      <c r="C59" t="s">
        <v>141</v>
      </c>
      <c r="D59">
        <f>'Members Data'!D59</f>
        <v>0</v>
      </c>
      <c r="E59" t="str">
        <f t="shared" si="1"/>
        <v>Error</v>
      </c>
      <c r="F59" t="s">
        <v>142</v>
      </c>
      <c r="G59">
        <f>Gear!L59</f>
        <v>0</v>
      </c>
      <c r="H59" t="s">
        <v>143</v>
      </c>
      <c r="I59" t="str">
        <f t="shared" si="2"/>
        <v/>
      </c>
    </row>
    <row r="60" spans="1:9">
      <c r="A60" t="s">
        <v>144</v>
      </c>
      <c r="B60">
        <f>Gear!A60</f>
        <v>0</v>
      </c>
      <c r="C60" t="s">
        <v>141</v>
      </c>
      <c r="D60">
        <f>'Members Data'!D60</f>
        <v>0</v>
      </c>
      <c r="E60" t="str">
        <f t="shared" si="1"/>
        <v>Error</v>
      </c>
      <c r="F60" t="s">
        <v>142</v>
      </c>
      <c r="G60">
        <f>Gear!L60</f>
        <v>0</v>
      </c>
      <c r="H60" t="s">
        <v>143</v>
      </c>
      <c r="I60" t="str">
        <f t="shared" si="2"/>
        <v/>
      </c>
    </row>
    <row r="61" spans="1:9">
      <c r="A61" t="s">
        <v>144</v>
      </c>
      <c r="B61">
        <f>Gear!A61</f>
        <v>0</v>
      </c>
      <c r="C61" t="s">
        <v>141</v>
      </c>
      <c r="D61">
        <f>'Members Data'!D61</f>
        <v>0</v>
      </c>
      <c r="E61" t="str">
        <f t="shared" si="1"/>
        <v>Error</v>
      </c>
      <c r="F61" t="s">
        <v>142</v>
      </c>
      <c r="G61">
        <f>Gear!L61</f>
        <v>0</v>
      </c>
      <c r="H61" t="s">
        <v>143</v>
      </c>
      <c r="I61" t="str">
        <f t="shared" si="2"/>
        <v/>
      </c>
    </row>
    <row r="62" spans="1:9">
      <c r="A62" t="s">
        <v>144</v>
      </c>
      <c r="B62" t="str">
        <f>Gear!A62</f>
        <v>Kristofix</v>
      </c>
      <c r="C62" t="s">
        <v>141</v>
      </c>
      <c r="D62">
        <f>'Members Data'!D62</f>
        <v>0</v>
      </c>
      <c r="E62" t="str">
        <f t="shared" si="1"/>
        <v>Error</v>
      </c>
      <c r="F62" t="s">
        <v>142</v>
      </c>
      <c r="G62" t="e">
        <f>Gear!L62</f>
        <v>#N/A</v>
      </c>
      <c r="H62" t="s">
        <v>143</v>
      </c>
      <c r="I62" t="e">
        <f t="shared" si="2"/>
        <v>#N/A</v>
      </c>
    </row>
    <row r="63" spans="1:9">
      <c r="A63" t="s">
        <v>144</v>
      </c>
      <c r="B63" t="str">
        <f>Gear!A63</f>
        <v>Nazgol</v>
      </c>
      <c r="C63" t="s">
        <v>141</v>
      </c>
      <c r="D63">
        <f>'Members Data'!D63</f>
        <v>0</v>
      </c>
      <c r="E63" t="str">
        <f t="shared" si="1"/>
        <v>Error</v>
      </c>
      <c r="F63" t="s">
        <v>142</v>
      </c>
      <c r="G63" t="e">
        <f>Gear!L63</f>
        <v>#N/A</v>
      </c>
      <c r="H63" t="s">
        <v>143</v>
      </c>
      <c r="I63" t="e">
        <f t="shared" si="2"/>
        <v>#N/A</v>
      </c>
    </row>
    <row r="64" spans="1:9">
      <c r="A64" t="s">
        <v>144</v>
      </c>
      <c r="B64" t="str">
        <f>Gear!A64</f>
        <v>Icewinde</v>
      </c>
      <c r="C64" t="s">
        <v>141</v>
      </c>
      <c r="D64">
        <f>'Members Data'!D64</f>
        <v>0</v>
      </c>
      <c r="E64" t="str">
        <f t="shared" si="1"/>
        <v>Error</v>
      </c>
      <c r="F64" t="s">
        <v>142</v>
      </c>
      <c r="G64" t="e">
        <f>Gear!L64</f>
        <v>#N/A</v>
      </c>
      <c r="H64" t="s">
        <v>143</v>
      </c>
      <c r="I64" t="e">
        <f t="shared" si="2"/>
        <v>#N/A</v>
      </c>
    </row>
    <row r="65" spans="1:9">
      <c r="A65" t="s">
        <v>144</v>
      </c>
      <c r="B65" t="str">
        <f>Gear!A65</f>
        <v>Ambú</v>
      </c>
      <c r="C65" t="s">
        <v>141</v>
      </c>
      <c r="D65">
        <f>'Members Data'!D65</f>
        <v>0</v>
      </c>
      <c r="E65" t="str">
        <f t="shared" si="1"/>
        <v>Error</v>
      </c>
      <c r="F65" t="s">
        <v>142</v>
      </c>
      <c r="G65">
        <f>Gear!L65</f>
        <v>2</v>
      </c>
      <c r="H65" t="s">
        <v>143</v>
      </c>
      <c r="I65" t="str">
        <f t="shared" si="2"/>
        <v>,["Ambú"] = { ["note"] = "Error(2)"}</v>
      </c>
    </row>
    <row r="66" spans="1:9">
      <c r="A66" t="s">
        <v>144</v>
      </c>
      <c r="B66" t="str">
        <f>Gear!A66</f>
        <v>Mortali</v>
      </c>
      <c r="C66" t="s">
        <v>141</v>
      </c>
      <c r="D66">
        <f>'Members Data'!D66</f>
        <v>0</v>
      </c>
      <c r="E66" t="str">
        <f t="shared" si="1"/>
        <v>Error</v>
      </c>
      <c r="F66" t="s">
        <v>142</v>
      </c>
      <c r="G66" t="e">
        <f>Gear!L66</f>
        <v>#N/A</v>
      </c>
      <c r="H66" t="s">
        <v>143</v>
      </c>
      <c r="I66" t="e">
        <f t="shared" si="2"/>
        <v>#N/A</v>
      </c>
    </row>
    <row r="67" spans="1:9">
      <c r="A67" t="s">
        <v>144</v>
      </c>
      <c r="B67" t="str">
        <f>Gear!A67</f>
        <v>Andreah</v>
      </c>
      <c r="C67" t="s">
        <v>141</v>
      </c>
      <c r="D67">
        <f>'Members Data'!D67</f>
        <v>0</v>
      </c>
      <c r="E67" t="str">
        <f t="shared" ref="E67:E100" si="3">IF(D67="MDPS","D",IF(D67="RDPS","D",IF(D67="Healer","H",IF(D67="Tank","T","Error"))))</f>
        <v>Error</v>
      </c>
      <c r="F67" t="s">
        <v>142</v>
      </c>
      <c r="G67" t="e">
        <f>Gear!L67</f>
        <v>#N/A</v>
      </c>
      <c r="H67" t="s">
        <v>143</v>
      </c>
      <c r="I67" t="e">
        <f t="shared" si="2"/>
        <v>#N/A</v>
      </c>
    </row>
    <row r="68" spans="1:9">
      <c r="A68" t="s">
        <v>144</v>
      </c>
      <c r="B68" t="str">
        <f>Gear!A68</f>
        <v>Yardk</v>
      </c>
      <c r="C68" t="s">
        <v>141</v>
      </c>
      <c r="D68">
        <f>'Members Data'!D68</f>
        <v>0</v>
      </c>
      <c r="E68" t="str">
        <f t="shared" si="3"/>
        <v>Error</v>
      </c>
      <c r="F68" t="s">
        <v>142</v>
      </c>
      <c r="G68" t="e">
        <f>Gear!L68</f>
        <v>#N/A</v>
      </c>
      <c r="H68" t="s">
        <v>143</v>
      </c>
      <c r="I68" t="e">
        <f t="shared" si="2"/>
        <v>#N/A</v>
      </c>
    </row>
    <row r="69" spans="1:9">
      <c r="A69" t="s">
        <v>144</v>
      </c>
      <c r="B69" t="str">
        <f>Gear!A69</f>
        <v>Halfhorns</v>
      </c>
      <c r="C69" t="s">
        <v>141</v>
      </c>
      <c r="D69" t="str">
        <f>'Members Data'!D69</f>
        <v>MDPS</v>
      </c>
      <c r="E69" t="str">
        <f t="shared" si="3"/>
        <v>D</v>
      </c>
      <c r="F69" t="s">
        <v>142</v>
      </c>
      <c r="G69" t="e">
        <f>Gear!L69</f>
        <v>#N/A</v>
      </c>
      <c r="H69" t="s">
        <v>143</v>
      </c>
      <c r="I69" t="e">
        <f t="shared" si="2"/>
        <v>#N/A</v>
      </c>
    </row>
    <row r="70" spans="1:9">
      <c r="A70" t="s">
        <v>144</v>
      </c>
      <c r="B70" t="str">
        <f>Gear!A70</f>
        <v>Ebullio</v>
      </c>
      <c r="C70" t="s">
        <v>141</v>
      </c>
      <c r="D70">
        <f>'Members Data'!D70</f>
        <v>0</v>
      </c>
      <c r="E70" t="str">
        <f t="shared" si="3"/>
        <v>Error</v>
      </c>
      <c r="F70" t="s">
        <v>142</v>
      </c>
      <c r="G70" t="e">
        <f>Gear!L70</f>
        <v>#N/A</v>
      </c>
      <c r="H70" t="s">
        <v>143</v>
      </c>
      <c r="I70" t="e">
        <f t="shared" si="2"/>
        <v>#N/A</v>
      </c>
    </row>
    <row r="71" spans="1:9">
      <c r="A71" t="s">
        <v>144</v>
      </c>
      <c r="B71" t="str">
        <f>Gear!A71</f>
        <v>Fireaxe</v>
      </c>
      <c r="C71" t="s">
        <v>141</v>
      </c>
      <c r="D71">
        <f>'Members Data'!D71</f>
        <v>0</v>
      </c>
      <c r="E71" t="str">
        <f t="shared" si="3"/>
        <v>Error</v>
      </c>
      <c r="F71" t="s">
        <v>142</v>
      </c>
      <c r="G71" t="e">
        <f>Gear!L71</f>
        <v>#N/A</v>
      </c>
      <c r="H71" t="s">
        <v>143</v>
      </c>
      <c r="I71" t="e">
        <f t="shared" si="2"/>
        <v>#N/A</v>
      </c>
    </row>
    <row r="72" spans="1:9">
      <c r="A72" t="s">
        <v>144</v>
      </c>
      <c r="B72" t="str">
        <f>Gear!A72</f>
        <v>Firefoxy</v>
      </c>
      <c r="C72" t="s">
        <v>141</v>
      </c>
      <c r="D72">
        <f>'Members Data'!D72</f>
        <v>0</v>
      </c>
      <c r="E72" t="str">
        <f t="shared" si="3"/>
        <v>Error</v>
      </c>
      <c r="F72" t="s">
        <v>142</v>
      </c>
      <c r="G72" t="e">
        <f>Gear!L72</f>
        <v>#N/A</v>
      </c>
      <c r="H72" t="s">
        <v>143</v>
      </c>
      <c r="I72" t="e">
        <f t="shared" si="2"/>
        <v>#N/A</v>
      </c>
    </row>
    <row r="73" spans="1:9">
      <c r="A73" t="s">
        <v>144</v>
      </c>
      <c r="B73" t="str">
        <f>Gear!A73</f>
        <v>Boeyah</v>
      </c>
      <c r="C73" t="s">
        <v>141</v>
      </c>
      <c r="D73">
        <f>'Members Data'!D73</f>
        <v>0</v>
      </c>
      <c r="E73" t="str">
        <f t="shared" si="3"/>
        <v>Error</v>
      </c>
      <c r="F73" t="s">
        <v>142</v>
      </c>
      <c r="G73" t="e">
        <f>Gear!L73</f>
        <v>#N/A</v>
      </c>
      <c r="H73" t="s">
        <v>143</v>
      </c>
      <c r="I73" t="e">
        <f t="shared" si="2"/>
        <v>#N/A</v>
      </c>
    </row>
    <row r="74" spans="1:9">
      <c r="A74" t="s">
        <v>144</v>
      </c>
      <c r="B74" t="str">
        <f>Gear!A74</f>
        <v>Judgementz</v>
      </c>
      <c r="C74" t="s">
        <v>141</v>
      </c>
      <c r="D74">
        <f>'Members Data'!D74</f>
        <v>0</v>
      </c>
      <c r="E74" t="str">
        <f t="shared" si="3"/>
        <v>Error</v>
      </c>
      <c r="F74" t="s">
        <v>142</v>
      </c>
      <c r="G74" t="e">
        <f>Gear!L74</f>
        <v>#N/A</v>
      </c>
      <c r="H74" t="s">
        <v>143</v>
      </c>
      <c r="I74" t="e">
        <f t="shared" si="2"/>
        <v>#N/A</v>
      </c>
    </row>
    <row r="75" spans="1:9">
      <c r="A75" t="s">
        <v>144</v>
      </c>
      <c r="B75">
        <f>Gear!A75</f>
        <v>0</v>
      </c>
      <c r="C75" t="s">
        <v>141</v>
      </c>
      <c r="D75">
        <f>'Members Data'!D75</f>
        <v>0</v>
      </c>
      <c r="E75" t="str">
        <f t="shared" si="3"/>
        <v>Error</v>
      </c>
      <c r="F75" t="s">
        <v>142</v>
      </c>
      <c r="G75">
        <f>Gear!L75</f>
        <v>0</v>
      </c>
      <c r="H75" t="s">
        <v>143</v>
      </c>
      <c r="I75" t="str">
        <f t="shared" si="2"/>
        <v/>
      </c>
    </row>
    <row r="76" spans="1:9">
      <c r="A76" t="s">
        <v>144</v>
      </c>
      <c r="B76">
        <f>Gear!A76</f>
        <v>0</v>
      </c>
      <c r="C76" t="s">
        <v>141</v>
      </c>
      <c r="D76">
        <f>'Members Data'!D76</f>
        <v>0</v>
      </c>
      <c r="E76" t="str">
        <f t="shared" si="3"/>
        <v>Error</v>
      </c>
      <c r="F76" t="s">
        <v>142</v>
      </c>
      <c r="G76">
        <f>Gear!L76</f>
        <v>0</v>
      </c>
      <c r="H76" t="s">
        <v>143</v>
      </c>
      <c r="I76" t="str">
        <f t="shared" si="2"/>
        <v/>
      </c>
    </row>
    <row r="77" spans="1:9">
      <c r="A77" t="s">
        <v>144</v>
      </c>
      <c r="B77">
        <f>Gear!A77</f>
        <v>0</v>
      </c>
      <c r="C77" t="s">
        <v>141</v>
      </c>
      <c r="D77">
        <f>'Members Data'!D77</f>
        <v>0</v>
      </c>
      <c r="E77" t="str">
        <f t="shared" si="3"/>
        <v>Error</v>
      </c>
      <c r="F77" t="s">
        <v>142</v>
      </c>
      <c r="G77">
        <f>Gear!L77</f>
        <v>0</v>
      </c>
      <c r="H77" t="s">
        <v>143</v>
      </c>
      <c r="I77" t="str">
        <f t="shared" si="2"/>
        <v/>
      </c>
    </row>
    <row r="78" spans="1:9">
      <c r="A78" t="s">
        <v>144</v>
      </c>
      <c r="B78">
        <f>Gear!A78</f>
        <v>0</v>
      </c>
      <c r="C78" t="s">
        <v>141</v>
      </c>
      <c r="D78">
        <f>'Members Data'!D78</f>
        <v>0</v>
      </c>
      <c r="E78" t="str">
        <f t="shared" si="3"/>
        <v>Error</v>
      </c>
      <c r="F78" t="s">
        <v>142</v>
      </c>
      <c r="G78">
        <f>Gear!L78</f>
        <v>0</v>
      </c>
      <c r="H78" t="s">
        <v>143</v>
      </c>
      <c r="I78" t="str">
        <f t="shared" si="2"/>
        <v/>
      </c>
    </row>
    <row r="79" spans="1:9">
      <c r="A79" t="s">
        <v>144</v>
      </c>
      <c r="B79">
        <f>Gear!A79</f>
        <v>0</v>
      </c>
      <c r="C79" t="s">
        <v>141</v>
      </c>
      <c r="D79">
        <f>'Members Data'!D79</f>
        <v>0</v>
      </c>
      <c r="E79" t="str">
        <f t="shared" si="3"/>
        <v>Error</v>
      </c>
      <c r="F79" t="s">
        <v>142</v>
      </c>
      <c r="G79">
        <f>Gear!L79</f>
        <v>0</v>
      </c>
      <c r="H79" t="s">
        <v>143</v>
      </c>
      <c r="I79" t="str">
        <f t="shared" si="2"/>
        <v/>
      </c>
    </row>
    <row r="80" spans="1:9">
      <c r="A80" t="s">
        <v>144</v>
      </c>
      <c r="B80">
        <f>Gear!A80</f>
        <v>0</v>
      </c>
      <c r="C80" t="s">
        <v>141</v>
      </c>
      <c r="D80">
        <f>'Members Data'!D80</f>
        <v>0</v>
      </c>
      <c r="E80" t="str">
        <f t="shared" si="3"/>
        <v>Error</v>
      </c>
      <c r="F80" t="s">
        <v>142</v>
      </c>
      <c r="G80">
        <f>Gear!L80</f>
        <v>0</v>
      </c>
      <c r="H80" t="s">
        <v>143</v>
      </c>
      <c r="I80" t="str">
        <f t="shared" si="2"/>
        <v/>
      </c>
    </row>
    <row r="81" spans="1:9">
      <c r="A81" t="s">
        <v>144</v>
      </c>
      <c r="B81">
        <f>Gear!A81</f>
        <v>0</v>
      </c>
      <c r="C81" t="s">
        <v>141</v>
      </c>
      <c r="D81">
        <f>'Members Data'!D81</f>
        <v>0</v>
      </c>
      <c r="E81" t="str">
        <f t="shared" si="3"/>
        <v>Error</v>
      </c>
      <c r="F81" t="s">
        <v>142</v>
      </c>
      <c r="G81">
        <f>Gear!L81</f>
        <v>0</v>
      </c>
      <c r="H81" t="s">
        <v>143</v>
      </c>
      <c r="I81" t="str">
        <f t="shared" si="2"/>
        <v/>
      </c>
    </row>
    <row r="82" spans="1:9">
      <c r="A82" t="s">
        <v>144</v>
      </c>
      <c r="B82">
        <f>Gear!A82</f>
        <v>0</v>
      </c>
      <c r="C82" t="s">
        <v>141</v>
      </c>
      <c r="D82">
        <f>'Members Data'!D82</f>
        <v>0</v>
      </c>
      <c r="E82" t="str">
        <f t="shared" si="3"/>
        <v>Error</v>
      </c>
      <c r="F82" t="s">
        <v>142</v>
      </c>
      <c r="G82">
        <f>Gear!L82</f>
        <v>0</v>
      </c>
      <c r="H82" t="s">
        <v>143</v>
      </c>
      <c r="I82" t="str">
        <f t="shared" si="2"/>
        <v/>
      </c>
    </row>
    <row r="83" spans="1:9">
      <c r="A83" t="s">
        <v>144</v>
      </c>
      <c r="B83">
        <f>Gear!A83</f>
        <v>0</v>
      </c>
      <c r="C83" t="s">
        <v>141</v>
      </c>
      <c r="D83">
        <f>'Members Data'!D83</f>
        <v>0</v>
      </c>
      <c r="E83" t="str">
        <f t="shared" si="3"/>
        <v>Error</v>
      </c>
      <c r="F83" t="s">
        <v>142</v>
      </c>
      <c r="G83">
        <f>Gear!L83</f>
        <v>0</v>
      </c>
      <c r="H83" t="s">
        <v>143</v>
      </c>
      <c r="I83" t="str">
        <f t="shared" si="2"/>
        <v/>
      </c>
    </row>
    <row r="84" spans="1:9">
      <c r="A84" t="s">
        <v>144</v>
      </c>
      <c r="B84">
        <f>Gear!A84</f>
        <v>0</v>
      </c>
      <c r="C84" t="s">
        <v>141</v>
      </c>
      <c r="D84">
        <f>'Members Data'!D84</f>
        <v>0</v>
      </c>
      <c r="E84" t="str">
        <f t="shared" si="3"/>
        <v>Error</v>
      </c>
      <c r="F84" t="s">
        <v>142</v>
      </c>
      <c r="G84">
        <f>Gear!L84</f>
        <v>0</v>
      </c>
      <c r="H84" t="s">
        <v>143</v>
      </c>
      <c r="I84" t="str">
        <f t="shared" si="2"/>
        <v/>
      </c>
    </row>
    <row r="85" spans="1:9">
      <c r="A85" t="s">
        <v>144</v>
      </c>
      <c r="B85">
        <f>Gear!A85</f>
        <v>0</v>
      </c>
      <c r="C85" t="s">
        <v>141</v>
      </c>
      <c r="D85">
        <f>'Members Data'!D85</f>
        <v>0</v>
      </c>
      <c r="E85" t="str">
        <f t="shared" si="3"/>
        <v>Error</v>
      </c>
      <c r="F85" t="s">
        <v>142</v>
      </c>
      <c r="G85">
        <f>Gear!L85</f>
        <v>0</v>
      </c>
      <c r="H85" t="s">
        <v>143</v>
      </c>
      <c r="I85" t="str">
        <f t="shared" si="2"/>
        <v/>
      </c>
    </row>
    <row r="86" spans="1:9">
      <c r="A86" t="s">
        <v>144</v>
      </c>
      <c r="B86">
        <f>Gear!A86</f>
        <v>0</v>
      </c>
      <c r="C86" t="s">
        <v>141</v>
      </c>
      <c r="D86">
        <f>'Members Data'!D86</f>
        <v>0</v>
      </c>
      <c r="E86" t="str">
        <f t="shared" si="3"/>
        <v>Error</v>
      </c>
      <c r="F86" t="s">
        <v>142</v>
      </c>
      <c r="G86">
        <f>Gear!L86</f>
        <v>0</v>
      </c>
      <c r="H86" t="s">
        <v>143</v>
      </c>
      <c r="I86" t="str">
        <f t="shared" si="2"/>
        <v/>
      </c>
    </row>
    <row r="87" spans="1:9">
      <c r="A87" t="s">
        <v>144</v>
      </c>
      <c r="B87">
        <f>Gear!A87</f>
        <v>0</v>
      </c>
      <c r="C87" t="s">
        <v>141</v>
      </c>
      <c r="D87">
        <f>'Members Data'!D87</f>
        <v>0</v>
      </c>
      <c r="E87" t="str">
        <f t="shared" si="3"/>
        <v>Error</v>
      </c>
      <c r="F87" t="s">
        <v>142</v>
      </c>
      <c r="G87">
        <f>Gear!L87</f>
        <v>0</v>
      </c>
      <c r="H87" t="s">
        <v>143</v>
      </c>
      <c r="I87" t="str">
        <f t="shared" si="2"/>
        <v/>
      </c>
    </row>
    <row r="88" spans="1:9">
      <c r="A88" t="s">
        <v>144</v>
      </c>
      <c r="B88">
        <f>Gear!A88</f>
        <v>0</v>
      </c>
      <c r="C88" t="s">
        <v>141</v>
      </c>
      <c r="D88">
        <f>'Members Data'!D88</f>
        <v>0</v>
      </c>
      <c r="E88" t="str">
        <f t="shared" si="3"/>
        <v>Error</v>
      </c>
      <c r="F88" t="s">
        <v>142</v>
      </c>
      <c r="G88">
        <f>Gear!L88</f>
        <v>0</v>
      </c>
      <c r="H88" t="s">
        <v>143</v>
      </c>
      <c r="I88" t="str">
        <f t="shared" si="2"/>
        <v/>
      </c>
    </row>
    <row r="89" spans="1:9">
      <c r="A89" t="s">
        <v>144</v>
      </c>
      <c r="B89">
        <f>Gear!A89</f>
        <v>0</v>
      </c>
      <c r="C89" t="s">
        <v>141</v>
      </c>
      <c r="D89">
        <f>'Members Data'!D89</f>
        <v>0</v>
      </c>
      <c r="E89" t="str">
        <f t="shared" si="3"/>
        <v>Error</v>
      </c>
      <c r="F89" t="s">
        <v>142</v>
      </c>
      <c r="G89">
        <f>Gear!L89</f>
        <v>0</v>
      </c>
      <c r="H89" t="s">
        <v>143</v>
      </c>
      <c r="I89" t="str">
        <f t="shared" si="2"/>
        <v/>
      </c>
    </row>
    <row r="90" spans="1:9">
      <c r="A90" t="s">
        <v>144</v>
      </c>
      <c r="B90">
        <f>Gear!A90</f>
        <v>0</v>
      </c>
      <c r="C90" t="s">
        <v>141</v>
      </c>
      <c r="D90">
        <f>'Members Data'!D90</f>
        <v>0</v>
      </c>
      <c r="E90" t="str">
        <f t="shared" si="3"/>
        <v>Error</v>
      </c>
      <c r="F90" t="s">
        <v>142</v>
      </c>
      <c r="G90">
        <f>Gear!L90</f>
        <v>0</v>
      </c>
      <c r="H90" t="s">
        <v>143</v>
      </c>
      <c r="I90" t="str">
        <f t="shared" si="2"/>
        <v/>
      </c>
    </row>
    <row r="91" spans="1:9">
      <c r="A91" t="s">
        <v>144</v>
      </c>
      <c r="B91">
        <f>Gear!A91</f>
        <v>0</v>
      </c>
      <c r="C91" t="s">
        <v>141</v>
      </c>
      <c r="D91">
        <f>'Members Data'!D91</f>
        <v>0</v>
      </c>
      <c r="E91" t="str">
        <f t="shared" si="3"/>
        <v>Error</v>
      </c>
      <c r="F91" t="s">
        <v>142</v>
      </c>
      <c r="G91">
        <f>Gear!L91</f>
        <v>0</v>
      </c>
      <c r="H91" t="s">
        <v>143</v>
      </c>
      <c r="I91" t="str">
        <f t="shared" si="2"/>
        <v/>
      </c>
    </row>
    <row r="92" spans="1:9">
      <c r="A92" t="s">
        <v>144</v>
      </c>
      <c r="B92">
        <f>Gear!A92</f>
        <v>0</v>
      </c>
      <c r="C92" t="s">
        <v>141</v>
      </c>
      <c r="D92">
        <f>'Members Data'!D92</f>
        <v>0</v>
      </c>
      <c r="E92" t="str">
        <f t="shared" si="3"/>
        <v>Error</v>
      </c>
      <c r="F92" t="s">
        <v>142</v>
      </c>
      <c r="G92">
        <f>Gear!L92</f>
        <v>0</v>
      </c>
      <c r="H92" t="s">
        <v>143</v>
      </c>
      <c r="I92" t="str">
        <f t="shared" si="2"/>
        <v/>
      </c>
    </row>
    <row r="93" spans="1:9">
      <c r="A93" t="s">
        <v>144</v>
      </c>
      <c r="B93">
        <f>Gear!A93</f>
        <v>0</v>
      </c>
      <c r="C93" t="s">
        <v>141</v>
      </c>
      <c r="D93">
        <f>'Members Data'!D93</f>
        <v>0</v>
      </c>
      <c r="E93" t="str">
        <f t="shared" si="3"/>
        <v>Error</v>
      </c>
      <c r="F93" t="s">
        <v>142</v>
      </c>
      <c r="G93">
        <f>Gear!L93</f>
        <v>0</v>
      </c>
      <c r="H93" t="s">
        <v>143</v>
      </c>
      <c r="I93" t="str">
        <f t="shared" si="2"/>
        <v/>
      </c>
    </row>
    <row r="94" spans="1:9">
      <c r="A94" t="s">
        <v>144</v>
      </c>
      <c r="B94">
        <f>Gear!A94</f>
        <v>0</v>
      </c>
      <c r="C94" t="s">
        <v>141</v>
      </c>
      <c r="D94">
        <f>'Members Data'!D94</f>
        <v>0</v>
      </c>
      <c r="E94" t="str">
        <f t="shared" si="3"/>
        <v>Error</v>
      </c>
      <c r="F94" t="s">
        <v>142</v>
      </c>
      <c r="G94">
        <f>Gear!L94</f>
        <v>0</v>
      </c>
      <c r="H94" t="s">
        <v>143</v>
      </c>
      <c r="I94" t="str">
        <f t="shared" si="2"/>
        <v/>
      </c>
    </row>
    <row r="95" spans="1:9">
      <c r="A95" t="s">
        <v>144</v>
      </c>
      <c r="B95">
        <f>Gear!A95</f>
        <v>0</v>
      </c>
      <c r="C95" t="s">
        <v>141</v>
      </c>
      <c r="D95">
        <f>'Members Data'!D95</f>
        <v>0</v>
      </c>
      <c r="E95" t="str">
        <f t="shared" si="3"/>
        <v>Error</v>
      </c>
      <c r="F95" t="s">
        <v>142</v>
      </c>
      <c r="G95">
        <f>Gear!L95</f>
        <v>0</v>
      </c>
      <c r="H95" t="s">
        <v>143</v>
      </c>
      <c r="I95" t="str">
        <f t="shared" si="2"/>
        <v/>
      </c>
    </row>
    <row r="96" spans="1:9">
      <c r="A96" t="s">
        <v>144</v>
      </c>
      <c r="B96">
        <f>Gear!A96</f>
        <v>0</v>
      </c>
      <c r="C96" t="s">
        <v>141</v>
      </c>
      <c r="D96">
        <f>'Members Data'!D96</f>
        <v>0</v>
      </c>
      <c r="E96" t="str">
        <f t="shared" si="3"/>
        <v>Error</v>
      </c>
      <c r="F96" t="s">
        <v>142</v>
      </c>
      <c r="G96">
        <f>Gear!L96</f>
        <v>0</v>
      </c>
      <c r="H96" t="s">
        <v>143</v>
      </c>
      <c r="I96" t="str">
        <f t="shared" si="2"/>
        <v/>
      </c>
    </row>
    <row r="97" spans="1:9">
      <c r="A97" t="s">
        <v>144</v>
      </c>
      <c r="B97">
        <f>Gear!A97</f>
        <v>0</v>
      </c>
      <c r="C97" t="s">
        <v>141</v>
      </c>
      <c r="D97">
        <f>'Members Data'!D97</f>
        <v>0</v>
      </c>
      <c r="E97" t="str">
        <f t="shared" si="3"/>
        <v>Error</v>
      </c>
      <c r="F97" t="s">
        <v>142</v>
      </c>
      <c r="G97">
        <f>Gear!L97</f>
        <v>0</v>
      </c>
      <c r="H97" t="s">
        <v>143</v>
      </c>
      <c r="I97" t="str">
        <f t="shared" si="2"/>
        <v/>
      </c>
    </row>
    <row r="98" spans="1:9">
      <c r="A98" t="s">
        <v>144</v>
      </c>
      <c r="B98">
        <f>Gear!A98</f>
        <v>0</v>
      </c>
      <c r="C98" t="s">
        <v>141</v>
      </c>
      <c r="D98">
        <f>'Members Data'!D98</f>
        <v>0</v>
      </c>
      <c r="E98" t="str">
        <f t="shared" si="3"/>
        <v>Error</v>
      </c>
      <c r="F98" t="s">
        <v>142</v>
      </c>
      <c r="G98">
        <f>Gear!L98</f>
        <v>0</v>
      </c>
      <c r="H98" t="s">
        <v>143</v>
      </c>
      <c r="I98" t="str">
        <f t="shared" si="2"/>
        <v/>
      </c>
    </row>
    <row r="99" spans="1:9">
      <c r="A99" t="s">
        <v>144</v>
      </c>
      <c r="B99">
        <f>Gear!A99</f>
        <v>0</v>
      </c>
      <c r="C99" t="s">
        <v>141</v>
      </c>
      <c r="D99">
        <f>'Members Data'!D99</f>
        <v>0</v>
      </c>
      <c r="E99" t="str">
        <f t="shared" si="3"/>
        <v>Error</v>
      </c>
      <c r="F99" t="s">
        <v>142</v>
      </c>
      <c r="G99">
        <f>Gear!L99</f>
        <v>0</v>
      </c>
      <c r="H99" t="s">
        <v>143</v>
      </c>
      <c r="I99" t="str">
        <f t="shared" si="2"/>
        <v/>
      </c>
    </row>
    <row r="100" spans="1:9">
      <c r="A100" t="s">
        <v>144</v>
      </c>
      <c r="B100">
        <f>Gear!A100</f>
        <v>0</v>
      </c>
      <c r="C100" t="s">
        <v>141</v>
      </c>
      <c r="D100">
        <f>'Members Data'!D100</f>
        <v>0</v>
      </c>
      <c r="E100" t="str">
        <f t="shared" si="3"/>
        <v>Error</v>
      </c>
      <c r="F100" t="s">
        <v>142</v>
      </c>
      <c r="G100">
        <f>Gear!L100</f>
        <v>0</v>
      </c>
      <c r="H100" t="s">
        <v>143</v>
      </c>
      <c r="I100" t="str">
        <f t="shared" si="2"/>
        <v/>
      </c>
    </row>
    <row r="101" spans="1:9">
      <c r="I101" t="s">
        <v>145</v>
      </c>
    </row>
  </sheetData>
  <sheetProtection sheet="1" objects="1" scenarios="1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sheetPr codeName="Sheet1"/>
  <dimension ref="A2:M71"/>
  <sheetViews>
    <sheetView topLeftCell="A6" workbookViewId="0">
      <selection activeCell="D19" sqref="D19"/>
    </sheetView>
  </sheetViews>
  <sheetFormatPr defaultRowHeight="12.75"/>
  <cols>
    <col min="1" max="1" width="12.5703125" bestFit="1" customWidth="1"/>
    <col min="3" max="3" width="29.140625" customWidth="1"/>
    <col min="4" max="5" width="10.140625" bestFit="1" customWidth="1"/>
    <col min="6" max="6" width="8.28515625" bestFit="1" customWidth="1"/>
    <col min="7" max="7" width="10.140625" bestFit="1" customWidth="1"/>
  </cols>
  <sheetData>
    <row r="2" spans="1:13">
      <c r="C2" s="376"/>
    </row>
    <row r="3" spans="1:13">
      <c r="C3" s="376"/>
    </row>
    <row r="4" spans="1:13">
      <c r="C4" s="376"/>
    </row>
    <row r="5" spans="1:13">
      <c r="C5" s="376"/>
    </row>
    <row r="6" spans="1:13">
      <c r="C6" s="376"/>
    </row>
    <row r="7" spans="1:13">
      <c r="A7" t="s">
        <v>236</v>
      </c>
      <c r="B7" t="s">
        <v>31</v>
      </c>
      <c r="C7" s="376" t="s">
        <v>19</v>
      </c>
      <c r="E7" s="483"/>
      <c r="G7" s="376"/>
      <c r="H7" s="376"/>
      <c r="I7" s="484"/>
      <c r="J7" s="484"/>
      <c r="L7" s="483"/>
    </row>
    <row r="8" spans="1:13">
      <c r="A8" t="s">
        <v>213</v>
      </c>
      <c r="B8" t="s">
        <v>31</v>
      </c>
      <c r="C8" s="376" t="s">
        <v>21</v>
      </c>
      <c r="E8" s="376"/>
      <c r="F8" s="483"/>
      <c r="H8" s="376"/>
      <c r="I8" s="376"/>
      <c r="J8" s="484"/>
      <c r="K8" s="484"/>
      <c r="M8" s="483"/>
    </row>
    <row r="9" spans="1:13">
      <c r="A9" t="s">
        <v>232</v>
      </c>
      <c r="B9" t="s">
        <v>31</v>
      </c>
      <c r="C9" s="376" t="s">
        <v>182</v>
      </c>
      <c r="E9" s="376"/>
    </row>
    <row r="10" spans="1:13">
      <c r="A10" t="s">
        <v>258</v>
      </c>
      <c r="B10" t="s">
        <v>31</v>
      </c>
      <c r="C10" t="s">
        <v>17</v>
      </c>
      <c r="E10" s="376"/>
      <c r="G10" s="376"/>
      <c r="H10" s="376"/>
      <c r="I10" s="484"/>
      <c r="J10" s="484"/>
      <c r="L10" s="483"/>
    </row>
    <row r="11" spans="1:13">
      <c r="A11" t="s">
        <v>243</v>
      </c>
      <c r="B11" t="s">
        <v>31</v>
      </c>
      <c r="C11" s="376" t="s">
        <v>16</v>
      </c>
      <c r="E11" s="376"/>
      <c r="F11" s="483"/>
      <c r="H11" s="376"/>
      <c r="I11" s="376"/>
      <c r="J11" s="484"/>
      <c r="K11" s="484"/>
      <c r="M11" s="483"/>
    </row>
    <row r="12" spans="1:13">
      <c r="A12" t="s">
        <v>231</v>
      </c>
      <c r="B12" t="s">
        <v>31</v>
      </c>
      <c r="C12" t="s">
        <v>30</v>
      </c>
      <c r="E12" s="376"/>
    </row>
    <row r="13" spans="1:13">
      <c r="A13" t="s">
        <v>250</v>
      </c>
      <c r="B13" t="s">
        <v>31</v>
      </c>
      <c r="C13" t="s">
        <v>22</v>
      </c>
      <c r="E13" s="376"/>
      <c r="G13" s="376"/>
      <c r="H13" s="376"/>
      <c r="I13" s="484"/>
      <c r="J13" s="484"/>
      <c r="L13" s="483"/>
    </row>
    <row r="14" spans="1:13">
      <c r="A14" t="s">
        <v>224</v>
      </c>
      <c r="B14" t="s">
        <v>31</v>
      </c>
      <c r="C14" t="s">
        <v>16</v>
      </c>
      <c r="E14" s="376"/>
      <c r="F14" s="483"/>
      <c r="H14" s="376"/>
      <c r="I14" s="376"/>
      <c r="J14" s="484"/>
      <c r="K14" s="484"/>
      <c r="M14" s="483"/>
    </row>
    <row r="15" spans="1:13">
      <c r="A15" t="s">
        <v>252</v>
      </c>
      <c r="B15" t="s">
        <v>31</v>
      </c>
      <c r="C15" s="376" t="s">
        <v>19</v>
      </c>
      <c r="E15" s="376"/>
    </row>
    <row r="16" spans="1:13">
      <c r="A16" t="s">
        <v>251</v>
      </c>
      <c r="B16" t="s">
        <v>31</v>
      </c>
      <c r="C16" s="376" t="s">
        <v>22</v>
      </c>
      <c r="E16" s="376"/>
      <c r="G16" s="376"/>
      <c r="H16" s="376"/>
      <c r="I16" s="484"/>
      <c r="J16" s="484"/>
      <c r="L16" s="483"/>
    </row>
    <row r="17" spans="1:13">
      <c r="A17" t="s">
        <v>214</v>
      </c>
      <c r="B17" t="s">
        <v>31</v>
      </c>
      <c r="C17" s="376" t="s">
        <v>182</v>
      </c>
      <c r="E17" s="376"/>
      <c r="F17" s="483"/>
      <c r="H17" s="376"/>
      <c r="I17" s="376"/>
      <c r="J17" s="484"/>
      <c r="K17" s="484"/>
      <c r="M17" s="483"/>
    </row>
    <row r="18" spans="1:13">
      <c r="A18" t="s">
        <v>237</v>
      </c>
      <c r="B18" t="s">
        <v>31</v>
      </c>
      <c r="C18" s="376" t="s">
        <v>182</v>
      </c>
      <c r="E18" s="376"/>
    </row>
    <row r="19" spans="1:13">
      <c r="A19" t="s">
        <v>234</v>
      </c>
      <c r="B19" t="s">
        <v>31</v>
      </c>
      <c r="C19" t="s">
        <v>17</v>
      </c>
      <c r="E19" s="376"/>
      <c r="G19" s="376"/>
      <c r="H19" s="376"/>
      <c r="I19" s="484"/>
      <c r="J19" s="484"/>
      <c r="L19" s="483"/>
    </row>
    <row r="20" spans="1:13">
      <c r="A20" t="s">
        <v>222</v>
      </c>
      <c r="B20" t="s">
        <v>31</v>
      </c>
      <c r="C20" t="s">
        <v>16</v>
      </c>
      <c r="E20" s="376"/>
      <c r="F20" s="483"/>
      <c r="H20" s="376"/>
      <c r="I20" s="376"/>
      <c r="J20" s="484"/>
      <c r="K20" s="484"/>
      <c r="M20" s="483"/>
    </row>
    <row r="21" spans="1:13">
      <c r="A21" t="s">
        <v>226</v>
      </c>
      <c r="B21" t="s">
        <v>31</v>
      </c>
      <c r="C21" t="s">
        <v>30</v>
      </c>
      <c r="E21" s="376"/>
    </row>
    <row r="22" spans="1:13">
      <c r="A22" t="s">
        <v>211</v>
      </c>
      <c r="B22" t="s">
        <v>31</v>
      </c>
      <c r="C22" t="s">
        <v>19</v>
      </c>
      <c r="E22" s="376"/>
      <c r="G22" s="376"/>
      <c r="H22" s="376"/>
      <c r="I22" s="484"/>
      <c r="J22" s="484"/>
      <c r="L22" s="483"/>
    </row>
    <row r="23" spans="1:13">
      <c r="A23" t="s">
        <v>253</v>
      </c>
      <c r="B23" t="s">
        <v>31</v>
      </c>
      <c r="C23" s="376" t="s">
        <v>20</v>
      </c>
      <c r="E23" s="376"/>
      <c r="F23" s="483"/>
      <c r="H23" s="376"/>
      <c r="I23" s="376"/>
      <c r="J23" s="484"/>
      <c r="K23" s="484"/>
      <c r="M23" s="483"/>
    </row>
    <row r="24" spans="1:13">
      <c r="A24" t="s">
        <v>198</v>
      </c>
      <c r="B24" t="s">
        <v>31</v>
      </c>
      <c r="C24" s="376" t="s">
        <v>20</v>
      </c>
      <c r="E24" s="376"/>
    </row>
    <row r="25" spans="1:13">
      <c r="A25" t="s">
        <v>240</v>
      </c>
      <c r="B25" t="s">
        <v>31</v>
      </c>
      <c r="C25" s="376" t="s">
        <v>22</v>
      </c>
      <c r="E25" s="376"/>
      <c r="G25" s="376"/>
      <c r="H25" s="376"/>
      <c r="I25" s="484"/>
      <c r="J25" s="484"/>
      <c r="L25" s="483"/>
    </row>
    <row r="26" spans="1:13">
      <c r="A26" t="s">
        <v>212</v>
      </c>
      <c r="B26" t="s">
        <v>31</v>
      </c>
      <c r="C26" s="376" t="s">
        <v>182</v>
      </c>
      <c r="E26" s="376"/>
      <c r="F26" s="483"/>
      <c r="H26" s="376"/>
      <c r="I26" s="376"/>
      <c r="J26" s="484"/>
      <c r="K26" s="484"/>
      <c r="M26" s="483"/>
    </row>
    <row r="27" spans="1:13">
      <c r="A27" t="s">
        <v>221</v>
      </c>
      <c r="B27" t="s">
        <v>31</v>
      </c>
      <c r="C27" s="376" t="s">
        <v>20</v>
      </c>
      <c r="E27" s="376"/>
    </row>
    <row r="28" spans="1:13">
      <c r="A28" t="s">
        <v>254</v>
      </c>
      <c r="B28" t="s">
        <v>31</v>
      </c>
      <c r="C28" t="s">
        <v>18</v>
      </c>
      <c r="E28" s="376"/>
      <c r="G28" s="376"/>
      <c r="H28" s="376"/>
      <c r="I28" s="484"/>
      <c r="J28" s="484"/>
      <c r="L28" s="483"/>
    </row>
    <row r="29" spans="1:13">
      <c r="A29" t="s">
        <v>134</v>
      </c>
      <c r="B29" t="s">
        <v>31</v>
      </c>
      <c r="C29" s="376" t="s">
        <v>15</v>
      </c>
      <c r="E29" s="376"/>
      <c r="F29" s="483"/>
      <c r="H29" s="376"/>
      <c r="I29" s="376"/>
      <c r="J29" s="484"/>
      <c r="K29" s="484"/>
      <c r="M29" s="483"/>
    </row>
    <row r="30" spans="1:13">
      <c r="A30" t="s">
        <v>244</v>
      </c>
      <c r="B30" t="s">
        <v>31</v>
      </c>
      <c r="C30" s="376" t="s">
        <v>22</v>
      </c>
      <c r="E30" s="376"/>
    </row>
    <row r="31" spans="1:13">
      <c r="A31" t="s">
        <v>255</v>
      </c>
      <c r="B31" t="s">
        <v>31</v>
      </c>
      <c r="C31" t="s">
        <v>19</v>
      </c>
      <c r="G31" s="376"/>
      <c r="H31" s="376"/>
      <c r="I31" s="484"/>
      <c r="J31" s="484"/>
      <c r="L31" s="483"/>
    </row>
    <row r="32" spans="1:13">
      <c r="A32" t="s">
        <v>245</v>
      </c>
      <c r="B32" t="s">
        <v>31</v>
      </c>
      <c r="C32" t="s">
        <v>18</v>
      </c>
      <c r="E32" s="483"/>
      <c r="F32" s="483"/>
      <c r="H32" s="376"/>
      <c r="I32" s="376"/>
      <c r="J32" s="484"/>
      <c r="K32" s="484"/>
      <c r="M32" s="483"/>
    </row>
    <row r="33" spans="1:13">
      <c r="A33" t="s">
        <v>223</v>
      </c>
      <c r="B33" t="s">
        <v>31</v>
      </c>
      <c r="C33" t="s">
        <v>20</v>
      </c>
      <c r="E33" s="376"/>
      <c r="F33" s="483"/>
      <c r="H33" s="376"/>
      <c r="I33" s="376"/>
      <c r="J33" s="484"/>
      <c r="K33" s="484"/>
      <c r="M33" s="483"/>
    </row>
    <row r="34" spans="1:13">
      <c r="A34" t="s">
        <v>241</v>
      </c>
      <c r="B34" t="s">
        <v>31</v>
      </c>
      <c r="C34" t="s">
        <v>18</v>
      </c>
    </row>
    <row r="35" spans="1:13">
      <c r="A35" t="s">
        <v>235</v>
      </c>
      <c r="B35" t="s">
        <v>31</v>
      </c>
      <c r="C35" t="s">
        <v>22</v>
      </c>
    </row>
    <row r="36" spans="1:13">
      <c r="A36" t="s">
        <v>246</v>
      </c>
      <c r="B36" t="s">
        <v>31</v>
      </c>
      <c r="C36" t="s">
        <v>15</v>
      </c>
    </row>
    <row r="37" spans="1:13">
      <c r="A37" t="s">
        <v>230</v>
      </c>
      <c r="B37" t="s">
        <v>31</v>
      </c>
      <c r="C37" s="376" t="s">
        <v>20</v>
      </c>
      <c r="E37" s="483"/>
      <c r="G37" s="376"/>
      <c r="H37" s="376"/>
      <c r="I37" s="484"/>
      <c r="J37" s="484"/>
      <c r="L37" s="483"/>
    </row>
    <row r="38" spans="1:13">
      <c r="A38" t="s">
        <v>199</v>
      </c>
      <c r="B38" t="s">
        <v>31</v>
      </c>
      <c r="C38" t="s">
        <v>20</v>
      </c>
      <c r="E38" s="376"/>
      <c r="F38" s="483"/>
      <c r="H38" s="376"/>
      <c r="I38" s="376"/>
      <c r="J38" s="484"/>
      <c r="K38" s="484"/>
      <c r="M38" s="483"/>
    </row>
    <row r="39" spans="1:13">
      <c r="A39" t="s">
        <v>200</v>
      </c>
      <c r="B39" t="s">
        <v>31</v>
      </c>
      <c r="C39" t="s">
        <v>24</v>
      </c>
      <c r="E39" s="376"/>
      <c r="F39" s="483"/>
      <c r="H39" s="376"/>
      <c r="I39" s="376"/>
      <c r="J39" s="484"/>
      <c r="K39" s="484"/>
      <c r="M39" s="483"/>
    </row>
    <row r="40" spans="1:13">
      <c r="A40" t="s">
        <v>256</v>
      </c>
      <c r="B40" t="s">
        <v>31</v>
      </c>
      <c r="C40" s="376" t="s">
        <v>182</v>
      </c>
      <c r="E40" s="376"/>
    </row>
    <row r="41" spans="1:13">
      <c r="A41" t="s">
        <v>242</v>
      </c>
      <c r="B41" t="s">
        <v>31</v>
      </c>
      <c r="C41" s="376" t="s">
        <v>19</v>
      </c>
      <c r="E41" s="376"/>
      <c r="G41" s="376"/>
      <c r="H41" s="376"/>
      <c r="I41" s="484"/>
      <c r="J41" s="484"/>
      <c r="L41" s="483"/>
    </row>
    <row r="42" spans="1:13">
      <c r="A42" t="s">
        <v>257</v>
      </c>
      <c r="B42" t="s">
        <v>31</v>
      </c>
      <c r="C42" t="s">
        <v>24</v>
      </c>
      <c r="E42" s="376"/>
      <c r="F42" s="483"/>
      <c r="H42" s="376"/>
      <c r="I42" s="376"/>
      <c r="J42" s="484"/>
      <c r="K42" s="484"/>
      <c r="M42" s="483"/>
    </row>
    <row r="43" spans="1:13">
      <c r="C43" s="376"/>
      <c r="E43" s="376"/>
    </row>
    <row r="44" spans="1:13">
      <c r="G44" s="376"/>
      <c r="H44" s="376"/>
      <c r="I44" s="484"/>
      <c r="J44" s="484"/>
      <c r="L44" s="483"/>
    </row>
    <row r="45" spans="1:13">
      <c r="E45" s="376"/>
      <c r="F45" s="483"/>
      <c r="H45" s="376"/>
      <c r="I45" s="376"/>
      <c r="J45" s="484"/>
      <c r="K45" s="484"/>
      <c r="M45" s="483"/>
    </row>
    <row r="49" spans="3:13">
      <c r="E49" s="483"/>
      <c r="G49" s="376"/>
      <c r="H49" s="376"/>
      <c r="I49" s="484"/>
      <c r="J49" s="484"/>
      <c r="L49" s="483"/>
    </row>
    <row r="50" spans="3:13">
      <c r="E50" s="376"/>
      <c r="F50" s="483"/>
      <c r="H50" s="376"/>
      <c r="I50" s="376"/>
      <c r="J50" s="484"/>
      <c r="K50" s="484"/>
      <c r="M50" s="483"/>
    </row>
    <row r="51" spans="3:13">
      <c r="E51" s="376"/>
    </row>
    <row r="52" spans="3:13">
      <c r="E52" s="376"/>
      <c r="G52" s="376"/>
      <c r="H52" s="376"/>
      <c r="I52" s="484"/>
      <c r="J52" s="484"/>
      <c r="L52" s="483"/>
    </row>
    <row r="53" spans="3:13">
      <c r="E53" s="376"/>
      <c r="F53" s="483"/>
      <c r="H53" s="376"/>
      <c r="I53" s="376"/>
      <c r="J53" s="484"/>
      <c r="K53" s="484"/>
      <c r="M53" s="483"/>
    </row>
    <row r="54" spans="3:13">
      <c r="E54" s="376"/>
    </row>
    <row r="55" spans="3:13">
      <c r="G55" s="376"/>
      <c r="H55" s="376"/>
      <c r="I55" s="484"/>
      <c r="J55" s="484"/>
      <c r="L55" s="483"/>
    </row>
    <row r="56" spans="3:13">
      <c r="E56" s="483"/>
      <c r="F56" s="483"/>
      <c r="H56" s="376"/>
      <c r="I56" s="376"/>
      <c r="J56" s="484"/>
      <c r="K56" s="484"/>
      <c r="M56" s="483"/>
    </row>
    <row r="58" spans="3:13">
      <c r="E58" s="483"/>
      <c r="G58" s="376"/>
      <c r="H58" s="376"/>
      <c r="I58" s="484"/>
      <c r="J58" s="484"/>
      <c r="L58" s="483"/>
    </row>
    <row r="59" spans="3:13">
      <c r="F59" s="483"/>
      <c r="H59" s="376"/>
      <c r="I59" s="376"/>
      <c r="J59" s="484"/>
      <c r="K59" s="484"/>
      <c r="M59" s="483"/>
    </row>
    <row r="60" spans="3:13">
      <c r="E60" s="483"/>
    </row>
    <row r="61" spans="3:13">
      <c r="G61" s="376"/>
      <c r="H61" s="376"/>
      <c r="I61" s="484"/>
      <c r="J61" s="484"/>
      <c r="L61" s="483"/>
    </row>
    <row r="62" spans="3:13">
      <c r="E62" s="483"/>
      <c r="F62" s="483"/>
      <c r="H62" s="376"/>
      <c r="I62" s="376"/>
      <c r="J62" s="484"/>
      <c r="K62" s="484"/>
      <c r="M62" s="483"/>
    </row>
    <row r="63" spans="3:13">
      <c r="C63" s="376"/>
    </row>
    <row r="64" spans="3:13">
      <c r="C64" s="376"/>
    </row>
    <row r="65" spans="3:3">
      <c r="C65" s="376"/>
    </row>
    <row r="70" spans="3:3">
      <c r="C70" s="376"/>
    </row>
    <row r="71" spans="3:3">
      <c r="C71" s="376"/>
    </row>
  </sheetData>
  <sortState ref="A7:C45">
    <sortCondition ref="A45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M128"/>
  <sheetViews>
    <sheetView zoomScale="85" zoomScaleNormal="85" workbookViewId="0">
      <pane xSplit="1" ySplit="1" topLeftCell="B2" activePane="bottomRight" state="frozen"/>
      <selection activeCell="F51" sqref="F47:F51"/>
      <selection pane="topRight" activeCell="F51" sqref="F47:F51"/>
      <selection pane="bottomLeft" activeCell="F51" sqref="F47:F51"/>
      <selection pane="bottomRight" activeCell="W14" sqref="W14"/>
    </sheetView>
  </sheetViews>
  <sheetFormatPr defaultColWidth="8.7109375" defaultRowHeight="15" customHeight="1"/>
  <cols>
    <col min="1" max="1" width="14" style="47" bestFit="1" customWidth="1"/>
    <col min="2" max="2" width="15.85546875" style="47" bestFit="1" customWidth="1"/>
    <col min="3" max="3" width="12.85546875" style="1" bestFit="1" customWidth="1"/>
    <col min="4" max="8" width="12.42578125" style="1" customWidth="1"/>
    <col min="9" max="9" width="12.42578125" style="282" customWidth="1"/>
    <col min="10" max="22" width="8.7109375" style="1" hidden="1" customWidth="1"/>
    <col min="23" max="23" width="43.5703125" style="1" bestFit="1" customWidth="1"/>
    <col min="24" max="24" width="44" style="1" bestFit="1" customWidth="1"/>
    <col min="26" max="27" width="8.7109375" hidden="1" customWidth="1"/>
    <col min="28" max="28" width="8.7109375" style="1" hidden="1" customWidth="1"/>
    <col min="29" max="29" width="11.28515625" style="1" hidden="1" customWidth="1"/>
    <col min="30" max="32" width="8.7109375" style="1" hidden="1" customWidth="1"/>
    <col min="33" max="33" width="8.7109375" style="1"/>
    <col min="34" max="34" width="0" style="1" hidden="1" customWidth="1"/>
    <col min="35" max="35" width="8.7109375" style="1"/>
    <col min="36" max="36" width="0" style="1" hidden="1" customWidth="1"/>
    <col min="37" max="247" width="8.7109375" style="1"/>
  </cols>
  <sheetData>
    <row r="1" spans="1:247" ht="37.5" customHeight="1" thickBot="1">
      <c r="A1" s="33" t="s">
        <v>26</v>
      </c>
      <c r="B1" s="124" t="s">
        <v>27</v>
      </c>
      <c r="C1" s="35" t="s">
        <v>11</v>
      </c>
      <c r="D1" s="34" t="s">
        <v>28</v>
      </c>
      <c r="E1" s="34" t="s">
        <v>79</v>
      </c>
      <c r="F1" s="34" t="s">
        <v>127</v>
      </c>
      <c r="G1" s="34" t="s">
        <v>128</v>
      </c>
      <c r="H1" s="34" t="s">
        <v>132</v>
      </c>
      <c r="I1" s="281" t="s">
        <v>133</v>
      </c>
      <c r="J1" s="1" t="s">
        <v>126</v>
      </c>
      <c r="K1" s="1" t="s">
        <v>4</v>
      </c>
      <c r="L1" s="1" t="s">
        <v>14</v>
      </c>
      <c r="M1" s="1" t="s">
        <v>15</v>
      </c>
      <c r="N1" s="1" t="s">
        <v>16</v>
      </c>
      <c r="O1" s="1" t="s">
        <v>17</v>
      </c>
      <c r="P1" s="1" t="s">
        <v>18</v>
      </c>
      <c r="Q1" s="1" t="s">
        <v>19</v>
      </c>
      <c r="R1" s="1" t="s">
        <v>20</v>
      </c>
      <c r="S1" s="1" t="s">
        <v>29</v>
      </c>
      <c r="T1" s="1" t="s">
        <v>22</v>
      </c>
      <c r="U1" s="1" t="s">
        <v>30</v>
      </c>
      <c r="V1" s="1" t="s">
        <v>24</v>
      </c>
      <c r="W1" s="34" t="s">
        <v>162</v>
      </c>
      <c r="X1" s="34" t="s">
        <v>163</v>
      </c>
      <c r="AA1" s="1"/>
      <c r="IM1"/>
    </row>
    <row r="2" spans="1:247" ht="15" customHeight="1">
      <c r="A2" s="446" t="s">
        <v>236</v>
      </c>
      <c r="B2" s="125" t="s">
        <v>31</v>
      </c>
      <c r="C2" s="36" t="s">
        <v>19</v>
      </c>
      <c r="D2" s="38" t="s">
        <v>13</v>
      </c>
      <c r="E2" s="187">
        <f>Gear!L2</f>
        <v>3</v>
      </c>
      <c r="F2" s="187">
        <f>Gear!J2</f>
        <v>0</v>
      </c>
      <c r="G2" s="188">
        <f>Gear!Q2</f>
        <v>0.62369744092552248</v>
      </c>
      <c r="H2" s="187">
        <f>DCC!B2</f>
        <v>8</v>
      </c>
      <c r="I2" s="187">
        <f>IF(ISNA(AH2),0,AH2)</f>
        <v>0</v>
      </c>
      <c r="J2" s="1">
        <f t="shared" ref="J2:J4" si="0">COUNTIF(D2,"Healererer")</f>
        <v>0</v>
      </c>
      <c r="K2" s="1">
        <f t="shared" ref="K2:K4" si="1">COUNTIF(D2,"DPS")</f>
        <v>0</v>
      </c>
      <c r="L2" s="1">
        <f t="shared" ref="L2:L4" si="2">COUNTIF(D2,"Tank")</f>
        <v>0</v>
      </c>
      <c r="M2" s="1">
        <f t="shared" ref="M2:M4" si="3">COUNTIF(C2,"Death Knight")</f>
        <v>0</v>
      </c>
      <c r="N2" s="1">
        <f t="shared" ref="N2:N4" si="4">COUNTIF(C2,"Druid")</f>
        <v>0</v>
      </c>
      <c r="O2" s="1">
        <f t="shared" ref="O2:O4" si="5">COUNTIF(C2,"Hunter")</f>
        <v>0</v>
      </c>
      <c r="P2" s="1">
        <f t="shared" ref="P2:P4" si="6">COUNTIF(C2,"Mage")</f>
        <v>0</v>
      </c>
      <c r="Q2" s="1">
        <f t="shared" ref="Q2:Q4" si="7">COUNTIF(C2,"Paladin")</f>
        <v>1</v>
      </c>
      <c r="R2" s="1">
        <f t="shared" ref="R2:R4" si="8">COUNTIF(C2,"Priest")</f>
        <v>0</v>
      </c>
      <c r="S2" s="1">
        <f t="shared" ref="S2:S4" si="9">COUNTIF(C2,"Rogue")</f>
        <v>0</v>
      </c>
      <c r="T2" s="1">
        <f t="shared" ref="T2:T4" si="10">COUNTIF(C2,"Shaman")</f>
        <v>0</v>
      </c>
      <c r="U2" s="1">
        <f t="shared" ref="U2:U4" si="11">COUNTIF(C2,"Warlock")</f>
        <v>0</v>
      </c>
      <c r="V2" s="1">
        <f t="shared" ref="V2:V4" si="12">COUNTIF(C2,"Warrior")</f>
        <v>0</v>
      </c>
      <c r="W2" s="193" t="str">
        <f>IF(E2&gt;=$AD$8," ","Gear, ")&amp;IF(F2&lt;=$AE$8," ","Gear Quality, ")&amp;IF(G2&gt;=$AF$8," ","Raid Output, ")&amp;IF(H2&gt;=$AC$8,IF(I2&gt;=$AC$8," ","Attendance"),"Attendance")</f>
        <v>Gear,   Attendance</v>
      </c>
      <c r="X2" s="193" t="str">
        <f>IF(E2&gt;=$AD$9," ","Gear, ")&amp;IF(F2=$AE$9," ","Gear Quality, ")&amp;IF(G2&gt;=$AF$9," ","Raid Output, ")&amp;IF(H2&gt;=$AC$9,IF(I2&gt;=$AC$9," ","Attendance"),"Attendance")</f>
        <v>Gear,  Raid Output, Attendance</v>
      </c>
      <c r="AH2" s="1" t="e">
        <f>VLOOKUP(A2,'Look-up'!E:F,2,FALSE)</f>
        <v>#N/A</v>
      </c>
    </row>
    <row r="3" spans="1:247" ht="15" customHeight="1">
      <c r="A3" s="444" t="s">
        <v>213</v>
      </c>
      <c r="B3" s="126" t="s">
        <v>31</v>
      </c>
      <c r="C3" s="38" t="s">
        <v>21</v>
      </c>
      <c r="D3" s="38" t="s">
        <v>77</v>
      </c>
      <c r="E3" s="189">
        <f>Gear!L3</f>
        <v>2</v>
      </c>
      <c r="F3" s="189">
        <f>Gear!J3</f>
        <v>0</v>
      </c>
      <c r="G3" s="190">
        <f>Gear!Q3</f>
        <v>0.79019007084332682</v>
      </c>
      <c r="H3" s="189">
        <f>DCC!B3</f>
        <v>8</v>
      </c>
      <c r="I3" s="189">
        <f t="shared" ref="I3:I66" si="13">IF(ISNA(AH3),0,AH3)</f>
        <v>0</v>
      </c>
      <c r="J3" s="1">
        <f t="shared" si="0"/>
        <v>0</v>
      </c>
      <c r="K3" s="1">
        <f t="shared" si="1"/>
        <v>0</v>
      </c>
      <c r="L3" s="1">
        <f t="shared" si="2"/>
        <v>0</v>
      </c>
      <c r="M3" s="1">
        <f t="shared" si="3"/>
        <v>0</v>
      </c>
      <c r="N3" s="1">
        <f t="shared" si="4"/>
        <v>0</v>
      </c>
      <c r="O3" s="1">
        <f t="shared" si="5"/>
        <v>0</v>
      </c>
      <c r="P3" s="1">
        <f t="shared" si="6"/>
        <v>0</v>
      </c>
      <c r="Q3" s="1">
        <f t="shared" si="7"/>
        <v>0</v>
      </c>
      <c r="R3" s="1">
        <f t="shared" si="8"/>
        <v>0</v>
      </c>
      <c r="S3" s="1">
        <f t="shared" si="9"/>
        <v>1</v>
      </c>
      <c r="T3" s="1">
        <f t="shared" si="10"/>
        <v>0</v>
      </c>
      <c r="U3" s="1">
        <f t="shared" si="11"/>
        <v>0</v>
      </c>
      <c r="V3" s="1">
        <f t="shared" si="12"/>
        <v>0</v>
      </c>
      <c r="W3" s="194" t="str">
        <f>IF(E3&gt;=$AD$8," ","Gear, ")&amp;IF(F3&lt;=$AE$8," ","Gear Quality, ")&amp;IF(G3&gt;=$AF$8," ","Raid Output, ")&amp;IF(H3&gt;=$AC$8,IF(I3&gt;=$AC$8," ","Attendance"),"Attendance")</f>
        <v>Gear,   Attendance</v>
      </c>
      <c r="X3" s="194" t="str">
        <f>IF(E3&gt;=$AD$9," ","Gear, ")&amp;IF(F3=$AE$9," ","Gear Quality, ")&amp;IF(G3&gt;=$AF$9," ","Raid Output, ")&amp;IF(H3&gt;=$AC$9,IF(I3&gt;=$AC$9," ","Attendance"),"Attendance")</f>
        <v>Gear,  Raid Output, Attendance</v>
      </c>
      <c r="Z3" s="174" t="s">
        <v>77</v>
      </c>
      <c r="AA3" s="175"/>
      <c r="AH3" s="1" t="e">
        <f>VLOOKUP(A3,'Look-up'!E:F,2,FALSE)</f>
        <v>#N/A</v>
      </c>
      <c r="AJ3" s="1" t="s">
        <v>33</v>
      </c>
    </row>
    <row r="4" spans="1:247" ht="15" customHeight="1">
      <c r="A4" s="442" t="s">
        <v>232</v>
      </c>
      <c r="B4" s="126" t="s">
        <v>31</v>
      </c>
      <c r="C4" s="38" t="s">
        <v>182</v>
      </c>
      <c r="D4" s="38" t="s">
        <v>14</v>
      </c>
      <c r="E4" s="189">
        <f>Gear!L4</f>
        <v>3</v>
      </c>
      <c r="F4" s="189">
        <f>Gear!J4</f>
        <v>0</v>
      </c>
      <c r="G4" s="190">
        <f>Gear!Q4</f>
        <v>2.5</v>
      </c>
      <c r="H4" s="189">
        <f>DCC!B4</f>
        <v>8</v>
      </c>
      <c r="I4" s="189">
        <f t="shared" si="13"/>
        <v>0</v>
      </c>
      <c r="J4" s="1">
        <f t="shared" si="0"/>
        <v>0</v>
      </c>
      <c r="K4" s="1">
        <f t="shared" si="1"/>
        <v>0</v>
      </c>
      <c r="L4" s="1">
        <f t="shared" si="2"/>
        <v>1</v>
      </c>
      <c r="M4" s="1">
        <f t="shared" si="3"/>
        <v>0</v>
      </c>
      <c r="N4" s="1">
        <f t="shared" si="4"/>
        <v>0</v>
      </c>
      <c r="O4" s="1">
        <f t="shared" si="5"/>
        <v>0</v>
      </c>
      <c r="P4" s="1">
        <f t="shared" si="6"/>
        <v>0</v>
      </c>
      <c r="Q4" s="1">
        <f t="shared" si="7"/>
        <v>0</v>
      </c>
      <c r="R4" s="1">
        <f t="shared" si="8"/>
        <v>0</v>
      </c>
      <c r="S4" s="1">
        <f t="shared" si="9"/>
        <v>0</v>
      </c>
      <c r="T4" s="1">
        <f t="shared" si="10"/>
        <v>0</v>
      </c>
      <c r="U4" s="1">
        <f t="shared" si="11"/>
        <v>0</v>
      </c>
      <c r="V4" s="1">
        <f t="shared" si="12"/>
        <v>0</v>
      </c>
      <c r="W4" s="194" t="str">
        <f t="shared" ref="W4:W67" si="14">IF(E4&gt;=$AD$8," ","Gear, ")&amp;IF(F4&lt;=$AE$8," ","Gear Quality, ")&amp;IF(G4&gt;=$AF$8," ","Raid Output, ")&amp;IF(H4&gt;=$AC$8,IF(I4&gt;=$AC$8," ","Attendance"),"Attendance")</f>
        <v>Gear,   Attendance</v>
      </c>
      <c r="X4" s="194" t="str">
        <f t="shared" ref="X4:X67" si="15">IF(E4&gt;=$AD$9," ","Gear, ")&amp;IF(F4=$AE$9," ","Gear Quality, ")&amp;IF(G4&gt;=$AF$9," ","Raid Output, ")&amp;IF(H4&gt;=$AC$9,IF(I4&gt;=$AC$9," ","Attendance"),"Attendance")</f>
        <v>Gear,   Attendance</v>
      </c>
      <c r="Z4" t="s">
        <v>76</v>
      </c>
      <c r="AH4" s="1" t="e">
        <f>VLOOKUP(A4,'Look-up'!E:F,2,FALSE)</f>
        <v>#N/A</v>
      </c>
      <c r="AJ4" s="1" t="s">
        <v>31</v>
      </c>
    </row>
    <row r="5" spans="1:247" ht="15" customHeight="1" thickBot="1">
      <c r="A5" s="442" t="s">
        <v>258</v>
      </c>
      <c r="B5" s="126" t="s">
        <v>31</v>
      </c>
      <c r="C5" s="38" t="s">
        <v>17</v>
      </c>
      <c r="D5" s="38" t="s">
        <v>76</v>
      </c>
      <c r="E5" s="189">
        <f>Gear!L5</f>
        <v>1</v>
      </c>
      <c r="F5" s="189">
        <f>Gear!J5</f>
        <v>0</v>
      </c>
      <c r="G5" s="190">
        <f>Gear!Q5</f>
        <v>0.79055939874446468</v>
      </c>
      <c r="H5" s="189">
        <f>DCC!B5</f>
        <v>5</v>
      </c>
      <c r="I5" s="189">
        <f t="shared" si="13"/>
        <v>0</v>
      </c>
      <c r="J5" s="1">
        <f t="shared" ref="J5:J28" si="16">COUNTIF(D5,"Healererer")</f>
        <v>0</v>
      </c>
      <c r="K5" s="1">
        <f t="shared" ref="K5:K28" si="17">COUNTIF(D5,"DPS")</f>
        <v>0</v>
      </c>
      <c r="L5" s="1">
        <f t="shared" ref="L5:L28" si="18">COUNTIF(D5,"Tank")</f>
        <v>0</v>
      </c>
      <c r="M5" s="1">
        <f t="shared" ref="M5:M28" si="19">COUNTIF(C5,"Death Knight")</f>
        <v>0</v>
      </c>
      <c r="N5" s="1">
        <f t="shared" ref="N5:N28" si="20">COUNTIF(C5,"Druid")</f>
        <v>0</v>
      </c>
      <c r="O5" s="1">
        <f t="shared" ref="O5:O28" si="21">COUNTIF(C5,"Hunter")</f>
        <v>1</v>
      </c>
      <c r="P5" s="1">
        <f t="shared" ref="P5:P28" si="22">COUNTIF(C5,"Mage")</f>
        <v>0</v>
      </c>
      <c r="Q5" s="1">
        <f t="shared" ref="Q5:Q28" si="23">COUNTIF(C5,"Paladin")</f>
        <v>0</v>
      </c>
      <c r="R5" s="1">
        <f t="shared" ref="R5:R28" si="24">COUNTIF(C5,"Priest")</f>
        <v>0</v>
      </c>
      <c r="S5" s="1">
        <f t="shared" ref="S5:S28" si="25">COUNTIF(C5,"Rogue")</f>
        <v>0</v>
      </c>
      <c r="T5" s="1">
        <f t="shared" ref="T5:T28" si="26">COUNTIF(C5,"Shaman")</f>
        <v>0</v>
      </c>
      <c r="U5" s="1">
        <f t="shared" ref="U5:U28" si="27">COUNTIF(C5,"Warlock")</f>
        <v>0</v>
      </c>
      <c r="V5" s="1">
        <f t="shared" ref="V5:V28" si="28">COUNTIF(C5,"Warrior")</f>
        <v>0</v>
      </c>
      <c r="W5" s="194" t="str">
        <f t="shared" si="14"/>
        <v>Gear,   Attendance</v>
      </c>
      <c r="X5" s="194" t="str">
        <f t="shared" si="15"/>
        <v>Gear,  Raid Output, Attendance</v>
      </c>
      <c r="Z5" t="s">
        <v>13</v>
      </c>
      <c r="AG5"/>
      <c r="AH5" s="1" t="e">
        <f>VLOOKUP(A5,'Look-up'!E:F,2,FALSE)</f>
        <v>#N/A</v>
      </c>
      <c r="AJ5" s="1" t="s">
        <v>120</v>
      </c>
    </row>
    <row r="6" spans="1:247" ht="15" customHeight="1" thickBot="1">
      <c r="A6" s="442" t="s">
        <v>243</v>
      </c>
      <c r="B6" s="126" t="s">
        <v>31</v>
      </c>
      <c r="C6" s="38" t="s">
        <v>16</v>
      </c>
      <c r="D6" s="38" t="s">
        <v>76</v>
      </c>
      <c r="E6" s="189">
        <f>Gear!L6</f>
        <v>1</v>
      </c>
      <c r="F6" s="189">
        <f>Gear!J6</f>
        <v>0.4</v>
      </c>
      <c r="G6" s="190">
        <f>Gear!Q6</f>
        <v>0.48390264312042608</v>
      </c>
      <c r="H6" s="189">
        <f>DCC!B6</f>
        <v>7</v>
      </c>
      <c r="I6" s="189">
        <f t="shared" si="13"/>
        <v>0</v>
      </c>
      <c r="J6" s="1">
        <f t="shared" si="16"/>
        <v>0</v>
      </c>
      <c r="K6" s="1">
        <f t="shared" si="17"/>
        <v>0</v>
      </c>
      <c r="L6" s="1">
        <f t="shared" si="18"/>
        <v>0</v>
      </c>
      <c r="M6" s="1">
        <f t="shared" si="19"/>
        <v>0</v>
      </c>
      <c r="N6" s="1">
        <f t="shared" si="20"/>
        <v>1</v>
      </c>
      <c r="O6" s="1">
        <f t="shared" si="21"/>
        <v>0</v>
      </c>
      <c r="P6" s="1">
        <f t="shared" si="22"/>
        <v>0</v>
      </c>
      <c r="Q6" s="1">
        <f t="shared" si="23"/>
        <v>0</v>
      </c>
      <c r="R6" s="1">
        <f t="shared" si="24"/>
        <v>0</v>
      </c>
      <c r="S6" s="1">
        <f t="shared" si="25"/>
        <v>0</v>
      </c>
      <c r="T6" s="1">
        <f t="shared" si="26"/>
        <v>0</v>
      </c>
      <c r="U6" s="1">
        <f t="shared" si="27"/>
        <v>0</v>
      </c>
      <c r="V6" s="1">
        <f t="shared" si="28"/>
        <v>0</v>
      </c>
      <c r="W6" s="194" t="str">
        <f t="shared" si="14"/>
        <v>Gear,  Raid Output, Attendance</v>
      </c>
      <c r="X6" s="194" t="str">
        <f t="shared" si="15"/>
        <v>Gear, Gear Quality, Raid Output, Attendance</v>
      </c>
      <c r="Z6" t="s">
        <v>14</v>
      </c>
      <c r="AB6" s="27" t="s">
        <v>121</v>
      </c>
      <c r="AC6" s="27" t="s">
        <v>129</v>
      </c>
      <c r="AD6" s="27" t="s">
        <v>130</v>
      </c>
      <c r="AE6" s="27" t="s">
        <v>131</v>
      </c>
      <c r="AF6" s="27" t="s">
        <v>119</v>
      </c>
      <c r="AG6"/>
      <c r="AH6" s="1" t="e">
        <f>VLOOKUP(A6,'Look-up'!E:F,2,FALSE)</f>
        <v>#N/A</v>
      </c>
    </row>
    <row r="7" spans="1:247" ht="15" customHeight="1">
      <c r="A7" s="442" t="s">
        <v>231</v>
      </c>
      <c r="B7" s="126" t="s">
        <v>31</v>
      </c>
      <c r="C7" s="38" t="s">
        <v>30</v>
      </c>
      <c r="D7" s="38" t="s">
        <v>76</v>
      </c>
      <c r="E7" s="189">
        <f>Gear!L7</f>
        <v>4</v>
      </c>
      <c r="F7" s="189">
        <f>Gear!J7</f>
        <v>0</v>
      </c>
      <c r="G7" s="190">
        <f>Gear!Q7</f>
        <v>0.75057374407455646</v>
      </c>
      <c r="H7" s="189">
        <f>DCC!B7</f>
        <v>8</v>
      </c>
      <c r="I7" s="189">
        <f t="shared" si="13"/>
        <v>0</v>
      </c>
      <c r="J7" s="1">
        <f t="shared" si="16"/>
        <v>0</v>
      </c>
      <c r="K7" s="1">
        <f t="shared" si="17"/>
        <v>0</v>
      </c>
      <c r="L7" s="1">
        <f t="shared" si="18"/>
        <v>0</v>
      </c>
      <c r="M7" s="1">
        <f t="shared" si="19"/>
        <v>0</v>
      </c>
      <c r="N7" s="1">
        <f t="shared" si="20"/>
        <v>0</v>
      </c>
      <c r="O7" s="1">
        <f t="shared" si="21"/>
        <v>0</v>
      </c>
      <c r="P7" s="1">
        <f t="shared" si="22"/>
        <v>0</v>
      </c>
      <c r="Q7" s="1">
        <f t="shared" si="23"/>
        <v>0</v>
      </c>
      <c r="R7" s="1">
        <f t="shared" si="24"/>
        <v>0</v>
      </c>
      <c r="S7" s="1">
        <f t="shared" si="25"/>
        <v>0</v>
      </c>
      <c r="T7" s="1">
        <f t="shared" si="26"/>
        <v>0</v>
      </c>
      <c r="U7" s="1">
        <f t="shared" si="27"/>
        <v>1</v>
      </c>
      <c r="V7" s="1">
        <f t="shared" si="28"/>
        <v>0</v>
      </c>
      <c r="W7" s="194" t="str">
        <f t="shared" si="14"/>
        <v xml:space="preserve">   Attendance</v>
      </c>
      <c r="X7" s="194" t="str">
        <f t="shared" si="15"/>
        <v>Gear,  Raid Output, Attendance</v>
      </c>
      <c r="AB7" s="28" t="s">
        <v>33</v>
      </c>
      <c r="AC7" s="29">
        <f>'Short &amp; Simple'!C67</f>
        <v>0</v>
      </c>
      <c r="AD7" s="29">
        <f>'Short &amp; Simple'!D67</f>
        <v>0</v>
      </c>
      <c r="AE7" s="29">
        <f>'Short &amp; Simple'!E67</f>
        <v>19</v>
      </c>
      <c r="AF7" s="333">
        <f>'Short &amp; Simple'!F67/100</f>
        <v>0</v>
      </c>
      <c r="AG7" s="336"/>
      <c r="AH7" s="1" t="e">
        <f>VLOOKUP(A7,'Look-up'!E:F,2,FALSE)</f>
        <v>#N/A</v>
      </c>
    </row>
    <row r="8" spans="1:247" ht="15" customHeight="1">
      <c r="A8" s="442" t="s">
        <v>250</v>
      </c>
      <c r="B8" s="126" t="s">
        <v>31</v>
      </c>
      <c r="C8" s="38" t="s">
        <v>22</v>
      </c>
      <c r="D8" s="38" t="s">
        <v>76</v>
      </c>
      <c r="E8" s="189">
        <f>Gear!L8</f>
        <v>0</v>
      </c>
      <c r="F8" s="189">
        <f>Gear!J8</f>
        <v>0</v>
      </c>
      <c r="G8" s="190">
        <f>Gear!Q8</f>
        <v>0.39727191757691616</v>
      </c>
      <c r="H8" s="189">
        <f>DCC!B8</f>
        <v>8</v>
      </c>
      <c r="I8" s="189">
        <f t="shared" si="13"/>
        <v>0</v>
      </c>
      <c r="J8" s="1">
        <f t="shared" si="16"/>
        <v>0</v>
      </c>
      <c r="K8" s="1">
        <f t="shared" si="17"/>
        <v>0</v>
      </c>
      <c r="L8" s="1">
        <f t="shared" si="18"/>
        <v>0</v>
      </c>
      <c r="M8" s="1">
        <f t="shared" si="19"/>
        <v>0</v>
      </c>
      <c r="N8" s="1">
        <f t="shared" si="20"/>
        <v>0</v>
      </c>
      <c r="O8" s="1">
        <f t="shared" si="21"/>
        <v>0</v>
      </c>
      <c r="P8" s="1">
        <f t="shared" si="22"/>
        <v>0</v>
      </c>
      <c r="Q8" s="1">
        <f t="shared" si="23"/>
        <v>0</v>
      </c>
      <c r="R8" s="1">
        <f t="shared" si="24"/>
        <v>0</v>
      </c>
      <c r="S8" s="1">
        <f t="shared" si="25"/>
        <v>0</v>
      </c>
      <c r="T8" s="1">
        <f t="shared" si="26"/>
        <v>1</v>
      </c>
      <c r="U8" s="1">
        <f t="shared" si="27"/>
        <v>0</v>
      </c>
      <c r="V8" s="1">
        <f t="shared" si="28"/>
        <v>0</v>
      </c>
      <c r="W8" s="194" t="str">
        <f t="shared" si="14"/>
        <v>Gear,  Raid Output, Attendance</v>
      </c>
      <c r="X8" s="194" t="str">
        <f t="shared" si="15"/>
        <v>Gear,  Raid Output, Attendance</v>
      </c>
      <c r="AB8" s="7" t="s">
        <v>31</v>
      </c>
      <c r="AC8" s="30">
        <f>'Short &amp; Simple'!C68</f>
        <v>6</v>
      </c>
      <c r="AD8" s="30">
        <f>'Short &amp; Simple'!D68</f>
        <v>4</v>
      </c>
      <c r="AE8" s="30">
        <f>'Short &amp; Simple'!E68</f>
        <v>0.5</v>
      </c>
      <c r="AF8" s="334">
        <f>'Short &amp; Simple'!F68/100</f>
        <v>0.5</v>
      </c>
      <c r="AG8" s="336"/>
      <c r="AH8" s="1" t="e">
        <f>VLOOKUP(A8,'Look-up'!E:F,2,FALSE)</f>
        <v>#N/A</v>
      </c>
    </row>
    <row r="9" spans="1:247" ht="15" customHeight="1" thickBot="1">
      <c r="A9" s="442" t="s">
        <v>224</v>
      </c>
      <c r="B9" s="126" t="s">
        <v>31</v>
      </c>
      <c r="C9" s="38" t="s">
        <v>16</v>
      </c>
      <c r="D9" s="38" t="s">
        <v>13</v>
      </c>
      <c r="E9" s="189">
        <f>Gear!L9</f>
        <v>3</v>
      </c>
      <c r="F9" s="189">
        <f>Gear!J9</f>
        <v>0</v>
      </c>
      <c r="G9" s="190">
        <f>Gear!Q9</f>
        <v>0.51255364888953492</v>
      </c>
      <c r="H9" s="189">
        <f>DCC!B9</f>
        <v>2</v>
      </c>
      <c r="I9" s="189">
        <f t="shared" si="13"/>
        <v>0</v>
      </c>
      <c r="J9" s="1">
        <f t="shared" si="16"/>
        <v>0</v>
      </c>
      <c r="K9" s="1">
        <f t="shared" si="17"/>
        <v>0</v>
      </c>
      <c r="L9" s="1">
        <f t="shared" si="18"/>
        <v>0</v>
      </c>
      <c r="M9" s="1">
        <f t="shared" si="19"/>
        <v>0</v>
      </c>
      <c r="N9" s="1">
        <f t="shared" si="20"/>
        <v>1</v>
      </c>
      <c r="O9" s="1">
        <f t="shared" si="21"/>
        <v>0</v>
      </c>
      <c r="P9" s="1">
        <f t="shared" si="22"/>
        <v>0</v>
      </c>
      <c r="Q9" s="1">
        <f t="shared" si="23"/>
        <v>0</v>
      </c>
      <c r="R9" s="1">
        <f t="shared" si="24"/>
        <v>0</v>
      </c>
      <c r="S9" s="1">
        <f t="shared" si="25"/>
        <v>0</v>
      </c>
      <c r="T9" s="1">
        <f t="shared" si="26"/>
        <v>0</v>
      </c>
      <c r="U9" s="1">
        <f t="shared" si="27"/>
        <v>0</v>
      </c>
      <c r="V9" s="1">
        <f t="shared" si="28"/>
        <v>0</v>
      </c>
      <c r="W9" s="194" t="str">
        <f t="shared" si="14"/>
        <v>Gear,   Attendance</v>
      </c>
      <c r="X9" s="194" t="str">
        <f t="shared" si="15"/>
        <v>Gear,  Raid Output, Attendance</v>
      </c>
      <c r="AB9" s="31" t="s">
        <v>120</v>
      </c>
      <c r="AC9" s="32">
        <f>'Short &amp; Simple'!C69</f>
        <v>8</v>
      </c>
      <c r="AD9" s="32">
        <f>'Short &amp; Simple'!D69</f>
        <v>5</v>
      </c>
      <c r="AE9" s="32">
        <f>'Short &amp; Simple'!E69</f>
        <v>0</v>
      </c>
      <c r="AF9" s="335">
        <f>'Short &amp; Simple'!F69/100</f>
        <v>0.8</v>
      </c>
      <c r="AG9" s="336"/>
      <c r="AH9" s="1" t="e">
        <f>VLOOKUP(A9,'Look-up'!E:F,2,FALSE)</f>
        <v>#N/A</v>
      </c>
    </row>
    <row r="10" spans="1:247" ht="15" customHeight="1">
      <c r="A10" s="442" t="s">
        <v>252</v>
      </c>
      <c r="B10" s="126" t="s">
        <v>31</v>
      </c>
      <c r="C10" s="38" t="s">
        <v>19</v>
      </c>
      <c r="D10" s="38" t="s">
        <v>14</v>
      </c>
      <c r="E10" s="189">
        <f>Gear!L10</f>
        <v>1</v>
      </c>
      <c r="F10" s="189">
        <f>Gear!J10</f>
        <v>0</v>
      </c>
      <c r="G10" s="190">
        <f>Gear!Q10</f>
        <v>2.5</v>
      </c>
      <c r="H10" s="189">
        <f>DCC!B10</f>
        <v>7</v>
      </c>
      <c r="I10" s="189">
        <f t="shared" si="13"/>
        <v>0</v>
      </c>
      <c r="J10" s="1">
        <f t="shared" si="16"/>
        <v>0</v>
      </c>
      <c r="K10" s="1">
        <f t="shared" si="17"/>
        <v>0</v>
      </c>
      <c r="L10" s="1">
        <f t="shared" si="18"/>
        <v>1</v>
      </c>
      <c r="M10" s="1">
        <f t="shared" si="19"/>
        <v>0</v>
      </c>
      <c r="N10" s="1">
        <f t="shared" si="20"/>
        <v>0</v>
      </c>
      <c r="O10" s="1">
        <f t="shared" si="21"/>
        <v>0</v>
      </c>
      <c r="P10" s="1">
        <f t="shared" si="22"/>
        <v>0</v>
      </c>
      <c r="Q10" s="1">
        <f t="shared" si="23"/>
        <v>1</v>
      </c>
      <c r="R10" s="1">
        <f t="shared" si="24"/>
        <v>0</v>
      </c>
      <c r="S10" s="1">
        <f t="shared" si="25"/>
        <v>0</v>
      </c>
      <c r="T10" s="1">
        <f t="shared" si="26"/>
        <v>0</v>
      </c>
      <c r="U10" s="1">
        <f t="shared" si="27"/>
        <v>0</v>
      </c>
      <c r="V10" s="1">
        <f t="shared" si="28"/>
        <v>0</v>
      </c>
      <c r="W10" s="194" t="str">
        <f t="shared" si="14"/>
        <v>Gear,   Attendance</v>
      </c>
      <c r="X10" s="194" t="str">
        <f t="shared" si="15"/>
        <v>Gear,   Attendance</v>
      </c>
      <c r="AB10"/>
      <c r="AG10"/>
      <c r="AH10" s="1" t="e">
        <f>VLOOKUP(A10,'Look-up'!E:F,2,FALSE)</f>
        <v>#N/A</v>
      </c>
    </row>
    <row r="11" spans="1:247" ht="15" customHeight="1">
      <c r="A11" s="442" t="s">
        <v>251</v>
      </c>
      <c r="B11" s="126" t="s">
        <v>31</v>
      </c>
      <c r="C11" s="38" t="s">
        <v>22</v>
      </c>
      <c r="D11" s="38" t="s">
        <v>76</v>
      </c>
      <c r="E11" s="189">
        <f>Gear!L11</f>
        <v>2</v>
      </c>
      <c r="F11" s="189">
        <f>Gear!J11</f>
        <v>0</v>
      </c>
      <c r="G11" s="190">
        <f>Gear!Q11</f>
        <v>0.64268578075412297</v>
      </c>
      <c r="H11" s="189">
        <f>DCC!B11</f>
        <v>6</v>
      </c>
      <c r="I11" s="189">
        <f t="shared" si="13"/>
        <v>0</v>
      </c>
      <c r="J11" s="1">
        <f t="shared" si="16"/>
        <v>0</v>
      </c>
      <c r="K11" s="1">
        <f t="shared" si="17"/>
        <v>0</v>
      </c>
      <c r="L11" s="1">
        <f t="shared" si="18"/>
        <v>0</v>
      </c>
      <c r="M11" s="1">
        <f t="shared" si="19"/>
        <v>0</v>
      </c>
      <c r="N11" s="1">
        <f t="shared" si="20"/>
        <v>0</v>
      </c>
      <c r="O11" s="1">
        <f t="shared" si="21"/>
        <v>0</v>
      </c>
      <c r="P11" s="1">
        <f t="shared" si="22"/>
        <v>0</v>
      </c>
      <c r="Q11" s="1">
        <f t="shared" si="23"/>
        <v>0</v>
      </c>
      <c r="R11" s="1">
        <f t="shared" si="24"/>
        <v>0</v>
      </c>
      <c r="S11" s="1">
        <f t="shared" si="25"/>
        <v>0</v>
      </c>
      <c r="T11" s="1">
        <f t="shared" si="26"/>
        <v>1</v>
      </c>
      <c r="U11" s="1">
        <f t="shared" si="27"/>
        <v>0</v>
      </c>
      <c r="V11" s="1">
        <f t="shared" si="28"/>
        <v>0</v>
      </c>
      <c r="W11" s="194" t="str">
        <f t="shared" si="14"/>
        <v>Gear,   Attendance</v>
      </c>
      <c r="X11" s="194" t="str">
        <f t="shared" si="15"/>
        <v>Gear,  Raid Output, Attendance</v>
      </c>
      <c r="AB11"/>
      <c r="AG11"/>
      <c r="AH11" s="1" t="e">
        <f>VLOOKUP(A11,'Look-up'!E:F,2,FALSE)</f>
        <v>#N/A</v>
      </c>
    </row>
    <row r="12" spans="1:247" ht="15" customHeight="1">
      <c r="A12" s="442" t="s">
        <v>214</v>
      </c>
      <c r="B12" s="126" t="s">
        <v>31</v>
      </c>
      <c r="C12" s="38" t="s">
        <v>182</v>
      </c>
      <c r="D12" s="38" t="s">
        <v>77</v>
      </c>
      <c r="E12" s="189">
        <f>Gear!L12</f>
        <v>3</v>
      </c>
      <c r="F12" s="189">
        <f>Gear!J12</f>
        <v>0</v>
      </c>
      <c r="G12" s="190">
        <f>Gear!Q12</f>
        <v>0.84855790732936498</v>
      </c>
      <c r="H12" s="189">
        <f>DCC!B12</f>
        <v>8</v>
      </c>
      <c r="I12" s="189">
        <f t="shared" si="13"/>
        <v>0</v>
      </c>
      <c r="J12" s="1">
        <f t="shared" si="16"/>
        <v>0</v>
      </c>
      <c r="K12" s="1">
        <f t="shared" si="17"/>
        <v>0</v>
      </c>
      <c r="L12" s="1">
        <f t="shared" si="18"/>
        <v>0</v>
      </c>
      <c r="M12" s="1">
        <f t="shared" si="19"/>
        <v>0</v>
      </c>
      <c r="N12" s="1">
        <f t="shared" si="20"/>
        <v>0</v>
      </c>
      <c r="O12" s="1">
        <f t="shared" si="21"/>
        <v>0</v>
      </c>
      <c r="P12" s="1">
        <f t="shared" si="22"/>
        <v>0</v>
      </c>
      <c r="Q12" s="1">
        <f t="shared" si="23"/>
        <v>0</v>
      </c>
      <c r="R12" s="1">
        <f t="shared" si="24"/>
        <v>0</v>
      </c>
      <c r="S12" s="1">
        <f t="shared" si="25"/>
        <v>0</v>
      </c>
      <c r="T12" s="1">
        <f t="shared" si="26"/>
        <v>0</v>
      </c>
      <c r="U12" s="1">
        <f t="shared" si="27"/>
        <v>0</v>
      </c>
      <c r="V12" s="1">
        <f t="shared" si="28"/>
        <v>0</v>
      </c>
      <c r="W12" s="194" t="str">
        <f t="shared" si="14"/>
        <v>Gear,   Attendance</v>
      </c>
      <c r="X12" s="194" t="str">
        <f t="shared" si="15"/>
        <v>Gear,   Attendance</v>
      </c>
      <c r="AB12"/>
      <c r="AH12" s="1" t="e">
        <f>VLOOKUP(A12,'Look-up'!E:F,2,FALSE)</f>
        <v>#N/A</v>
      </c>
    </row>
    <row r="13" spans="1:247" ht="15" customHeight="1">
      <c r="A13" s="442" t="s">
        <v>237</v>
      </c>
      <c r="B13" s="126" t="s">
        <v>31</v>
      </c>
      <c r="C13" s="38" t="s">
        <v>182</v>
      </c>
      <c r="D13" s="38" t="s">
        <v>13</v>
      </c>
      <c r="E13" s="189">
        <f>Gear!L13</f>
        <v>1</v>
      </c>
      <c r="F13" s="189">
        <f>Gear!J13</f>
        <v>0</v>
      </c>
      <c r="G13" s="190">
        <f>Gear!Q13</f>
        <v>0.27609640652111267</v>
      </c>
      <c r="H13" s="189">
        <f>DCC!B13</f>
        <v>7</v>
      </c>
      <c r="I13" s="189">
        <f t="shared" si="13"/>
        <v>0</v>
      </c>
      <c r="J13" s="1">
        <f t="shared" si="16"/>
        <v>0</v>
      </c>
      <c r="K13" s="1">
        <f t="shared" si="17"/>
        <v>0</v>
      </c>
      <c r="L13" s="1">
        <f t="shared" si="18"/>
        <v>0</v>
      </c>
      <c r="M13" s="1">
        <f t="shared" si="19"/>
        <v>0</v>
      </c>
      <c r="N13" s="1">
        <f t="shared" si="20"/>
        <v>0</v>
      </c>
      <c r="O13" s="1">
        <f t="shared" si="21"/>
        <v>0</v>
      </c>
      <c r="P13" s="1">
        <f t="shared" si="22"/>
        <v>0</v>
      </c>
      <c r="Q13" s="1">
        <f t="shared" si="23"/>
        <v>0</v>
      </c>
      <c r="R13" s="1">
        <f t="shared" si="24"/>
        <v>0</v>
      </c>
      <c r="S13" s="1">
        <f t="shared" si="25"/>
        <v>0</v>
      </c>
      <c r="T13" s="1">
        <f t="shared" si="26"/>
        <v>0</v>
      </c>
      <c r="U13" s="1">
        <f t="shared" si="27"/>
        <v>0</v>
      </c>
      <c r="V13" s="1">
        <f t="shared" si="28"/>
        <v>0</v>
      </c>
      <c r="W13" s="194" t="str">
        <f t="shared" si="14"/>
        <v>Gear,  Raid Output, Attendance</v>
      </c>
      <c r="X13" s="194" t="str">
        <f t="shared" si="15"/>
        <v>Gear,  Raid Output, Attendance</v>
      </c>
      <c r="AB13"/>
      <c r="AH13" s="1" t="e">
        <f>VLOOKUP(A13,'Look-up'!E:F,2,FALSE)</f>
        <v>#N/A</v>
      </c>
    </row>
    <row r="14" spans="1:247" ht="15" customHeight="1">
      <c r="A14" s="442" t="s">
        <v>234</v>
      </c>
      <c r="B14" s="126" t="s">
        <v>31</v>
      </c>
      <c r="C14" s="38" t="s">
        <v>17</v>
      </c>
      <c r="D14" s="38" t="s">
        <v>76</v>
      </c>
      <c r="E14" s="189">
        <f>Gear!L14</f>
        <v>4</v>
      </c>
      <c r="F14" s="189">
        <f>Gear!J14</f>
        <v>0</v>
      </c>
      <c r="G14" s="190">
        <f>Gear!Q14</f>
        <v>0.85957835869225663</v>
      </c>
      <c r="H14" s="189">
        <f>DCC!B14</f>
        <v>8</v>
      </c>
      <c r="I14" s="189">
        <f t="shared" si="13"/>
        <v>0</v>
      </c>
      <c r="J14" s="1">
        <f t="shared" si="16"/>
        <v>0</v>
      </c>
      <c r="K14" s="1">
        <f t="shared" si="17"/>
        <v>0</v>
      </c>
      <c r="L14" s="1">
        <f t="shared" si="18"/>
        <v>0</v>
      </c>
      <c r="M14" s="1">
        <f t="shared" si="19"/>
        <v>0</v>
      </c>
      <c r="N14" s="1">
        <f t="shared" si="20"/>
        <v>0</v>
      </c>
      <c r="O14" s="1">
        <f t="shared" si="21"/>
        <v>1</v>
      </c>
      <c r="P14" s="1">
        <f t="shared" si="22"/>
        <v>0</v>
      </c>
      <c r="Q14" s="1">
        <f t="shared" si="23"/>
        <v>0</v>
      </c>
      <c r="R14" s="1">
        <f t="shared" si="24"/>
        <v>0</v>
      </c>
      <c r="S14" s="1">
        <f t="shared" si="25"/>
        <v>0</v>
      </c>
      <c r="T14" s="1">
        <f t="shared" si="26"/>
        <v>0</v>
      </c>
      <c r="U14" s="1">
        <f t="shared" si="27"/>
        <v>0</v>
      </c>
      <c r="V14" s="1">
        <f t="shared" si="28"/>
        <v>0</v>
      </c>
      <c r="W14" s="194" t="str">
        <f t="shared" si="14"/>
        <v xml:space="preserve">   Attendance</v>
      </c>
      <c r="X14" s="194" t="str">
        <f t="shared" si="15"/>
        <v>Gear,   Attendance</v>
      </c>
      <c r="AB14"/>
      <c r="AG14"/>
      <c r="AH14" s="1" t="e">
        <f>VLOOKUP(A14,'Look-up'!E:F,2,FALSE)</f>
        <v>#N/A</v>
      </c>
    </row>
    <row r="15" spans="1:247" ht="15" customHeight="1">
      <c r="A15" s="442" t="s">
        <v>222</v>
      </c>
      <c r="B15" s="126" t="s">
        <v>31</v>
      </c>
      <c r="C15" s="38" t="s">
        <v>16</v>
      </c>
      <c r="D15" s="38" t="s">
        <v>13</v>
      </c>
      <c r="E15" s="189">
        <f>Gear!L15</f>
        <v>3</v>
      </c>
      <c r="F15" s="189">
        <f>Gear!J15</f>
        <v>0</v>
      </c>
      <c r="G15" s="190">
        <f>Gear!Q15</f>
        <v>0.55600472288738778</v>
      </c>
      <c r="H15" s="189">
        <f>DCC!B15</f>
        <v>8</v>
      </c>
      <c r="I15" s="189">
        <f t="shared" si="13"/>
        <v>0</v>
      </c>
      <c r="J15" s="1">
        <f t="shared" si="16"/>
        <v>0</v>
      </c>
      <c r="K15" s="1">
        <f t="shared" si="17"/>
        <v>0</v>
      </c>
      <c r="L15" s="1">
        <f t="shared" si="18"/>
        <v>0</v>
      </c>
      <c r="M15" s="1">
        <f t="shared" si="19"/>
        <v>0</v>
      </c>
      <c r="N15" s="1">
        <f t="shared" si="20"/>
        <v>1</v>
      </c>
      <c r="O15" s="1">
        <f t="shared" si="21"/>
        <v>0</v>
      </c>
      <c r="P15" s="1">
        <f t="shared" si="22"/>
        <v>0</v>
      </c>
      <c r="Q15" s="1">
        <f t="shared" si="23"/>
        <v>0</v>
      </c>
      <c r="R15" s="1">
        <f t="shared" si="24"/>
        <v>0</v>
      </c>
      <c r="S15" s="1">
        <f t="shared" si="25"/>
        <v>0</v>
      </c>
      <c r="T15" s="1">
        <f t="shared" si="26"/>
        <v>0</v>
      </c>
      <c r="U15" s="1">
        <f t="shared" si="27"/>
        <v>0</v>
      </c>
      <c r="V15" s="1">
        <f t="shared" si="28"/>
        <v>0</v>
      </c>
      <c r="W15" s="194" t="str">
        <f t="shared" si="14"/>
        <v>Gear,   Attendance</v>
      </c>
      <c r="X15" s="194" t="str">
        <f t="shared" si="15"/>
        <v>Gear,  Raid Output, Attendance</v>
      </c>
      <c r="AB15"/>
      <c r="AH15" s="1" t="e">
        <f>VLOOKUP(A15,'Look-up'!E:F,2,FALSE)</f>
        <v>#N/A</v>
      </c>
    </row>
    <row r="16" spans="1:247" ht="15" customHeight="1">
      <c r="A16" s="442" t="s">
        <v>226</v>
      </c>
      <c r="B16" s="126" t="s">
        <v>31</v>
      </c>
      <c r="C16" s="38" t="s">
        <v>30</v>
      </c>
      <c r="D16" s="38" t="s">
        <v>76</v>
      </c>
      <c r="E16" s="189">
        <f>Gear!L16</f>
        <v>3</v>
      </c>
      <c r="F16" s="189">
        <f>Gear!J16</f>
        <v>0</v>
      </c>
      <c r="G16" s="190">
        <f>Gear!Q16</f>
        <v>0.617797480763291</v>
      </c>
      <c r="H16" s="189">
        <f>DCC!B16</f>
        <v>6</v>
      </c>
      <c r="I16" s="189">
        <f t="shared" si="13"/>
        <v>0</v>
      </c>
      <c r="J16" s="1">
        <f t="shared" si="16"/>
        <v>0</v>
      </c>
      <c r="K16" s="1">
        <f t="shared" si="17"/>
        <v>0</v>
      </c>
      <c r="L16" s="1">
        <f t="shared" si="18"/>
        <v>0</v>
      </c>
      <c r="M16" s="1">
        <f t="shared" si="19"/>
        <v>0</v>
      </c>
      <c r="N16" s="1">
        <f t="shared" si="20"/>
        <v>0</v>
      </c>
      <c r="O16" s="1">
        <f t="shared" si="21"/>
        <v>0</v>
      </c>
      <c r="P16" s="1">
        <f t="shared" si="22"/>
        <v>0</v>
      </c>
      <c r="Q16" s="1">
        <f t="shared" si="23"/>
        <v>0</v>
      </c>
      <c r="R16" s="1">
        <f t="shared" si="24"/>
        <v>0</v>
      </c>
      <c r="S16" s="1">
        <f t="shared" si="25"/>
        <v>0</v>
      </c>
      <c r="T16" s="1">
        <f t="shared" si="26"/>
        <v>0</v>
      </c>
      <c r="U16" s="1">
        <f t="shared" si="27"/>
        <v>1</v>
      </c>
      <c r="V16" s="1">
        <f t="shared" si="28"/>
        <v>0</v>
      </c>
      <c r="W16" s="194" t="str">
        <f t="shared" si="14"/>
        <v>Gear,   Attendance</v>
      </c>
      <c r="X16" s="194" t="str">
        <f t="shared" si="15"/>
        <v>Gear,  Raid Output, Attendance</v>
      </c>
      <c r="AB16"/>
      <c r="AH16" s="1" t="e">
        <f>VLOOKUP(A16,'Look-up'!E:F,2,FALSE)</f>
        <v>#N/A</v>
      </c>
      <c r="AI16"/>
    </row>
    <row r="17" spans="1:41" ht="15" customHeight="1">
      <c r="A17" s="442" t="s">
        <v>211</v>
      </c>
      <c r="B17" s="126" t="s">
        <v>31</v>
      </c>
      <c r="C17" s="38" t="s">
        <v>19</v>
      </c>
      <c r="D17" s="38" t="s">
        <v>77</v>
      </c>
      <c r="E17" s="189">
        <f>Gear!L17</f>
        <v>3</v>
      </c>
      <c r="F17" s="189">
        <f>Gear!J17</f>
        <v>0</v>
      </c>
      <c r="G17" s="190">
        <f>Gear!Q17</f>
        <v>1.8229081217848457</v>
      </c>
      <c r="H17" s="189">
        <f>DCC!B17</f>
        <v>0</v>
      </c>
      <c r="I17" s="189">
        <f t="shared" si="13"/>
        <v>0</v>
      </c>
      <c r="J17" s="1">
        <f t="shared" si="16"/>
        <v>0</v>
      </c>
      <c r="K17" s="1">
        <f t="shared" si="17"/>
        <v>0</v>
      </c>
      <c r="L17" s="1">
        <f t="shared" si="18"/>
        <v>0</v>
      </c>
      <c r="M17" s="1">
        <f t="shared" si="19"/>
        <v>0</v>
      </c>
      <c r="N17" s="1">
        <f t="shared" si="20"/>
        <v>0</v>
      </c>
      <c r="O17" s="1">
        <f t="shared" si="21"/>
        <v>0</v>
      </c>
      <c r="P17" s="1">
        <f t="shared" si="22"/>
        <v>0</v>
      </c>
      <c r="Q17" s="1">
        <f t="shared" si="23"/>
        <v>1</v>
      </c>
      <c r="R17" s="1">
        <f t="shared" si="24"/>
        <v>0</v>
      </c>
      <c r="S17" s="1">
        <f t="shared" si="25"/>
        <v>0</v>
      </c>
      <c r="T17" s="1">
        <f t="shared" si="26"/>
        <v>0</v>
      </c>
      <c r="U17" s="1">
        <f t="shared" si="27"/>
        <v>0</v>
      </c>
      <c r="V17" s="1">
        <f t="shared" si="28"/>
        <v>0</v>
      </c>
      <c r="W17" s="194" t="str">
        <f t="shared" si="14"/>
        <v>Gear,   Attendance</v>
      </c>
      <c r="X17" s="194" t="str">
        <f t="shared" si="15"/>
        <v>Gear,   Attendance</v>
      </c>
      <c r="AB17"/>
      <c r="AH17" s="1" t="e">
        <f>VLOOKUP(A17,'Look-up'!E:F,2,FALSE)</f>
        <v>#N/A</v>
      </c>
    </row>
    <row r="18" spans="1:41" ht="15" customHeight="1">
      <c r="A18" s="442" t="s">
        <v>253</v>
      </c>
      <c r="B18" s="126" t="s">
        <v>31</v>
      </c>
      <c r="C18" s="38" t="s">
        <v>20</v>
      </c>
      <c r="D18" s="38" t="s">
        <v>13</v>
      </c>
      <c r="E18" s="189">
        <f>Gear!L18</f>
        <v>3</v>
      </c>
      <c r="F18" s="189">
        <f>Gear!J18</f>
        <v>0</v>
      </c>
      <c r="G18" s="190">
        <f>Gear!Q18</f>
        <v>0.4952450653160464</v>
      </c>
      <c r="H18" s="189">
        <f>DCC!B18</f>
        <v>4</v>
      </c>
      <c r="I18" s="189">
        <f t="shared" si="13"/>
        <v>0</v>
      </c>
      <c r="J18" s="1">
        <f t="shared" si="16"/>
        <v>0</v>
      </c>
      <c r="K18" s="1">
        <f t="shared" si="17"/>
        <v>0</v>
      </c>
      <c r="L18" s="1">
        <f t="shared" si="18"/>
        <v>0</v>
      </c>
      <c r="M18" s="1">
        <f t="shared" si="19"/>
        <v>0</v>
      </c>
      <c r="N18" s="1">
        <f t="shared" si="20"/>
        <v>0</v>
      </c>
      <c r="O18" s="1">
        <f t="shared" si="21"/>
        <v>0</v>
      </c>
      <c r="P18" s="1">
        <f t="shared" si="22"/>
        <v>0</v>
      </c>
      <c r="Q18" s="1">
        <f t="shared" si="23"/>
        <v>0</v>
      </c>
      <c r="R18" s="1">
        <f t="shared" si="24"/>
        <v>1</v>
      </c>
      <c r="S18" s="1">
        <f t="shared" si="25"/>
        <v>0</v>
      </c>
      <c r="T18" s="1">
        <f t="shared" si="26"/>
        <v>0</v>
      </c>
      <c r="U18" s="1">
        <f t="shared" si="27"/>
        <v>0</v>
      </c>
      <c r="V18" s="1">
        <f t="shared" si="28"/>
        <v>0</v>
      </c>
      <c r="W18" s="194" t="str">
        <f t="shared" si="14"/>
        <v>Gear,  Raid Output, Attendance</v>
      </c>
      <c r="X18" s="194" t="str">
        <f t="shared" si="15"/>
        <v>Gear,  Raid Output, Attendance</v>
      </c>
      <c r="AB18"/>
      <c r="AH18" s="1" t="e">
        <f>VLOOKUP(A18,'Look-up'!E:F,2,FALSE)</f>
        <v>#N/A</v>
      </c>
    </row>
    <row r="19" spans="1:41" ht="15" customHeight="1">
      <c r="A19" s="442" t="s">
        <v>198</v>
      </c>
      <c r="B19" s="126" t="s">
        <v>31</v>
      </c>
      <c r="C19" s="38" t="s">
        <v>20</v>
      </c>
      <c r="D19" s="38" t="s">
        <v>13</v>
      </c>
      <c r="E19" s="189">
        <f>Gear!L19</f>
        <v>3</v>
      </c>
      <c r="F19" s="189">
        <f>Gear!J19</f>
        <v>0</v>
      </c>
      <c r="G19" s="190">
        <f>Gear!Q19</f>
        <v>0.70876943711225293</v>
      </c>
      <c r="H19" s="189">
        <f>DCC!B19</f>
        <v>7</v>
      </c>
      <c r="I19" s="189">
        <f t="shared" si="13"/>
        <v>0</v>
      </c>
      <c r="J19" s="1">
        <f t="shared" si="16"/>
        <v>0</v>
      </c>
      <c r="K19" s="1">
        <f t="shared" si="17"/>
        <v>0</v>
      </c>
      <c r="L19" s="1">
        <f t="shared" si="18"/>
        <v>0</v>
      </c>
      <c r="M19" s="1">
        <f t="shared" si="19"/>
        <v>0</v>
      </c>
      <c r="N19" s="1">
        <f t="shared" si="20"/>
        <v>0</v>
      </c>
      <c r="O19" s="1">
        <f t="shared" si="21"/>
        <v>0</v>
      </c>
      <c r="P19" s="1">
        <f t="shared" si="22"/>
        <v>0</v>
      </c>
      <c r="Q19" s="1">
        <f t="shared" si="23"/>
        <v>0</v>
      </c>
      <c r="R19" s="1">
        <f t="shared" si="24"/>
        <v>1</v>
      </c>
      <c r="S19" s="1">
        <f t="shared" si="25"/>
        <v>0</v>
      </c>
      <c r="T19" s="1">
        <f t="shared" si="26"/>
        <v>0</v>
      </c>
      <c r="U19" s="1">
        <f t="shared" si="27"/>
        <v>0</v>
      </c>
      <c r="V19" s="1">
        <f t="shared" si="28"/>
        <v>0</v>
      </c>
      <c r="W19" s="194" t="str">
        <f t="shared" si="14"/>
        <v>Gear,   Attendance</v>
      </c>
      <c r="X19" s="194" t="str">
        <f t="shared" si="15"/>
        <v>Gear,  Raid Output, Attendance</v>
      </c>
      <c r="AB19"/>
      <c r="AH19" s="1" t="e">
        <f>VLOOKUP(A19,'Look-up'!E:F,2,FALSE)</f>
        <v>#N/A</v>
      </c>
    </row>
    <row r="20" spans="1:41" ht="15" customHeight="1">
      <c r="A20" s="442" t="s">
        <v>240</v>
      </c>
      <c r="B20" s="126" t="s">
        <v>31</v>
      </c>
      <c r="C20" s="38" t="s">
        <v>22</v>
      </c>
      <c r="D20" s="38" t="s">
        <v>77</v>
      </c>
      <c r="E20" s="189">
        <f>Gear!L20</f>
        <v>1</v>
      </c>
      <c r="F20" s="189">
        <f>Gear!J20</f>
        <v>0.1</v>
      </c>
      <c r="G20" s="190">
        <f>Gear!Q20</f>
        <v>1.8001508526414514</v>
      </c>
      <c r="H20" s="189">
        <f>DCC!B20</f>
        <v>4</v>
      </c>
      <c r="I20" s="189">
        <f t="shared" si="13"/>
        <v>0</v>
      </c>
      <c r="J20" s="1">
        <f t="shared" si="16"/>
        <v>0</v>
      </c>
      <c r="K20" s="1">
        <f t="shared" si="17"/>
        <v>0</v>
      </c>
      <c r="L20" s="1">
        <f t="shared" si="18"/>
        <v>0</v>
      </c>
      <c r="M20" s="1">
        <f t="shared" si="19"/>
        <v>0</v>
      </c>
      <c r="N20" s="1">
        <f t="shared" si="20"/>
        <v>0</v>
      </c>
      <c r="O20" s="1">
        <f t="shared" si="21"/>
        <v>0</v>
      </c>
      <c r="P20" s="1">
        <f t="shared" si="22"/>
        <v>0</v>
      </c>
      <c r="Q20" s="1">
        <f t="shared" si="23"/>
        <v>0</v>
      </c>
      <c r="R20" s="1">
        <f t="shared" si="24"/>
        <v>0</v>
      </c>
      <c r="S20" s="1">
        <f t="shared" si="25"/>
        <v>0</v>
      </c>
      <c r="T20" s="1">
        <f t="shared" si="26"/>
        <v>1</v>
      </c>
      <c r="U20" s="1">
        <f t="shared" si="27"/>
        <v>0</v>
      </c>
      <c r="V20" s="1">
        <f t="shared" si="28"/>
        <v>0</v>
      </c>
      <c r="W20" s="194" t="str">
        <f t="shared" si="14"/>
        <v>Gear,   Attendance</v>
      </c>
      <c r="X20" s="194" t="str">
        <f t="shared" si="15"/>
        <v>Gear, Gear Quality,  Attendance</v>
      </c>
      <c r="AB20"/>
      <c r="AH20" s="1" t="e">
        <f>VLOOKUP(A20,'Look-up'!E:F,2,FALSE)</f>
        <v>#N/A</v>
      </c>
    </row>
    <row r="21" spans="1:41" ht="15" customHeight="1">
      <c r="A21" s="442" t="s">
        <v>212</v>
      </c>
      <c r="B21" s="126" t="s">
        <v>31</v>
      </c>
      <c r="C21" s="38" t="s">
        <v>182</v>
      </c>
      <c r="D21" s="38" t="s">
        <v>13</v>
      </c>
      <c r="E21" s="189">
        <f>Gear!L21</f>
        <v>3</v>
      </c>
      <c r="F21" s="189">
        <f>Gear!J21</f>
        <v>0</v>
      </c>
      <c r="G21" s="190">
        <f>Gear!Q21</f>
        <v>0.46997136743490231</v>
      </c>
      <c r="H21" s="189">
        <f>DCC!B21</f>
        <v>8</v>
      </c>
      <c r="I21" s="189">
        <f t="shared" si="13"/>
        <v>0</v>
      </c>
      <c r="J21" s="1">
        <f t="shared" si="16"/>
        <v>0</v>
      </c>
      <c r="K21" s="1">
        <f t="shared" si="17"/>
        <v>0</v>
      </c>
      <c r="L21" s="1">
        <f t="shared" si="18"/>
        <v>0</v>
      </c>
      <c r="M21" s="1">
        <f t="shared" si="19"/>
        <v>0</v>
      </c>
      <c r="N21" s="1">
        <f t="shared" si="20"/>
        <v>0</v>
      </c>
      <c r="O21" s="1">
        <f t="shared" si="21"/>
        <v>0</v>
      </c>
      <c r="P21" s="1">
        <f t="shared" si="22"/>
        <v>0</v>
      </c>
      <c r="Q21" s="1">
        <f t="shared" si="23"/>
        <v>0</v>
      </c>
      <c r="R21" s="1">
        <f t="shared" si="24"/>
        <v>0</v>
      </c>
      <c r="S21" s="1">
        <f t="shared" si="25"/>
        <v>0</v>
      </c>
      <c r="T21" s="1">
        <f t="shared" si="26"/>
        <v>0</v>
      </c>
      <c r="U21" s="1">
        <f t="shared" si="27"/>
        <v>0</v>
      </c>
      <c r="V21" s="1">
        <f t="shared" si="28"/>
        <v>0</v>
      </c>
      <c r="W21" s="194" t="str">
        <f t="shared" si="14"/>
        <v>Gear,  Raid Output, Attendance</v>
      </c>
      <c r="X21" s="194" t="str">
        <f t="shared" si="15"/>
        <v>Gear,  Raid Output, Attendance</v>
      </c>
      <c r="AB21"/>
      <c r="AH21" s="1" t="e">
        <f>VLOOKUP(A21,'Look-up'!E:F,2,FALSE)</f>
        <v>#N/A</v>
      </c>
    </row>
    <row r="22" spans="1:41" ht="15" customHeight="1">
      <c r="A22" s="442" t="s">
        <v>254</v>
      </c>
      <c r="B22" s="126" t="s">
        <v>31</v>
      </c>
      <c r="C22" s="38" t="s">
        <v>18</v>
      </c>
      <c r="D22" s="38" t="s">
        <v>76</v>
      </c>
      <c r="E22" s="189">
        <f>Gear!L22</f>
        <v>1</v>
      </c>
      <c r="F22" s="189">
        <f>Gear!J22</f>
        <v>0.4</v>
      </c>
      <c r="G22" s="190">
        <f>Gear!Q22</f>
        <v>2.0965327541312178</v>
      </c>
      <c r="H22" s="189">
        <f>DCC!B22</f>
        <v>6</v>
      </c>
      <c r="I22" s="189">
        <f t="shared" si="13"/>
        <v>0</v>
      </c>
      <c r="J22" s="1">
        <f t="shared" si="16"/>
        <v>0</v>
      </c>
      <c r="K22" s="1">
        <f t="shared" si="17"/>
        <v>0</v>
      </c>
      <c r="L22" s="1">
        <f t="shared" si="18"/>
        <v>0</v>
      </c>
      <c r="M22" s="1">
        <f t="shared" si="19"/>
        <v>0</v>
      </c>
      <c r="N22" s="1">
        <f t="shared" si="20"/>
        <v>0</v>
      </c>
      <c r="O22" s="1">
        <f t="shared" si="21"/>
        <v>0</v>
      </c>
      <c r="P22" s="1">
        <f t="shared" si="22"/>
        <v>1</v>
      </c>
      <c r="Q22" s="1">
        <f t="shared" si="23"/>
        <v>0</v>
      </c>
      <c r="R22" s="1">
        <f t="shared" si="24"/>
        <v>0</v>
      </c>
      <c r="S22" s="1">
        <f t="shared" si="25"/>
        <v>0</v>
      </c>
      <c r="T22" s="1">
        <f t="shared" si="26"/>
        <v>0</v>
      </c>
      <c r="U22" s="1">
        <f t="shared" si="27"/>
        <v>0</v>
      </c>
      <c r="V22" s="1">
        <f t="shared" si="28"/>
        <v>0</v>
      </c>
      <c r="W22" s="194" t="str">
        <f t="shared" si="14"/>
        <v>Gear,   Attendance</v>
      </c>
      <c r="X22" s="194" t="str">
        <f t="shared" si="15"/>
        <v>Gear, Gear Quality,  Attendance</v>
      </c>
      <c r="AB22"/>
      <c r="AH22" s="1" t="e">
        <f>VLOOKUP(A22,'Look-up'!E:F,2,FALSE)</f>
        <v>#N/A</v>
      </c>
    </row>
    <row r="23" spans="1:41" ht="15" customHeight="1">
      <c r="A23" s="442" t="s">
        <v>134</v>
      </c>
      <c r="B23" s="126" t="s">
        <v>31</v>
      </c>
      <c r="C23" s="38" t="s">
        <v>15</v>
      </c>
      <c r="D23" s="38" t="s">
        <v>77</v>
      </c>
      <c r="E23" s="189">
        <f>Gear!L23</f>
        <v>3</v>
      </c>
      <c r="F23" s="189">
        <f>Gear!J23</f>
        <v>0</v>
      </c>
      <c r="G23" s="190">
        <f>Gear!Q23</f>
        <v>0.7330317634738488</v>
      </c>
      <c r="H23" s="189">
        <f>DCC!B23</f>
        <v>8</v>
      </c>
      <c r="I23" s="189">
        <f t="shared" si="13"/>
        <v>0</v>
      </c>
      <c r="J23" s="1">
        <f t="shared" si="16"/>
        <v>0</v>
      </c>
      <c r="K23" s="1">
        <f t="shared" si="17"/>
        <v>0</v>
      </c>
      <c r="L23" s="1">
        <f t="shared" si="18"/>
        <v>0</v>
      </c>
      <c r="M23" s="1">
        <f t="shared" si="19"/>
        <v>1</v>
      </c>
      <c r="N23" s="1">
        <f t="shared" si="20"/>
        <v>0</v>
      </c>
      <c r="O23" s="1">
        <f t="shared" si="21"/>
        <v>0</v>
      </c>
      <c r="P23" s="1">
        <f t="shared" si="22"/>
        <v>0</v>
      </c>
      <c r="Q23" s="1">
        <f t="shared" si="23"/>
        <v>0</v>
      </c>
      <c r="R23" s="1">
        <f t="shared" si="24"/>
        <v>0</v>
      </c>
      <c r="S23" s="1">
        <f t="shared" si="25"/>
        <v>0</v>
      </c>
      <c r="T23" s="1">
        <f t="shared" si="26"/>
        <v>0</v>
      </c>
      <c r="U23" s="1">
        <f t="shared" si="27"/>
        <v>0</v>
      </c>
      <c r="V23" s="1">
        <f t="shared" si="28"/>
        <v>0</v>
      </c>
      <c r="W23" s="194" t="str">
        <f t="shared" si="14"/>
        <v>Gear,   Attendance</v>
      </c>
      <c r="X23" s="194" t="str">
        <f t="shared" si="15"/>
        <v>Gear,  Raid Output, Attendance</v>
      </c>
      <c r="AB23"/>
      <c r="AH23" s="1" t="e">
        <f>VLOOKUP(A23,'Look-up'!E:F,2,FALSE)</f>
        <v>#N/A</v>
      </c>
    </row>
    <row r="24" spans="1:41" ht="15" customHeight="1">
      <c r="A24" s="442" t="s">
        <v>244</v>
      </c>
      <c r="B24" s="126" t="s">
        <v>31</v>
      </c>
      <c r="C24" s="38" t="s">
        <v>22</v>
      </c>
      <c r="D24" s="38" t="s">
        <v>76</v>
      </c>
      <c r="E24" s="189">
        <f>Gear!L24</f>
        <v>2</v>
      </c>
      <c r="F24" s="189">
        <f>Gear!J24</f>
        <v>0</v>
      </c>
      <c r="G24" s="190">
        <f>Gear!Q24</f>
        <v>0.57278039667195269</v>
      </c>
      <c r="H24" s="189">
        <f>DCC!B24</f>
        <v>7</v>
      </c>
      <c r="I24" s="189">
        <f t="shared" si="13"/>
        <v>0</v>
      </c>
      <c r="J24" s="1">
        <f t="shared" si="16"/>
        <v>0</v>
      </c>
      <c r="K24" s="1">
        <f t="shared" si="17"/>
        <v>0</v>
      </c>
      <c r="L24" s="1">
        <f t="shared" si="18"/>
        <v>0</v>
      </c>
      <c r="M24" s="1">
        <f t="shared" si="19"/>
        <v>0</v>
      </c>
      <c r="N24" s="1">
        <f t="shared" si="20"/>
        <v>0</v>
      </c>
      <c r="O24" s="1">
        <f t="shared" si="21"/>
        <v>0</v>
      </c>
      <c r="P24" s="1">
        <f t="shared" si="22"/>
        <v>0</v>
      </c>
      <c r="Q24" s="1">
        <f t="shared" si="23"/>
        <v>0</v>
      </c>
      <c r="R24" s="1">
        <f t="shared" si="24"/>
        <v>0</v>
      </c>
      <c r="S24" s="1">
        <f t="shared" si="25"/>
        <v>0</v>
      </c>
      <c r="T24" s="1">
        <f t="shared" si="26"/>
        <v>1</v>
      </c>
      <c r="U24" s="1">
        <f t="shared" si="27"/>
        <v>0</v>
      </c>
      <c r="V24" s="1">
        <f t="shared" si="28"/>
        <v>0</v>
      </c>
      <c r="W24" s="194" t="str">
        <f t="shared" si="14"/>
        <v>Gear,   Attendance</v>
      </c>
      <c r="X24" s="194" t="str">
        <f t="shared" si="15"/>
        <v>Gear,  Raid Output, Attendance</v>
      </c>
      <c r="AB24"/>
      <c r="AH24" s="1" t="e">
        <f>VLOOKUP(A24,'Look-up'!E:F,2,FALSE)</f>
        <v>#N/A</v>
      </c>
    </row>
    <row r="25" spans="1:41" ht="15" customHeight="1">
      <c r="A25" s="442" t="s">
        <v>255</v>
      </c>
      <c r="B25" s="126" t="s">
        <v>31</v>
      </c>
      <c r="C25" s="38" t="s">
        <v>19</v>
      </c>
      <c r="D25" s="38" t="s">
        <v>77</v>
      </c>
      <c r="E25" s="189">
        <f>Gear!L25</f>
        <v>1</v>
      </c>
      <c r="F25" s="189">
        <f>Gear!J25</f>
        <v>0</v>
      </c>
      <c r="G25" s="190">
        <f>Gear!Q25</f>
        <v>0.68376590943063287</v>
      </c>
      <c r="H25" s="189">
        <f>DCC!B25</f>
        <v>4</v>
      </c>
      <c r="I25" s="189">
        <f t="shared" si="13"/>
        <v>0</v>
      </c>
      <c r="J25" s="1">
        <f t="shared" si="16"/>
        <v>0</v>
      </c>
      <c r="K25" s="1">
        <f t="shared" si="17"/>
        <v>0</v>
      </c>
      <c r="L25" s="1">
        <f t="shared" si="18"/>
        <v>0</v>
      </c>
      <c r="M25" s="1">
        <f t="shared" si="19"/>
        <v>0</v>
      </c>
      <c r="N25" s="1">
        <f t="shared" si="20"/>
        <v>0</v>
      </c>
      <c r="O25" s="1">
        <f t="shared" si="21"/>
        <v>0</v>
      </c>
      <c r="P25" s="1">
        <f t="shared" si="22"/>
        <v>0</v>
      </c>
      <c r="Q25" s="1">
        <f t="shared" si="23"/>
        <v>1</v>
      </c>
      <c r="R25" s="1">
        <f t="shared" si="24"/>
        <v>0</v>
      </c>
      <c r="S25" s="1">
        <f t="shared" si="25"/>
        <v>0</v>
      </c>
      <c r="T25" s="1">
        <f t="shared" si="26"/>
        <v>0</v>
      </c>
      <c r="U25" s="1">
        <f t="shared" si="27"/>
        <v>0</v>
      </c>
      <c r="V25" s="1">
        <f t="shared" si="28"/>
        <v>0</v>
      </c>
      <c r="W25" s="194" t="str">
        <f t="shared" si="14"/>
        <v>Gear,   Attendance</v>
      </c>
      <c r="X25" s="194" t="str">
        <f t="shared" si="15"/>
        <v>Gear,  Raid Output, Attendance</v>
      </c>
      <c r="AB25"/>
      <c r="AH25" s="1" t="e">
        <f>VLOOKUP(A25,'Look-up'!E:F,2,FALSE)</f>
        <v>#N/A</v>
      </c>
    </row>
    <row r="26" spans="1:41" ht="15" customHeight="1">
      <c r="A26" s="442" t="s">
        <v>245</v>
      </c>
      <c r="B26" s="126" t="s">
        <v>31</v>
      </c>
      <c r="C26" s="38" t="s">
        <v>18</v>
      </c>
      <c r="D26" s="38" t="s">
        <v>76</v>
      </c>
      <c r="E26" s="189">
        <f>Gear!L26</f>
        <v>3</v>
      </c>
      <c r="F26" s="189">
        <f>Gear!J26</f>
        <v>0</v>
      </c>
      <c r="G26" s="190">
        <f>Gear!Q26</f>
        <v>0.5482894777487648</v>
      </c>
      <c r="H26" s="189">
        <f>DCC!B26</f>
        <v>8</v>
      </c>
      <c r="I26" s="189">
        <f t="shared" si="13"/>
        <v>0</v>
      </c>
      <c r="J26" s="1">
        <f t="shared" si="16"/>
        <v>0</v>
      </c>
      <c r="K26" s="1">
        <f t="shared" si="17"/>
        <v>0</v>
      </c>
      <c r="L26" s="1">
        <f t="shared" si="18"/>
        <v>0</v>
      </c>
      <c r="M26" s="1">
        <f t="shared" si="19"/>
        <v>0</v>
      </c>
      <c r="N26" s="1">
        <f t="shared" si="20"/>
        <v>0</v>
      </c>
      <c r="O26" s="1">
        <f t="shared" si="21"/>
        <v>0</v>
      </c>
      <c r="P26" s="1">
        <f t="shared" si="22"/>
        <v>1</v>
      </c>
      <c r="Q26" s="1">
        <f t="shared" si="23"/>
        <v>0</v>
      </c>
      <c r="R26" s="1">
        <f t="shared" si="24"/>
        <v>0</v>
      </c>
      <c r="S26" s="1">
        <f t="shared" si="25"/>
        <v>0</v>
      </c>
      <c r="T26" s="1">
        <f t="shared" si="26"/>
        <v>0</v>
      </c>
      <c r="U26" s="1">
        <f t="shared" si="27"/>
        <v>0</v>
      </c>
      <c r="V26" s="1">
        <f t="shared" si="28"/>
        <v>0</v>
      </c>
      <c r="W26" s="194" t="str">
        <f t="shared" si="14"/>
        <v>Gear,   Attendance</v>
      </c>
      <c r="X26" s="194" t="str">
        <f t="shared" si="15"/>
        <v>Gear,  Raid Output, Attendance</v>
      </c>
      <c r="AB26"/>
      <c r="AH26" s="1" t="e">
        <f>VLOOKUP(A26,'Look-up'!E:F,2,FALSE)</f>
        <v>#N/A</v>
      </c>
    </row>
    <row r="27" spans="1:41" ht="15" customHeight="1">
      <c r="A27" s="442" t="s">
        <v>223</v>
      </c>
      <c r="B27" s="126" t="s">
        <v>31</v>
      </c>
      <c r="C27" s="38" t="s">
        <v>20</v>
      </c>
      <c r="D27" s="38" t="s">
        <v>76</v>
      </c>
      <c r="E27" s="189">
        <f>Gear!L27</f>
        <v>2</v>
      </c>
      <c r="F27" s="189">
        <f>Gear!J27</f>
        <v>0</v>
      </c>
      <c r="G27" s="190">
        <f>Gear!Q27</f>
        <v>0.63278899507216757</v>
      </c>
      <c r="H27" s="189">
        <f>DCC!B27</f>
        <v>5</v>
      </c>
      <c r="I27" s="189">
        <f t="shared" si="13"/>
        <v>0</v>
      </c>
      <c r="J27" s="1">
        <f t="shared" si="16"/>
        <v>0</v>
      </c>
      <c r="K27" s="1">
        <f t="shared" si="17"/>
        <v>0</v>
      </c>
      <c r="L27" s="1">
        <f t="shared" si="18"/>
        <v>0</v>
      </c>
      <c r="M27" s="1">
        <f t="shared" si="19"/>
        <v>0</v>
      </c>
      <c r="N27" s="1">
        <f t="shared" si="20"/>
        <v>0</v>
      </c>
      <c r="O27" s="1">
        <f t="shared" si="21"/>
        <v>0</v>
      </c>
      <c r="P27" s="1">
        <f t="shared" si="22"/>
        <v>0</v>
      </c>
      <c r="Q27" s="1">
        <f t="shared" si="23"/>
        <v>0</v>
      </c>
      <c r="R27" s="1">
        <f t="shared" si="24"/>
        <v>1</v>
      </c>
      <c r="S27" s="1">
        <f t="shared" si="25"/>
        <v>0</v>
      </c>
      <c r="T27" s="1">
        <f t="shared" si="26"/>
        <v>0</v>
      </c>
      <c r="U27" s="1">
        <f t="shared" si="27"/>
        <v>0</v>
      </c>
      <c r="V27" s="1">
        <f t="shared" si="28"/>
        <v>0</v>
      </c>
      <c r="W27" s="194" t="str">
        <f t="shared" si="14"/>
        <v>Gear,   Attendance</v>
      </c>
      <c r="X27" s="194" t="str">
        <f t="shared" si="15"/>
        <v>Gear,  Raid Output, Attendance</v>
      </c>
      <c r="AB27"/>
      <c r="AH27" s="1" t="e">
        <f>VLOOKUP(A27,'Look-up'!E:F,2,FALSE)</f>
        <v>#N/A</v>
      </c>
    </row>
    <row r="28" spans="1:41" ht="15" customHeight="1">
      <c r="A28" s="442" t="s">
        <v>241</v>
      </c>
      <c r="B28" s="126" t="s">
        <v>31</v>
      </c>
      <c r="C28" s="38" t="s">
        <v>18</v>
      </c>
      <c r="D28" s="38" t="s">
        <v>76</v>
      </c>
      <c r="E28" s="189">
        <f>Gear!L28</f>
        <v>1</v>
      </c>
      <c r="F28" s="189">
        <f>Gear!J28</f>
        <v>0</v>
      </c>
      <c r="G28" s="190">
        <f>Gear!Q28</f>
        <v>0.52852221125908316</v>
      </c>
      <c r="H28" s="189">
        <f>DCC!B28</f>
        <v>8</v>
      </c>
      <c r="I28" s="189">
        <f t="shared" si="13"/>
        <v>0</v>
      </c>
      <c r="J28" s="1">
        <f t="shared" si="16"/>
        <v>0</v>
      </c>
      <c r="K28" s="1">
        <f t="shared" si="17"/>
        <v>0</v>
      </c>
      <c r="L28" s="1">
        <f t="shared" si="18"/>
        <v>0</v>
      </c>
      <c r="M28" s="1">
        <f t="shared" si="19"/>
        <v>0</v>
      </c>
      <c r="N28" s="1">
        <f t="shared" si="20"/>
        <v>0</v>
      </c>
      <c r="O28" s="1">
        <f t="shared" si="21"/>
        <v>0</v>
      </c>
      <c r="P28" s="1">
        <f t="shared" si="22"/>
        <v>1</v>
      </c>
      <c r="Q28" s="1">
        <f t="shared" si="23"/>
        <v>0</v>
      </c>
      <c r="R28" s="1">
        <f t="shared" si="24"/>
        <v>0</v>
      </c>
      <c r="S28" s="1">
        <f t="shared" si="25"/>
        <v>0</v>
      </c>
      <c r="T28" s="1">
        <f t="shared" si="26"/>
        <v>0</v>
      </c>
      <c r="U28" s="1">
        <f t="shared" si="27"/>
        <v>0</v>
      </c>
      <c r="V28" s="1">
        <f t="shared" si="28"/>
        <v>0</v>
      </c>
      <c r="W28" s="194" t="str">
        <f t="shared" si="14"/>
        <v>Gear,   Attendance</v>
      </c>
      <c r="X28" s="194" t="str">
        <f t="shared" si="15"/>
        <v>Gear,  Raid Output, Attendance</v>
      </c>
      <c r="AB28"/>
      <c r="AH28" s="1" t="e">
        <f>VLOOKUP(A28,'Look-up'!E:F,2,FALSE)</f>
        <v>#N/A</v>
      </c>
    </row>
    <row r="29" spans="1:41" ht="15" customHeight="1">
      <c r="A29" s="442" t="s">
        <v>235</v>
      </c>
      <c r="B29" s="126" t="s">
        <v>31</v>
      </c>
      <c r="C29" s="38" t="s">
        <v>22</v>
      </c>
      <c r="D29" s="38" t="s">
        <v>13</v>
      </c>
      <c r="E29" s="189">
        <f>Gear!L29</f>
        <v>0</v>
      </c>
      <c r="F29" s="189">
        <f>Gear!J29</f>
        <v>0</v>
      </c>
      <c r="G29" s="190">
        <f>Gear!Q29</f>
        <v>0.64741763188191037</v>
      </c>
      <c r="H29" s="189">
        <f>DCC!B29</f>
        <v>5</v>
      </c>
      <c r="I29" s="189">
        <f t="shared" si="13"/>
        <v>0</v>
      </c>
      <c r="J29" s="1">
        <f>COUNTIF(D98,"Healererer")</f>
        <v>0</v>
      </c>
      <c r="K29" s="1">
        <f>COUNTIF(D98,"DPS")</f>
        <v>0</v>
      </c>
      <c r="L29" s="1">
        <f>COUNTIF(D98,"Tank")</f>
        <v>0</v>
      </c>
      <c r="M29" s="1">
        <f>COUNTIF(C98,"Death Knight")</f>
        <v>0</v>
      </c>
      <c r="N29" s="1">
        <f>COUNTIF(C98,"Druid")</f>
        <v>0</v>
      </c>
      <c r="O29" s="1">
        <f>COUNTIF(C98,"Hunter")</f>
        <v>0</v>
      </c>
      <c r="P29" s="1">
        <f>COUNTIF(C98,"Mage")</f>
        <v>0</v>
      </c>
      <c r="Q29" s="1">
        <f>COUNTIF(C98,"Paladin")</f>
        <v>0</v>
      </c>
      <c r="R29" s="1">
        <f>COUNTIF(C98,"Priest")</f>
        <v>0</v>
      </c>
      <c r="S29" s="1">
        <f>COUNTIF(C98,"Rogue")</f>
        <v>0</v>
      </c>
      <c r="T29" s="1">
        <f>COUNTIF(C98,"Shaman")</f>
        <v>0</v>
      </c>
      <c r="U29" s="1">
        <f>COUNTIF(C98,"Warlock")</f>
        <v>0</v>
      </c>
      <c r="V29" s="1">
        <f>COUNTIF(C98,"Warrior")</f>
        <v>0</v>
      </c>
      <c r="W29" s="194" t="str">
        <f t="shared" si="14"/>
        <v>Gear,   Attendance</v>
      </c>
      <c r="X29" s="194" t="str">
        <f t="shared" si="15"/>
        <v>Gear,  Raid Output, Attendance</v>
      </c>
      <c r="AB29"/>
      <c r="AH29" s="1" t="e">
        <f>VLOOKUP(A29,'Look-up'!E:F,2,FALSE)</f>
        <v>#N/A</v>
      </c>
    </row>
    <row r="30" spans="1:41" ht="15" customHeight="1">
      <c r="A30" s="442" t="s">
        <v>246</v>
      </c>
      <c r="B30" s="126" t="s">
        <v>31</v>
      </c>
      <c r="C30" s="38" t="s">
        <v>15</v>
      </c>
      <c r="D30" s="38" t="s">
        <v>77</v>
      </c>
      <c r="E30" s="189">
        <f>Gear!L30</f>
        <v>2</v>
      </c>
      <c r="F30" s="189">
        <f>Gear!J30</f>
        <v>0</v>
      </c>
      <c r="G30" s="190">
        <f>Gear!Q30</f>
        <v>1.8565206575053561</v>
      </c>
      <c r="H30" s="189">
        <f>DCC!B30</f>
        <v>2</v>
      </c>
      <c r="I30" s="189">
        <f t="shared" si="13"/>
        <v>0</v>
      </c>
      <c r="J30" s="1">
        <f t="shared" ref="J30:J39" si="29">COUNTIF(D30,"Healererer")</f>
        <v>0</v>
      </c>
      <c r="K30" s="1">
        <f t="shared" ref="K30:K39" si="30">COUNTIF(D30,"DPS")</f>
        <v>0</v>
      </c>
      <c r="L30" s="1">
        <f t="shared" ref="L30:L39" si="31">COUNTIF(D30,"Tank")</f>
        <v>0</v>
      </c>
      <c r="M30" s="1">
        <f t="shared" ref="M30:M39" si="32">COUNTIF(C30,"Death Knight")</f>
        <v>1</v>
      </c>
      <c r="N30" s="1">
        <f t="shared" ref="N30:N39" si="33">COUNTIF(C30,"Druid")</f>
        <v>0</v>
      </c>
      <c r="O30" s="1">
        <f t="shared" ref="O30:O39" si="34">COUNTIF(C30,"Hunter")</f>
        <v>0</v>
      </c>
      <c r="P30" s="1">
        <f t="shared" ref="P30:P39" si="35">COUNTIF(C30,"Mage")</f>
        <v>0</v>
      </c>
      <c r="Q30" s="1">
        <f t="shared" ref="Q30:Q39" si="36">COUNTIF(C30,"Paladin")</f>
        <v>0</v>
      </c>
      <c r="R30" s="1">
        <f t="shared" ref="R30:R39" si="37">COUNTIF(C30,"Priest")</f>
        <v>0</v>
      </c>
      <c r="S30" s="1">
        <f t="shared" ref="S30:S39" si="38">COUNTIF(C30,"Rogue")</f>
        <v>0</v>
      </c>
      <c r="T30" s="1">
        <f t="shared" ref="T30:T39" si="39">COUNTIF(C30,"Shaman")</f>
        <v>0</v>
      </c>
      <c r="U30" s="1">
        <f t="shared" ref="U30:U39" si="40">COUNTIF(C30,"Warlock")</f>
        <v>0</v>
      </c>
      <c r="V30" s="1">
        <f t="shared" ref="V30:V39" si="41">COUNTIF(C30,"Warrior")</f>
        <v>0</v>
      </c>
      <c r="W30" s="194" t="str">
        <f t="shared" si="14"/>
        <v>Gear,   Attendance</v>
      </c>
      <c r="X30" s="194" t="str">
        <f t="shared" si="15"/>
        <v>Gear,   Attendance</v>
      </c>
      <c r="AB30"/>
      <c r="AC30"/>
      <c r="AD30"/>
      <c r="AE30"/>
      <c r="AH30" s="1" t="e">
        <f>VLOOKUP(A30,'Look-up'!E:F,2,FALSE)</f>
        <v>#N/A</v>
      </c>
    </row>
    <row r="31" spans="1:41" ht="15" customHeight="1">
      <c r="A31" s="442" t="s">
        <v>230</v>
      </c>
      <c r="B31" s="126" t="s">
        <v>31</v>
      </c>
      <c r="C31" s="38" t="s">
        <v>20</v>
      </c>
      <c r="D31" s="38" t="s">
        <v>76</v>
      </c>
      <c r="E31" s="189">
        <f>Gear!L31</f>
        <v>3</v>
      </c>
      <c r="F31" s="189">
        <f>Gear!J31</f>
        <v>0</v>
      </c>
      <c r="G31" s="190">
        <f>Gear!Q31</f>
        <v>0.71239841872839715</v>
      </c>
      <c r="H31" s="189">
        <f>DCC!B31</f>
        <v>8</v>
      </c>
      <c r="I31" s="189">
        <f t="shared" si="13"/>
        <v>0</v>
      </c>
      <c r="J31" s="1">
        <f t="shared" si="29"/>
        <v>0</v>
      </c>
      <c r="K31" s="1">
        <f t="shared" si="30"/>
        <v>0</v>
      </c>
      <c r="L31" s="1">
        <f t="shared" si="31"/>
        <v>0</v>
      </c>
      <c r="M31" s="1">
        <f t="shared" si="32"/>
        <v>0</v>
      </c>
      <c r="N31" s="1">
        <f t="shared" si="33"/>
        <v>0</v>
      </c>
      <c r="O31" s="1">
        <f t="shared" si="34"/>
        <v>0</v>
      </c>
      <c r="P31" s="1">
        <f t="shared" si="35"/>
        <v>0</v>
      </c>
      <c r="Q31" s="1">
        <f t="shared" si="36"/>
        <v>0</v>
      </c>
      <c r="R31" s="1">
        <f t="shared" si="37"/>
        <v>1</v>
      </c>
      <c r="S31" s="1">
        <f t="shared" si="38"/>
        <v>0</v>
      </c>
      <c r="T31" s="1">
        <f t="shared" si="39"/>
        <v>0</v>
      </c>
      <c r="U31" s="1">
        <f t="shared" si="40"/>
        <v>0</v>
      </c>
      <c r="V31" s="1">
        <f t="shared" si="41"/>
        <v>0</v>
      </c>
      <c r="W31" s="194" t="str">
        <f t="shared" si="14"/>
        <v>Gear,   Attendance</v>
      </c>
      <c r="X31" s="194" t="str">
        <f t="shared" si="15"/>
        <v>Gear,  Raid Output, Attendance</v>
      </c>
      <c r="AB31"/>
      <c r="AC31"/>
      <c r="AD31"/>
      <c r="AE31"/>
      <c r="AH31" s="1" t="e">
        <f>VLOOKUP(A31,'Look-up'!E:F,2,FALSE)</f>
        <v>#N/A</v>
      </c>
      <c r="AO31"/>
    </row>
    <row r="32" spans="1:41" ht="15" customHeight="1">
      <c r="A32" s="442" t="s">
        <v>199</v>
      </c>
      <c r="B32" s="126" t="s">
        <v>31</v>
      </c>
      <c r="C32" s="38" t="s">
        <v>20</v>
      </c>
      <c r="D32" s="38" t="s">
        <v>13</v>
      </c>
      <c r="E32" s="189">
        <f>Gear!L32</f>
        <v>2</v>
      </c>
      <c r="F32" s="189">
        <f>Gear!J32</f>
        <v>0</v>
      </c>
      <c r="G32" s="190">
        <f>Gear!Q32</f>
        <v>0.72432987414440275</v>
      </c>
      <c r="H32" s="189">
        <f>DCC!B32</f>
        <v>4</v>
      </c>
      <c r="I32" s="189">
        <f t="shared" si="13"/>
        <v>0</v>
      </c>
      <c r="J32" s="1">
        <f t="shared" si="29"/>
        <v>0</v>
      </c>
      <c r="K32" s="1">
        <f t="shared" si="30"/>
        <v>0</v>
      </c>
      <c r="L32" s="1">
        <f t="shared" si="31"/>
        <v>0</v>
      </c>
      <c r="M32" s="1">
        <f t="shared" si="32"/>
        <v>0</v>
      </c>
      <c r="N32" s="1">
        <f t="shared" si="33"/>
        <v>0</v>
      </c>
      <c r="O32" s="1">
        <f t="shared" si="34"/>
        <v>0</v>
      </c>
      <c r="P32" s="1">
        <f t="shared" si="35"/>
        <v>0</v>
      </c>
      <c r="Q32" s="1">
        <f t="shared" si="36"/>
        <v>0</v>
      </c>
      <c r="R32" s="1">
        <f t="shared" si="37"/>
        <v>1</v>
      </c>
      <c r="S32" s="1">
        <f t="shared" si="38"/>
        <v>0</v>
      </c>
      <c r="T32" s="1">
        <f t="shared" si="39"/>
        <v>0</v>
      </c>
      <c r="U32" s="1">
        <f t="shared" si="40"/>
        <v>0</v>
      </c>
      <c r="V32" s="1">
        <f t="shared" si="41"/>
        <v>0</v>
      </c>
      <c r="W32" s="194" t="str">
        <f t="shared" si="14"/>
        <v>Gear,   Attendance</v>
      </c>
      <c r="X32" s="194" t="str">
        <f t="shared" si="15"/>
        <v>Gear,  Raid Output, Attendance</v>
      </c>
      <c r="AB32"/>
      <c r="AC32"/>
      <c r="AD32"/>
      <c r="AE32"/>
      <c r="AH32" s="1" t="e">
        <f>VLOOKUP(A32,'Look-up'!E:F,2,FALSE)</f>
        <v>#N/A</v>
      </c>
    </row>
    <row r="33" spans="1:34" ht="15" customHeight="1">
      <c r="A33" s="443" t="s">
        <v>200</v>
      </c>
      <c r="B33" s="126" t="s">
        <v>31</v>
      </c>
      <c r="C33" s="38" t="s">
        <v>24</v>
      </c>
      <c r="D33" s="38" t="s">
        <v>77</v>
      </c>
      <c r="E33" s="189">
        <f>Gear!L33</f>
        <v>3</v>
      </c>
      <c r="F33" s="189">
        <f>Gear!J33</f>
        <v>0</v>
      </c>
      <c r="G33" s="190">
        <f>Gear!Q33</f>
        <v>0.51954976179622003</v>
      </c>
      <c r="H33" s="189">
        <f>DCC!B33</f>
        <v>5</v>
      </c>
      <c r="I33" s="189">
        <f t="shared" si="13"/>
        <v>0</v>
      </c>
      <c r="J33" s="1">
        <f t="shared" si="29"/>
        <v>0</v>
      </c>
      <c r="K33" s="1">
        <f t="shared" si="30"/>
        <v>0</v>
      </c>
      <c r="L33" s="1">
        <f t="shared" si="31"/>
        <v>0</v>
      </c>
      <c r="M33" s="1">
        <f t="shared" si="32"/>
        <v>0</v>
      </c>
      <c r="N33" s="1">
        <f t="shared" si="33"/>
        <v>0</v>
      </c>
      <c r="O33" s="1">
        <f t="shared" si="34"/>
        <v>0</v>
      </c>
      <c r="P33" s="1">
        <f t="shared" si="35"/>
        <v>0</v>
      </c>
      <c r="Q33" s="1">
        <f t="shared" si="36"/>
        <v>0</v>
      </c>
      <c r="R33" s="1">
        <f t="shared" si="37"/>
        <v>0</v>
      </c>
      <c r="S33" s="1">
        <f t="shared" si="38"/>
        <v>0</v>
      </c>
      <c r="T33" s="1">
        <f t="shared" si="39"/>
        <v>0</v>
      </c>
      <c r="U33" s="1">
        <f t="shared" si="40"/>
        <v>0</v>
      </c>
      <c r="V33" s="1">
        <f t="shared" si="41"/>
        <v>1</v>
      </c>
      <c r="W33" s="194" t="str">
        <f t="shared" si="14"/>
        <v>Gear,   Attendance</v>
      </c>
      <c r="X33" s="194" t="str">
        <f t="shared" si="15"/>
        <v>Gear,  Raid Output, Attendance</v>
      </c>
      <c r="AB33"/>
      <c r="AC33"/>
      <c r="AD33"/>
      <c r="AE33"/>
      <c r="AH33" s="1" t="e">
        <f>VLOOKUP(A33,'Look-up'!E:F,2,FALSE)</f>
        <v>#N/A</v>
      </c>
    </row>
    <row r="34" spans="1:34" ht="15" customHeight="1">
      <c r="A34" s="442" t="s">
        <v>256</v>
      </c>
      <c r="B34" s="126" t="s">
        <v>31</v>
      </c>
      <c r="C34" s="38" t="s">
        <v>182</v>
      </c>
      <c r="D34" s="38" t="s">
        <v>77</v>
      </c>
      <c r="E34" s="189">
        <f>Gear!L34</f>
        <v>2</v>
      </c>
      <c r="F34" s="189">
        <f>Gear!J34</f>
        <v>0</v>
      </c>
      <c r="G34" s="190">
        <f>Gear!Q34</f>
        <v>0.71423911976350551</v>
      </c>
      <c r="H34" s="189">
        <f>DCC!B34</f>
        <v>8</v>
      </c>
      <c r="I34" s="189">
        <f t="shared" si="13"/>
        <v>0</v>
      </c>
      <c r="J34" s="1">
        <f t="shared" si="29"/>
        <v>0</v>
      </c>
      <c r="K34" s="1">
        <f t="shared" si="30"/>
        <v>0</v>
      </c>
      <c r="L34" s="1">
        <f t="shared" si="31"/>
        <v>0</v>
      </c>
      <c r="M34" s="1">
        <f t="shared" si="32"/>
        <v>0</v>
      </c>
      <c r="N34" s="1">
        <f t="shared" si="33"/>
        <v>0</v>
      </c>
      <c r="O34" s="1">
        <f t="shared" si="34"/>
        <v>0</v>
      </c>
      <c r="P34" s="1">
        <f t="shared" si="35"/>
        <v>0</v>
      </c>
      <c r="Q34" s="1">
        <f t="shared" si="36"/>
        <v>0</v>
      </c>
      <c r="R34" s="1">
        <f t="shared" si="37"/>
        <v>0</v>
      </c>
      <c r="S34" s="1">
        <f t="shared" si="38"/>
        <v>0</v>
      </c>
      <c r="T34" s="1">
        <f t="shared" si="39"/>
        <v>0</v>
      </c>
      <c r="U34" s="1">
        <f t="shared" si="40"/>
        <v>0</v>
      </c>
      <c r="V34" s="1">
        <f t="shared" si="41"/>
        <v>0</v>
      </c>
      <c r="W34" s="194" t="str">
        <f t="shared" si="14"/>
        <v>Gear,   Attendance</v>
      </c>
      <c r="X34" s="194" t="str">
        <f t="shared" si="15"/>
        <v>Gear,  Raid Output, Attendance</v>
      </c>
      <c r="AB34"/>
      <c r="AC34"/>
      <c r="AD34"/>
      <c r="AE34"/>
      <c r="AH34" s="1" t="e">
        <f>VLOOKUP(A34,'Look-up'!E:F,2,FALSE)</f>
        <v>#N/A</v>
      </c>
    </row>
    <row r="35" spans="1:34" ht="15" customHeight="1">
      <c r="A35" s="444" t="s">
        <v>242</v>
      </c>
      <c r="B35" s="126" t="s">
        <v>31</v>
      </c>
      <c r="C35" s="38" t="s">
        <v>19</v>
      </c>
      <c r="D35" s="38" t="s">
        <v>77</v>
      </c>
      <c r="E35" s="189">
        <f>Gear!L35</f>
        <v>2</v>
      </c>
      <c r="F35" s="189">
        <f>Gear!J35</f>
        <v>0</v>
      </c>
      <c r="G35" s="190">
        <f>Gear!Q35</f>
        <v>1.8229081217848457</v>
      </c>
      <c r="H35" s="189">
        <f>DCC!B35</f>
        <v>5</v>
      </c>
      <c r="I35" s="189">
        <f t="shared" si="13"/>
        <v>0</v>
      </c>
      <c r="J35" s="1">
        <f t="shared" si="29"/>
        <v>0</v>
      </c>
      <c r="K35" s="1">
        <f t="shared" si="30"/>
        <v>0</v>
      </c>
      <c r="L35" s="1">
        <f t="shared" si="31"/>
        <v>0</v>
      </c>
      <c r="M35" s="1">
        <f t="shared" si="32"/>
        <v>0</v>
      </c>
      <c r="N35" s="1">
        <f t="shared" si="33"/>
        <v>0</v>
      </c>
      <c r="O35" s="1">
        <f t="shared" si="34"/>
        <v>0</v>
      </c>
      <c r="P35" s="1">
        <f t="shared" si="35"/>
        <v>0</v>
      </c>
      <c r="Q35" s="1">
        <f t="shared" si="36"/>
        <v>1</v>
      </c>
      <c r="R35" s="1">
        <f t="shared" si="37"/>
        <v>0</v>
      </c>
      <c r="S35" s="1">
        <f t="shared" si="38"/>
        <v>0</v>
      </c>
      <c r="T35" s="1">
        <f t="shared" si="39"/>
        <v>0</v>
      </c>
      <c r="U35" s="1">
        <f t="shared" si="40"/>
        <v>0</v>
      </c>
      <c r="V35" s="1">
        <f t="shared" si="41"/>
        <v>0</v>
      </c>
      <c r="W35" s="194" t="str">
        <f t="shared" si="14"/>
        <v>Gear,   Attendance</v>
      </c>
      <c r="X35" s="194" t="str">
        <f t="shared" si="15"/>
        <v>Gear,   Attendance</v>
      </c>
      <c r="AB35"/>
      <c r="AC35"/>
      <c r="AD35"/>
      <c r="AE35"/>
      <c r="AH35" s="1" t="e">
        <f>VLOOKUP(A35,'Look-up'!E:F,2,FALSE)</f>
        <v>#N/A</v>
      </c>
    </row>
    <row r="36" spans="1:34" ht="15" customHeight="1">
      <c r="A36" s="442" t="s">
        <v>257</v>
      </c>
      <c r="B36" s="126" t="s">
        <v>31</v>
      </c>
      <c r="C36" s="38" t="s">
        <v>24</v>
      </c>
      <c r="D36" s="38" t="s">
        <v>77</v>
      </c>
      <c r="E36" s="189">
        <f>Gear!L36</f>
        <v>1</v>
      </c>
      <c r="F36" s="189">
        <f>Gear!J36</f>
        <v>0</v>
      </c>
      <c r="G36" s="190">
        <f>Gear!Q36</f>
        <v>0.67166597044021392</v>
      </c>
      <c r="H36" s="189">
        <f>DCC!B36</f>
        <v>6</v>
      </c>
      <c r="I36" s="189">
        <f t="shared" si="13"/>
        <v>0</v>
      </c>
      <c r="J36" s="1">
        <f t="shared" si="29"/>
        <v>0</v>
      </c>
      <c r="K36" s="1">
        <f t="shared" si="30"/>
        <v>0</v>
      </c>
      <c r="L36" s="1">
        <f t="shared" si="31"/>
        <v>0</v>
      </c>
      <c r="M36" s="1">
        <f t="shared" si="32"/>
        <v>0</v>
      </c>
      <c r="N36" s="1">
        <f t="shared" si="33"/>
        <v>0</v>
      </c>
      <c r="O36" s="1">
        <f t="shared" si="34"/>
        <v>0</v>
      </c>
      <c r="P36" s="1">
        <f t="shared" si="35"/>
        <v>0</v>
      </c>
      <c r="Q36" s="1">
        <f t="shared" si="36"/>
        <v>0</v>
      </c>
      <c r="R36" s="1">
        <f t="shared" si="37"/>
        <v>0</v>
      </c>
      <c r="S36" s="1">
        <f t="shared" si="38"/>
        <v>0</v>
      </c>
      <c r="T36" s="1">
        <f t="shared" si="39"/>
        <v>0</v>
      </c>
      <c r="U36" s="1">
        <f t="shared" si="40"/>
        <v>0</v>
      </c>
      <c r="V36" s="1">
        <f t="shared" si="41"/>
        <v>1</v>
      </c>
      <c r="W36" s="194" t="str">
        <f t="shared" si="14"/>
        <v>Gear,   Attendance</v>
      </c>
      <c r="X36" s="194" t="str">
        <f t="shared" si="15"/>
        <v>Gear,  Raid Output, Attendance</v>
      </c>
      <c r="AB36"/>
      <c r="AC36"/>
      <c r="AD36"/>
      <c r="AE36"/>
      <c r="AH36" s="1" t="e">
        <f>VLOOKUP(A36,'Look-up'!E:F,2,FALSE)</f>
        <v>#N/A</v>
      </c>
    </row>
    <row r="37" spans="1:34" ht="15" customHeight="1">
      <c r="A37" s="444" t="s">
        <v>263</v>
      </c>
      <c r="B37" s="126" t="s">
        <v>31</v>
      </c>
      <c r="C37" s="38" t="s">
        <v>16</v>
      </c>
      <c r="D37" s="38" t="s">
        <v>76</v>
      </c>
      <c r="E37" s="189">
        <f>Gear!L37</f>
        <v>0</v>
      </c>
      <c r="F37" s="189">
        <f>Gear!J37</f>
        <v>0</v>
      </c>
      <c r="G37" s="190">
        <f>Gear!Q37</f>
        <v>0.75590356137197146</v>
      </c>
      <c r="H37" s="189">
        <f>DCC!B37</f>
        <v>2</v>
      </c>
      <c r="I37" s="189">
        <f t="shared" si="13"/>
        <v>0</v>
      </c>
      <c r="J37" s="1">
        <f t="shared" si="29"/>
        <v>0</v>
      </c>
      <c r="K37" s="1">
        <f t="shared" si="30"/>
        <v>0</v>
      </c>
      <c r="L37" s="1">
        <f t="shared" si="31"/>
        <v>0</v>
      </c>
      <c r="M37" s="1">
        <f t="shared" si="32"/>
        <v>0</v>
      </c>
      <c r="N37" s="1">
        <f t="shared" si="33"/>
        <v>1</v>
      </c>
      <c r="O37" s="1">
        <f t="shared" si="34"/>
        <v>0</v>
      </c>
      <c r="P37" s="1">
        <f t="shared" si="35"/>
        <v>0</v>
      </c>
      <c r="Q37" s="1">
        <f t="shared" si="36"/>
        <v>0</v>
      </c>
      <c r="R37" s="1">
        <f t="shared" si="37"/>
        <v>0</v>
      </c>
      <c r="S37" s="1">
        <f t="shared" si="38"/>
        <v>0</v>
      </c>
      <c r="T37" s="1">
        <f t="shared" si="39"/>
        <v>0</v>
      </c>
      <c r="U37" s="1">
        <f t="shared" si="40"/>
        <v>0</v>
      </c>
      <c r="V37" s="1">
        <f t="shared" si="41"/>
        <v>0</v>
      </c>
      <c r="W37" s="194" t="str">
        <f t="shared" si="14"/>
        <v>Gear,   Attendance</v>
      </c>
      <c r="X37" s="194" t="str">
        <f t="shared" si="15"/>
        <v>Gear,  Raid Output, Attendance</v>
      </c>
      <c r="AB37"/>
      <c r="AC37"/>
      <c r="AD37"/>
      <c r="AE37"/>
      <c r="AH37" s="1" t="e">
        <f>VLOOKUP(A37,'Look-up'!E:F,2,FALSE)</f>
        <v>#N/A</v>
      </c>
    </row>
    <row r="38" spans="1:34" ht="15" customHeight="1">
      <c r="A38" s="444"/>
      <c r="B38" s="126"/>
      <c r="C38" s="38"/>
      <c r="D38" s="38"/>
      <c r="E38" s="189">
        <f>Gear!L38</f>
        <v>0</v>
      </c>
      <c r="F38" s="189">
        <f>Gear!J38</f>
        <v>0</v>
      </c>
      <c r="G38" s="190" t="e">
        <f>Gear!Q38</f>
        <v>#N/A</v>
      </c>
      <c r="H38" s="189">
        <f>DCC!B38</f>
        <v>0</v>
      </c>
      <c r="I38" s="189">
        <f t="shared" si="13"/>
        <v>0</v>
      </c>
      <c r="J38" s="1">
        <f t="shared" si="29"/>
        <v>0</v>
      </c>
      <c r="K38" s="1">
        <f t="shared" si="30"/>
        <v>0</v>
      </c>
      <c r="L38" s="1">
        <f t="shared" si="31"/>
        <v>0</v>
      </c>
      <c r="M38" s="1">
        <f t="shared" si="32"/>
        <v>0</v>
      </c>
      <c r="N38" s="1">
        <f t="shared" si="33"/>
        <v>0</v>
      </c>
      <c r="O38" s="1">
        <f t="shared" si="34"/>
        <v>0</v>
      </c>
      <c r="P38" s="1">
        <f t="shared" si="35"/>
        <v>0</v>
      </c>
      <c r="Q38" s="1">
        <f t="shared" si="36"/>
        <v>0</v>
      </c>
      <c r="R38" s="1">
        <f t="shared" si="37"/>
        <v>0</v>
      </c>
      <c r="S38" s="1">
        <f t="shared" si="38"/>
        <v>0</v>
      </c>
      <c r="T38" s="1">
        <f t="shared" si="39"/>
        <v>0</v>
      </c>
      <c r="U38" s="1">
        <f t="shared" si="40"/>
        <v>0</v>
      </c>
      <c r="V38" s="1">
        <f t="shared" si="41"/>
        <v>0</v>
      </c>
      <c r="W38" s="194" t="e">
        <f t="shared" si="14"/>
        <v>#N/A</v>
      </c>
      <c r="X38" s="194" t="e">
        <f t="shared" si="15"/>
        <v>#N/A</v>
      </c>
      <c r="AB38"/>
      <c r="AC38"/>
      <c r="AD38"/>
      <c r="AE38"/>
      <c r="AH38" s="1" t="e">
        <f>VLOOKUP(A38,'Look-up'!E:F,2,FALSE)</f>
        <v>#N/A</v>
      </c>
    </row>
    <row r="39" spans="1:34" ht="15" customHeight="1">
      <c r="A39" s="444"/>
      <c r="B39" s="126"/>
      <c r="C39" s="38"/>
      <c r="D39" s="38"/>
      <c r="E39" s="189">
        <f>Gear!L39</f>
        <v>0</v>
      </c>
      <c r="F39" s="189">
        <f>Gear!J39</f>
        <v>0</v>
      </c>
      <c r="G39" s="190" t="e">
        <f>Gear!Q39</f>
        <v>#N/A</v>
      </c>
      <c r="H39" s="189">
        <f>DCC!B39</f>
        <v>0</v>
      </c>
      <c r="I39" s="189">
        <f t="shared" si="13"/>
        <v>0</v>
      </c>
      <c r="J39" s="1">
        <f t="shared" si="29"/>
        <v>0</v>
      </c>
      <c r="K39" s="1">
        <f t="shared" si="30"/>
        <v>0</v>
      </c>
      <c r="L39" s="1">
        <f t="shared" si="31"/>
        <v>0</v>
      </c>
      <c r="M39" s="1">
        <f t="shared" si="32"/>
        <v>0</v>
      </c>
      <c r="N39" s="1">
        <f t="shared" si="33"/>
        <v>0</v>
      </c>
      <c r="O39" s="1">
        <f t="shared" si="34"/>
        <v>0</v>
      </c>
      <c r="P39" s="1">
        <f t="shared" si="35"/>
        <v>0</v>
      </c>
      <c r="Q39" s="1">
        <f t="shared" si="36"/>
        <v>0</v>
      </c>
      <c r="R39" s="1">
        <f t="shared" si="37"/>
        <v>0</v>
      </c>
      <c r="S39" s="1">
        <f t="shared" si="38"/>
        <v>0</v>
      </c>
      <c r="T39" s="1">
        <f t="shared" si="39"/>
        <v>0</v>
      </c>
      <c r="U39" s="1">
        <f t="shared" si="40"/>
        <v>0</v>
      </c>
      <c r="V39" s="1">
        <f t="shared" si="41"/>
        <v>0</v>
      </c>
      <c r="W39" s="194" t="e">
        <f t="shared" si="14"/>
        <v>#N/A</v>
      </c>
      <c r="X39" s="194" t="e">
        <f t="shared" si="15"/>
        <v>#N/A</v>
      </c>
      <c r="AB39"/>
      <c r="AC39"/>
      <c r="AD39"/>
      <c r="AE39"/>
      <c r="AH39" s="1" t="e">
        <f>VLOOKUP(A39,'Look-up'!E:F,2,FALSE)</f>
        <v>#N/A</v>
      </c>
    </row>
    <row r="40" spans="1:34" ht="15" customHeight="1">
      <c r="A40" s="444"/>
      <c r="B40" s="126"/>
      <c r="C40" s="38"/>
      <c r="D40" s="38"/>
      <c r="E40" s="189">
        <f>Gear!L40</f>
        <v>0</v>
      </c>
      <c r="F40" s="189">
        <f>Gear!J40</f>
        <v>0</v>
      </c>
      <c r="G40" s="190" t="e">
        <f>Gear!Q40</f>
        <v>#N/A</v>
      </c>
      <c r="H40" s="189">
        <f>DCC!B40</f>
        <v>0</v>
      </c>
      <c r="I40" s="189">
        <f t="shared" si="13"/>
        <v>0</v>
      </c>
      <c r="J40" s="1">
        <f t="shared" ref="J40:J94" si="42">COUNTIF(D40,"Healererer")</f>
        <v>0</v>
      </c>
      <c r="K40" s="1">
        <f t="shared" ref="K40:K94" si="43">COUNTIF(D40,"DPS")</f>
        <v>0</v>
      </c>
      <c r="L40" s="1">
        <f t="shared" ref="L40:L94" si="44">COUNTIF(D40,"Tank")</f>
        <v>0</v>
      </c>
      <c r="M40" s="1">
        <f t="shared" ref="M40:M79" si="45">COUNTIF(C40,"Death Knight")</f>
        <v>0</v>
      </c>
      <c r="N40" s="1">
        <f t="shared" ref="N40:N79" si="46">COUNTIF(C40,"Druid")</f>
        <v>0</v>
      </c>
      <c r="O40" s="1">
        <f t="shared" ref="O40:O79" si="47">COUNTIF(C40,"Hunter")</f>
        <v>0</v>
      </c>
      <c r="P40" s="1">
        <f t="shared" ref="P40:P79" si="48">COUNTIF(C40,"Mage")</f>
        <v>0</v>
      </c>
      <c r="Q40" s="1">
        <f t="shared" ref="Q40:Q79" si="49">COUNTIF(C40,"Paladin")</f>
        <v>0</v>
      </c>
      <c r="R40" s="1">
        <f t="shared" ref="R40:R79" si="50">COUNTIF(C40,"Priest")</f>
        <v>0</v>
      </c>
      <c r="S40" s="1">
        <f t="shared" ref="S40:S79" si="51">COUNTIF(C40,"Rogue")</f>
        <v>0</v>
      </c>
      <c r="T40" s="1">
        <f t="shared" ref="T40:T79" si="52">COUNTIF(C40,"Shaman")</f>
        <v>0</v>
      </c>
      <c r="U40" s="1">
        <f t="shared" ref="U40:U79" si="53">COUNTIF(C40,"Warlock")</f>
        <v>0</v>
      </c>
      <c r="V40" s="1">
        <f t="shared" ref="V40:V79" si="54">COUNTIF(C40,"Warrior")</f>
        <v>0</v>
      </c>
      <c r="W40" s="194" t="e">
        <f t="shared" si="14"/>
        <v>#N/A</v>
      </c>
      <c r="X40" s="194" t="e">
        <f t="shared" si="15"/>
        <v>#N/A</v>
      </c>
      <c r="AB40"/>
      <c r="AC40"/>
      <c r="AD40"/>
      <c r="AE40"/>
      <c r="AH40" s="1" t="e">
        <f>VLOOKUP(A40,'Look-up'!E:F,2,FALSE)</f>
        <v>#N/A</v>
      </c>
    </row>
    <row r="41" spans="1:34" ht="15" customHeight="1">
      <c r="A41" s="442"/>
      <c r="B41" s="126"/>
      <c r="C41" s="38"/>
      <c r="D41" s="38"/>
      <c r="E41" s="189">
        <f>Gear!L41</f>
        <v>0</v>
      </c>
      <c r="F41" s="189">
        <f>Gear!J41</f>
        <v>0</v>
      </c>
      <c r="G41" s="190" t="e">
        <f>Gear!Q41</f>
        <v>#N/A</v>
      </c>
      <c r="H41" s="189">
        <f>DCC!B41</f>
        <v>0</v>
      </c>
      <c r="I41" s="189">
        <f t="shared" si="13"/>
        <v>0</v>
      </c>
      <c r="J41" s="1">
        <f t="shared" si="42"/>
        <v>0</v>
      </c>
      <c r="K41" s="1">
        <f t="shared" si="43"/>
        <v>0</v>
      </c>
      <c r="L41" s="1">
        <f t="shared" si="44"/>
        <v>0</v>
      </c>
      <c r="M41" s="1">
        <f t="shared" si="45"/>
        <v>0</v>
      </c>
      <c r="N41" s="1">
        <f t="shared" si="46"/>
        <v>0</v>
      </c>
      <c r="O41" s="1">
        <f t="shared" si="47"/>
        <v>0</v>
      </c>
      <c r="P41" s="1">
        <f t="shared" si="48"/>
        <v>0</v>
      </c>
      <c r="Q41" s="1">
        <f t="shared" si="49"/>
        <v>0</v>
      </c>
      <c r="R41" s="1">
        <f t="shared" si="50"/>
        <v>0</v>
      </c>
      <c r="S41" s="1">
        <f t="shared" si="51"/>
        <v>0</v>
      </c>
      <c r="T41" s="1">
        <f t="shared" si="52"/>
        <v>0</v>
      </c>
      <c r="U41" s="1">
        <f t="shared" si="53"/>
        <v>0</v>
      </c>
      <c r="V41" s="1">
        <f t="shared" si="54"/>
        <v>0</v>
      </c>
      <c r="W41" s="194" t="e">
        <f t="shared" si="14"/>
        <v>#N/A</v>
      </c>
      <c r="X41" s="194" t="e">
        <f t="shared" si="15"/>
        <v>#N/A</v>
      </c>
      <c r="AB41"/>
      <c r="AC41"/>
      <c r="AD41"/>
      <c r="AE41"/>
      <c r="AH41" s="1" t="e">
        <f>VLOOKUP(A41,'Look-up'!E:F,2,FALSE)</f>
        <v>#N/A</v>
      </c>
    </row>
    <row r="42" spans="1:34" ht="15" customHeight="1">
      <c r="A42" s="442"/>
      <c r="B42" s="127"/>
      <c r="C42" s="42"/>
      <c r="D42" s="38"/>
      <c r="E42" s="189">
        <f>Gear!L42</f>
        <v>0</v>
      </c>
      <c r="F42" s="189">
        <f>Gear!J42</f>
        <v>0</v>
      </c>
      <c r="G42" s="190" t="e">
        <f>Gear!Q42</f>
        <v>#N/A</v>
      </c>
      <c r="H42" s="189">
        <f>DCC!B42</f>
        <v>0</v>
      </c>
      <c r="I42" s="189">
        <f t="shared" si="13"/>
        <v>0</v>
      </c>
      <c r="J42" s="1">
        <f t="shared" si="42"/>
        <v>0</v>
      </c>
      <c r="K42" s="1">
        <f t="shared" si="43"/>
        <v>0</v>
      </c>
      <c r="L42" s="1">
        <f t="shared" si="44"/>
        <v>0</v>
      </c>
      <c r="M42" s="1">
        <f t="shared" si="45"/>
        <v>0</v>
      </c>
      <c r="N42" s="1">
        <f t="shared" si="46"/>
        <v>0</v>
      </c>
      <c r="O42" s="1">
        <f t="shared" si="47"/>
        <v>0</v>
      </c>
      <c r="P42" s="1">
        <f t="shared" si="48"/>
        <v>0</v>
      </c>
      <c r="Q42" s="1">
        <f t="shared" si="49"/>
        <v>0</v>
      </c>
      <c r="R42" s="1">
        <f t="shared" si="50"/>
        <v>0</v>
      </c>
      <c r="S42" s="1">
        <f t="shared" si="51"/>
        <v>0</v>
      </c>
      <c r="T42" s="1">
        <f t="shared" si="52"/>
        <v>0</v>
      </c>
      <c r="U42" s="1">
        <f t="shared" si="53"/>
        <v>0</v>
      </c>
      <c r="V42" s="1">
        <f t="shared" si="54"/>
        <v>0</v>
      </c>
      <c r="W42" s="194" t="e">
        <f t="shared" si="14"/>
        <v>#N/A</v>
      </c>
      <c r="X42" s="194" t="e">
        <f t="shared" si="15"/>
        <v>#N/A</v>
      </c>
      <c r="AB42"/>
      <c r="AC42"/>
      <c r="AD42"/>
      <c r="AE42"/>
      <c r="AH42" s="1" t="e">
        <f>VLOOKUP(A42,'Look-up'!E:F,2,FALSE)</f>
        <v>#N/A</v>
      </c>
    </row>
    <row r="43" spans="1:34" ht="15" customHeight="1">
      <c r="A43" s="442"/>
      <c r="B43" s="126"/>
      <c r="C43" s="38"/>
      <c r="D43" s="38"/>
      <c r="E43" s="189">
        <f>Gear!L43</f>
        <v>0</v>
      </c>
      <c r="F43" s="189">
        <f>Gear!J43</f>
        <v>0</v>
      </c>
      <c r="G43" s="190" t="e">
        <f>Gear!Q43</f>
        <v>#N/A</v>
      </c>
      <c r="H43" s="189">
        <f>DCC!B43</f>
        <v>0</v>
      </c>
      <c r="I43" s="189">
        <f t="shared" si="13"/>
        <v>0</v>
      </c>
      <c r="J43" s="1">
        <f t="shared" si="42"/>
        <v>0</v>
      </c>
      <c r="K43" s="1">
        <f t="shared" si="43"/>
        <v>0</v>
      </c>
      <c r="L43" s="1">
        <f t="shared" si="44"/>
        <v>0</v>
      </c>
      <c r="M43" s="1">
        <f t="shared" si="45"/>
        <v>0</v>
      </c>
      <c r="N43" s="1">
        <f t="shared" si="46"/>
        <v>0</v>
      </c>
      <c r="O43" s="1">
        <f t="shared" si="47"/>
        <v>0</v>
      </c>
      <c r="P43" s="1">
        <f t="shared" si="48"/>
        <v>0</v>
      </c>
      <c r="Q43" s="1">
        <f t="shared" si="49"/>
        <v>0</v>
      </c>
      <c r="R43" s="1">
        <f t="shared" si="50"/>
        <v>0</v>
      </c>
      <c r="S43" s="1">
        <f t="shared" si="51"/>
        <v>0</v>
      </c>
      <c r="T43" s="1">
        <f t="shared" si="52"/>
        <v>0</v>
      </c>
      <c r="U43" s="1">
        <f t="shared" si="53"/>
        <v>0</v>
      </c>
      <c r="V43" s="1">
        <f t="shared" si="54"/>
        <v>0</v>
      </c>
      <c r="W43" s="194" t="e">
        <f t="shared" si="14"/>
        <v>#N/A</v>
      </c>
      <c r="X43" s="194" t="e">
        <f t="shared" si="15"/>
        <v>#N/A</v>
      </c>
      <c r="AB43"/>
      <c r="AC43"/>
      <c r="AD43"/>
      <c r="AE43"/>
      <c r="AH43" s="1" t="e">
        <f>VLOOKUP(A43,'Look-up'!E:F,2,FALSE)</f>
        <v>#N/A</v>
      </c>
    </row>
    <row r="44" spans="1:34" ht="15" customHeight="1">
      <c r="A44" s="442"/>
      <c r="B44" s="126"/>
      <c r="C44" s="38"/>
      <c r="D44" s="38"/>
      <c r="E44" s="189">
        <f>Gear!L44</f>
        <v>0</v>
      </c>
      <c r="F44" s="189">
        <f>Gear!J44</f>
        <v>0</v>
      </c>
      <c r="G44" s="190" t="e">
        <f>Gear!Q44</f>
        <v>#N/A</v>
      </c>
      <c r="H44" s="189">
        <f>DCC!B44</f>
        <v>0</v>
      </c>
      <c r="I44" s="189">
        <f t="shared" si="13"/>
        <v>0</v>
      </c>
      <c r="J44" s="1">
        <f t="shared" si="42"/>
        <v>0</v>
      </c>
      <c r="K44" s="1">
        <f t="shared" si="43"/>
        <v>0</v>
      </c>
      <c r="L44" s="1">
        <f t="shared" si="44"/>
        <v>0</v>
      </c>
      <c r="M44" s="1">
        <f t="shared" si="45"/>
        <v>0</v>
      </c>
      <c r="N44" s="1">
        <f t="shared" si="46"/>
        <v>0</v>
      </c>
      <c r="O44" s="1">
        <f t="shared" si="47"/>
        <v>0</v>
      </c>
      <c r="P44" s="1">
        <f t="shared" si="48"/>
        <v>0</v>
      </c>
      <c r="Q44" s="1">
        <f t="shared" si="49"/>
        <v>0</v>
      </c>
      <c r="R44" s="1">
        <f t="shared" si="50"/>
        <v>0</v>
      </c>
      <c r="S44" s="1">
        <f t="shared" si="51"/>
        <v>0</v>
      </c>
      <c r="T44" s="1">
        <f t="shared" si="52"/>
        <v>0</v>
      </c>
      <c r="U44" s="1">
        <f t="shared" si="53"/>
        <v>0</v>
      </c>
      <c r="V44" s="1">
        <f t="shared" si="54"/>
        <v>0</v>
      </c>
      <c r="W44" s="194" t="e">
        <f t="shared" si="14"/>
        <v>#N/A</v>
      </c>
      <c r="X44" s="194" t="e">
        <f t="shared" si="15"/>
        <v>#N/A</v>
      </c>
      <c r="AB44"/>
      <c r="AC44"/>
      <c r="AD44"/>
      <c r="AE44"/>
      <c r="AH44" s="1" t="e">
        <f>VLOOKUP(A44,'Look-up'!E:F,2,FALSE)</f>
        <v>#N/A</v>
      </c>
    </row>
    <row r="45" spans="1:34" ht="15" customHeight="1">
      <c r="A45" s="442"/>
      <c r="B45" s="126"/>
      <c r="C45" s="38"/>
      <c r="D45" s="38"/>
      <c r="E45" s="189">
        <f>Gear!L45</f>
        <v>0</v>
      </c>
      <c r="F45" s="189">
        <f>Gear!J45</f>
        <v>0</v>
      </c>
      <c r="G45" s="190" t="e">
        <f>Gear!Q45</f>
        <v>#N/A</v>
      </c>
      <c r="H45" s="189">
        <f>DCC!B45</f>
        <v>0</v>
      </c>
      <c r="I45" s="189">
        <f t="shared" si="13"/>
        <v>0</v>
      </c>
      <c r="J45" s="1">
        <f t="shared" si="42"/>
        <v>0</v>
      </c>
      <c r="K45" s="1">
        <f t="shared" si="43"/>
        <v>0</v>
      </c>
      <c r="L45" s="1">
        <f t="shared" si="44"/>
        <v>0</v>
      </c>
      <c r="M45" s="1">
        <f t="shared" si="45"/>
        <v>0</v>
      </c>
      <c r="N45" s="1">
        <f t="shared" si="46"/>
        <v>0</v>
      </c>
      <c r="O45" s="1">
        <f t="shared" si="47"/>
        <v>0</v>
      </c>
      <c r="P45" s="1">
        <f t="shared" si="48"/>
        <v>0</v>
      </c>
      <c r="Q45" s="1">
        <f t="shared" si="49"/>
        <v>0</v>
      </c>
      <c r="R45" s="1">
        <f t="shared" si="50"/>
        <v>0</v>
      </c>
      <c r="S45" s="1">
        <f t="shared" si="51"/>
        <v>0</v>
      </c>
      <c r="T45" s="1">
        <f t="shared" si="52"/>
        <v>0</v>
      </c>
      <c r="U45" s="1">
        <f t="shared" si="53"/>
        <v>0</v>
      </c>
      <c r="V45" s="1">
        <f t="shared" si="54"/>
        <v>0</v>
      </c>
      <c r="W45" s="194" t="e">
        <f t="shared" si="14"/>
        <v>#N/A</v>
      </c>
      <c r="X45" s="194" t="e">
        <f t="shared" si="15"/>
        <v>#N/A</v>
      </c>
      <c r="AB45"/>
      <c r="AC45"/>
      <c r="AD45"/>
      <c r="AE45"/>
      <c r="AH45" s="1" t="e">
        <f>VLOOKUP(A45,'Look-up'!E:F,2,FALSE)</f>
        <v>#N/A</v>
      </c>
    </row>
    <row r="46" spans="1:34" ht="15" customHeight="1">
      <c r="A46" s="445"/>
      <c r="B46" s="126"/>
      <c r="C46" s="38"/>
      <c r="D46" s="38"/>
      <c r="E46" s="189">
        <f>Gear!L46</f>
        <v>0</v>
      </c>
      <c r="F46" s="189">
        <f>Gear!J46</f>
        <v>0</v>
      </c>
      <c r="G46" s="190" t="e">
        <f>Gear!Q46</f>
        <v>#N/A</v>
      </c>
      <c r="H46" s="189">
        <f>DCC!B46</f>
        <v>0</v>
      </c>
      <c r="I46" s="189">
        <f t="shared" si="13"/>
        <v>0</v>
      </c>
      <c r="J46" s="1">
        <f t="shared" si="42"/>
        <v>0</v>
      </c>
      <c r="K46" s="1">
        <f t="shared" si="43"/>
        <v>0</v>
      </c>
      <c r="L46" s="1">
        <f t="shared" si="44"/>
        <v>0</v>
      </c>
      <c r="M46" s="1">
        <f t="shared" si="45"/>
        <v>0</v>
      </c>
      <c r="N46" s="1">
        <f t="shared" si="46"/>
        <v>0</v>
      </c>
      <c r="O46" s="1">
        <f t="shared" si="47"/>
        <v>0</v>
      </c>
      <c r="P46" s="1">
        <f t="shared" si="48"/>
        <v>0</v>
      </c>
      <c r="Q46" s="1">
        <f t="shared" si="49"/>
        <v>0</v>
      </c>
      <c r="R46" s="1">
        <f t="shared" si="50"/>
        <v>0</v>
      </c>
      <c r="S46" s="1">
        <f t="shared" si="51"/>
        <v>0</v>
      </c>
      <c r="T46" s="1">
        <f t="shared" si="52"/>
        <v>0</v>
      </c>
      <c r="U46" s="1">
        <f t="shared" si="53"/>
        <v>0</v>
      </c>
      <c r="V46" s="1">
        <f t="shared" si="54"/>
        <v>0</v>
      </c>
      <c r="W46" s="194" t="e">
        <f t="shared" si="14"/>
        <v>#N/A</v>
      </c>
      <c r="X46" s="194" t="e">
        <f t="shared" si="15"/>
        <v>#N/A</v>
      </c>
      <c r="AB46"/>
      <c r="AC46"/>
      <c r="AD46"/>
      <c r="AE46"/>
      <c r="AH46" s="1" t="e">
        <f>VLOOKUP(A46,'Look-up'!E:F,2,FALSE)</f>
        <v>#N/A</v>
      </c>
    </row>
    <row r="47" spans="1:34" ht="15" customHeight="1">
      <c r="A47" s="442"/>
      <c r="B47" s="126"/>
      <c r="C47" s="38"/>
      <c r="D47" s="38"/>
      <c r="E47" s="189">
        <f>Gear!L47</f>
        <v>0</v>
      </c>
      <c r="F47" s="189">
        <f>Gear!J47</f>
        <v>0</v>
      </c>
      <c r="G47" s="190" t="e">
        <f>Gear!Q47</f>
        <v>#N/A</v>
      </c>
      <c r="H47" s="189">
        <f>DCC!B47</f>
        <v>0</v>
      </c>
      <c r="I47" s="189">
        <f t="shared" si="13"/>
        <v>0</v>
      </c>
      <c r="J47" s="1">
        <f t="shared" si="42"/>
        <v>0</v>
      </c>
      <c r="K47" s="1">
        <f t="shared" si="43"/>
        <v>0</v>
      </c>
      <c r="L47" s="1">
        <f t="shared" si="44"/>
        <v>0</v>
      </c>
      <c r="M47" s="1">
        <f t="shared" si="45"/>
        <v>0</v>
      </c>
      <c r="N47" s="1">
        <f t="shared" si="46"/>
        <v>0</v>
      </c>
      <c r="O47" s="1">
        <f t="shared" si="47"/>
        <v>0</v>
      </c>
      <c r="P47" s="1">
        <f t="shared" si="48"/>
        <v>0</v>
      </c>
      <c r="Q47" s="1">
        <f t="shared" si="49"/>
        <v>0</v>
      </c>
      <c r="R47" s="1">
        <f t="shared" si="50"/>
        <v>0</v>
      </c>
      <c r="S47" s="1">
        <f t="shared" si="51"/>
        <v>0</v>
      </c>
      <c r="T47" s="1">
        <f t="shared" si="52"/>
        <v>0</v>
      </c>
      <c r="U47" s="1">
        <f t="shared" si="53"/>
        <v>0</v>
      </c>
      <c r="V47" s="1">
        <f t="shared" si="54"/>
        <v>0</v>
      </c>
      <c r="W47" s="194" t="e">
        <f t="shared" si="14"/>
        <v>#N/A</v>
      </c>
      <c r="X47" s="194" t="e">
        <f t="shared" si="15"/>
        <v>#N/A</v>
      </c>
      <c r="AB47"/>
      <c r="AC47"/>
      <c r="AD47"/>
      <c r="AE47"/>
      <c r="AH47" s="1" t="e">
        <f>VLOOKUP(A47,'Look-up'!E:F,2,FALSE)</f>
        <v>#N/A</v>
      </c>
    </row>
    <row r="48" spans="1:34" ht="15" customHeight="1">
      <c r="A48" s="442"/>
      <c r="B48" s="126"/>
      <c r="C48" s="38"/>
      <c r="D48" s="38"/>
      <c r="E48" s="189">
        <f>Gear!L48</f>
        <v>0</v>
      </c>
      <c r="F48" s="189">
        <f>Gear!J48</f>
        <v>0</v>
      </c>
      <c r="G48" s="190" t="e">
        <f>Gear!Q48</f>
        <v>#N/A</v>
      </c>
      <c r="H48" s="189">
        <f>DCC!B48</f>
        <v>0</v>
      </c>
      <c r="I48" s="189">
        <f t="shared" si="13"/>
        <v>0</v>
      </c>
      <c r="J48" s="1">
        <f t="shared" si="42"/>
        <v>0</v>
      </c>
      <c r="K48" s="1">
        <f t="shared" si="43"/>
        <v>0</v>
      </c>
      <c r="L48" s="1">
        <f t="shared" si="44"/>
        <v>0</v>
      </c>
      <c r="M48" s="1">
        <f t="shared" si="45"/>
        <v>0</v>
      </c>
      <c r="N48" s="1">
        <f t="shared" si="46"/>
        <v>0</v>
      </c>
      <c r="O48" s="1">
        <f t="shared" si="47"/>
        <v>0</v>
      </c>
      <c r="P48" s="1">
        <f t="shared" si="48"/>
        <v>0</v>
      </c>
      <c r="Q48" s="1">
        <f t="shared" si="49"/>
        <v>0</v>
      </c>
      <c r="R48" s="1">
        <f t="shared" si="50"/>
        <v>0</v>
      </c>
      <c r="S48" s="1">
        <f t="shared" si="51"/>
        <v>0</v>
      </c>
      <c r="T48" s="1">
        <f t="shared" si="52"/>
        <v>0</v>
      </c>
      <c r="U48" s="1">
        <f t="shared" si="53"/>
        <v>0</v>
      </c>
      <c r="V48" s="1">
        <f t="shared" si="54"/>
        <v>0</v>
      </c>
      <c r="W48" s="194" t="e">
        <f t="shared" si="14"/>
        <v>#N/A</v>
      </c>
      <c r="X48" s="194" t="e">
        <f t="shared" si="15"/>
        <v>#N/A</v>
      </c>
      <c r="AB48"/>
      <c r="AC48"/>
      <c r="AD48"/>
      <c r="AE48"/>
      <c r="AH48" s="1" t="e">
        <f>VLOOKUP(A48,'Look-up'!E:F,2,FALSE)</f>
        <v>#N/A</v>
      </c>
    </row>
    <row r="49" spans="1:34" ht="15" customHeight="1">
      <c r="A49" s="37"/>
      <c r="B49" s="126"/>
      <c r="C49" s="38"/>
      <c r="D49" s="38"/>
      <c r="E49" s="189">
        <f>Gear!L49</f>
        <v>0</v>
      </c>
      <c r="F49" s="189">
        <f>Gear!J49</f>
        <v>0</v>
      </c>
      <c r="G49" s="190" t="e">
        <f>Gear!Q49</f>
        <v>#N/A</v>
      </c>
      <c r="H49" s="189">
        <f>DCC!B49</f>
        <v>0</v>
      </c>
      <c r="I49" s="189">
        <f t="shared" si="13"/>
        <v>0</v>
      </c>
      <c r="J49" s="1">
        <f t="shared" si="42"/>
        <v>0</v>
      </c>
      <c r="K49" s="1">
        <f t="shared" si="43"/>
        <v>0</v>
      </c>
      <c r="L49" s="1">
        <f t="shared" si="44"/>
        <v>0</v>
      </c>
      <c r="M49" s="1">
        <f t="shared" si="45"/>
        <v>0</v>
      </c>
      <c r="N49" s="1">
        <f t="shared" si="46"/>
        <v>0</v>
      </c>
      <c r="O49" s="1">
        <f t="shared" si="47"/>
        <v>0</v>
      </c>
      <c r="P49" s="1">
        <f t="shared" si="48"/>
        <v>0</v>
      </c>
      <c r="Q49" s="1">
        <f t="shared" si="49"/>
        <v>0</v>
      </c>
      <c r="R49" s="1">
        <f t="shared" si="50"/>
        <v>0</v>
      </c>
      <c r="S49" s="1">
        <f t="shared" si="51"/>
        <v>0</v>
      </c>
      <c r="T49" s="1">
        <f t="shared" si="52"/>
        <v>0</v>
      </c>
      <c r="U49" s="1">
        <f t="shared" si="53"/>
        <v>0</v>
      </c>
      <c r="V49" s="1">
        <f t="shared" si="54"/>
        <v>0</v>
      </c>
      <c r="W49" s="194" t="e">
        <f t="shared" si="14"/>
        <v>#N/A</v>
      </c>
      <c r="X49" s="194" t="e">
        <f t="shared" si="15"/>
        <v>#N/A</v>
      </c>
      <c r="AB49"/>
      <c r="AC49"/>
      <c r="AD49"/>
      <c r="AE49"/>
      <c r="AH49" s="1" t="e">
        <f>VLOOKUP(A49,'Look-up'!E:F,2,FALSE)</f>
        <v>#N/A</v>
      </c>
    </row>
    <row r="50" spans="1:34" ht="15" customHeight="1">
      <c r="A50" s="442"/>
      <c r="B50" s="126"/>
      <c r="C50" s="38"/>
      <c r="D50" s="38"/>
      <c r="E50" s="189">
        <f>Gear!L50</f>
        <v>0</v>
      </c>
      <c r="F50" s="189">
        <f>Gear!J50</f>
        <v>0</v>
      </c>
      <c r="G50" s="190" t="e">
        <f>Gear!Q50</f>
        <v>#N/A</v>
      </c>
      <c r="H50" s="189">
        <f>DCC!B50</f>
        <v>0</v>
      </c>
      <c r="I50" s="189">
        <f t="shared" si="13"/>
        <v>0</v>
      </c>
      <c r="J50" s="1">
        <f t="shared" si="42"/>
        <v>0</v>
      </c>
      <c r="K50" s="1">
        <f t="shared" si="43"/>
        <v>0</v>
      </c>
      <c r="L50" s="1">
        <f t="shared" si="44"/>
        <v>0</v>
      </c>
      <c r="M50" s="1">
        <f t="shared" si="45"/>
        <v>0</v>
      </c>
      <c r="N50" s="1">
        <f t="shared" si="46"/>
        <v>0</v>
      </c>
      <c r="O50" s="1">
        <f t="shared" si="47"/>
        <v>0</v>
      </c>
      <c r="P50" s="1">
        <f t="shared" si="48"/>
        <v>0</v>
      </c>
      <c r="Q50" s="1">
        <f t="shared" si="49"/>
        <v>0</v>
      </c>
      <c r="R50" s="1">
        <f t="shared" si="50"/>
        <v>0</v>
      </c>
      <c r="S50" s="1">
        <f t="shared" si="51"/>
        <v>0</v>
      </c>
      <c r="T50" s="1">
        <f t="shared" si="52"/>
        <v>0</v>
      </c>
      <c r="U50" s="1">
        <f t="shared" si="53"/>
        <v>0</v>
      </c>
      <c r="V50" s="1">
        <f t="shared" si="54"/>
        <v>0</v>
      </c>
      <c r="W50" s="194" t="e">
        <f t="shared" si="14"/>
        <v>#N/A</v>
      </c>
      <c r="X50" s="194" t="e">
        <f t="shared" si="15"/>
        <v>#N/A</v>
      </c>
      <c r="AB50"/>
      <c r="AC50"/>
      <c r="AD50"/>
      <c r="AE50"/>
      <c r="AH50" s="1" t="e">
        <f>VLOOKUP(A50,'Look-up'!E:F,2,FALSE)</f>
        <v>#N/A</v>
      </c>
    </row>
    <row r="51" spans="1:34" ht="15" customHeight="1">
      <c r="A51" s="37"/>
      <c r="B51" s="126"/>
      <c r="C51" s="38"/>
      <c r="D51" s="38"/>
      <c r="E51" s="189">
        <f>Gear!L51</f>
        <v>0</v>
      </c>
      <c r="F51" s="189">
        <f>Gear!J51</f>
        <v>0</v>
      </c>
      <c r="G51" s="190" t="e">
        <f>Gear!Q51</f>
        <v>#N/A</v>
      </c>
      <c r="H51" s="189">
        <f>DCC!B51</f>
        <v>0</v>
      </c>
      <c r="I51" s="189">
        <f t="shared" si="13"/>
        <v>0</v>
      </c>
      <c r="J51" s="1">
        <f t="shared" si="42"/>
        <v>0</v>
      </c>
      <c r="K51" s="1">
        <f t="shared" si="43"/>
        <v>0</v>
      </c>
      <c r="L51" s="1">
        <f t="shared" si="44"/>
        <v>0</v>
      </c>
      <c r="M51" s="1">
        <f t="shared" si="45"/>
        <v>0</v>
      </c>
      <c r="N51" s="1">
        <f t="shared" si="46"/>
        <v>0</v>
      </c>
      <c r="O51" s="1">
        <f t="shared" si="47"/>
        <v>0</v>
      </c>
      <c r="P51" s="1">
        <f t="shared" si="48"/>
        <v>0</v>
      </c>
      <c r="Q51" s="1">
        <f t="shared" si="49"/>
        <v>0</v>
      </c>
      <c r="R51" s="1">
        <f t="shared" si="50"/>
        <v>0</v>
      </c>
      <c r="S51" s="1">
        <f t="shared" si="51"/>
        <v>0</v>
      </c>
      <c r="T51" s="1">
        <f t="shared" si="52"/>
        <v>0</v>
      </c>
      <c r="U51" s="1">
        <f t="shared" si="53"/>
        <v>0</v>
      </c>
      <c r="V51" s="1">
        <f t="shared" si="54"/>
        <v>0</v>
      </c>
      <c r="W51" s="194" t="e">
        <f t="shared" si="14"/>
        <v>#N/A</v>
      </c>
      <c r="X51" s="194" t="e">
        <f t="shared" si="15"/>
        <v>#N/A</v>
      </c>
      <c r="AB51"/>
      <c r="AC51"/>
      <c r="AD51"/>
      <c r="AE51"/>
      <c r="AH51" s="1" t="e">
        <f>VLOOKUP(A51,'Look-up'!E:F,2,FALSE)</f>
        <v>#N/A</v>
      </c>
    </row>
    <row r="52" spans="1:34" ht="15" customHeight="1">
      <c r="A52" s="37"/>
      <c r="B52" s="126"/>
      <c r="C52" s="38"/>
      <c r="D52" s="38"/>
      <c r="E52" s="189">
        <f>Gear!L52</f>
        <v>0</v>
      </c>
      <c r="F52" s="189">
        <f>Gear!J52</f>
        <v>0</v>
      </c>
      <c r="G52" s="190" t="e">
        <f>Gear!Q52</f>
        <v>#N/A</v>
      </c>
      <c r="H52" s="189">
        <f>DCC!B52</f>
        <v>0</v>
      </c>
      <c r="I52" s="189">
        <f t="shared" si="13"/>
        <v>0</v>
      </c>
      <c r="J52" s="1">
        <f t="shared" si="42"/>
        <v>0</v>
      </c>
      <c r="K52" s="1">
        <f t="shared" si="43"/>
        <v>0</v>
      </c>
      <c r="L52" s="1">
        <f t="shared" si="44"/>
        <v>0</v>
      </c>
      <c r="M52" s="1">
        <f t="shared" si="45"/>
        <v>0</v>
      </c>
      <c r="N52" s="1">
        <f t="shared" si="46"/>
        <v>0</v>
      </c>
      <c r="O52" s="1">
        <f t="shared" si="47"/>
        <v>0</v>
      </c>
      <c r="P52" s="1">
        <f t="shared" si="48"/>
        <v>0</v>
      </c>
      <c r="Q52" s="1">
        <f t="shared" si="49"/>
        <v>0</v>
      </c>
      <c r="R52" s="1">
        <f t="shared" si="50"/>
        <v>0</v>
      </c>
      <c r="S52" s="1">
        <f t="shared" si="51"/>
        <v>0</v>
      </c>
      <c r="T52" s="1">
        <f t="shared" si="52"/>
        <v>0</v>
      </c>
      <c r="U52" s="1">
        <f t="shared" si="53"/>
        <v>0</v>
      </c>
      <c r="V52" s="1">
        <f t="shared" si="54"/>
        <v>0</v>
      </c>
      <c r="W52" s="194" t="e">
        <f t="shared" si="14"/>
        <v>#N/A</v>
      </c>
      <c r="X52" s="194" t="e">
        <f t="shared" si="15"/>
        <v>#N/A</v>
      </c>
      <c r="AB52"/>
      <c r="AC52"/>
      <c r="AD52"/>
      <c r="AE52"/>
      <c r="AH52" s="1" t="e">
        <f>VLOOKUP(A52,'Look-up'!E:F,2,FALSE)</f>
        <v>#N/A</v>
      </c>
    </row>
    <row r="53" spans="1:34" ht="15" customHeight="1">
      <c r="A53" s="37"/>
      <c r="B53" s="126"/>
      <c r="C53" s="38"/>
      <c r="D53" s="38"/>
      <c r="E53" s="189">
        <f>Gear!L53</f>
        <v>0</v>
      </c>
      <c r="F53" s="189">
        <f>Gear!J53</f>
        <v>0</v>
      </c>
      <c r="G53" s="190" t="e">
        <f>Gear!Q53</f>
        <v>#N/A</v>
      </c>
      <c r="H53" s="189">
        <f>DCC!B53</f>
        <v>0</v>
      </c>
      <c r="I53" s="189">
        <f t="shared" si="13"/>
        <v>0</v>
      </c>
      <c r="J53" s="1">
        <f t="shared" si="42"/>
        <v>0</v>
      </c>
      <c r="K53" s="1">
        <f t="shared" si="43"/>
        <v>0</v>
      </c>
      <c r="L53" s="1">
        <f t="shared" si="44"/>
        <v>0</v>
      </c>
      <c r="M53" s="1">
        <f t="shared" si="45"/>
        <v>0</v>
      </c>
      <c r="N53" s="1">
        <f t="shared" si="46"/>
        <v>0</v>
      </c>
      <c r="O53" s="1">
        <f t="shared" si="47"/>
        <v>0</v>
      </c>
      <c r="P53" s="1">
        <f t="shared" si="48"/>
        <v>0</v>
      </c>
      <c r="Q53" s="1">
        <f t="shared" si="49"/>
        <v>0</v>
      </c>
      <c r="R53" s="1">
        <f t="shared" si="50"/>
        <v>0</v>
      </c>
      <c r="S53" s="1">
        <f t="shared" si="51"/>
        <v>0</v>
      </c>
      <c r="T53" s="1">
        <f t="shared" si="52"/>
        <v>0</v>
      </c>
      <c r="U53" s="1">
        <f t="shared" si="53"/>
        <v>0</v>
      </c>
      <c r="V53" s="1">
        <f t="shared" si="54"/>
        <v>0</v>
      </c>
      <c r="W53" s="194" t="e">
        <f t="shared" si="14"/>
        <v>#N/A</v>
      </c>
      <c r="X53" s="194" t="e">
        <f t="shared" si="15"/>
        <v>#N/A</v>
      </c>
      <c r="AB53"/>
      <c r="AC53"/>
      <c r="AD53"/>
      <c r="AE53"/>
      <c r="AH53" s="1" t="e">
        <f>VLOOKUP(A53,'Look-up'!E:F,2,FALSE)</f>
        <v>#N/A</v>
      </c>
    </row>
    <row r="54" spans="1:34" ht="15" customHeight="1">
      <c r="A54" s="37"/>
      <c r="B54" s="126"/>
      <c r="C54" s="38"/>
      <c r="D54" s="38"/>
      <c r="E54" s="189">
        <f>Gear!L54</f>
        <v>0</v>
      </c>
      <c r="F54" s="189">
        <f>Gear!J54</f>
        <v>0</v>
      </c>
      <c r="G54" s="190" t="e">
        <f>Gear!Q54</f>
        <v>#N/A</v>
      </c>
      <c r="H54" s="189">
        <f>DCC!B54</f>
        <v>0</v>
      </c>
      <c r="I54" s="189">
        <f t="shared" si="13"/>
        <v>0</v>
      </c>
      <c r="J54" s="1">
        <f t="shared" si="42"/>
        <v>0</v>
      </c>
      <c r="K54" s="1">
        <f t="shared" si="43"/>
        <v>0</v>
      </c>
      <c r="L54" s="1">
        <f t="shared" si="44"/>
        <v>0</v>
      </c>
      <c r="M54" s="1">
        <f t="shared" si="45"/>
        <v>0</v>
      </c>
      <c r="N54" s="1">
        <f t="shared" si="46"/>
        <v>0</v>
      </c>
      <c r="O54" s="1">
        <f t="shared" si="47"/>
        <v>0</v>
      </c>
      <c r="P54" s="1">
        <f t="shared" si="48"/>
        <v>0</v>
      </c>
      <c r="Q54" s="1">
        <f t="shared" si="49"/>
        <v>0</v>
      </c>
      <c r="R54" s="1">
        <f t="shared" si="50"/>
        <v>0</v>
      </c>
      <c r="S54" s="1">
        <f t="shared" si="51"/>
        <v>0</v>
      </c>
      <c r="T54" s="1">
        <f t="shared" si="52"/>
        <v>0</v>
      </c>
      <c r="U54" s="1">
        <f t="shared" si="53"/>
        <v>0</v>
      </c>
      <c r="V54" s="1">
        <f t="shared" si="54"/>
        <v>0</v>
      </c>
      <c r="W54" s="194" t="e">
        <f t="shared" si="14"/>
        <v>#N/A</v>
      </c>
      <c r="X54" s="194" t="e">
        <f t="shared" si="15"/>
        <v>#N/A</v>
      </c>
      <c r="AB54"/>
      <c r="AC54"/>
      <c r="AD54"/>
      <c r="AE54"/>
      <c r="AH54" s="1" t="e">
        <f>VLOOKUP(A54,'Look-up'!E:F,2,FALSE)</f>
        <v>#N/A</v>
      </c>
    </row>
    <row r="55" spans="1:34" ht="15" customHeight="1">
      <c r="A55" s="37"/>
      <c r="B55" s="126"/>
      <c r="C55" s="38"/>
      <c r="D55" s="38"/>
      <c r="E55" s="189">
        <f>Gear!L55</f>
        <v>0</v>
      </c>
      <c r="F55" s="189">
        <f>Gear!J55</f>
        <v>0</v>
      </c>
      <c r="G55" s="190" t="e">
        <f>Gear!Q55</f>
        <v>#N/A</v>
      </c>
      <c r="H55" s="189">
        <f>DCC!B55</f>
        <v>0</v>
      </c>
      <c r="I55" s="189">
        <f t="shared" si="13"/>
        <v>0</v>
      </c>
      <c r="J55" s="1">
        <f t="shared" si="42"/>
        <v>0</v>
      </c>
      <c r="K55" s="1">
        <f t="shared" si="43"/>
        <v>0</v>
      </c>
      <c r="L55" s="1">
        <f t="shared" si="44"/>
        <v>0</v>
      </c>
      <c r="M55" s="1">
        <f t="shared" si="45"/>
        <v>0</v>
      </c>
      <c r="N55" s="1">
        <f t="shared" si="46"/>
        <v>0</v>
      </c>
      <c r="O55" s="1">
        <f t="shared" si="47"/>
        <v>0</v>
      </c>
      <c r="P55" s="1">
        <f t="shared" si="48"/>
        <v>0</v>
      </c>
      <c r="Q55" s="1">
        <f t="shared" si="49"/>
        <v>0</v>
      </c>
      <c r="R55" s="1">
        <f t="shared" si="50"/>
        <v>0</v>
      </c>
      <c r="S55" s="1">
        <f t="shared" si="51"/>
        <v>0</v>
      </c>
      <c r="T55" s="1">
        <f t="shared" si="52"/>
        <v>0</v>
      </c>
      <c r="U55" s="1">
        <f t="shared" si="53"/>
        <v>0</v>
      </c>
      <c r="V55" s="1">
        <f t="shared" si="54"/>
        <v>0</v>
      </c>
      <c r="W55" s="194" t="e">
        <f t="shared" si="14"/>
        <v>#N/A</v>
      </c>
      <c r="X55" s="194" t="e">
        <f t="shared" si="15"/>
        <v>#N/A</v>
      </c>
      <c r="AB55"/>
      <c r="AC55"/>
      <c r="AD55"/>
      <c r="AE55"/>
      <c r="AH55" s="1" t="e">
        <f>VLOOKUP(A55,'Look-up'!E:F,2,FALSE)</f>
        <v>#N/A</v>
      </c>
    </row>
    <row r="56" spans="1:34" ht="15" customHeight="1">
      <c r="A56" s="37"/>
      <c r="B56" s="126"/>
      <c r="C56" s="38"/>
      <c r="D56" s="38"/>
      <c r="E56" s="189">
        <f>Gear!L56</f>
        <v>0</v>
      </c>
      <c r="F56" s="189">
        <f>Gear!J56</f>
        <v>0</v>
      </c>
      <c r="G56" s="190" t="e">
        <f>Gear!Q56</f>
        <v>#N/A</v>
      </c>
      <c r="H56" s="189">
        <f>DCC!B56</f>
        <v>0</v>
      </c>
      <c r="I56" s="189">
        <f t="shared" si="13"/>
        <v>0</v>
      </c>
      <c r="J56" s="1">
        <f t="shared" si="42"/>
        <v>0</v>
      </c>
      <c r="K56" s="1">
        <f t="shared" si="43"/>
        <v>0</v>
      </c>
      <c r="L56" s="1">
        <f t="shared" si="44"/>
        <v>0</v>
      </c>
      <c r="M56" s="1">
        <f t="shared" si="45"/>
        <v>0</v>
      </c>
      <c r="N56" s="1">
        <f t="shared" si="46"/>
        <v>0</v>
      </c>
      <c r="O56" s="1">
        <f t="shared" si="47"/>
        <v>0</v>
      </c>
      <c r="P56" s="1">
        <f t="shared" si="48"/>
        <v>0</v>
      </c>
      <c r="Q56" s="1">
        <f t="shared" si="49"/>
        <v>0</v>
      </c>
      <c r="R56" s="1">
        <f t="shared" si="50"/>
        <v>0</v>
      </c>
      <c r="S56" s="1">
        <f t="shared" si="51"/>
        <v>0</v>
      </c>
      <c r="T56" s="1">
        <f t="shared" si="52"/>
        <v>0</v>
      </c>
      <c r="U56" s="1">
        <f t="shared" si="53"/>
        <v>0</v>
      </c>
      <c r="V56" s="1">
        <f t="shared" si="54"/>
        <v>0</v>
      </c>
      <c r="W56" s="194" t="e">
        <f t="shared" si="14"/>
        <v>#N/A</v>
      </c>
      <c r="X56" s="194" t="e">
        <f t="shared" si="15"/>
        <v>#N/A</v>
      </c>
      <c r="AB56"/>
      <c r="AC56"/>
      <c r="AD56"/>
      <c r="AE56"/>
      <c r="AH56" s="1" t="e">
        <f>VLOOKUP(A56,'Look-up'!E:F,2,FALSE)</f>
        <v>#N/A</v>
      </c>
    </row>
    <row r="57" spans="1:34" ht="15" customHeight="1">
      <c r="A57" s="37"/>
      <c r="B57" s="126"/>
      <c r="C57" s="38"/>
      <c r="D57" s="38"/>
      <c r="E57" s="189">
        <f>Gear!L57</f>
        <v>0</v>
      </c>
      <c r="F57" s="189">
        <f>Gear!J57</f>
        <v>0</v>
      </c>
      <c r="G57" s="190" t="e">
        <f>Gear!Q57</f>
        <v>#N/A</v>
      </c>
      <c r="H57" s="189">
        <f>DCC!B57</f>
        <v>0</v>
      </c>
      <c r="I57" s="189">
        <f t="shared" si="13"/>
        <v>0</v>
      </c>
      <c r="J57" s="1">
        <f t="shared" si="42"/>
        <v>0</v>
      </c>
      <c r="K57" s="1">
        <f t="shared" si="43"/>
        <v>0</v>
      </c>
      <c r="L57" s="1">
        <f t="shared" si="44"/>
        <v>0</v>
      </c>
      <c r="M57" s="1">
        <f t="shared" si="45"/>
        <v>0</v>
      </c>
      <c r="N57" s="1">
        <f t="shared" si="46"/>
        <v>0</v>
      </c>
      <c r="O57" s="1">
        <f t="shared" si="47"/>
        <v>0</v>
      </c>
      <c r="P57" s="1">
        <f t="shared" si="48"/>
        <v>0</v>
      </c>
      <c r="Q57" s="1">
        <f t="shared" si="49"/>
        <v>0</v>
      </c>
      <c r="R57" s="1">
        <f t="shared" si="50"/>
        <v>0</v>
      </c>
      <c r="S57" s="1">
        <f t="shared" si="51"/>
        <v>0</v>
      </c>
      <c r="T57" s="1">
        <f t="shared" si="52"/>
        <v>0</v>
      </c>
      <c r="U57" s="1">
        <f t="shared" si="53"/>
        <v>0</v>
      </c>
      <c r="V57" s="1">
        <f t="shared" si="54"/>
        <v>0</v>
      </c>
      <c r="W57" s="194" t="e">
        <f t="shared" si="14"/>
        <v>#N/A</v>
      </c>
      <c r="X57" s="194" t="e">
        <f t="shared" si="15"/>
        <v>#N/A</v>
      </c>
      <c r="AB57"/>
      <c r="AC57"/>
      <c r="AD57"/>
      <c r="AE57"/>
      <c r="AH57" s="1" t="e">
        <f>VLOOKUP(A57,'Look-up'!E:F,2,FALSE)</f>
        <v>#N/A</v>
      </c>
    </row>
    <row r="58" spans="1:34" ht="15" customHeight="1">
      <c r="A58" s="37"/>
      <c r="B58" s="126"/>
      <c r="C58" s="38"/>
      <c r="D58" s="38"/>
      <c r="E58" s="189">
        <f>Gear!L58</f>
        <v>0</v>
      </c>
      <c r="F58" s="189">
        <f>Gear!J58</f>
        <v>0</v>
      </c>
      <c r="G58" s="190" t="e">
        <f>Gear!Q58</f>
        <v>#N/A</v>
      </c>
      <c r="H58" s="189">
        <f>DCC!B58</f>
        <v>0</v>
      </c>
      <c r="I58" s="189">
        <f t="shared" si="13"/>
        <v>0</v>
      </c>
      <c r="J58" s="1">
        <f t="shared" si="42"/>
        <v>0</v>
      </c>
      <c r="K58" s="1">
        <f t="shared" si="43"/>
        <v>0</v>
      </c>
      <c r="L58" s="1">
        <f t="shared" si="44"/>
        <v>0</v>
      </c>
      <c r="M58" s="1">
        <f t="shared" si="45"/>
        <v>0</v>
      </c>
      <c r="N58" s="1">
        <f t="shared" si="46"/>
        <v>0</v>
      </c>
      <c r="O58" s="1">
        <f t="shared" si="47"/>
        <v>0</v>
      </c>
      <c r="P58" s="1">
        <f t="shared" si="48"/>
        <v>0</v>
      </c>
      <c r="Q58" s="1">
        <f t="shared" si="49"/>
        <v>0</v>
      </c>
      <c r="R58" s="1">
        <f t="shared" si="50"/>
        <v>0</v>
      </c>
      <c r="S58" s="1">
        <f t="shared" si="51"/>
        <v>0</v>
      </c>
      <c r="T58" s="1">
        <f t="shared" si="52"/>
        <v>0</v>
      </c>
      <c r="U58" s="1">
        <f t="shared" si="53"/>
        <v>0</v>
      </c>
      <c r="V58" s="1">
        <f t="shared" si="54"/>
        <v>0</v>
      </c>
      <c r="W58" s="194" t="e">
        <f t="shared" si="14"/>
        <v>#N/A</v>
      </c>
      <c r="X58" s="194" t="e">
        <f t="shared" si="15"/>
        <v>#N/A</v>
      </c>
      <c r="AB58"/>
      <c r="AC58"/>
      <c r="AD58"/>
      <c r="AE58"/>
      <c r="AH58" s="1" t="e">
        <f>VLOOKUP(A58,'Look-up'!E:F,2,FALSE)</f>
        <v>#N/A</v>
      </c>
    </row>
    <row r="59" spans="1:34" ht="15" customHeight="1">
      <c r="A59" s="37"/>
      <c r="B59" s="126"/>
      <c r="C59" s="38"/>
      <c r="D59" s="38"/>
      <c r="E59" s="189">
        <f>Gear!L59</f>
        <v>0</v>
      </c>
      <c r="F59" s="189">
        <f>Gear!J59</f>
        <v>0</v>
      </c>
      <c r="G59" s="190" t="e">
        <f>Gear!Q59</f>
        <v>#N/A</v>
      </c>
      <c r="H59" s="189">
        <f>DCC!B59</f>
        <v>0</v>
      </c>
      <c r="I59" s="189">
        <f t="shared" si="13"/>
        <v>0</v>
      </c>
      <c r="J59" s="1">
        <f t="shared" si="42"/>
        <v>0</v>
      </c>
      <c r="K59" s="1">
        <f t="shared" si="43"/>
        <v>0</v>
      </c>
      <c r="L59" s="1">
        <f t="shared" si="44"/>
        <v>0</v>
      </c>
      <c r="M59" s="1">
        <f t="shared" si="45"/>
        <v>0</v>
      </c>
      <c r="N59" s="1">
        <f t="shared" si="46"/>
        <v>0</v>
      </c>
      <c r="O59" s="1">
        <f t="shared" si="47"/>
        <v>0</v>
      </c>
      <c r="P59" s="1">
        <f t="shared" si="48"/>
        <v>0</v>
      </c>
      <c r="Q59" s="1">
        <f t="shared" si="49"/>
        <v>0</v>
      </c>
      <c r="R59" s="1">
        <f t="shared" si="50"/>
        <v>0</v>
      </c>
      <c r="S59" s="1">
        <f t="shared" si="51"/>
        <v>0</v>
      </c>
      <c r="T59" s="1">
        <f t="shared" si="52"/>
        <v>0</v>
      </c>
      <c r="U59" s="1">
        <f t="shared" si="53"/>
        <v>0</v>
      </c>
      <c r="V59" s="1">
        <f t="shared" si="54"/>
        <v>0</v>
      </c>
      <c r="W59" s="194" t="e">
        <f t="shared" si="14"/>
        <v>#N/A</v>
      </c>
      <c r="X59" s="194" t="e">
        <f t="shared" si="15"/>
        <v>#N/A</v>
      </c>
      <c r="AB59"/>
      <c r="AC59"/>
      <c r="AD59"/>
      <c r="AE59"/>
      <c r="AH59" s="1" t="e">
        <f>VLOOKUP(A59,'Look-up'!E:F,2,FALSE)</f>
        <v>#N/A</v>
      </c>
    </row>
    <row r="60" spans="1:34" ht="15" customHeight="1">
      <c r="A60" s="37"/>
      <c r="B60" s="126"/>
      <c r="C60" s="38"/>
      <c r="D60" s="38"/>
      <c r="E60" s="189">
        <f>Gear!L60</f>
        <v>0</v>
      </c>
      <c r="F60" s="189">
        <f>Gear!J60</f>
        <v>0</v>
      </c>
      <c r="G60" s="190" t="e">
        <f>Gear!Q60</f>
        <v>#N/A</v>
      </c>
      <c r="H60" s="189">
        <f>DCC!B60</f>
        <v>0</v>
      </c>
      <c r="I60" s="189">
        <f t="shared" si="13"/>
        <v>0</v>
      </c>
      <c r="J60" s="1">
        <f t="shared" si="42"/>
        <v>0</v>
      </c>
      <c r="K60" s="1">
        <f t="shared" si="43"/>
        <v>0</v>
      </c>
      <c r="L60" s="1">
        <f t="shared" si="44"/>
        <v>0</v>
      </c>
      <c r="M60" s="1">
        <f t="shared" si="45"/>
        <v>0</v>
      </c>
      <c r="N60" s="1">
        <f t="shared" si="46"/>
        <v>0</v>
      </c>
      <c r="O60" s="1">
        <f t="shared" si="47"/>
        <v>0</v>
      </c>
      <c r="P60" s="1">
        <f t="shared" si="48"/>
        <v>0</v>
      </c>
      <c r="Q60" s="1">
        <f t="shared" si="49"/>
        <v>0</v>
      </c>
      <c r="R60" s="1">
        <f t="shared" si="50"/>
        <v>0</v>
      </c>
      <c r="S60" s="1">
        <f t="shared" si="51"/>
        <v>0</v>
      </c>
      <c r="T60" s="1">
        <f t="shared" si="52"/>
        <v>0</v>
      </c>
      <c r="U60" s="1">
        <f t="shared" si="53"/>
        <v>0</v>
      </c>
      <c r="V60" s="1">
        <f t="shared" si="54"/>
        <v>0</v>
      </c>
      <c r="W60" s="194" t="e">
        <f t="shared" si="14"/>
        <v>#N/A</v>
      </c>
      <c r="X60" s="194" t="e">
        <f t="shared" si="15"/>
        <v>#N/A</v>
      </c>
      <c r="AB60"/>
      <c r="AC60"/>
      <c r="AD60"/>
      <c r="AE60"/>
      <c r="AH60" s="1" t="e">
        <f>VLOOKUP(A60,'Look-up'!E:F,2,FALSE)</f>
        <v>#N/A</v>
      </c>
    </row>
    <row r="61" spans="1:34" ht="15" customHeight="1" thickBot="1">
      <c r="A61" s="149"/>
      <c r="B61" s="150"/>
      <c r="C61" s="151"/>
      <c r="D61" s="151"/>
      <c r="E61" s="328">
        <f>Gear!L61</f>
        <v>0</v>
      </c>
      <c r="F61" s="328">
        <f>Gear!J61</f>
        <v>0</v>
      </c>
      <c r="G61" s="329" t="e">
        <f>Gear!Q61</f>
        <v>#N/A</v>
      </c>
      <c r="H61" s="328">
        <f>DCC!B61</f>
        <v>0</v>
      </c>
      <c r="I61" s="328">
        <f t="shared" si="13"/>
        <v>0</v>
      </c>
      <c r="J61" s="1">
        <f t="shared" si="42"/>
        <v>0</v>
      </c>
      <c r="K61" s="1">
        <f t="shared" si="43"/>
        <v>0</v>
      </c>
      <c r="L61" s="1">
        <f t="shared" si="44"/>
        <v>0</v>
      </c>
      <c r="M61" s="1">
        <f t="shared" si="45"/>
        <v>0</v>
      </c>
      <c r="N61" s="1">
        <f t="shared" si="46"/>
        <v>0</v>
      </c>
      <c r="O61" s="1">
        <f t="shared" si="47"/>
        <v>0</v>
      </c>
      <c r="P61" s="1">
        <f t="shared" si="48"/>
        <v>0</v>
      </c>
      <c r="Q61" s="1">
        <f t="shared" si="49"/>
        <v>0</v>
      </c>
      <c r="R61" s="1">
        <f t="shared" si="50"/>
        <v>0</v>
      </c>
      <c r="S61" s="1">
        <f t="shared" si="51"/>
        <v>0</v>
      </c>
      <c r="T61" s="1">
        <f t="shared" si="52"/>
        <v>0</v>
      </c>
      <c r="U61" s="1">
        <f t="shared" si="53"/>
        <v>0</v>
      </c>
      <c r="V61" s="1">
        <f t="shared" si="54"/>
        <v>0</v>
      </c>
      <c r="W61" s="194" t="e">
        <f t="shared" si="14"/>
        <v>#N/A</v>
      </c>
      <c r="X61" s="194" t="e">
        <f t="shared" si="15"/>
        <v>#N/A</v>
      </c>
      <c r="AB61"/>
      <c r="AC61"/>
      <c r="AD61"/>
      <c r="AE61"/>
      <c r="AH61" s="1" t="e">
        <f>VLOOKUP(A61,'Look-up'!E:F,2,FALSE)</f>
        <v>#N/A</v>
      </c>
    </row>
    <row r="62" spans="1:34" ht="15" customHeight="1" thickTop="1">
      <c r="A62" s="41" t="s">
        <v>225</v>
      </c>
      <c r="B62" s="127" t="s">
        <v>33</v>
      </c>
      <c r="C62" s="42"/>
      <c r="D62" s="42"/>
      <c r="E62" s="330" t="e">
        <f>Gear!L62</f>
        <v>#N/A</v>
      </c>
      <c r="F62" s="330">
        <f>Gear!J62</f>
        <v>0</v>
      </c>
      <c r="G62" s="331" t="e">
        <f>Gear!Q62</f>
        <v>#N/A</v>
      </c>
      <c r="H62" s="330">
        <f>DCC!B62</f>
        <v>0</v>
      </c>
      <c r="I62" s="330">
        <f t="shared" si="13"/>
        <v>0</v>
      </c>
      <c r="J62" s="1">
        <f t="shared" si="42"/>
        <v>0</v>
      </c>
      <c r="K62" s="1">
        <f t="shared" si="43"/>
        <v>0</v>
      </c>
      <c r="L62" s="1">
        <f t="shared" si="44"/>
        <v>0</v>
      </c>
      <c r="M62" s="1">
        <f t="shared" si="45"/>
        <v>0</v>
      </c>
      <c r="N62" s="1">
        <f t="shared" si="46"/>
        <v>0</v>
      </c>
      <c r="O62" s="1">
        <f t="shared" si="47"/>
        <v>0</v>
      </c>
      <c r="P62" s="1">
        <f t="shared" si="48"/>
        <v>0</v>
      </c>
      <c r="Q62" s="1">
        <f t="shared" si="49"/>
        <v>0</v>
      </c>
      <c r="R62" s="1">
        <f t="shared" si="50"/>
        <v>0</v>
      </c>
      <c r="S62" s="1">
        <f t="shared" si="51"/>
        <v>0</v>
      </c>
      <c r="T62" s="1">
        <f t="shared" si="52"/>
        <v>0</v>
      </c>
      <c r="U62" s="1">
        <f t="shared" si="53"/>
        <v>0</v>
      </c>
      <c r="V62" s="1">
        <f t="shared" si="54"/>
        <v>0</v>
      </c>
      <c r="W62" s="194" t="e">
        <f t="shared" si="14"/>
        <v>#N/A</v>
      </c>
      <c r="X62" s="194" t="e">
        <f t="shared" si="15"/>
        <v>#N/A</v>
      </c>
      <c r="AB62"/>
      <c r="AC62"/>
      <c r="AD62"/>
      <c r="AE62"/>
      <c r="AH62" s="1" t="e">
        <f>VLOOKUP(A62,'Look-up'!E:F,2,FALSE)</f>
        <v>#N/A</v>
      </c>
    </row>
    <row r="63" spans="1:34" ht="15" customHeight="1">
      <c r="A63" s="41" t="s">
        <v>228</v>
      </c>
      <c r="B63" s="127" t="s">
        <v>33</v>
      </c>
      <c r="C63" s="38"/>
      <c r="D63" s="38"/>
      <c r="E63" s="189" t="e">
        <f>Gear!L63</f>
        <v>#N/A</v>
      </c>
      <c r="F63" s="189">
        <f>Gear!J63</f>
        <v>0</v>
      </c>
      <c r="G63" s="190" t="e">
        <f>Gear!Q63</f>
        <v>#N/A</v>
      </c>
      <c r="H63" s="189">
        <f>DCC!B63</f>
        <v>0</v>
      </c>
      <c r="I63" s="189">
        <f t="shared" si="13"/>
        <v>0</v>
      </c>
      <c r="J63" s="1">
        <f t="shared" si="42"/>
        <v>0</v>
      </c>
      <c r="K63" s="1">
        <f t="shared" si="43"/>
        <v>0</v>
      </c>
      <c r="L63" s="1">
        <f t="shared" si="44"/>
        <v>0</v>
      </c>
      <c r="M63" s="1">
        <f t="shared" si="45"/>
        <v>0</v>
      </c>
      <c r="N63" s="1">
        <f t="shared" si="46"/>
        <v>0</v>
      </c>
      <c r="O63" s="1">
        <f t="shared" si="47"/>
        <v>0</v>
      </c>
      <c r="P63" s="1">
        <f t="shared" si="48"/>
        <v>0</v>
      </c>
      <c r="Q63" s="1">
        <f t="shared" si="49"/>
        <v>0</v>
      </c>
      <c r="R63" s="1">
        <f t="shared" si="50"/>
        <v>0</v>
      </c>
      <c r="S63" s="1">
        <f t="shared" si="51"/>
        <v>0</v>
      </c>
      <c r="T63" s="1">
        <f t="shared" si="52"/>
        <v>0</v>
      </c>
      <c r="U63" s="1">
        <f t="shared" si="53"/>
        <v>0</v>
      </c>
      <c r="V63" s="1">
        <f t="shared" si="54"/>
        <v>0</v>
      </c>
      <c r="W63" s="194" t="e">
        <f t="shared" si="14"/>
        <v>#N/A</v>
      </c>
      <c r="X63" s="194" t="e">
        <f t="shared" si="15"/>
        <v>#N/A</v>
      </c>
      <c r="AB63"/>
      <c r="AC63"/>
      <c r="AD63"/>
      <c r="AE63"/>
      <c r="AH63" s="1" t="e">
        <f>VLOOKUP(A63,'Look-up'!E:F,2,FALSE)</f>
        <v>#N/A</v>
      </c>
    </row>
    <row r="64" spans="1:34" ht="15" customHeight="1">
      <c r="A64" s="37" t="s">
        <v>227</v>
      </c>
      <c r="B64" s="126" t="s">
        <v>33</v>
      </c>
      <c r="C64" s="38" t="s">
        <v>18</v>
      </c>
      <c r="D64" s="38"/>
      <c r="E64" s="189" t="e">
        <f>Gear!L64</f>
        <v>#N/A</v>
      </c>
      <c r="F64" s="189">
        <f>Gear!J64</f>
        <v>0</v>
      </c>
      <c r="G64" s="190" t="e">
        <f>Gear!Q64</f>
        <v>#N/A</v>
      </c>
      <c r="H64" s="189">
        <f>DCC!B64</f>
        <v>0</v>
      </c>
      <c r="I64" s="189">
        <f t="shared" si="13"/>
        <v>0</v>
      </c>
      <c r="J64" s="1">
        <f t="shared" si="42"/>
        <v>0</v>
      </c>
      <c r="K64" s="1">
        <f t="shared" si="43"/>
        <v>0</v>
      </c>
      <c r="L64" s="1">
        <f t="shared" si="44"/>
        <v>0</v>
      </c>
      <c r="M64" s="1">
        <f t="shared" si="45"/>
        <v>0</v>
      </c>
      <c r="N64" s="1">
        <f t="shared" si="46"/>
        <v>0</v>
      </c>
      <c r="O64" s="1">
        <f t="shared" si="47"/>
        <v>0</v>
      </c>
      <c r="P64" s="1">
        <f t="shared" si="48"/>
        <v>1</v>
      </c>
      <c r="Q64" s="1">
        <f t="shared" si="49"/>
        <v>0</v>
      </c>
      <c r="R64" s="1">
        <f t="shared" si="50"/>
        <v>0</v>
      </c>
      <c r="S64" s="1">
        <f t="shared" si="51"/>
        <v>0</v>
      </c>
      <c r="T64" s="1">
        <f t="shared" si="52"/>
        <v>0</v>
      </c>
      <c r="U64" s="1">
        <f t="shared" si="53"/>
        <v>0</v>
      </c>
      <c r="V64" s="1">
        <f t="shared" si="54"/>
        <v>0</v>
      </c>
      <c r="W64" s="194" t="e">
        <f t="shared" si="14"/>
        <v>#N/A</v>
      </c>
      <c r="X64" s="194" t="e">
        <f t="shared" si="15"/>
        <v>#N/A</v>
      </c>
      <c r="AB64"/>
      <c r="AC64"/>
      <c r="AD64"/>
      <c r="AE64"/>
      <c r="AH64" s="1" t="e">
        <f>VLOOKUP(A64,'Look-up'!E:F,2,FALSE)</f>
        <v>#N/A</v>
      </c>
    </row>
    <row r="65" spans="1:34" ht="15" customHeight="1">
      <c r="A65" s="37" t="s">
        <v>213</v>
      </c>
      <c r="B65" s="126" t="s">
        <v>33</v>
      </c>
      <c r="C65" s="38" t="s">
        <v>21</v>
      </c>
      <c r="D65" s="38"/>
      <c r="E65" s="189">
        <f>Gear!L65</f>
        <v>2</v>
      </c>
      <c r="F65" s="189">
        <f>Gear!J65</f>
        <v>0</v>
      </c>
      <c r="G65" s="190" t="e">
        <f>Gear!Q65</f>
        <v>#N/A</v>
      </c>
      <c r="H65" s="189">
        <f>DCC!B65</f>
        <v>0</v>
      </c>
      <c r="I65" s="189">
        <f t="shared" si="13"/>
        <v>0</v>
      </c>
      <c r="J65" s="1">
        <f t="shared" si="42"/>
        <v>0</v>
      </c>
      <c r="K65" s="1">
        <f t="shared" si="43"/>
        <v>0</v>
      </c>
      <c r="L65" s="1">
        <f t="shared" si="44"/>
        <v>0</v>
      </c>
      <c r="M65" s="1">
        <f t="shared" si="45"/>
        <v>0</v>
      </c>
      <c r="N65" s="1">
        <f t="shared" si="46"/>
        <v>0</v>
      </c>
      <c r="O65" s="1">
        <f t="shared" si="47"/>
        <v>0</v>
      </c>
      <c r="P65" s="1">
        <f t="shared" si="48"/>
        <v>0</v>
      </c>
      <c r="Q65" s="1">
        <f t="shared" si="49"/>
        <v>0</v>
      </c>
      <c r="R65" s="1">
        <f t="shared" si="50"/>
        <v>0</v>
      </c>
      <c r="S65" s="1">
        <f t="shared" si="51"/>
        <v>1</v>
      </c>
      <c r="T65" s="1">
        <f t="shared" si="52"/>
        <v>0</v>
      </c>
      <c r="U65" s="1">
        <f t="shared" si="53"/>
        <v>0</v>
      </c>
      <c r="V65" s="1">
        <f t="shared" si="54"/>
        <v>0</v>
      </c>
      <c r="W65" s="194" t="e">
        <f t="shared" si="14"/>
        <v>#N/A</v>
      </c>
      <c r="X65" s="194" t="e">
        <f t="shared" si="15"/>
        <v>#N/A</v>
      </c>
      <c r="AB65"/>
      <c r="AC65"/>
      <c r="AD65"/>
      <c r="AE65"/>
      <c r="AH65" s="1" t="e">
        <f>VLOOKUP(A65,'Look-up'!E:F,2,FALSE)</f>
        <v>#N/A</v>
      </c>
    </row>
    <row r="66" spans="1:34" ht="15" customHeight="1">
      <c r="A66" s="442" t="s">
        <v>220</v>
      </c>
      <c r="B66" s="126" t="s">
        <v>33</v>
      </c>
      <c r="C66" s="38" t="s">
        <v>30</v>
      </c>
      <c r="D66" s="42"/>
      <c r="E66" s="189" t="e">
        <f>Gear!L66</f>
        <v>#N/A</v>
      </c>
      <c r="F66" s="189">
        <f>Gear!J66</f>
        <v>0</v>
      </c>
      <c r="G66" s="190" t="e">
        <f>Gear!Q66</f>
        <v>#N/A</v>
      </c>
      <c r="H66" s="189">
        <f>DCC!B66</f>
        <v>0</v>
      </c>
      <c r="I66" s="189">
        <f t="shared" si="13"/>
        <v>0</v>
      </c>
      <c r="J66" s="1">
        <f t="shared" si="42"/>
        <v>0</v>
      </c>
      <c r="K66" s="1">
        <f t="shared" si="43"/>
        <v>0</v>
      </c>
      <c r="L66" s="1">
        <f t="shared" si="44"/>
        <v>0</v>
      </c>
      <c r="M66" s="1">
        <f t="shared" si="45"/>
        <v>0</v>
      </c>
      <c r="N66" s="1">
        <f t="shared" si="46"/>
        <v>0</v>
      </c>
      <c r="O66" s="1">
        <f t="shared" si="47"/>
        <v>0</v>
      </c>
      <c r="P66" s="1">
        <f t="shared" si="48"/>
        <v>0</v>
      </c>
      <c r="Q66" s="1">
        <f t="shared" si="49"/>
        <v>0</v>
      </c>
      <c r="R66" s="1">
        <f t="shared" si="50"/>
        <v>0</v>
      </c>
      <c r="S66" s="1">
        <f t="shared" si="51"/>
        <v>0</v>
      </c>
      <c r="T66" s="1">
        <f t="shared" si="52"/>
        <v>0</v>
      </c>
      <c r="U66" s="1">
        <f t="shared" si="53"/>
        <v>1</v>
      </c>
      <c r="V66" s="1">
        <f t="shared" si="54"/>
        <v>0</v>
      </c>
      <c r="W66" s="194" t="e">
        <f t="shared" si="14"/>
        <v>#N/A</v>
      </c>
      <c r="X66" s="194" t="e">
        <f t="shared" si="15"/>
        <v>#N/A</v>
      </c>
      <c r="AB66"/>
      <c r="AC66"/>
      <c r="AD66"/>
      <c r="AE66"/>
      <c r="AH66" s="1" t="e">
        <f>VLOOKUP(A66,'Look-up'!E:F,2,FALSE)</f>
        <v>#N/A</v>
      </c>
    </row>
    <row r="67" spans="1:34" ht="15" customHeight="1">
      <c r="A67" s="442" t="s">
        <v>215</v>
      </c>
      <c r="B67" s="126" t="s">
        <v>33</v>
      </c>
      <c r="C67" s="38" t="s">
        <v>18</v>
      </c>
      <c r="D67" s="38"/>
      <c r="E67" s="189" t="e">
        <f>Gear!L67</f>
        <v>#N/A</v>
      </c>
      <c r="F67" s="189">
        <f>Gear!J67</f>
        <v>0</v>
      </c>
      <c r="G67" s="190" t="e">
        <f>Gear!Q67</f>
        <v>#N/A</v>
      </c>
      <c r="H67" s="189">
        <f>DCC!B67</f>
        <v>0</v>
      </c>
      <c r="I67" s="189">
        <f t="shared" ref="I67:I100" si="55">IF(ISNA(AH67),0,AH67)</f>
        <v>0</v>
      </c>
      <c r="J67" s="1">
        <f t="shared" si="42"/>
        <v>0</v>
      </c>
      <c r="K67" s="1">
        <f t="shared" si="43"/>
        <v>0</v>
      </c>
      <c r="L67" s="1">
        <f t="shared" si="44"/>
        <v>0</v>
      </c>
      <c r="M67" s="1">
        <f t="shared" si="45"/>
        <v>0</v>
      </c>
      <c r="N67" s="1">
        <f t="shared" si="46"/>
        <v>0</v>
      </c>
      <c r="O67" s="1">
        <f t="shared" si="47"/>
        <v>0</v>
      </c>
      <c r="P67" s="1">
        <f t="shared" si="48"/>
        <v>1</v>
      </c>
      <c r="Q67" s="1">
        <f t="shared" si="49"/>
        <v>0</v>
      </c>
      <c r="R67" s="1">
        <f t="shared" si="50"/>
        <v>0</v>
      </c>
      <c r="S67" s="1">
        <f t="shared" si="51"/>
        <v>0</v>
      </c>
      <c r="T67" s="1">
        <f t="shared" si="52"/>
        <v>0</v>
      </c>
      <c r="U67" s="1">
        <f t="shared" si="53"/>
        <v>0</v>
      </c>
      <c r="V67" s="1">
        <f t="shared" si="54"/>
        <v>0</v>
      </c>
      <c r="W67" s="194" t="e">
        <f t="shared" si="14"/>
        <v>#N/A</v>
      </c>
      <c r="X67" s="194" t="e">
        <f t="shared" si="15"/>
        <v>#N/A</v>
      </c>
      <c r="AB67"/>
      <c r="AC67"/>
      <c r="AD67"/>
      <c r="AE67"/>
      <c r="AH67" s="1" t="e">
        <f>VLOOKUP(A67,'Look-up'!E:F,2,FALSE)</f>
        <v>#N/A</v>
      </c>
    </row>
    <row r="68" spans="1:34" ht="15" customHeight="1">
      <c r="A68" s="37" t="s">
        <v>229</v>
      </c>
      <c r="B68" s="126" t="s">
        <v>33</v>
      </c>
      <c r="C68" s="38"/>
      <c r="D68" s="38"/>
      <c r="E68" s="189" t="e">
        <f>Gear!L68</f>
        <v>#N/A</v>
      </c>
      <c r="F68" s="189">
        <f>Gear!J68</f>
        <v>0</v>
      </c>
      <c r="G68" s="190" t="e">
        <f>Gear!Q68</f>
        <v>#N/A</v>
      </c>
      <c r="H68" s="189">
        <f>DCC!B68</f>
        <v>0</v>
      </c>
      <c r="I68" s="189">
        <f t="shared" si="55"/>
        <v>0</v>
      </c>
      <c r="J68" s="1">
        <f t="shared" si="42"/>
        <v>0</v>
      </c>
      <c r="K68" s="1">
        <f t="shared" si="43"/>
        <v>0</v>
      </c>
      <c r="L68" s="1">
        <f t="shared" si="44"/>
        <v>0</v>
      </c>
      <c r="M68" s="1">
        <f t="shared" si="45"/>
        <v>0</v>
      </c>
      <c r="N68" s="1">
        <f t="shared" si="46"/>
        <v>0</v>
      </c>
      <c r="O68" s="1">
        <f t="shared" si="47"/>
        <v>0</v>
      </c>
      <c r="P68" s="1">
        <f t="shared" si="48"/>
        <v>0</v>
      </c>
      <c r="Q68" s="1">
        <f t="shared" si="49"/>
        <v>0</v>
      </c>
      <c r="R68" s="1">
        <f t="shared" si="50"/>
        <v>0</v>
      </c>
      <c r="S68" s="1">
        <f t="shared" si="51"/>
        <v>0</v>
      </c>
      <c r="T68" s="1">
        <f t="shared" si="52"/>
        <v>0</v>
      </c>
      <c r="U68" s="1">
        <f t="shared" si="53"/>
        <v>0</v>
      </c>
      <c r="V68" s="1">
        <f t="shared" si="54"/>
        <v>0</v>
      </c>
      <c r="W68" s="194" t="e">
        <f t="shared" ref="W68:W100" si="56">IF(E68&gt;=$AD$8," ","Gear, ")&amp;IF(F68&lt;=$AE$8," ","Gear Quality, ")&amp;IF(G68&gt;=$AF$8," ","Raid Output, ")&amp;IF(H68&gt;=$AC$8,IF(I68&gt;=$AC$8," ","Attendance"),"Attendance")</f>
        <v>#N/A</v>
      </c>
      <c r="X68" s="194" t="e">
        <f t="shared" ref="X68:X100" si="57">IF(E68&gt;=$AD$9," ","Gear, ")&amp;IF(F68=$AE$9," ","Gear Quality, ")&amp;IF(G68&gt;=$AF$9," ","Raid Output, ")&amp;IF(H68&gt;=$AC$9,IF(I68&gt;=$AC$9," ","Attendance"),"Attendance")</f>
        <v>#N/A</v>
      </c>
      <c r="AB68"/>
      <c r="AC68"/>
      <c r="AD68"/>
      <c r="AE68"/>
      <c r="AH68" s="1" t="e">
        <f>VLOOKUP(A68,'Look-up'!E:F,2,FALSE)</f>
        <v>#N/A</v>
      </c>
    </row>
    <row r="69" spans="1:34" ht="15" customHeight="1">
      <c r="A69" s="442" t="s">
        <v>233</v>
      </c>
      <c r="B69" s="126" t="s">
        <v>33</v>
      </c>
      <c r="C69" s="38" t="s">
        <v>15</v>
      </c>
      <c r="D69" s="38" t="s">
        <v>77</v>
      </c>
      <c r="E69" s="189" t="e">
        <f>Gear!L69</f>
        <v>#N/A</v>
      </c>
      <c r="F69" s="189">
        <f>Gear!J69</f>
        <v>0</v>
      </c>
      <c r="G69" s="190" t="e">
        <f>Gear!Q69</f>
        <v>#N/A</v>
      </c>
      <c r="H69" s="189">
        <f>DCC!B69</f>
        <v>0</v>
      </c>
      <c r="I69" s="189">
        <f t="shared" si="55"/>
        <v>0</v>
      </c>
      <c r="J69" s="1">
        <f t="shared" si="42"/>
        <v>0</v>
      </c>
      <c r="K69" s="1">
        <f t="shared" si="43"/>
        <v>0</v>
      </c>
      <c r="L69" s="1">
        <f t="shared" si="44"/>
        <v>0</v>
      </c>
      <c r="M69" s="1">
        <f t="shared" si="45"/>
        <v>1</v>
      </c>
      <c r="N69" s="1">
        <f t="shared" si="46"/>
        <v>0</v>
      </c>
      <c r="O69" s="1">
        <f t="shared" si="47"/>
        <v>0</v>
      </c>
      <c r="P69" s="1">
        <f t="shared" si="48"/>
        <v>0</v>
      </c>
      <c r="Q69" s="1">
        <f t="shared" si="49"/>
        <v>0</v>
      </c>
      <c r="R69" s="1">
        <f t="shared" si="50"/>
        <v>0</v>
      </c>
      <c r="S69" s="1">
        <f t="shared" si="51"/>
        <v>0</v>
      </c>
      <c r="T69" s="1">
        <f t="shared" si="52"/>
        <v>0</v>
      </c>
      <c r="U69" s="1">
        <f t="shared" si="53"/>
        <v>0</v>
      </c>
      <c r="V69" s="1">
        <f t="shared" si="54"/>
        <v>0</v>
      </c>
      <c r="W69" s="194" t="e">
        <f t="shared" si="56"/>
        <v>#N/A</v>
      </c>
      <c r="X69" s="194" t="e">
        <f t="shared" si="57"/>
        <v>#N/A</v>
      </c>
      <c r="AB69"/>
      <c r="AC69"/>
      <c r="AD69"/>
      <c r="AE69"/>
      <c r="AH69" s="1" t="e">
        <f>VLOOKUP(A69,'Look-up'!E:F,2,FALSE)</f>
        <v>#N/A</v>
      </c>
    </row>
    <row r="70" spans="1:34" ht="15" customHeight="1">
      <c r="A70" s="37" t="s">
        <v>247</v>
      </c>
      <c r="B70" s="126"/>
      <c r="C70" s="38"/>
      <c r="D70" s="38"/>
      <c r="E70" s="189" t="e">
        <f>Gear!L70</f>
        <v>#N/A</v>
      </c>
      <c r="F70" s="189">
        <f>Gear!J70</f>
        <v>0</v>
      </c>
      <c r="G70" s="190" t="e">
        <f>Gear!Q70</f>
        <v>#N/A</v>
      </c>
      <c r="H70" s="189">
        <f>DCC!B70</f>
        <v>0</v>
      </c>
      <c r="I70" s="189">
        <f t="shared" si="55"/>
        <v>0</v>
      </c>
      <c r="J70" s="1">
        <f t="shared" si="42"/>
        <v>0</v>
      </c>
      <c r="K70" s="1">
        <f t="shared" si="43"/>
        <v>0</v>
      </c>
      <c r="L70" s="1">
        <f t="shared" si="44"/>
        <v>0</v>
      </c>
      <c r="M70" s="1">
        <f t="shared" si="45"/>
        <v>0</v>
      </c>
      <c r="N70" s="1">
        <f t="shared" si="46"/>
        <v>0</v>
      </c>
      <c r="O70" s="1">
        <f t="shared" si="47"/>
        <v>0</v>
      </c>
      <c r="P70" s="1">
        <f t="shared" si="48"/>
        <v>0</v>
      </c>
      <c r="Q70" s="1">
        <f t="shared" si="49"/>
        <v>0</v>
      </c>
      <c r="R70" s="1">
        <f t="shared" si="50"/>
        <v>0</v>
      </c>
      <c r="S70" s="1">
        <f t="shared" si="51"/>
        <v>0</v>
      </c>
      <c r="T70" s="1">
        <f t="shared" si="52"/>
        <v>0</v>
      </c>
      <c r="U70" s="1">
        <f t="shared" si="53"/>
        <v>0</v>
      </c>
      <c r="V70" s="1">
        <f t="shared" si="54"/>
        <v>0</v>
      </c>
      <c r="W70" s="194" t="e">
        <f t="shared" si="56"/>
        <v>#N/A</v>
      </c>
      <c r="X70" s="194" t="e">
        <f t="shared" si="57"/>
        <v>#N/A</v>
      </c>
      <c r="AB70"/>
      <c r="AC70"/>
      <c r="AD70"/>
      <c r="AE70"/>
      <c r="AH70" s="1" t="e">
        <f>VLOOKUP(A70,'Look-up'!E:F,2,FALSE)</f>
        <v>#N/A</v>
      </c>
    </row>
    <row r="71" spans="1:34" ht="15" customHeight="1">
      <c r="A71" s="37" t="s">
        <v>238</v>
      </c>
      <c r="B71" s="126"/>
      <c r="C71" s="38"/>
      <c r="D71" s="38"/>
      <c r="E71" s="189" t="e">
        <f>Gear!L71</f>
        <v>#N/A</v>
      </c>
      <c r="F71" s="189">
        <f>Gear!J71</f>
        <v>0</v>
      </c>
      <c r="G71" s="190" t="e">
        <f>Gear!Q71</f>
        <v>#N/A</v>
      </c>
      <c r="H71" s="189">
        <f>DCC!B71</f>
        <v>0</v>
      </c>
      <c r="I71" s="189">
        <f t="shared" si="55"/>
        <v>0</v>
      </c>
      <c r="J71" s="1">
        <f t="shared" si="42"/>
        <v>0</v>
      </c>
      <c r="K71" s="1">
        <f t="shared" si="43"/>
        <v>0</v>
      </c>
      <c r="L71" s="1">
        <f t="shared" si="44"/>
        <v>0</v>
      </c>
      <c r="M71" s="1">
        <f t="shared" si="45"/>
        <v>0</v>
      </c>
      <c r="N71" s="1">
        <f t="shared" si="46"/>
        <v>0</v>
      </c>
      <c r="O71" s="1">
        <f t="shared" si="47"/>
        <v>0</v>
      </c>
      <c r="P71" s="1">
        <f t="shared" si="48"/>
        <v>0</v>
      </c>
      <c r="Q71" s="1">
        <f t="shared" si="49"/>
        <v>0</v>
      </c>
      <c r="R71" s="1">
        <f t="shared" si="50"/>
        <v>0</v>
      </c>
      <c r="S71" s="1">
        <f t="shared" si="51"/>
        <v>0</v>
      </c>
      <c r="T71" s="1">
        <f t="shared" si="52"/>
        <v>0</v>
      </c>
      <c r="U71" s="1">
        <f t="shared" si="53"/>
        <v>0</v>
      </c>
      <c r="V71" s="1">
        <f t="shared" si="54"/>
        <v>0</v>
      </c>
      <c r="W71" s="194" t="e">
        <f t="shared" si="56"/>
        <v>#N/A</v>
      </c>
      <c r="X71" s="194" t="e">
        <f t="shared" si="57"/>
        <v>#N/A</v>
      </c>
      <c r="AB71"/>
      <c r="AC71"/>
      <c r="AD71"/>
      <c r="AE71"/>
      <c r="AH71" s="1" t="e">
        <f>VLOOKUP(A71,'Look-up'!E:F,2,FALSE)</f>
        <v>#N/A</v>
      </c>
    </row>
    <row r="72" spans="1:34" ht="15" customHeight="1">
      <c r="A72" s="37" t="s">
        <v>239</v>
      </c>
      <c r="B72" s="126"/>
      <c r="C72" s="38"/>
      <c r="D72" s="38"/>
      <c r="E72" s="189" t="e">
        <f>Gear!L72</f>
        <v>#N/A</v>
      </c>
      <c r="F72" s="189">
        <f>Gear!J72</f>
        <v>0</v>
      </c>
      <c r="G72" s="190" t="e">
        <f>Gear!Q72</f>
        <v>#N/A</v>
      </c>
      <c r="H72" s="189">
        <f>DCC!B72</f>
        <v>0</v>
      </c>
      <c r="I72" s="189">
        <f t="shared" si="55"/>
        <v>0</v>
      </c>
      <c r="J72" s="1">
        <f t="shared" si="42"/>
        <v>0</v>
      </c>
      <c r="K72" s="1">
        <f t="shared" si="43"/>
        <v>0</v>
      </c>
      <c r="L72" s="1">
        <f t="shared" si="44"/>
        <v>0</v>
      </c>
      <c r="M72" s="1">
        <f t="shared" si="45"/>
        <v>0</v>
      </c>
      <c r="N72" s="1">
        <f t="shared" si="46"/>
        <v>0</v>
      </c>
      <c r="O72" s="1">
        <f t="shared" si="47"/>
        <v>0</v>
      </c>
      <c r="P72" s="1">
        <f t="shared" si="48"/>
        <v>0</v>
      </c>
      <c r="Q72" s="1">
        <f t="shared" si="49"/>
        <v>0</v>
      </c>
      <c r="R72" s="1">
        <f t="shared" si="50"/>
        <v>0</v>
      </c>
      <c r="S72" s="1">
        <f t="shared" si="51"/>
        <v>0</v>
      </c>
      <c r="T72" s="1">
        <f t="shared" si="52"/>
        <v>0</v>
      </c>
      <c r="U72" s="1">
        <f t="shared" si="53"/>
        <v>0</v>
      </c>
      <c r="V72" s="1">
        <f t="shared" si="54"/>
        <v>0</v>
      </c>
      <c r="W72" s="194" t="e">
        <f t="shared" si="56"/>
        <v>#N/A</v>
      </c>
      <c r="X72" s="194" t="e">
        <f t="shared" si="57"/>
        <v>#N/A</v>
      </c>
      <c r="AB72"/>
      <c r="AC72"/>
      <c r="AD72"/>
      <c r="AE72"/>
      <c r="AH72" s="1" t="e">
        <f>VLOOKUP(A72,'Look-up'!E:F,2,FALSE)</f>
        <v>#N/A</v>
      </c>
    </row>
    <row r="73" spans="1:34" ht="15" customHeight="1">
      <c r="A73" s="39" t="s">
        <v>249</v>
      </c>
      <c r="B73" s="126"/>
      <c r="C73" s="38"/>
      <c r="D73" s="38"/>
      <c r="E73" s="189" t="e">
        <f>Gear!L73</f>
        <v>#N/A</v>
      </c>
      <c r="F73" s="189">
        <f>Gear!J73</f>
        <v>0</v>
      </c>
      <c r="G73" s="190" t="e">
        <f>Gear!Q73</f>
        <v>#N/A</v>
      </c>
      <c r="H73" s="189">
        <f>DCC!B73</f>
        <v>1</v>
      </c>
      <c r="I73" s="189">
        <f t="shared" si="55"/>
        <v>0</v>
      </c>
      <c r="J73" s="1">
        <f t="shared" si="42"/>
        <v>0</v>
      </c>
      <c r="K73" s="1">
        <f t="shared" si="43"/>
        <v>0</v>
      </c>
      <c r="L73" s="1">
        <f t="shared" si="44"/>
        <v>0</v>
      </c>
      <c r="M73" s="1">
        <f t="shared" si="45"/>
        <v>0</v>
      </c>
      <c r="N73" s="1">
        <f t="shared" si="46"/>
        <v>0</v>
      </c>
      <c r="O73" s="1">
        <f t="shared" si="47"/>
        <v>0</v>
      </c>
      <c r="P73" s="1">
        <f t="shared" si="48"/>
        <v>0</v>
      </c>
      <c r="Q73" s="1">
        <f t="shared" si="49"/>
        <v>0</v>
      </c>
      <c r="R73" s="1">
        <f t="shared" si="50"/>
        <v>0</v>
      </c>
      <c r="S73" s="1">
        <f t="shared" si="51"/>
        <v>0</v>
      </c>
      <c r="T73" s="1">
        <f t="shared" si="52"/>
        <v>0</v>
      </c>
      <c r="U73" s="1">
        <f t="shared" si="53"/>
        <v>0</v>
      </c>
      <c r="V73" s="1">
        <f t="shared" si="54"/>
        <v>0</v>
      </c>
      <c r="W73" s="194" t="e">
        <f t="shared" si="56"/>
        <v>#N/A</v>
      </c>
      <c r="X73" s="194" t="e">
        <f t="shared" si="57"/>
        <v>#N/A</v>
      </c>
      <c r="AB73"/>
      <c r="AC73"/>
      <c r="AD73"/>
      <c r="AE73"/>
      <c r="AH73" s="1" t="e">
        <f>VLOOKUP(A73,'Look-up'!E:F,2,FALSE)</f>
        <v>#N/A</v>
      </c>
    </row>
    <row r="74" spans="1:34" ht="15" customHeight="1">
      <c r="A74" s="37" t="s">
        <v>264</v>
      </c>
      <c r="B74" s="126"/>
      <c r="C74" s="38"/>
      <c r="D74" s="38"/>
      <c r="E74" s="189" t="e">
        <f>Gear!L74</f>
        <v>#N/A</v>
      </c>
      <c r="F74" s="189">
        <f>Gear!J74</f>
        <v>0</v>
      </c>
      <c r="G74" s="190" t="e">
        <f>Gear!Q74</f>
        <v>#N/A</v>
      </c>
      <c r="H74" s="189">
        <f>DCC!B74</f>
        <v>1</v>
      </c>
      <c r="I74" s="189">
        <f t="shared" si="55"/>
        <v>0</v>
      </c>
      <c r="J74" s="1">
        <f t="shared" si="42"/>
        <v>0</v>
      </c>
      <c r="K74" s="1">
        <f t="shared" si="43"/>
        <v>0</v>
      </c>
      <c r="L74" s="1">
        <f t="shared" si="44"/>
        <v>0</v>
      </c>
      <c r="M74" s="1">
        <f t="shared" si="45"/>
        <v>0</v>
      </c>
      <c r="N74" s="1">
        <f t="shared" si="46"/>
        <v>0</v>
      </c>
      <c r="O74" s="1">
        <f t="shared" si="47"/>
        <v>0</v>
      </c>
      <c r="P74" s="1">
        <f t="shared" si="48"/>
        <v>0</v>
      </c>
      <c r="Q74" s="1">
        <f t="shared" si="49"/>
        <v>0</v>
      </c>
      <c r="R74" s="1">
        <f t="shared" si="50"/>
        <v>0</v>
      </c>
      <c r="S74" s="1">
        <f t="shared" si="51"/>
        <v>0</v>
      </c>
      <c r="T74" s="1">
        <f t="shared" si="52"/>
        <v>0</v>
      </c>
      <c r="U74" s="1">
        <f t="shared" si="53"/>
        <v>0</v>
      </c>
      <c r="V74" s="1">
        <f t="shared" si="54"/>
        <v>0</v>
      </c>
      <c r="W74" s="194" t="e">
        <f t="shared" si="56"/>
        <v>#N/A</v>
      </c>
      <c r="X74" s="194" t="e">
        <f t="shared" si="57"/>
        <v>#N/A</v>
      </c>
      <c r="AB74"/>
      <c r="AC74"/>
      <c r="AD74"/>
      <c r="AE74"/>
      <c r="AH74" s="1" t="e">
        <f>VLOOKUP(A74,'Look-up'!E:F,2,FALSE)</f>
        <v>#N/A</v>
      </c>
    </row>
    <row r="75" spans="1:34" ht="15" customHeight="1">
      <c r="A75" s="37"/>
      <c r="B75" s="126"/>
      <c r="C75" s="38"/>
      <c r="D75" s="38"/>
      <c r="E75" s="189">
        <f>Gear!L75</f>
        <v>0</v>
      </c>
      <c r="F75" s="189">
        <f>Gear!J75</f>
        <v>0</v>
      </c>
      <c r="G75" s="190" t="e">
        <f>Gear!Q75</f>
        <v>#N/A</v>
      </c>
      <c r="H75" s="189">
        <f>DCC!B75</f>
        <v>0</v>
      </c>
      <c r="I75" s="189">
        <f t="shared" si="55"/>
        <v>0</v>
      </c>
      <c r="J75" s="1">
        <f t="shared" si="42"/>
        <v>0</v>
      </c>
      <c r="K75" s="1">
        <f t="shared" si="43"/>
        <v>0</v>
      </c>
      <c r="L75" s="1">
        <f t="shared" si="44"/>
        <v>0</v>
      </c>
      <c r="M75" s="1">
        <f t="shared" si="45"/>
        <v>0</v>
      </c>
      <c r="N75" s="1">
        <f t="shared" si="46"/>
        <v>0</v>
      </c>
      <c r="O75" s="1">
        <f t="shared" si="47"/>
        <v>0</v>
      </c>
      <c r="P75" s="1">
        <f t="shared" si="48"/>
        <v>0</v>
      </c>
      <c r="Q75" s="1">
        <f t="shared" si="49"/>
        <v>0</v>
      </c>
      <c r="R75" s="1">
        <f t="shared" si="50"/>
        <v>0</v>
      </c>
      <c r="S75" s="1">
        <f t="shared" si="51"/>
        <v>0</v>
      </c>
      <c r="T75" s="1">
        <f t="shared" si="52"/>
        <v>0</v>
      </c>
      <c r="U75" s="1">
        <f t="shared" si="53"/>
        <v>0</v>
      </c>
      <c r="V75" s="1">
        <f t="shared" si="54"/>
        <v>0</v>
      </c>
      <c r="W75" s="194" t="e">
        <f t="shared" si="56"/>
        <v>#N/A</v>
      </c>
      <c r="X75" s="194" t="e">
        <f t="shared" si="57"/>
        <v>#N/A</v>
      </c>
      <c r="AB75"/>
      <c r="AC75"/>
      <c r="AD75"/>
      <c r="AE75"/>
      <c r="AH75" s="1" t="e">
        <f>VLOOKUP(A75,'Look-up'!E:F,2,FALSE)</f>
        <v>#N/A</v>
      </c>
    </row>
    <row r="76" spans="1:34" ht="15" customHeight="1">
      <c r="A76" s="40"/>
      <c r="B76" s="126"/>
      <c r="C76" s="38"/>
      <c r="D76" s="38"/>
      <c r="E76" s="189">
        <f>Gear!L76</f>
        <v>0</v>
      </c>
      <c r="F76" s="189">
        <f>Gear!J76</f>
        <v>0</v>
      </c>
      <c r="G76" s="190" t="e">
        <f>Gear!Q76</f>
        <v>#N/A</v>
      </c>
      <c r="H76" s="189">
        <f>DCC!B76</f>
        <v>0</v>
      </c>
      <c r="I76" s="189">
        <f t="shared" si="55"/>
        <v>0</v>
      </c>
      <c r="J76" s="1">
        <f t="shared" si="42"/>
        <v>0</v>
      </c>
      <c r="K76" s="1">
        <f t="shared" si="43"/>
        <v>0</v>
      </c>
      <c r="L76" s="1">
        <f t="shared" si="44"/>
        <v>0</v>
      </c>
      <c r="M76" s="1">
        <f t="shared" si="45"/>
        <v>0</v>
      </c>
      <c r="N76" s="1">
        <f t="shared" si="46"/>
        <v>0</v>
      </c>
      <c r="O76" s="1">
        <f t="shared" si="47"/>
        <v>0</v>
      </c>
      <c r="P76" s="1">
        <f t="shared" si="48"/>
        <v>0</v>
      </c>
      <c r="Q76" s="1">
        <f t="shared" si="49"/>
        <v>0</v>
      </c>
      <c r="R76" s="1">
        <f t="shared" si="50"/>
        <v>0</v>
      </c>
      <c r="S76" s="1">
        <f t="shared" si="51"/>
        <v>0</v>
      </c>
      <c r="T76" s="1">
        <f t="shared" si="52"/>
        <v>0</v>
      </c>
      <c r="U76" s="1">
        <f t="shared" si="53"/>
        <v>0</v>
      </c>
      <c r="V76" s="1">
        <f t="shared" si="54"/>
        <v>0</v>
      </c>
      <c r="W76" s="194" t="e">
        <f t="shared" si="56"/>
        <v>#N/A</v>
      </c>
      <c r="X76" s="194" t="e">
        <f t="shared" si="57"/>
        <v>#N/A</v>
      </c>
      <c r="AB76"/>
      <c r="AC76"/>
      <c r="AD76"/>
      <c r="AE76"/>
      <c r="AH76" s="1" t="e">
        <f>VLOOKUP(A76,'Look-up'!E:F,2,FALSE)</f>
        <v>#N/A</v>
      </c>
    </row>
    <row r="77" spans="1:34" ht="15" customHeight="1">
      <c r="A77" s="37"/>
      <c r="B77" s="126"/>
      <c r="C77" s="38"/>
      <c r="D77" s="38"/>
      <c r="E77" s="189">
        <f>Gear!L77</f>
        <v>0</v>
      </c>
      <c r="F77" s="189">
        <f>Gear!J77</f>
        <v>0</v>
      </c>
      <c r="G77" s="190" t="e">
        <f>Gear!Q77</f>
        <v>#N/A</v>
      </c>
      <c r="H77" s="189">
        <f>DCC!B77</f>
        <v>0</v>
      </c>
      <c r="I77" s="189">
        <f t="shared" si="55"/>
        <v>0</v>
      </c>
      <c r="J77" s="1">
        <f t="shared" si="42"/>
        <v>0</v>
      </c>
      <c r="K77" s="1">
        <f t="shared" si="43"/>
        <v>0</v>
      </c>
      <c r="L77" s="1">
        <f t="shared" si="44"/>
        <v>0</v>
      </c>
      <c r="M77" s="1">
        <f t="shared" si="45"/>
        <v>0</v>
      </c>
      <c r="N77" s="1">
        <f t="shared" si="46"/>
        <v>0</v>
      </c>
      <c r="O77" s="1">
        <f t="shared" si="47"/>
        <v>0</v>
      </c>
      <c r="P77" s="1">
        <f t="shared" si="48"/>
        <v>0</v>
      </c>
      <c r="Q77" s="1">
        <f t="shared" si="49"/>
        <v>0</v>
      </c>
      <c r="R77" s="1">
        <f t="shared" si="50"/>
        <v>0</v>
      </c>
      <c r="S77" s="1">
        <f t="shared" si="51"/>
        <v>0</v>
      </c>
      <c r="T77" s="1">
        <f t="shared" si="52"/>
        <v>0</v>
      </c>
      <c r="U77" s="1">
        <f t="shared" si="53"/>
        <v>0</v>
      </c>
      <c r="V77" s="1">
        <f t="shared" si="54"/>
        <v>0</v>
      </c>
      <c r="W77" s="194" t="e">
        <f t="shared" si="56"/>
        <v>#N/A</v>
      </c>
      <c r="X77" s="194" t="e">
        <f t="shared" si="57"/>
        <v>#N/A</v>
      </c>
      <c r="AB77"/>
      <c r="AC77"/>
      <c r="AD77"/>
      <c r="AE77"/>
      <c r="AH77" s="1" t="e">
        <f>VLOOKUP(A77,'Look-up'!E:F,2,FALSE)</f>
        <v>#N/A</v>
      </c>
    </row>
    <row r="78" spans="1:34" ht="15" customHeight="1">
      <c r="A78" s="37"/>
      <c r="B78" s="126"/>
      <c r="C78" s="38"/>
      <c r="D78" s="38"/>
      <c r="E78" s="189">
        <f>Gear!L78</f>
        <v>0</v>
      </c>
      <c r="F78" s="189">
        <f>Gear!J78</f>
        <v>0</v>
      </c>
      <c r="G78" s="190" t="e">
        <f>Gear!Q78</f>
        <v>#N/A</v>
      </c>
      <c r="H78" s="189">
        <f>DCC!B78</f>
        <v>0</v>
      </c>
      <c r="I78" s="189">
        <f t="shared" si="55"/>
        <v>0</v>
      </c>
      <c r="J78" s="1">
        <f t="shared" si="42"/>
        <v>0</v>
      </c>
      <c r="K78" s="1">
        <f t="shared" si="43"/>
        <v>0</v>
      </c>
      <c r="L78" s="1">
        <f t="shared" si="44"/>
        <v>0</v>
      </c>
      <c r="M78" s="1">
        <f t="shared" si="45"/>
        <v>0</v>
      </c>
      <c r="N78" s="1">
        <f t="shared" si="46"/>
        <v>0</v>
      </c>
      <c r="O78" s="1">
        <f t="shared" si="47"/>
        <v>0</v>
      </c>
      <c r="P78" s="1">
        <f t="shared" si="48"/>
        <v>0</v>
      </c>
      <c r="Q78" s="1">
        <f t="shared" si="49"/>
        <v>0</v>
      </c>
      <c r="R78" s="1">
        <f t="shared" si="50"/>
        <v>0</v>
      </c>
      <c r="S78" s="1">
        <f t="shared" si="51"/>
        <v>0</v>
      </c>
      <c r="T78" s="1">
        <f t="shared" si="52"/>
        <v>0</v>
      </c>
      <c r="U78" s="1">
        <f t="shared" si="53"/>
        <v>0</v>
      </c>
      <c r="V78" s="1">
        <f t="shared" si="54"/>
        <v>0</v>
      </c>
      <c r="W78" s="194" t="e">
        <f t="shared" si="56"/>
        <v>#N/A</v>
      </c>
      <c r="X78" s="194" t="e">
        <f t="shared" si="57"/>
        <v>#N/A</v>
      </c>
      <c r="AB78"/>
      <c r="AC78"/>
      <c r="AD78"/>
      <c r="AE78"/>
      <c r="AH78" s="1" t="e">
        <f>VLOOKUP(A78,'Look-up'!E:F,2,FALSE)</f>
        <v>#N/A</v>
      </c>
    </row>
    <row r="79" spans="1:34" ht="15" customHeight="1">
      <c r="A79" s="37"/>
      <c r="B79" s="126"/>
      <c r="C79" s="38"/>
      <c r="D79" s="38"/>
      <c r="E79" s="189">
        <f>Gear!L79</f>
        <v>0</v>
      </c>
      <c r="F79" s="189">
        <f>Gear!J79</f>
        <v>0</v>
      </c>
      <c r="G79" s="190" t="e">
        <f>Gear!Q79</f>
        <v>#N/A</v>
      </c>
      <c r="H79" s="189">
        <f>DCC!B79</f>
        <v>0</v>
      </c>
      <c r="I79" s="189">
        <f t="shared" si="55"/>
        <v>0</v>
      </c>
      <c r="J79" s="1">
        <f t="shared" si="42"/>
        <v>0</v>
      </c>
      <c r="K79" s="1">
        <f t="shared" si="43"/>
        <v>0</v>
      </c>
      <c r="L79" s="1">
        <f t="shared" si="44"/>
        <v>0</v>
      </c>
      <c r="M79" s="1">
        <f t="shared" si="45"/>
        <v>0</v>
      </c>
      <c r="N79" s="1">
        <f t="shared" si="46"/>
        <v>0</v>
      </c>
      <c r="O79" s="1">
        <f t="shared" si="47"/>
        <v>0</v>
      </c>
      <c r="P79" s="1">
        <f t="shared" si="48"/>
        <v>0</v>
      </c>
      <c r="Q79" s="1">
        <f t="shared" si="49"/>
        <v>0</v>
      </c>
      <c r="R79" s="1">
        <f t="shared" si="50"/>
        <v>0</v>
      </c>
      <c r="S79" s="1">
        <f t="shared" si="51"/>
        <v>0</v>
      </c>
      <c r="T79" s="1">
        <f t="shared" si="52"/>
        <v>0</v>
      </c>
      <c r="U79" s="1">
        <f t="shared" si="53"/>
        <v>0</v>
      </c>
      <c r="V79" s="1">
        <f t="shared" si="54"/>
        <v>0</v>
      </c>
      <c r="W79" s="194" t="e">
        <f t="shared" si="56"/>
        <v>#N/A</v>
      </c>
      <c r="X79" s="194" t="e">
        <f t="shared" si="57"/>
        <v>#N/A</v>
      </c>
      <c r="AB79"/>
      <c r="AC79"/>
      <c r="AD79"/>
      <c r="AE79"/>
      <c r="AH79" s="1" t="e">
        <f>VLOOKUP(A79,'Look-up'!E:F,2,FALSE)</f>
        <v>#N/A</v>
      </c>
    </row>
    <row r="80" spans="1:34" ht="15" customHeight="1">
      <c r="A80" s="37"/>
      <c r="B80" s="126"/>
      <c r="C80" s="38"/>
      <c r="D80" s="38"/>
      <c r="E80" s="189">
        <f>Gear!L80</f>
        <v>0</v>
      </c>
      <c r="F80" s="189">
        <f>Gear!J80</f>
        <v>0</v>
      </c>
      <c r="G80" s="190" t="e">
        <f>Gear!Q80</f>
        <v>#N/A</v>
      </c>
      <c r="H80" s="189">
        <f>DCC!B80</f>
        <v>0</v>
      </c>
      <c r="I80" s="189">
        <f t="shared" si="55"/>
        <v>0</v>
      </c>
      <c r="J80" s="1">
        <f t="shared" si="42"/>
        <v>0</v>
      </c>
      <c r="K80" s="1">
        <f t="shared" si="43"/>
        <v>0</v>
      </c>
      <c r="L80" s="1">
        <f t="shared" si="44"/>
        <v>0</v>
      </c>
      <c r="M80" s="1">
        <f>COUNTIF(C80,"Death Knight")</f>
        <v>0</v>
      </c>
      <c r="N80" s="1">
        <f>COUNTIF(C80,"Druid")</f>
        <v>0</v>
      </c>
      <c r="O80" s="1">
        <f>COUNTIF(C80,"Hunter")</f>
        <v>0</v>
      </c>
      <c r="P80" s="1">
        <f>COUNTIF(C80,"Mage")</f>
        <v>0</v>
      </c>
      <c r="Q80" s="1">
        <f>COUNTIF(C80,"Paladin")</f>
        <v>0</v>
      </c>
      <c r="R80" s="1">
        <f>COUNTIF(C80,"Priest")</f>
        <v>0</v>
      </c>
      <c r="S80" s="1">
        <f>COUNTIF(C80,"Rogue")</f>
        <v>0</v>
      </c>
      <c r="T80" s="1">
        <f>COUNTIF(C80,"Shaman")</f>
        <v>0</v>
      </c>
      <c r="U80" s="1">
        <f>COUNTIF(C80,"Warlock")</f>
        <v>0</v>
      </c>
      <c r="V80" s="1">
        <f>COUNTIF(C80,"Warrior")</f>
        <v>0</v>
      </c>
      <c r="W80" s="194" t="e">
        <f t="shared" si="56"/>
        <v>#N/A</v>
      </c>
      <c r="X80" s="194" t="e">
        <f t="shared" si="57"/>
        <v>#N/A</v>
      </c>
      <c r="AB80"/>
      <c r="AC80"/>
      <c r="AD80"/>
      <c r="AE80"/>
      <c r="AH80" s="1" t="e">
        <f>VLOOKUP(A80,'Look-up'!E:F,2,FALSE)</f>
        <v>#N/A</v>
      </c>
    </row>
    <row r="81" spans="1:34" ht="15" customHeight="1">
      <c r="A81" s="37"/>
      <c r="B81" s="126"/>
      <c r="C81" s="38"/>
      <c r="D81" s="38"/>
      <c r="E81" s="189">
        <f>Gear!L81</f>
        <v>0</v>
      </c>
      <c r="F81" s="189">
        <f>Gear!J81</f>
        <v>0</v>
      </c>
      <c r="G81" s="190" t="e">
        <f>Gear!Q81</f>
        <v>#N/A</v>
      </c>
      <c r="H81" s="189">
        <f>DCC!B81</f>
        <v>0</v>
      </c>
      <c r="I81" s="189">
        <f t="shared" si="55"/>
        <v>0</v>
      </c>
      <c r="J81" s="1">
        <f t="shared" si="42"/>
        <v>0</v>
      </c>
      <c r="K81" s="1">
        <f t="shared" si="43"/>
        <v>0</v>
      </c>
      <c r="L81" s="1">
        <f t="shared" si="44"/>
        <v>0</v>
      </c>
      <c r="M81" s="1">
        <f>COUNTIF(C81,"Death Knight")</f>
        <v>0</v>
      </c>
      <c r="N81" s="1">
        <f>COUNTIF(C81,"Druid")</f>
        <v>0</v>
      </c>
      <c r="O81" s="1">
        <f>COUNTIF(C81,"Hunter")</f>
        <v>0</v>
      </c>
      <c r="P81" s="1">
        <f>COUNTIF(C81,"Mage")</f>
        <v>0</v>
      </c>
      <c r="Q81" s="1">
        <f>COUNTIF(C81,"Paladin")</f>
        <v>0</v>
      </c>
      <c r="R81" s="1">
        <f>COUNTIF(C81,"Priest")</f>
        <v>0</v>
      </c>
      <c r="S81" s="1">
        <f>COUNTIF(C81,"Rogue")</f>
        <v>0</v>
      </c>
      <c r="T81" s="1">
        <f>COUNTIF(C81,"Shaman")</f>
        <v>0</v>
      </c>
      <c r="U81" s="1">
        <f>COUNTIF(C81,"Warlock")</f>
        <v>0</v>
      </c>
      <c r="V81" s="1">
        <f>COUNTIF(C81,"Warrior")</f>
        <v>0</v>
      </c>
      <c r="W81" s="194" t="e">
        <f t="shared" si="56"/>
        <v>#N/A</v>
      </c>
      <c r="X81" s="194" t="e">
        <f t="shared" si="57"/>
        <v>#N/A</v>
      </c>
      <c r="AB81"/>
      <c r="AC81"/>
      <c r="AD81"/>
      <c r="AE81"/>
      <c r="AH81" s="1" t="e">
        <f>VLOOKUP(A81,'Look-up'!E:F,2,FALSE)</f>
        <v>#N/A</v>
      </c>
    </row>
    <row r="82" spans="1:34" ht="15" customHeight="1">
      <c r="A82" s="37"/>
      <c r="B82" s="126"/>
      <c r="C82" s="38"/>
      <c r="D82" s="38"/>
      <c r="E82" s="189">
        <f>Gear!L82</f>
        <v>0</v>
      </c>
      <c r="F82" s="189">
        <f>Gear!J82</f>
        <v>0</v>
      </c>
      <c r="G82" s="190" t="e">
        <f>Gear!Q82</f>
        <v>#N/A</v>
      </c>
      <c r="H82" s="189">
        <f>DCC!B82</f>
        <v>0</v>
      </c>
      <c r="I82" s="189">
        <f t="shared" si="55"/>
        <v>0</v>
      </c>
      <c r="J82" s="1">
        <f t="shared" si="42"/>
        <v>0</v>
      </c>
      <c r="K82" s="1">
        <f t="shared" si="43"/>
        <v>0</v>
      </c>
      <c r="L82" s="1">
        <f t="shared" si="44"/>
        <v>0</v>
      </c>
      <c r="M82" s="1">
        <f>COUNTIF(C82,"Death Knight")</f>
        <v>0</v>
      </c>
      <c r="N82" s="1">
        <f>COUNTIF(C82,"Druid")</f>
        <v>0</v>
      </c>
      <c r="O82" s="1">
        <f>COUNTIF(C82,"Hunter")</f>
        <v>0</v>
      </c>
      <c r="P82" s="1">
        <f>COUNTIF(C82,"Mage")</f>
        <v>0</v>
      </c>
      <c r="Q82" s="1">
        <f>COUNTIF(C82,"Paladin")</f>
        <v>0</v>
      </c>
      <c r="R82" s="1">
        <f>COUNTIF(C82,"Priest")</f>
        <v>0</v>
      </c>
      <c r="S82" s="1">
        <f>COUNTIF(C82,"Rogue")</f>
        <v>0</v>
      </c>
      <c r="T82" s="1">
        <f>COUNTIF(C82,"Shaman")</f>
        <v>0</v>
      </c>
      <c r="U82" s="1">
        <f>COUNTIF(C82,"Warlock")</f>
        <v>0</v>
      </c>
      <c r="V82" s="1">
        <f>COUNTIF(C82,"Warrior")</f>
        <v>0</v>
      </c>
      <c r="W82" s="194" t="e">
        <f t="shared" si="56"/>
        <v>#N/A</v>
      </c>
      <c r="X82" s="194" t="e">
        <f t="shared" si="57"/>
        <v>#N/A</v>
      </c>
      <c r="AB82"/>
      <c r="AC82"/>
      <c r="AD82"/>
      <c r="AE82"/>
      <c r="AH82" s="1" t="e">
        <f>VLOOKUP(A82,'Look-up'!E:F,2,FALSE)</f>
        <v>#N/A</v>
      </c>
    </row>
    <row r="83" spans="1:34" ht="15" customHeight="1">
      <c r="A83" s="37"/>
      <c r="B83" s="126"/>
      <c r="C83" s="38"/>
      <c r="D83" s="38"/>
      <c r="E83" s="189">
        <f>Gear!L83</f>
        <v>0</v>
      </c>
      <c r="F83" s="189">
        <f>Gear!J83</f>
        <v>0</v>
      </c>
      <c r="G83" s="190" t="e">
        <f>Gear!Q83</f>
        <v>#N/A</v>
      </c>
      <c r="H83" s="189">
        <f>DCC!B83</f>
        <v>0</v>
      </c>
      <c r="I83" s="189">
        <f t="shared" si="55"/>
        <v>0</v>
      </c>
      <c r="J83" s="1">
        <f t="shared" si="42"/>
        <v>0</v>
      </c>
      <c r="K83" s="1">
        <f t="shared" si="43"/>
        <v>0</v>
      </c>
      <c r="L83" s="1">
        <f t="shared" si="44"/>
        <v>0</v>
      </c>
      <c r="M83" s="1">
        <f>COUNTIF(C83,"Death Knight")</f>
        <v>0</v>
      </c>
      <c r="N83" s="1">
        <f>COUNTIF(C83,"Druid")</f>
        <v>0</v>
      </c>
      <c r="O83" s="1">
        <f>COUNTIF(C83,"Hunter")</f>
        <v>0</v>
      </c>
      <c r="P83" s="1">
        <f>COUNTIF(C83,"Mage")</f>
        <v>0</v>
      </c>
      <c r="Q83" s="1">
        <f>COUNTIF(C83,"Paladin")</f>
        <v>0</v>
      </c>
      <c r="R83" s="1">
        <f>COUNTIF(C83,"Priest")</f>
        <v>0</v>
      </c>
      <c r="S83" s="1">
        <f>COUNTIF(C83,"Rogue")</f>
        <v>0</v>
      </c>
      <c r="T83" s="1">
        <f>COUNTIF(C83,"Shaman")</f>
        <v>0</v>
      </c>
      <c r="U83" s="1">
        <f>COUNTIF(C83,"Warlock")</f>
        <v>0</v>
      </c>
      <c r="V83" s="1">
        <f>COUNTIF(C83,"Warrior")</f>
        <v>0</v>
      </c>
      <c r="W83" s="194" t="e">
        <f t="shared" si="56"/>
        <v>#N/A</v>
      </c>
      <c r="X83" s="194" t="e">
        <f t="shared" si="57"/>
        <v>#N/A</v>
      </c>
      <c r="AB83"/>
      <c r="AC83"/>
      <c r="AD83"/>
      <c r="AE83"/>
      <c r="AH83" s="1" t="e">
        <f>VLOOKUP(A83,'Look-up'!E:F,2,FALSE)</f>
        <v>#N/A</v>
      </c>
    </row>
    <row r="84" spans="1:34" ht="15" customHeight="1">
      <c r="A84" s="41"/>
      <c r="B84" s="127"/>
      <c r="C84" s="42"/>
      <c r="D84" s="38"/>
      <c r="E84" s="189">
        <f>Gear!L84</f>
        <v>0</v>
      </c>
      <c r="F84" s="189">
        <f>Gear!J84</f>
        <v>0</v>
      </c>
      <c r="G84" s="190" t="e">
        <f>Gear!Q84</f>
        <v>#N/A</v>
      </c>
      <c r="H84" s="189">
        <f>DCC!B84</f>
        <v>0</v>
      </c>
      <c r="I84" s="189">
        <f t="shared" si="55"/>
        <v>0</v>
      </c>
      <c r="J84" s="1">
        <f t="shared" si="42"/>
        <v>0</v>
      </c>
      <c r="K84" s="1">
        <f t="shared" si="43"/>
        <v>0</v>
      </c>
      <c r="L84" s="1">
        <f t="shared" si="44"/>
        <v>0</v>
      </c>
      <c r="W84" s="194" t="e">
        <f t="shared" si="56"/>
        <v>#N/A</v>
      </c>
      <c r="X84" s="194" t="e">
        <f t="shared" si="57"/>
        <v>#N/A</v>
      </c>
      <c r="AB84"/>
      <c r="AC84"/>
      <c r="AD84"/>
      <c r="AE84"/>
      <c r="AH84" s="1" t="e">
        <f>VLOOKUP(A84,'Look-up'!E:F,2,FALSE)</f>
        <v>#N/A</v>
      </c>
    </row>
    <row r="85" spans="1:34" ht="15" customHeight="1">
      <c r="A85" s="37"/>
      <c r="B85" s="126"/>
      <c r="C85" s="38"/>
      <c r="D85" s="38"/>
      <c r="E85" s="189">
        <f>Gear!L85</f>
        <v>0</v>
      </c>
      <c r="F85" s="189">
        <f>Gear!J85</f>
        <v>0</v>
      </c>
      <c r="G85" s="190" t="e">
        <f>Gear!Q85</f>
        <v>#N/A</v>
      </c>
      <c r="H85" s="189">
        <f>DCC!B85</f>
        <v>0</v>
      </c>
      <c r="I85" s="189">
        <f t="shared" si="55"/>
        <v>0</v>
      </c>
      <c r="J85" s="1">
        <f t="shared" si="42"/>
        <v>0</v>
      </c>
      <c r="K85" s="1">
        <f t="shared" si="43"/>
        <v>0</v>
      </c>
      <c r="L85" s="1">
        <f t="shared" si="44"/>
        <v>0</v>
      </c>
      <c r="W85" s="194" t="e">
        <f t="shared" si="56"/>
        <v>#N/A</v>
      </c>
      <c r="X85" s="194" t="e">
        <f t="shared" si="57"/>
        <v>#N/A</v>
      </c>
      <c r="AB85"/>
      <c r="AC85"/>
      <c r="AD85"/>
      <c r="AE85"/>
      <c r="AH85" s="1" t="e">
        <f>VLOOKUP(A85,'Look-up'!E:F,2,FALSE)</f>
        <v>#N/A</v>
      </c>
    </row>
    <row r="86" spans="1:34" ht="15" customHeight="1">
      <c r="A86" s="37"/>
      <c r="B86" s="126"/>
      <c r="C86" s="38"/>
      <c r="D86" s="38"/>
      <c r="E86" s="189">
        <f>Gear!L86</f>
        <v>0</v>
      </c>
      <c r="F86" s="189">
        <f>Gear!J86</f>
        <v>0</v>
      </c>
      <c r="G86" s="190" t="e">
        <f>Gear!Q86</f>
        <v>#N/A</v>
      </c>
      <c r="H86" s="189">
        <f>DCC!B86</f>
        <v>0</v>
      </c>
      <c r="I86" s="189">
        <f t="shared" si="55"/>
        <v>0</v>
      </c>
      <c r="J86" s="1">
        <f t="shared" si="42"/>
        <v>0</v>
      </c>
      <c r="K86" s="1">
        <f t="shared" si="43"/>
        <v>0</v>
      </c>
      <c r="L86" s="1">
        <f t="shared" si="44"/>
        <v>0</v>
      </c>
      <c r="W86" s="194" t="e">
        <f t="shared" si="56"/>
        <v>#N/A</v>
      </c>
      <c r="X86" s="194" t="e">
        <f t="shared" si="57"/>
        <v>#N/A</v>
      </c>
      <c r="AB86"/>
      <c r="AC86"/>
      <c r="AD86"/>
      <c r="AE86"/>
      <c r="AH86" s="1" t="e">
        <f>VLOOKUP(A86,'Look-up'!E:F,2,FALSE)</f>
        <v>#N/A</v>
      </c>
    </row>
    <row r="87" spans="1:34" ht="15" customHeight="1">
      <c r="A87" s="37"/>
      <c r="B87" s="126"/>
      <c r="C87" s="38"/>
      <c r="D87" s="38"/>
      <c r="E87" s="189">
        <f>Gear!L87</f>
        <v>0</v>
      </c>
      <c r="F87" s="189">
        <f>Gear!J87</f>
        <v>0</v>
      </c>
      <c r="G87" s="190" t="e">
        <f>Gear!Q87</f>
        <v>#N/A</v>
      </c>
      <c r="H87" s="189">
        <f>DCC!B87</f>
        <v>0</v>
      </c>
      <c r="I87" s="189">
        <f t="shared" si="55"/>
        <v>0</v>
      </c>
      <c r="J87" s="1">
        <f t="shared" si="42"/>
        <v>0</v>
      </c>
      <c r="K87" s="1">
        <f t="shared" si="43"/>
        <v>0</v>
      </c>
      <c r="L87" s="1">
        <f t="shared" si="44"/>
        <v>0</v>
      </c>
      <c r="W87" s="194" t="e">
        <f t="shared" si="56"/>
        <v>#N/A</v>
      </c>
      <c r="X87" s="194" t="e">
        <f t="shared" si="57"/>
        <v>#N/A</v>
      </c>
      <c r="AB87"/>
      <c r="AC87"/>
      <c r="AD87"/>
      <c r="AE87"/>
      <c r="AH87" s="1" t="e">
        <f>VLOOKUP(A87,'Look-up'!E:F,2,FALSE)</f>
        <v>#N/A</v>
      </c>
    </row>
    <row r="88" spans="1:34" ht="15" customHeight="1">
      <c r="A88" s="37"/>
      <c r="B88" s="126"/>
      <c r="C88" s="38"/>
      <c r="D88" s="38"/>
      <c r="E88" s="189">
        <f>Gear!L88</f>
        <v>0</v>
      </c>
      <c r="F88" s="189">
        <f>Gear!J88</f>
        <v>0</v>
      </c>
      <c r="G88" s="190" t="e">
        <f>Gear!Q88</f>
        <v>#N/A</v>
      </c>
      <c r="H88" s="189">
        <f>DCC!B88</f>
        <v>0</v>
      </c>
      <c r="I88" s="189">
        <f t="shared" si="55"/>
        <v>0</v>
      </c>
      <c r="J88" s="1">
        <f t="shared" si="42"/>
        <v>0</v>
      </c>
      <c r="K88" s="1">
        <f t="shared" si="43"/>
        <v>0</v>
      </c>
      <c r="L88" s="1">
        <f t="shared" si="44"/>
        <v>0</v>
      </c>
      <c r="W88" s="194" t="e">
        <f t="shared" si="56"/>
        <v>#N/A</v>
      </c>
      <c r="X88" s="194" t="e">
        <f t="shared" si="57"/>
        <v>#N/A</v>
      </c>
      <c r="AB88"/>
      <c r="AC88"/>
      <c r="AD88"/>
      <c r="AE88"/>
      <c r="AH88" s="1" t="e">
        <f>VLOOKUP(A88,'Look-up'!E:F,2,FALSE)</f>
        <v>#N/A</v>
      </c>
    </row>
    <row r="89" spans="1:34" ht="15" customHeight="1">
      <c r="A89" s="37"/>
      <c r="B89" s="126"/>
      <c r="C89" s="38"/>
      <c r="D89" s="38"/>
      <c r="E89" s="189">
        <f>Gear!L89</f>
        <v>0</v>
      </c>
      <c r="F89" s="189">
        <f>Gear!J89</f>
        <v>0</v>
      </c>
      <c r="G89" s="190" t="e">
        <f>Gear!Q89</f>
        <v>#N/A</v>
      </c>
      <c r="H89" s="189">
        <f>DCC!B89</f>
        <v>0</v>
      </c>
      <c r="I89" s="189">
        <f t="shared" si="55"/>
        <v>0</v>
      </c>
      <c r="J89" s="1">
        <f t="shared" si="42"/>
        <v>0</v>
      </c>
      <c r="K89" s="1">
        <f t="shared" si="43"/>
        <v>0</v>
      </c>
      <c r="L89" s="1">
        <f t="shared" si="44"/>
        <v>0</v>
      </c>
      <c r="W89" s="194" t="e">
        <f t="shared" si="56"/>
        <v>#N/A</v>
      </c>
      <c r="X89" s="194" t="e">
        <f t="shared" si="57"/>
        <v>#N/A</v>
      </c>
      <c r="AB89"/>
      <c r="AC89"/>
      <c r="AD89"/>
      <c r="AE89"/>
      <c r="AH89" s="1" t="e">
        <f>VLOOKUP(A89,'Look-up'!E:F,2,FALSE)</f>
        <v>#N/A</v>
      </c>
    </row>
    <row r="90" spans="1:34" ht="15" customHeight="1">
      <c r="A90" s="37"/>
      <c r="B90" s="126"/>
      <c r="C90" s="38"/>
      <c r="D90" s="38"/>
      <c r="E90" s="189">
        <f>Gear!L90</f>
        <v>0</v>
      </c>
      <c r="F90" s="189">
        <f>Gear!J90</f>
        <v>0</v>
      </c>
      <c r="G90" s="190" t="e">
        <f>Gear!Q90</f>
        <v>#N/A</v>
      </c>
      <c r="H90" s="189">
        <f>DCC!B90</f>
        <v>0</v>
      </c>
      <c r="I90" s="189">
        <f t="shared" si="55"/>
        <v>0</v>
      </c>
      <c r="J90" s="1">
        <f t="shared" si="42"/>
        <v>0</v>
      </c>
      <c r="K90" s="1">
        <f t="shared" si="43"/>
        <v>0</v>
      </c>
      <c r="L90" s="1">
        <f t="shared" si="44"/>
        <v>0</v>
      </c>
      <c r="W90" s="194" t="e">
        <f t="shared" si="56"/>
        <v>#N/A</v>
      </c>
      <c r="X90" s="194" t="e">
        <f t="shared" si="57"/>
        <v>#N/A</v>
      </c>
      <c r="AB90"/>
      <c r="AC90"/>
      <c r="AD90"/>
      <c r="AE90"/>
      <c r="AH90" s="1" t="e">
        <f>VLOOKUP(A90,'Look-up'!E:F,2,FALSE)</f>
        <v>#N/A</v>
      </c>
    </row>
    <row r="91" spans="1:34" ht="15" customHeight="1">
      <c r="A91" s="37"/>
      <c r="B91" s="126"/>
      <c r="C91" s="38"/>
      <c r="D91" s="38"/>
      <c r="E91" s="189">
        <f>Gear!L91</f>
        <v>0</v>
      </c>
      <c r="F91" s="189">
        <f>Gear!J91</f>
        <v>0</v>
      </c>
      <c r="G91" s="190" t="e">
        <f>Gear!Q91</f>
        <v>#N/A</v>
      </c>
      <c r="H91" s="189">
        <f>DCC!B91</f>
        <v>0</v>
      </c>
      <c r="I91" s="189">
        <f t="shared" si="55"/>
        <v>0</v>
      </c>
      <c r="J91" s="1">
        <f t="shared" si="42"/>
        <v>0</v>
      </c>
      <c r="K91" s="1">
        <f t="shared" si="43"/>
        <v>0</v>
      </c>
      <c r="L91" s="1">
        <f t="shared" si="44"/>
        <v>0</v>
      </c>
      <c r="W91" s="194" t="e">
        <f t="shared" si="56"/>
        <v>#N/A</v>
      </c>
      <c r="X91" s="194" t="e">
        <f t="shared" si="57"/>
        <v>#N/A</v>
      </c>
      <c r="AB91"/>
      <c r="AC91"/>
      <c r="AD91"/>
      <c r="AE91"/>
      <c r="AH91" s="1" t="e">
        <f>VLOOKUP(A91,'Look-up'!E:F,2,FALSE)</f>
        <v>#N/A</v>
      </c>
    </row>
    <row r="92" spans="1:34" ht="15" customHeight="1">
      <c r="A92" s="37"/>
      <c r="B92" s="126"/>
      <c r="C92" s="38"/>
      <c r="D92" s="38"/>
      <c r="E92" s="189">
        <f>Gear!L92</f>
        <v>0</v>
      </c>
      <c r="F92" s="189">
        <f>Gear!J92</f>
        <v>0</v>
      </c>
      <c r="G92" s="190" t="e">
        <f>Gear!Q92</f>
        <v>#N/A</v>
      </c>
      <c r="H92" s="189">
        <f>DCC!B92</f>
        <v>0</v>
      </c>
      <c r="I92" s="189">
        <f t="shared" si="55"/>
        <v>0</v>
      </c>
      <c r="J92" s="1">
        <f t="shared" si="42"/>
        <v>0</v>
      </c>
      <c r="K92" s="1">
        <f t="shared" si="43"/>
        <v>0</v>
      </c>
      <c r="L92" s="1">
        <f t="shared" si="44"/>
        <v>0</v>
      </c>
      <c r="W92" s="194" t="e">
        <f t="shared" si="56"/>
        <v>#N/A</v>
      </c>
      <c r="X92" s="194" t="e">
        <f t="shared" si="57"/>
        <v>#N/A</v>
      </c>
      <c r="AB92"/>
      <c r="AC92"/>
      <c r="AD92"/>
      <c r="AE92"/>
      <c r="AH92" s="1" t="e">
        <f>VLOOKUP(A92,'Look-up'!E:F,2,FALSE)</f>
        <v>#N/A</v>
      </c>
    </row>
    <row r="93" spans="1:34" ht="15" customHeight="1">
      <c r="A93" s="37"/>
      <c r="B93" s="126"/>
      <c r="C93" s="38"/>
      <c r="D93" s="38"/>
      <c r="E93" s="189">
        <f>Gear!L93</f>
        <v>0</v>
      </c>
      <c r="F93" s="189">
        <f>Gear!J93</f>
        <v>0</v>
      </c>
      <c r="G93" s="190" t="e">
        <f>Gear!Q93</f>
        <v>#N/A</v>
      </c>
      <c r="H93" s="189">
        <f>DCC!B93</f>
        <v>0</v>
      </c>
      <c r="I93" s="189">
        <f t="shared" si="55"/>
        <v>0</v>
      </c>
      <c r="J93" s="1">
        <f t="shared" si="42"/>
        <v>0</v>
      </c>
      <c r="K93" s="1">
        <f t="shared" si="43"/>
        <v>0</v>
      </c>
      <c r="L93" s="1">
        <f t="shared" si="44"/>
        <v>0</v>
      </c>
      <c r="W93" s="194" t="e">
        <f t="shared" si="56"/>
        <v>#N/A</v>
      </c>
      <c r="X93" s="194" t="e">
        <f t="shared" si="57"/>
        <v>#N/A</v>
      </c>
      <c r="AB93"/>
      <c r="AC93"/>
      <c r="AD93"/>
      <c r="AE93"/>
      <c r="AH93" s="1" t="e">
        <f>VLOOKUP(A93,'Look-up'!E:F,2,FALSE)</f>
        <v>#N/A</v>
      </c>
    </row>
    <row r="94" spans="1:34" ht="15" customHeight="1">
      <c r="A94" s="37"/>
      <c r="B94" s="126"/>
      <c r="C94" s="38"/>
      <c r="D94" s="38"/>
      <c r="E94" s="189">
        <f>Gear!L94</f>
        <v>0</v>
      </c>
      <c r="F94" s="189">
        <f>Gear!J94</f>
        <v>0</v>
      </c>
      <c r="G94" s="190" t="e">
        <f>Gear!Q94</f>
        <v>#N/A</v>
      </c>
      <c r="H94" s="189">
        <f>DCC!B94</f>
        <v>0</v>
      </c>
      <c r="I94" s="189">
        <f t="shared" si="55"/>
        <v>0</v>
      </c>
      <c r="J94" s="1">
        <f t="shared" si="42"/>
        <v>0</v>
      </c>
      <c r="K94" s="1">
        <f t="shared" si="43"/>
        <v>0</v>
      </c>
      <c r="L94" s="1">
        <f t="shared" si="44"/>
        <v>0</v>
      </c>
      <c r="W94" s="194" t="e">
        <f t="shared" si="56"/>
        <v>#N/A</v>
      </c>
      <c r="X94" s="194" t="e">
        <f t="shared" si="57"/>
        <v>#N/A</v>
      </c>
      <c r="AB94"/>
      <c r="AC94"/>
      <c r="AD94"/>
      <c r="AE94"/>
      <c r="AH94" s="1" t="e">
        <f>VLOOKUP(A94,'Look-up'!E:F,2,FALSE)</f>
        <v>#N/A</v>
      </c>
    </row>
    <row r="95" spans="1:34" ht="15" customHeight="1">
      <c r="A95" s="37"/>
      <c r="B95" s="126"/>
      <c r="C95" s="38"/>
      <c r="D95" s="38"/>
      <c r="E95" s="189">
        <f>Gear!L95</f>
        <v>0</v>
      </c>
      <c r="F95" s="189">
        <f>Gear!J95</f>
        <v>0</v>
      </c>
      <c r="G95" s="190" t="e">
        <f>Gear!Q95</f>
        <v>#N/A</v>
      </c>
      <c r="H95" s="189">
        <f>DCC!B95</f>
        <v>0</v>
      </c>
      <c r="I95" s="189">
        <f t="shared" si="55"/>
        <v>0</v>
      </c>
      <c r="W95" s="194" t="e">
        <f t="shared" si="56"/>
        <v>#N/A</v>
      </c>
      <c r="X95" s="194" t="e">
        <f t="shared" si="57"/>
        <v>#N/A</v>
      </c>
      <c r="AB95"/>
      <c r="AC95"/>
      <c r="AD95"/>
      <c r="AE95"/>
      <c r="AH95" s="1" t="e">
        <f>VLOOKUP(A95,'Look-up'!E:F,2,FALSE)</f>
        <v>#N/A</v>
      </c>
    </row>
    <row r="96" spans="1:34" ht="15" customHeight="1">
      <c r="A96" s="37"/>
      <c r="B96" s="126"/>
      <c r="C96" s="38"/>
      <c r="D96" s="38"/>
      <c r="E96" s="189">
        <f>Gear!L96</f>
        <v>0</v>
      </c>
      <c r="F96" s="189">
        <f>Gear!J96</f>
        <v>0</v>
      </c>
      <c r="G96" s="190" t="e">
        <f>Gear!Q96</f>
        <v>#N/A</v>
      </c>
      <c r="H96" s="189">
        <f>DCC!B96</f>
        <v>0</v>
      </c>
      <c r="I96" s="189">
        <f t="shared" si="55"/>
        <v>0</v>
      </c>
      <c r="W96" s="194" t="e">
        <f t="shared" si="56"/>
        <v>#N/A</v>
      </c>
      <c r="X96" s="194" t="e">
        <f t="shared" si="57"/>
        <v>#N/A</v>
      </c>
      <c r="AB96"/>
      <c r="AC96"/>
      <c r="AD96"/>
      <c r="AE96"/>
      <c r="AH96" s="1" t="e">
        <f>VLOOKUP(A96,'Look-up'!E:F,2,FALSE)</f>
        <v>#N/A</v>
      </c>
    </row>
    <row r="97" spans="1:247" ht="15" customHeight="1">
      <c r="A97" s="37"/>
      <c r="B97" s="126"/>
      <c r="C97" s="38"/>
      <c r="D97" s="38"/>
      <c r="E97" s="189">
        <f>Gear!L97</f>
        <v>0</v>
      </c>
      <c r="F97" s="189">
        <f>Gear!J97</f>
        <v>0</v>
      </c>
      <c r="G97" s="190" t="e">
        <f>Gear!Q97</f>
        <v>#N/A</v>
      </c>
      <c r="H97" s="189">
        <f>DCC!B97</f>
        <v>0</v>
      </c>
      <c r="I97" s="189">
        <f t="shared" si="55"/>
        <v>0</v>
      </c>
      <c r="W97" s="194" t="e">
        <f t="shared" si="56"/>
        <v>#N/A</v>
      </c>
      <c r="X97" s="194" t="e">
        <f t="shared" si="57"/>
        <v>#N/A</v>
      </c>
      <c r="AB97"/>
      <c r="AC97"/>
      <c r="AD97"/>
      <c r="AE97"/>
      <c r="AH97" s="1" t="e">
        <f>VLOOKUP(A97,'Look-up'!E:F,2,FALSE)</f>
        <v>#N/A</v>
      </c>
    </row>
    <row r="98" spans="1:247" ht="15" customHeight="1">
      <c r="A98" s="37"/>
      <c r="B98" s="126"/>
      <c r="C98" s="38"/>
      <c r="D98" s="38"/>
      <c r="E98" s="189">
        <f>Gear!L98</f>
        <v>0</v>
      </c>
      <c r="F98" s="189">
        <f>Gear!J98</f>
        <v>0</v>
      </c>
      <c r="G98" s="190" t="e">
        <f>Gear!Q98</f>
        <v>#N/A</v>
      </c>
      <c r="H98" s="189">
        <f>DCC!B98</f>
        <v>0</v>
      </c>
      <c r="I98" s="189">
        <f t="shared" si="55"/>
        <v>0</v>
      </c>
      <c r="W98" s="194" t="e">
        <f t="shared" si="56"/>
        <v>#N/A</v>
      </c>
      <c r="X98" s="194" t="e">
        <f t="shared" si="57"/>
        <v>#N/A</v>
      </c>
      <c r="AB98"/>
      <c r="AC98"/>
      <c r="AD98"/>
      <c r="AE98"/>
      <c r="AH98" s="1" t="e">
        <f>VLOOKUP(A98,'Look-up'!E:F,2,FALSE)</f>
        <v>#N/A</v>
      </c>
    </row>
    <row r="99" spans="1:247" ht="15" customHeight="1">
      <c r="A99" s="37"/>
      <c r="B99" s="126"/>
      <c r="C99" s="38"/>
      <c r="D99" s="38"/>
      <c r="E99" s="189">
        <f>Gear!L99</f>
        <v>0</v>
      </c>
      <c r="F99" s="189">
        <f>Gear!J99</f>
        <v>0</v>
      </c>
      <c r="G99" s="190" t="e">
        <f>Gear!Q99</f>
        <v>#N/A</v>
      </c>
      <c r="H99" s="189">
        <f>DCC!B99</f>
        <v>0</v>
      </c>
      <c r="I99" s="189">
        <f t="shared" si="55"/>
        <v>0</v>
      </c>
      <c r="W99" s="194" t="e">
        <f t="shared" si="56"/>
        <v>#N/A</v>
      </c>
      <c r="X99" s="194" t="e">
        <f t="shared" si="57"/>
        <v>#N/A</v>
      </c>
      <c r="AB99"/>
      <c r="AC99"/>
      <c r="AD99"/>
      <c r="AE99"/>
      <c r="AH99" s="1" t="e">
        <f>VLOOKUP(A99,'Look-up'!E:F,2,FALSE)</f>
        <v>#N/A</v>
      </c>
    </row>
    <row r="100" spans="1:247" ht="15" customHeight="1" thickBot="1">
      <c r="A100" s="183"/>
      <c r="B100" s="184"/>
      <c r="C100" s="185"/>
      <c r="D100" s="185"/>
      <c r="E100" s="191">
        <f>Gear!L100</f>
        <v>0</v>
      </c>
      <c r="F100" s="191">
        <f>Gear!J100</f>
        <v>0</v>
      </c>
      <c r="G100" s="192" t="e">
        <f>Gear!Q100</f>
        <v>#N/A</v>
      </c>
      <c r="H100" s="191">
        <f>DCC!B100</f>
        <v>0</v>
      </c>
      <c r="I100" s="191">
        <f t="shared" si="55"/>
        <v>0</v>
      </c>
      <c r="J100" s="186"/>
      <c r="K100" s="186"/>
      <c r="L100" s="186"/>
      <c r="M100" s="186"/>
      <c r="N100" s="186"/>
      <c r="O100" s="186"/>
      <c r="P100" s="186"/>
      <c r="Q100" s="186"/>
      <c r="R100" s="186"/>
      <c r="S100" s="186"/>
      <c r="T100" s="186"/>
      <c r="U100" s="186"/>
      <c r="V100" s="186"/>
      <c r="W100" s="195" t="e">
        <f t="shared" si="56"/>
        <v>#N/A</v>
      </c>
      <c r="X100" s="195" t="e">
        <f t="shared" si="57"/>
        <v>#N/A</v>
      </c>
      <c r="AB100"/>
      <c r="AC100"/>
      <c r="AD100"/>
      <c r="AE100"/>
      <c r="AH100" s="1" t="e">
        <f>VLOOKUP(A100,'Look-up'!E:F,2,FALSE)</f>
        <v>#N/A</v>
      </c>
    </row>
    <row r="101" spans="1:247" ht="15" customHeight="1">
      <c r="E101"/>
      <c r="F101"/>
      <c r="G101"/>
      <c r="Y101" s="1"/>
      <c r="Z101" s="1"/>
      <c r="AA101" s="1"/>
      <c r="HP101"/>
      <c r="HQ101"/>
      <c r="HR101"/>
      <c r="HS101"/>
      <c r="HT101"/>
      <c r="HU101"/>
      <c r="HV101"/>
      <c r="HW101"/>
      <c r="HX101"/>
      <c r="HY101"/>
      <c r="HZ101"/>
      <c r="IA101"/>
      <c r="IB101"/>
      <c r="IC101"/>
      <c r="ID101"/>
      <c r="IE101"/>
      <c r="IF101"/>
      <c r="IG101"/>
      <c r="IH101"/>
      <c r="II101"/>
      <c r="IJ101"/>
      <c r="IK101"/>
      <c r="IL101"/>
      <c r="IM101"/>
    </row>
    <row r="102" spans="1:247" ht="15" customHeight="1">
      <c r="A102"/>
      <c r="B102"/>
      <c r="C102"/>
      <c r="D102"/>
      <c r="E102"/>
      <c r="F102"/>
      <c r="G102"/>
      <c r="Y102" s="1"/>
      <c r="Z102" s="1"/>
      <c r="AA102" s="1"/>
      <c r="HP102"/>
      <c r="HQ102"/>
      <c r="HR102"/>
      <c r="HS102"/>
      <c r="HT102"/>
      <c r="HU102"/>
      <c r="HV102"/>
      <c r="HW102"/>
      <c r="HX102"/>
      <c r="HY102"/>
      <c r="HZ102"/>
      <c r="IA102"/>
      <c r="IB102"/>
      <c r="IC102"/>
      <c r="ID102"/>
      <c r="IE102"/>
      <c r="IF102"/>
      <c r="IG102"/>
      <c r="IH102"/>
      <c r="II102"/>
      <c r="IJ102"/>
      <c r="IK102"/>
      <c r="IL102"/>
      <c r="IM102"/>
    </row>
    <row r="103" spans="1:247" ht="15" customHeight="1">
      <c r="A103"/>
      <c r="B103"/>
      <c r="C103"/>
      <c r="D103"/>
      <c r="E103"/>
      <c r="F103"/>
      <c r="G103"/>
      <c r="Y103" s="1"/>
      <c r="Z103" s="1"/>
      <c r="AA103" s="1"/>
      <c r="HP103"/>
      <c r="HQ103"/>
      <c r="HR103"/>
      <c r="HS103"/>
      <c r="HT103"/>
      <c r="HU103"/>
      <c r="HV103"/>
      <c r="HW103"/>
      <c r="HX103"/>
      <c r="HY103"/>
      <c r="HZ103"/>
      <c r="IA103"/>
      <c r="IB103"/>
      <c r="IC103"/>
      <c r="ID103"/>
      <c r="IE103"/>
      <c r="IF103"/>
      <c r="IG103"/>
      <c r="IH103"/>
      <c r="II103"/>
      <c r="IJ103"/>
      <c r="IK103"/>
      <c r="IL103"/>
      <c r="IM103"/>
    </row>
    <row r="104" spans="1:247" ht="15" customHeight="1">
      <c r="A104"/>
      <c r="B104"/>
      <c r="C104"/>
      <c r="D104"/>
      <c r="Y104" s="1"/>
      <c r="Z104" s="1"/>
      <c r="AA104" s="1"/>
      <c r="HP104"/>
      <c r="HQ104"/>
      <c r="HR104"/>
      <c r="HS104"/>
      <c r="HT104"/>
      <c r="HU104"/>
      <c r="HV104"/>
      <c r="HW104"/>
      <c r="HX104"/>
      <c r="HY104"/>
      <c r="HZ104"/>
      <c r="IA104"/>
      <c r="IB104"/>
      <c r="IC104"/>
      <c r="ID104"/>
      <c r="IE104"/>
      <c r="IF104"/>
      <c r="IG104"/>
      <c r="IH104"/>
      <c r="II104"/>
      <c r="IJ104"/>
      <c r="IK104"/>
      <c r="IL104"/>
      <c r="IM104"/>
    </row>
    <row r="105" spans="1:247" ht="15" customHeight="1">
      <c r="A105"/>
      <c r="B105"/>
      <c r="C105"/>
      <c r="Y105" s="1"/>
      <c r="Z105" s="1"/>
      <c r="AA105" s="1"/>
      <c r="HP105"/>
      <c r="HQ105"/>
      <c r="HR105"/>
      <c r="HS105"/>
      <c r="HT105"/>
      <c r="HU105"/>
      <c r="HV105"/>
      <c r="HW105"/>
      <c r="HX105"/>
      <c r="HY105"/>
      <c r="HZ105"/>
      <c r="IA105"/>
      <c r="IB105"/>
      <c r="IC105"/>
      <c r="ID105"/>
      <c r="IE105"/>
      <c r="IF105"/>
      <c r="IG105"/>
      <c r="IH105"/>
      <c r="II105"/>
      <c r="IJ105"/>
      <c r="IK105"/>
      <c r="IL105"/>
      <c r="IM105"/>
    </row>
    <row r="106" spans="1:247" ht="15" customHeight="1">
      <c r="A106"/>
      <c r="B106"/>
      <c r="C106"/>
      <c r="Y106" s="1"/>
      <c r="Z106" s="1"/>
      <c r="AA106" s="1"/>
      <c r="HP106"/>
      <c r="HQ106"/>
      <c r="HR106"/>
      <c r="HS106"/>
      <c r="HT106"/>
      <c r="HU106"/>
      <c r="HV106"/>
      <c r="HW106"/>
      <c r="HX106"/>
      <c r="HY106"/>
      <c r="HZ106"/>
      <c r="IA106"/>
      <c r="IB106"/>
      <c r="IC106"/>
      <c r="ID106"/>
      <c r="IE106"/>
      <c r="IF106"/>
      <c r="IG106"/>
      <c r="IH106"/>
      <c r="II106"/>
      <c r="IJ106"/>
      <c r="IK106"/>
      <c r="IL106"/>
      <c r="IM106"/>
    </row>
    <row r="107" spans="1:247" ht="15" customHeight="1">
      <c r="A107"/>
      <c r="B107"/>
      <c r="C107"/>
      <c r="Y107" s="1"/>
      <c r="Z107" s="1"/>
      <c r="AA107" s="1"/>
      <c r="HP107"/>
      <c r="HQ107"/>
      <c r="HR107"/>
      <c r="HS107"/>
      <c r="HT107"/>
      <c r="HU107"/>
      <c r="HV107"/>
      <c r="HW107"/>
      <c r="HX107"/>
      <c r="HY107"/>
      <c r="HZ107"/>
      <c r="IA107"/>
      <c r="IB107"/>
      <c r="IC107"/>
      <c r="ID107"/>
      <c r="IE107"/>
      <c r="IF107"/>
      <c r="IG107"/>
      <c r="IH107"/>
      <c r="II107"/>
      <c r="IJ107"/>
      <c r="IK107"/>
      <c r="IL107"/>
      <c r="IM107"/>
    </row>
    <row r="108" spans="1:247" ht="15" customHeight="1">
      <c r="A108"/>
      <c r="B108"/>
      <c r="C108"/>
      <c r="Y108" s="1"/>
      <c r="Z108" s="1"/>
      <c r="AA108" s="1"/>
      <c r="HP108"/>
      <c r="HQ108"/>
      <c r="HR108"/>
      <c r="HS108"/>
      <c r="HT108"/>
      <c r="HU108"/>
      <c r="HV108"/>
      <c r="HW108"/>
      <c r="HX108"/>
      <c r="HY108"/>
      <c r="HZ108"/>
      <c r="IA108"/>
      <c r="IB108"/>
      <c r="IC108"/>
      <c r="ID108"/>
      <c r="IE108"/>
      <c r="IF108"/>
      <c r="IG108"/>
      <c r="IH108"/>
      <c r="II108"/>
      <c r="IJ108"/>
      <c r="IK108"/>
      <c r="IL108"/>
      <c r="IM108"/>
    </row>
    <row r="109" spans="1:247" ht="15" customHeight="1">
      <c r="A109"/>
      <c r="B109"/>
      <c r="C109"/>
      <c r="Y109" s="1"/>
      <c r="Z109" s="1"/>
      <c r="AA109" s="1"/>
      <c r="HP109"/>
      <c r="HQ109"/>
      <c r="HR109"/>
      <c r="HS109"/>
      <c r="HT109"/>
      <c r="HU109"/>
      <c r="HV109"/>
      <c r="HW109"/>
      <c r="HX109"/>
      <c r="HY109"/>
      <c r="HZ109"/>
      <c r="IA109"/>
      <c r="IB109"/>
      <c r="IC109"/>
      <c r="ID109"/>
      <c r="IE109"/>
      <c r="IF109"/>
      <c r="IG109"/>
      <c r="IH109"/>
      <c r="II109"/>
      <c r="IJ109"/>
      <c r="IK109"/>
      <c r="IL109"/>
      <c r="IM109"/>
    </row>
    <row r="110" spans="1:247" ht="15" customHeight="1">
      <c r="A110"/>
      <c r="B110"/>
      <c r="C110"/>
      <c r="Y110" s="1"/>
      <c r="Z110" s="1"/>
      <c r="AA110" s="1"/>
      <c r="HP110"/>
      <c r="HQ110"/>
      <c r="HR110"/>
      <c r="HS110"/>
      <c r="HT110"/>
      <c r="HU110"/>
      <c r="HV110"/>
      <c r="HW110"/>
      <c r="HX110"/>
      <c r="HY110"/>
      <c r="HZ110"/>
      <c r="IA110"/>
      <c r="IB110"/>
      <c r="IC110"/>
      <c r="ID110"/>
      <c r="IE110"/>
      <c r="IF110"/>
      <c r="IG110"/>
      <c r="IH110"/>
      <c r="II110"/>
      <c r="IJ110"/>
      <c r="IK110"/>
      <c r="IL110"/>
      <c r="IM110"/>
    </row>
    <row r="111" spans="1:247" ht="15" customHeight="1">
      <c r="A111"/>
      <c r="B111"/>
      <c r="C111"/>
      <c r="Y111" s="1"/>
      <c r="Z111" s="1"/>
      <c r="AA111" s="1"/>
      <c r="HP111"/>
      <c r="HQ111"/>
      <c r="HR111"/>
      <c r="HS111"/>
      <c r="HT111"/>
      <c r="HU111"/>
      <c r="HV111"/>
      <c r="HW111"/>
      <c r="HX111"/>
      <c r="HY111"/>
      <c r="HZ111"/>
      <c r="IA111"/>
      <c r="IB111"/>
      <c r="IC111"/>
      <c r="ID111"/>
      <c r="IE111"/>
      <c r="IF111"/>
      <c r="IG111"/>
      <c r="IH111"/>
      <c r="II111"/>
      <c r="IJ111"/>
      <c r="IK111"/>
      <c r="IL111"/>
      <c r="IM111"/>
    </row>
    <row r="112" spans="1:247" ht="15" customHeight="1">
      <c r="A112"/>
      <c r="B112"/>
      <c r="C112"/>
      <c r="Y112" s="1"/>
      <c r="Z112" s="1"/>
      <c r="AA112" s="1"/>
      <c r="HP112"/>
      <c r="HQ112"/>
      <c r="HR112"/>
      <c r="HS112"/>
      <c r="HT112"/>
      <c r="HU112"/>
      <c r="HV112"/>
      <c r="HW112"/>
      <c r="HX112"/>
      <c r="HY112"/>
      <c r="HZ112"/>
      <c r="IA112"/>
      <c r="IB112"/>
      <c r="IC112"/>
      <c r="ID112"/>
      <c r="IE112"/>
      <c r="IF112"/>
      <c r="IG112"/>
      <c r="IH112"/>
      <c r="II112"/>
      <c r="IJ112"/>
      <c r="IK112"/>
      <c r="IL112"/>
      <c r="IM112"/>
    </row>
    <row r="113" spans="1:247" ht="15" customHeight="1">
      <c r="A113"/>
      <c r="B113"/>
      <c r="C113"/>
      <c r="Y113" s="1"/>
      <c r="Z113" s="1"/>
      <c r="AA113" s="1"/>
      <c r="HP113"/>
      <c r="HQ113"/>
      <c r="HR113"/>
      <c r="HS113"/>
      <c r="HT113"/>
      <c r="HU113"/>
      <c r="HV113"/>
      <c r="HW113"/>
      <c r="HX113"/>
      <c r="HY113"/>
      <c r="HZ113"/>
      <c r="IA113"/>
      <c r="IB113"/>
      <c r="IC113"/>
      <c r="ID113"/>
      <c r="IE113"/>
      <c r="IF113"/>
      <c r="IG113"/>
      <c r="IH113"/>
      <c r="II113"/>
      <c r="IJ113"/>
      <c r="IK113"/>
      <c r="IL113"/>
      <c r="IM113"/>
    </row>
    <row r="114" spans="1:247" ht="15" customHeight="1">
      <c r="A114"/>
      <c r="B114"/>
      <c r="C114"/>
      <c r="Y114" s="1"/>
      <c r="Z114" s="1"/>
      <c r="AA114" s="1"/>
      <c r="HP114"/>
      <c r="HQ114"/>
      <c r="HR114"/>
      <c r="HS114"/>
      <c r="HT114"/>
      <c r="HU114"/>
      <c r="HV114"/>
      <c r="HW114"/>
      <c r="HX114"/>
      <c r="HY114"/>
      <c r="HZ114"/>
      <c r="IA114"/>
      <c r="IB114"/>
      <c r="IC114"/>
      <c r="ID114"/>
      <c r="IE114"/>
      <c r="IF114"/>
      <c r="IG114"/>
      <c r="IH114"/>
      <c r="II114"/>
      <c r="IJ114"/>
      <c r="IK114"/>
      <c r="IL114"/>
      <c r="IM114"/>
    </row>
    <row r="115" spans="1:247" ht="15" customHeight="1">
      <c r="A115"/>
      <c r="B115"/>
      <c r="C115"/>
      <c r="Y115" s="1"/>
      <c r="Z115" s="1"/>
      <c r="AA115" s="1"/>
      <c r="HP115"/>
      <c r="HQ115"/>
      <c r="HR115"/>
      <c r="HS115"/>
      <c r="HT115"/>
      <c r="HU115"/>
      <c r="HV115"/>
      <c r="HW115"/>
      <c r="HX115"/>
      <c r="HY115"/>
      <c r="HZ115"/>
      <c r="IA115"/>
      <c r="IB115"/>
      <c r="IC115"/>
      <c r="ID115"/>
      <c r="IE115"/>
      <c r="IF115"/>
      <c r="IG115"/>
      <c r="IH115"/>
      <c r="II115"/>
      <c r="IJ115"/>
      <c r="IK115"/>
      <c r="IL115"/>
      <c r="IM115"/>
    </row>
    <row r="116" spans="1:247" ht="15" customHeight="1">
      <c r="A116"/>
      <c r="B116"/>
      <c r="C116"/>
      <c r="Y116" s="1"/>
      <c r="Z116" s="1"/>
      <c r="AA116" s="1"/>
      <c r="HP116"/>
      <c r="HQ116"/>
      <c r="HR116"/>
      <c r="HS116"/>
      <c r="HT116"/>
      <c r="HU116"/>
      <c r="HV116"/>
      <c r="HW116"/>
      <c r="HX116"/>
      <c r="HY116"/>
      <c r="HZ116"/>
      <c r="IA116"/>
      <c r="IB116"/>
      <c r="IC116"/>
      <c r="ID116"/>
      <c r="IE116"/>
      <c r="IF116"/>
      <c r="IG116"/>
      <c r="IH116"/>
      <c r="II116"/>
      <c r="IJ116"/>
      <c r="IK116"/>
      <c r="IL116"/>
      <c r="IM116"/>
    </row>
    <row r="117" spans="1:247" ht="15" customHeight="1">
      <c r="A117"/>
      <c r="B117"/>
      <c r="C117"/>
      <c r="Y117" s="1"/>
      <c r="Z117" s="1"/>
      <c r="AA117" s="1"/>
      <c r="HP117"/>
      <c r="HQ117"/>
      <c r="HR117"/>
      <c r="HS117"/>
      <c r="HT117"/>
      <c r="HU117"/>
      <c r="HV117"/>
      <c r="HW117"/>
      <c r="HX117"/>
      <c r="HY117"/>
      <c r="HZ117"/>
      <c r="IA117"/>
      <c r="IB117"/>
      <c r="IC117"/>
      <c r="ID117"/>
      <c r="IE117"/>
      <c r="IF117"/>
      <c r="IG117"/>
      <c r="IH117"/>
      <c r="II117"/>
      <c r="IJ117"/>
      <c r="IK117"/>
      <c r="IL117"/>
      <c r="IM117"/>
    </row>
    <row r="118" spans="1:247" ht="15" customHeight="1">
      <c r="A118"/>
      <c r="B118"/>
      <c r="C118"/>
      <c r="Y118" s="1"/>
      <c r="Z118" s="1"/>
      <c r="AA118" s="1"/>
      <c r="HP118"/>
      <c r="HQ118"/>
      <c r="HR118"/>
      <c r="HS118"/>
      <c r="HT118"/>
      <c r="HU118"/>
      <c r="HV118"/>
      <c r="HW118"/>
      <c r="HX118"/>
      <c r="HY118"/>
      <c r="HZ118"/>
      <c r="IA118"/>
      <c r="IB118"/>
      <c r="IC118"/>
      <c r="ID118"/>
      <c r="IE118"/>
      <c r="IF118"/>
      <c r="IG118"/>
      <c r="IH118"/>
      <c r="II118"/>
      <c r="IJ118"/>
      <c r="IK118"/>
      <c r="IL118"/>
      <c r="IM118"/>
    </row>
    <row r="119" spans="1:247" ht="15" customHeight="1">
      <c r="A119"/>
      <c r="B119"/>
      <c r="C119"/>
      <c r="Y119" s="1"/>
      <c r="Z119" s="1"/>
      <c r="AA119" s="1"/>
      <c r="HP119"/>
      <c r="HQ119"/>
      <c r="HR119"/>
      <c r="HS119"/>
      <c r="HT119"/>
      <c r="HU119"/>
      <c r="HV119"/>
      <c r="HW119"/>
      <c r="HX119"/>
      <c r="HY119"/>
      <c r="HZ119"/>
      <c r="IA119"/>
      <c r="IB119"/>
      <c r="IC119"/>
      <c r="ID119"/>
      <c r="IE119"/>
      <c r="IF119"/>
      <c r="IG119"/>
      <c r="IH119"/>
      <c r="II119"/>
      <c r="IJ119"/>
      <c r="IK119"/>
      <c r="IL119"/>
      <c r="IM119"/>
    </row>
    <row r="120" spans="1:247" ht="15" customHeight="1">
      <c r="A120"/>
      <c r="B120"/>
      <c r="C120"/>
      <c r="Y120" s="1"/>
      <c r="Z120" s="1"/>
      <c r="AA120" s="1"/>
      <c r="HP120"/>
      <c r="HQ120"/>
      <c r="HR120"/>
      <c r="HS120"/>
      <c r="HT120"/>
      <c r="HU120"/>
      <c r="HV120"/>
      <c r="HW120"/>
      <c r="HX120"/>
      <c r="HY120"/>
      <c r="HZ120"/>
      <c r="IA120"/>
      <c r="IB120"/>
      <c r="IC120"/>
      <c r="ID120"/>
      <c r="IE120"/>
      <c r="IF120"/>
      <c r="IG120"/>
      <c r="IH120"/>
      <c r="II120"/>
      <c r="IJ120"/>
      <c r="IK120"/>
      <c r="IL120"/>
      <c r="IM120"/>
    </row>
    <row r="121" spans="1:247" ht="15" customHeight="1">
      <c r="A121"/>
      <c r="B121"/>
      <c r="C121"/>
      <c r="Y121" s="1"/>
      <c r="Z121" s="1"/>
      <c r="AA121" s="1"/>
      <c r="HP121"/>
      <c r="HQ121"/>
      <c r="HR121"/>
      <c r="HS121"/>
      <c r="HT121"/>
      <c r="HU121"/>
      <c r="HV121"/>
      <c r="HW121"/>
      <c r="HX121"/>
      <c r="HY121"/>
      <c r="HZ121"/>
      <c r="IA121"/>
      <c r="IB121"/>
      <c r="IC121"/>
      <c r="ID121"/>
      <c r="IE121"/>
      <c r="IF121"/>
      <c r="IG121"/>
      <c r="IH121"/>
      <c r="II121"/>
      <c r="IJ121"/>
      <c r="IK121"/>
      <c r="IL121"/>
      <c r="IM121"/>
    </row>
    <row r="122" spans="1:247" ht="15" customHeight="1">
      <c r="A122"/>
      <c r="B122"/>
      <c r="C122"/>
      <c r="Y122" s="1"/>
      <c r="Z122" s="1"/>
      <c r="AA122" s="1"/>
      <c r="HP122"/>
      <c r="HQ122"/>
      <c r="HR122"/>
      <c r="HS122"/>
      <c r="HT122"/>
      <c r="HU122"/>
      <c r="HV122"/>
      <c r="HW122"/>
      <c r="HX122"/>
      <c r="HY122"/>
      <c r="HZ122"/>
      <c r="IA122"/>
      <c r="IB122"/>
      <c r="IC122"/>
      <c r="ID122"/>
      <c r="IE122"/>
      <c r="IF122"/>
      <c r="IG122"/>
      <c r="IH122"/>
      <c r="II122"/>
      <c r="IJ122"/>
      <c r="IK122"/>
      <c r="IL122"/>
      <c r="IM122"/>
    </row>
    <row r="123" spans="1:247" ht="15" customHeight="1">
      <c r="A123"/>
      <c r="B123"/>
      <c r="C123"/>
      <c r="Y123" s="1"/>
      <c r="Z123" s="1"/>
      <c r="AA123" s="1"/>
      <c r="HP123"/>
      <c r="HQ123"/>
      <c r="HR123"/>
      <c r="HS123"/>
      <c r="HT123"/>
      <c r="HU123"/>
      <c r="HV123"/>
      <c r="HW123"/>
      <c r="HX123"/>
      <c r="HY123"/>
      <c r="HZ123"/>
      <c r="IA123"/>
      <c r="IB123"/>
      <c r="IC123"/>
      <c r="ID123"/>
      <c r="IE123"/>
      <c r="IF123"/>
      <c r="IG123"/>
      <c r="IH123"/>
      <c r="II123"/>
      <c r="IJ123"/>
      <c r="IK123"/>
      <c r="IL123"/>
      <c r="IM123"/>
    </row>
    <row r="124" spans="1:247" ht="15" customHeight="1">
      <c r="A124"/>
      <c r="B124"/>
      <c r="C124"/>
      <c r="Y124" s="1"/>
      <c r="Z124" s="1"/>
      <c r="AA124" s="1"/>
      <c r="HP124"/>
      <c r="HQ124"/>
      <c r="HR124"/>
      <c r="HS124"/>
      <c r="HT124"/>
      <c r="HU124"/>
      <c r="HV124"/>
      <c r="HW124"/>
      <c r="HX124"/>
      <c r="HY124"/>
      <c r="HZ124"/>
      <c r="IA124"/>
      <c r="IB124"/>
      <c r="IC124"/>
      <c r="ID124"/>
      <c r="IE124"/>
      <c r="IF124"/>
      <c r="IG124"/>
      <c r="IH124"/>
      <c r="II124"/>
      <c r="IJ124"/>
      <c r="IK124"/>
      <c r="IL124"/>
      <c r="IM124"/>
    </row>
    <row r="125" spans="1:247" ht="15" customHeight="1">
      <c r="A125"/>
      <c r="B125"/>
      <c r="C125"/>
      <c r="Y125" s="1"/>
      <c r="Z125" s="1"/>
      <c r="AA125" s="1"/>
      <c r="HP125"/>
      <c r="HQ125"/>
      <c r="HR125"/>
      <c r="HS125"/>
      <c r="HT125"/>
      <c r="HU125"/>
      <c r="HV125"/>
      <c r="HW125"/>
      <c r="HX125"/>
      <c r="HY125"/>
      <c r="HZ125"/>
      <c r="IA125"/>
      <c r="IB125"/>
      <c r="IC125"/>
      <c r="ID125"/>
      <c r="IE125"/>
      <c r="IF125"/>
      <c r="IG125"/>
      <c r="IH125"/>
      <c r="II125"/>
      <c r="IJ125"/>
      <c r="IK125"/>
      <c r="IL125"/>
      <c r="IM125"/>
    </row>
    <row r="126" spans="1:247" ht="15" customHeight="1">
      <c r="A126"/>
      <c r="B126"/>
      <c r="C126"/>
      <c r="Y126" s="1"/>
      <c r="Z126" s="1"/>
      <c r="AA126" s="1"/>
      <c r="HP126"/>
      <c r="HQ126"/>
      <c r="HR126"/>
      <c r="HS126"/>
      <c r="HT126"/>
      <c r="HU126"/>
      <c r="HV126"/>
      <c r="HW126"/>
      <c r="HX126"/>
      <c r="HY126"/>
      <c r="HZ126"/>
      <c r="IA126"/>
      <c r="IB126"/>
      <c r="IC126"/>
      <c r="ID126"/>
      <c r="IE126"/>
      <c r="IF126"/>
      <c r="IG126"/>
      <c r="IH126"/>
      <c r="II126"/>
      <c r="IJ126"/>
      <c r="IK126"/>
      <c r="IL126"/>
      <c r="IM126"/>
    </row>
    <row r="127" spans="1:247" ht="15" customHeight="1">
      <c r="A127"/>
      <c r="B127"/>
      <c r="C127"/>
      <c r="Y127" s="1"/>
      <c r="Z127" s="1"/>
      <c r="AA127" s="1"/>
      <c r="HP127"/>
      <c r="HQ127"/>
      <c r="HR127"/>
      <c r="HS127"/>
      <c r="HT127"/>
      <c r="HU127"/>
      <c r="HV127"/>
      <c r="HW127"/>
      <c r="HX127"/>
      <c r="HY127"/>
      <c r="HZ127"/>
      <c r="IA127"/>
      <c r="IB127"/>
      <c r="IC127"/>
      <c r="ID127"/>
      <c r="IE127"/>
      <c r="IF127"/>
      <c r="IG127"/>
      <c r="IH127"/>
      <c r="II127"/>
      <c r="IJ127"/>
      <c r="IK127"/>
      <c r="IL127"/>
      <c r="IM127"/>
    </row>
    <row r="128" spans="1:247" ht="15" customHeight="1">
      <c r="A128"/>
      <c r="B128"/>
      <c r="C128"/>
    </row>
  </sheetData>
  <sortState ref="A2:D44">
    <sortCondition ref="A1"/>
  </sortState>
  <conditionalFormatting sqref="C1 C129:C65536">
    <cfRule type="expression" dxfId="45" priority="30" stopIfTrue="1">
      <formula>NOT(ISERROR(SEARCH("Warrior",C1)))</formula>
    </cfRule>
    <cfRule type="expression" dxfId="44" priority="31" stopIfTrue="1">
      <formula>NOT(ISERROR(SEARCH("Warlock",C1)))</formula>
    </cfRule>
    <cfRule type="expression" dxfId="43" priority="32" stopIfTrue="1">
      <formula>NOT(ISERROR(SEARCH("Paladin",C1)))</formula>
    </cfRule>
  </conditionalFormatting>
  <conditionalFormatting sqref="W2:X100">
    <cfRule type="expression" dxfId="42" priority="27" stopIfTrue="1">
      <formula>IF(W2="    ",TRUE)</formula>
    </cfRule>
  </conditionalFormatting>
  <conditionalFormatting sqref="W2:X100">
    <cfRule type="expression" dxfId="41" priority="29" stopIfTrue="1">
      <formula>ISTEXT(W2)</formula>
    </cfRule>
  </conditionalFormatting>
  <dataValidations count="2">
    <dataValidation type="list" allowBlank="1" showInputMessage="1" showErrorMessage="1" sqref="D2:D100">
      <formula1>$Z$3:$Z$6</formula1>
    </dataValidation>
    <dataValidation type="list" allowBlank="1" showInputMessage="1" showErrorMessage="1" sqref="B2:B100">
      <formula1>$AJ$3:$AJ$5</formula1>
    </dataValidation>
  </dataValidations>
  <pageMargins left="0.7" right="0.7" top="0.75" bottom="0.75" header="0.51180555555555551" footer="0.51180555555555551"/>
  <pageSetup paperSize="9" firstPageNumber="0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L103"/>
  <sheetViews>
    <sheetView zoomScale="101" zoomScaleNormal="101" workbookViewId="0">
      <pane xSplit="1" ySplit="1" topLeftCell="B2" activePane="bottomRight" state="frozen"/>
      <selection activeCell="F51" sqref="F47:F51"/>
      <selection pane="topRight" activeCell="F51" sqref="F47:F51"/>
      <selection pane="bottomLeft" activeCell="F51" sqref="F47:F51"/>
      <selection pane="bottomRight" activeCell="I3" sqref="I3"/>
    </sheetView>
  </sheetViews>
  <sheetFormatPr defaultColWidth="8.7109375" defaultRowHeight="15" customHeight="1"/>
  <cols>
    <col min="1" max="1" width="14.140625" style="1" customWidth="1"/>
    <col min="2" max="7" width="13.85546875" style="1" customWidth="1"/>
    <col min="8" max="8" width="3.5703125" style="1" customWidth="1"/>
    <col min="9" max="9" width="10.85546875" style="1" bestFit="1" customWidth="1"/>
    <col min="10" max="10" width="10.140625" style="1" customWidth="1"/>
    <col min="11" max="16384" width="8.7109375" style="1"/>
  </cols>
  <sheetData>
    <row r="1" spans="1:12" ht="31.5" customHeight="1" thickBot="1">
      <c r="A1" s="44" t="s">
        <v>26</v>
      </c>
      <c r="B1" s="45" t="s">
        <v>34</v>
      </c>
      <c r="C1" s="45" t="s">
        <v>35</v>
      </c>
      <c r="D1" s="45" t="s">
        <v>36</v>
      </c>
      <c r="E1" s="45" t="s">
        <v>37</v>
      </c>
      <c r="F1" s="45" t="s">
        <v>38</v>
      </c>
      <c r="G1" s="46" t="s">
        <v>39</v>
      </c>
      <c r="H1" s="46"/>
      <c r="I1" s="135" t="s">
        <v>53</v>
      </c>
      <c r="J1" s="46" t="s">
        <v>52</v>
      </c>
      <c r="K1" s="47"/>
      <c r="L1" s="47"/>
    </row>
    <row r="2" spans="1:12" ht="15" customHeight="1">
      <c r="A2" s="48" t="str">
        <f>'Members Data'!A2</f>
        <v>Adanya</v>
      </c>
      <c r="B2" s="68">
        <f t="shared" ref="B2:B33" si="0">SUM(C2:F2)</f>
        <v>8</v>
      </c>
      <c r="C2" s="49">
        <f>'wk1'!K10+'wk2'!K10+'wk3'!K10+'wk4'!K10+'wk5'!K10</f>
        <v>0</v>
      </c>
      <c r="D2" s="49">
        <f>'wk1'!I10+'wk2'!I10+'wk3'!I10+'wk4'!I10+'wk5'!I10</f>
        <v>8</v>
      </c>
      <c r="E2" s="49">
        <f>'wk1'!L10+'wk2'!L10+'wk3'!L10+'wk4'!L10+'wk5'!L10</f>
        <v>0</v>
      </c>
      <c r="F2" s="50">
        <f>'wk1'!J10+'wk2'!J10+'wk3'!J10+'wk4'!J10+'wk5'!J10</f>
        <v>0</v>
      </c>
      <c r="G2" s="51">
        <f>'wk1'!O10+'wk2'!O10+'wk3'!O10+'wk4'!O10+'wk5'!O10</f>
        <v>0</v>
      </c>
      <c r="H2" s="139"/>
      <c r="I2" s="136">
        <f>SUM(C2:D2)</f>
        <v>8</v>
      </c>
      <c r="J2" s="69">
        <f>SUM(E2:F2)</f>
        <v>0</v>
      </c>
      <c r="K2" s="47"/>
      <c r="L2" s="47"/>
    </row>
    <row r="3" spans="1:12" ht="15" customHeight="1">
      <c r="A3" s="48" t="str">
        <f>'Members Data'!A3</f>
        <v>Ambú</v>
      </c>
      <c r="B3" s="43">
        <f t="shared" si="0"/>
        <v>8</v>
      </c>
      <c r="C3" s="49">
        <f>'wk1'!K11+'wk2'!K11+'wk3'!K11+'wk4'!K11+'wk5'!K11</f>
        <v>0</v>
      </c>
      <c r="D3" s="49">
        <f>'wk1'!I11+'wk2'!I11+'wk3'!I11+'wk4'!I11+'wk5'!I11</f>
        <v>8</v>
      </c>
      <c r="E3" s="49">
        <f>'wk1'!L11+'wk2'!L11+'wk3'!L11+'wk4'!L11+'wk5'!L11</f>
        <v>0</v>
      </c>
      <c r="F3" s="50">
        <f>'wk1'!J11+'wk2'!J11+'wk3'!J11+'wk4'!J11+'wk5'!J11</f>
        <v>0</v>
      </c>
      <c r="G3" s="51">
        <f>'wk1'!O11+'wk2'!O11+'wk3'!O11+'wk4'!O11+'wk5'!O11</f>
        <v>0</v>
      </c>
      <c r="H3" s="139"/>
      <c r="I3" s="137">
        <f t="shared" ref="I3:I66" si="1">SUM(C3:D3)</f>
        <v>8</v>
      </c>
      <c r="J3" s="133">
        <f t="shared" ref="J3:J66" si="2">SUM(E3:F3)</f>
        <v>0</v>
      </c>
      <c r="K3" s="47"/>
      <c r="L3" s="47"/>
    </row>
    <row r="4" spans="1:12" ht="15" customHeight="1">
      <c r="A4" s="48" t="str">
        <f>'Members Data'!A4</f>
        <v>Ashenhand</v>
      </c>
      <c r="B4" s="43">
        <f t="shared" si="0"/>
        <v>8</v>
      </c>
      <c r="C4" s="49">
        <f>'wk1'!K12+'wk2'!K12+'wk3'!K12+'wk4'!K12+'wk5'!K12</f>
        <v>0</v>
      </c>
      <c r="D4" s="49">
        <f>'wk1'!I12+'wk2'!I12+'wk3'!I12+'wk4'!I12+'wk5'!I12</f>
        <v>8</v>
      </c>
      <c r="E4" s="49">
        <f>'wk1'!L12+'wk2'!L12+'wk3'!L12+'wk4'!L12+'wk5'!L12</f>
        <v>0</v>
      </c>
      <c r="F4" s="50">
        <f>'wk1'!J12+'wk2'!J12+'wk3'!J12+'wk4'!J12+'wk5'!J12</f>
        <v>0</v>
      </c>
      <c r="G4" s="51">
        <f>'wk1'!O12+'wk2'!O12+'wk3'!O12+'wk4'!O12+'wk5'!O12</f>
        <v>0</v>
      </c>
      <c r="H4" s="139"/>
      <c r="I4" s="137">
        <f t="shared" si="1"/>
        <v>8</v>
      </c>
      <c r="J4" s="133">
        <f t="shared" si="2"/>
        <v>0</v>
      </c>
      <c r="K4" s="47"/>
      <c r="L4" s="47"/>
    </row>
    <row r="5" spans="1:12" ht="15" customHeight="1">
      <c r="A5" s="48" t="str">
        <f>'Members Data'!A5</f>
        <v>Âspect</v>
      </c>
      <c r="B5" s="43">
        <f t="shared" si="0"/>
        <v>5</v>
      </c>
      <c r="C5" s="49">
        <f>'wk1'!K13+'wk2'!K13+'wk3'!K13+'wk4'!K13+'wk5'!K13</f>
        <v>0</v>
      </c>
      <c r="D5" s="49">
        <f>'wk1'!I13+'wk2'!I13+'wk3'!I13+'wk4'!I13+'wk5'!I13</f>
        <v>5</v>
      </c>
      <c r="E5" s="49">
        <f>'wk1'!L13+'wk2'!L13+'wk3'!L13+'wk4'!L13+'wk5'!L13</f>
        <v>0</v>
      </c>
      <c r="F5" s="50">
        <f>'wk1'!J13+'wk2'!J13+'wk3'!J13+'wk4'!J13+'wk5'!J13</f>
        <v>0</v>
      </c>
      <c r="G5" s="51">
        <f>'wk1'!O13+'wk2'!O13+'wk3'!O13+'wk4'!O13+'wk5'!O13</f>
        <v>0</v>
      </c>
      <c r="H5" s="140"/>
      <c r="I5" s="137">
        <f t="shared" si="1"/>
        <v>5</v>
      </c>
      <c r="J5" s="133">
        <f t="shared" si="2"/>
        <v>0</v>
      </c>
      <c r="K5" s="47"/>
      <c r="L5" s="47"/>
    </row>
    <row r="6" spans="1:12" ht="15" customHeight="1">
      <c r="A6" s="48" t="str">
        <f>'Members Data'!A6</f>
        <v>Assap</v>
      </c>
      <c r="B6" s="43">
        <f t="shared" si="0"/>
        <v>7</v>
      </c>
      <c r="C6" s="49">
        <f>'wk1'!K14+'wk2'!K14+'wk3'!K14+'wk4'!K14+'wk5'!K14</f>
        <v>0</v>
      </c>
      <c r="D6" s="49">
        <f>'wk1'!I14+'wk2'!I14+'wk3'!I14+'wk4'!I14+'wk5'!I14</f>
        <v>5</v>
      </c>
      <c r="E6" s="49">
        <f>'wk1'!L14+'wk2'!L14+'wk3'!L14+'wk4'!L14+'wk5'!L14</f>
        <v>0</v>
      </c>
      <c r="F6" s="50">
        <f>'wk1'!J14+'wk2'!J14+'wk3'!J14+'wk4'!J14+'wk5'!J14</f>
        <v>2</v>
      </c>
      <c r="G6" s="51">
        <f>'wk1'!O14+'wk2'!O14+'wk3'!O14+'wk4'!O14+'wk5'!O14</f>
        <v>0</v>
      </c>
      <c r="H6" s="140"/>
      <c r="I6" s="137">
        <f t="shared" si="1"/>
        <v>5</v>
      </c>
      <c r="J6" s="133">
        <f t="shared" si="2"/>
        <v>2</v>
      </c>
      <c r="K6" s="47"/>
      <c r="L6" s="47"/>
    </row>
    <row r="7" spans="1:12" ht="15" customHeight="1">
      <c r="A7" s="48" t="str">
        <f>'Members Data'!A7</f>
        <v>Bonegasmic</v>
      </c>
      <c r="B7" s="43">
        <f t="shared" si="0"/>
        <v>8</v>
      </c>
      <c r="C7" s="49">
        <f>'wk1'!K15+'wk2'!K15+'wk3'!K15+'wk4'!K15+'wk5'!K15</f>
        <v>0</v>
      </c>
      <c r="D7" s="49">
        <f>'wk1'!I15+'wk2'!I15+'wk3'!I15+'wk4'!I15+'wk5'!I15</f>
        <v>7</v>
      </c>
      <c r="E7" s="49">
        <f>'wk1'!L15+'wk2'!L15+'wk3'!L15+'wk4'!L15+'wk5'!L15</f>
        <v>0</v>
      </c>
      <c r="F7" s="50">
        <f>'wk1'!J15+'wk2'!J15+'wk3'!J15+'wk4'!J15+'wk5'!J15</f>
        <v>1</v>
      </c>
      <c r="G7" s="51">
        <f>'wk1'!O15+'wk2'!O15+'wk3'!O15+'wk4'!O15+'wk5'!O15</f>
        <v>0</v>
      </c>
      <c r="H7" s="140"/>
      <c r="I7" s="137">
        <f t="shared" si="1"/>
        <v>7</v>
      </c>
      <c r="J7" s="133">
        <f t="shared" si="2"/>
        <v>1</v>
      </c>
      <c r="K7" s="47"/>
      <c r="L7" s="47"/>
    </row>
    <row r="8" spans="1:12" ht="15" customHeight="1">
      <c r="A8" s="48" t="str">
        <f>'Members Data'!A8</f>
        <v>Brákspak</v>
      </c>
      <c r="B8" s="43">
        <f t="shared" si="0"/>
        <v>8</v>
      </c>
      <c r="C8" s="49">
        <f>'wk1'!K16+'wk2'!K16+'wk3'!K16+'wk4'!K16+'wk5'!K16</f>
        <v>0</v>
      </c>
      <c r="D8" s="49">
        <f>'wk1'!I16+'wk2'!I16+'wk3'!I16+'wk4'!I16+'wk5'!I16</f>
        <v>8</v>
      </c>
      <c r="E8" s="49">
        <f>'wk1'!L16+'wk2'!L16+'wk3'!L16+'wk4'!L16+'wk5'!L16</f>
        <v>0</v>
      </c>
      <c r="F8" s="50">
        <f>'wk1'!J16+'wk2'!J16+'wk3'!J16+'wk4'!J16+'wk5'!J16</f>
        <v>0</v>
      </c>
      <c r="G8" s="51">
        <f>'wk1'!O16+'wk2'!O16+'wk3'!O16+'wk4'!O16+'wk5'!O16</f>
        <v>0</v>
      </c>
      <c r="H8" s="140"/>
      <c r="I8" s="137">
        <f t="shared" si="1"/>
        <v>8</v>
      </c>
      <c r="J8" s="133">
        <f t="shared" si="2"/>
        <v>0</v>
      </c>
      <c r="K8" s="47"/>
      <c r="L8" s="47"/>
    </row>
    <row r="9" spans="1:12" ht="15" customHeight="1">
      <c r="A9" s="48" t="str">
        <f>'Members Data'!A9</f>
        <v>Catena</v>
      </c>
      <c r="B9" s="43">
        <f t="shared" si="0"/>
        <v>2</v>
      </c>
      <c r="C9" s="49">
        <f>'wk1'!K17+'wk2'!K17+'wk3'!K17+'wk4'!K17+'wk5'!K17</f>
        <v>0</v>
      </c>
      <c r="D9" s="49">
        <f>'wk1'!I17+'wk2'!I17+'wk3'!I17+'wk4'!I17+'wk5'!I17</f>
        <v>1</v>
      </c>
      <c r="E9" s="49">
        <f>'wk1'!L17+'wk2'!L17+'wk3'!L17+'wk4'!L17+'wk5'!L17</f>
        <v>0</v>
      </c>
      <c r="F9" s="50">
        <f>'wk1'!J17+'wk2'!J17+'wk3'!J17+'wk4'!J17+'wk5'!J17</f>
        <v>1</v>
      </c>
      <c r="G9" s="51">
        <f>'wk1'!O17+'wk2'!O17+'wk3'!O17+'wk4'!O17+'wk5'!O17</f>
        <v>0</v>
      </c>
      <c r="H9" s="140"/>
      <c r="I9" s="137">
        <f t="shared" si="1"/>
        <v>1</v>
      </c>
      <c r="J9" s="133">
        <f t="shared" si="2"/>
        <v>1</v>
      </c>
      <c r="K9" s="47"/>
      <c r="L9" s="47"/>
    </row>
    <row r="10" spans="1:12" ht="15" customHeight="1">
      <c r="A10" s="48" t="str">
        <f>'Members Data'!A10</f>
        <v>Céléstine</v>
      </c>
      <c r="B10" s="43">
        <f t="shared" si="0"/>
        <v>7</v>
      </c>
      <c r="C10" s="49">
        <f>'wk1'!K18+'wk2'!K18+'wk3'!K18+'wk4'!K18+'wk5'!K18</f>
        <v>0</v>
      </c>
      <c r="D10" s="49">
        <f>'wk1'!I18+'wk2'!I18+'wk3'!I18+'wk4'!I18+'wk5'!I18</f>
        <v>7</v>
      </c>
      <c r="E10" s="49">
        <f>'wk1'!L18+'wk2'!L18+'wk3'!L18+'wk4'!L18+'wk5'!L18</f>
        <v>0</v>
      </c>
      <c r="F10" s="50">
        <f>'wk1'!J18+'wk2'!J18+'wk3'!J18+'wk4'!J18+'wk5'!J18</f>
        <v>0</v>
      </c>
      <c r="G10" s="51">
        <f>'wk1'!O18+'wk2'!O18+'wk3'!O18+'wk4'!O18+'wk5'!O18</f>
        <v>0</v>
      </c>
      <c r="H10" s="140"/>
      <c r="I10" s="137">
        <f t="shared" si="1"/>
        <v>7</v>
      </c>
      <c r="J10" s="133">
        <f t="shared" si="2"/>
        <v>0</v>
      </c>
      <c r="K10" s="47"/>
      <c r="L10" s="47"/>
    </row>
    <row r="11" spans="1:12" ht="15" customHeight="1">
      <c r="A11" s="48" t="str">
        <f>'Members Data'!A11</f>
        <v>Cottman</v>
      </c>
      <c r="B11" s="43">
        <f t="shared" si="0"/>
        <v>6</v>
      </c>
      <c r="C11" s="49">
        <f>'wk1'!K19+'wk2'!K19+'wk3'!K19+'wk4'!K19+'wk5'!K19</f>
        <v>0</v>
      </c>
      <c r="D11" s="49">
        <f>'wk1'!I19+'wk2'!I19+'wk3'!I19+'wk4'!I19+'wk5'!I19</f>
        <v>6</v>
      </c>
      <c r="E11" s="49">
        <f>'wk1'!L19+'wk2'!L19+'wk3'!L19+'wk4'!L19+'wk5'!L19</f>
        <v>0</v>
      </c>
      <c r="F11" s="50">
        <f>'wk1'!J19+'wk2'!J19+'wk3'!J19+'wk4'!J19+'wk5'!J19</f>
        <v>0</v>
      </c>
      <c r="G11" s="51">
        <f>'wk1'!O19+'wk2'!O19+'wk3'!O19+'wk4'!O19+'wk5'!O19</f>
        <v>0</v>
      </c>
      <c r="H11" s="140"/>
      <c r="I11" s="137">
        <f t="shared" si="1"/>
        <v>6</v>
      </c>
      <c r="J11" s="133">
        <f t="shared" si="2"/>
        <v>0</v>
      </c>
      <c r="K11" s="47"/>
      <c r="L11" s="47"/>
    </row>
    <row r="12" spans="1:12" ht="15" customHeight="1">
      <c r="A12" s="48" t="str">
        <f>'Members Data'!A12</f>
        <v>Craving</v>
      </c>
      <c r="B12" s="43">
        <f t="shared" si="0"/>
        <v>8</v>
      </c>
      <c r="C12" s="49">
        <f>'wk1'!K20+'wk2'!K20+'wk3'!K20+'wk4'!K20+'wk5'!K20</f>
        <v>0</v>
      </c>
      <c r="D12" s="49">
        <f>'wk1'!I20+'wk2'!I20+'wk3'!I20+'wk4'!I20+'wk5'!I20</f>
        <v>8</v>
      </c>
      <c r="E12" s="49">
        <f>'wk1'!L20+'wk2'!L20+'wk3'!L20+'wk4'!L20+'wk5'!L20</f>
        <v>0</v>
      </c>
      <c r="F12" s="50">
        <f>'wk1'!J20+'wk2'!J20+'wk3'!J20+'wk4'!J20+'wk5'!J20</f>
        <v>0</v>
      </c>
      <c r="G12" s="51">
        <f>'wk1'!O20+'wk2'!O20+'wk3'!O20+'wk4'!O20+'wk5'!O20</f>
        <v>0</v>
      </c>
      <c r="H12" s="140"/>
      <c r="I12" s="137">
        <f t="shared" si="1"/>
        <v>8</v>
      </c>
      <c r="J12" s="133">
        <f t="shared" si="2"/>
        <v>0</v>
      </c>
      <c r="K12" s="47"/>
      <c r="L12" s="47"/>
    </row>
    <row r="13" spans="1:12" ht="15" customHeight="1">
      <c r="A13" s="48" t="str">
        <f>'Members Data'!A13</f>
        <v>Darshei</v>
      </c>
      <c r="B13" s="43">
        <f t="shared" si="0"/>
        <v>7</v>
      </c>
      <c r="C13" s="49">
        <f>'wk1'!K21+'wk2'!K21+'wk3'!K21+'wk4'!K21+'wk5'!K21</f>
        <v>0</v>
      </c>
      <c r="D13" s="49">
        <f>'wk1'!I21+'wk2'!I21+'wk3'!I21+'wk4'!I21+'wk5'!I21</f>
        <v>6</v>
      </c>
      <c r="E13" s="49">
        <f>'wk1'!L21+'wk2'!L21+'wk3'!L21+'wk4'!L21+'wk5'!L21</f>
        <v>0</v>
      </c>
      <c r="F13" s="50">
        <f>'wk1'!J21+'wk2'!J21+'wk3'!J21+'wk4'!J21+'wk5'!J21</f>
        <v>1</v>
      </c>
      <c r="G13" s="51">
        <f>'wk1'!O21+'wk2'!O21+'wk3'!O21+'wk4'!O21+'wk5'!O21</f>
        <v>0</v>
      </c>
      <c r="H13" s="140"/>
      <c r="I13" s="137">
        <f t="shared" si="1"/>
        <v>6</v>
      </c>
      <c r="J13" s="133">
        <f t="shared" si="2"/>
        <v>1</v>
      </c>
      <c r="K13" s="47"/>
      <c r="L13" s="47"/>
    </row>
    <row r="14" spans="1:12" ht="15" customHeight="1">
      <c r="A14" s="48" t="str">
        <f>'Members Data'!A14</f>
        <v>Difson</v>
      </c>
      <c r="B14" s="43">
        <f t="shared" si="0"/>
        <v>8</v>
      </c>
      <c r="C14" s="49">
        <f>'wk1'!K22+'wk2'!K22+'wk3'!K22+'wk4'!K22+'wk5'!K22</f>
        <v>0</v>
      </c>
      <c r="D14" s="49">
        <f>'wk1'!I22+'wk2'!I22+'wk3'!I22+'wk4'!I22+'wk5'!I22</f>
        <v>8</v>
      </c>
      <c r="E14" s="49">
        <f>'wk1'!L22+'wk2'!L22+'wk3'!L22+'wk4'!L22+'wk5'!L22</f>
        <v>0</v>
      </c>
      <c r="F14" s="50">
        <f>'wk1'!J22+'wk2'!J22+'wk3'!J22+'wk4'!J22+'wk5'!J22</f>
        <v>0</v>
      </c>
      <c r="G14" s="51">
        <f>'wk1'!O22+'wk2'!O22+'wk3'!O22+'wk4'!O22+'wk5'!O22</f>
        <v>0</v>
      </c>
      <c r="H14" s="140"/>
      <c r="I14" s="137">
        <f t="shared" si="1"/>
        <v>8</v>
      </c>
      <c r="J14" s="133">
        <f t="shared" si="2"/>
        <v>0</v>
      </c>
      <c r="K14" s="47"/>
      <c r="L14" s="47"/>
    </row>
    <row r="15" spans="1:12" ht="15" customHeight="1">
      <c r="A15" s="48" t="str">
        <f>'Members Data'!A15</f>
        <v>Grandhoof</v>
      </c>
      <c r="B15" s="43">
        <f t="shared" si="0"/>
        <v>8</v>
      </c>
      <c r="C15" s="49">
        <f>'wk1'!K23+'wk2'!K23+'wk3'!K23+'wk4'!K23+'wk5'!K23</f>
        <v>0</v>
      </c>
      <c r="D15" s="49">
        <f>'wk1'!I23+'wk2'!I23+'wk3'!I23+'wk4'!I23+'wk5'!I23</f>
        <v>8</v>
      </c>
      <c r="E15" s="49">
        <f>'wk1'!L23+'wk2'!L23+'wk3'!L23+'wk4'!L23+'wk5'!L23</f>
        <v>0</v>
      </c>
      <c r="F15" s="50">
        <f>'wk1'!J23+'wk2'!J23+'wk3'!J23+'wk4'!J23+'wk5'!J23</f>
        <v>0</v>
      </c>
      <c r="G15" s="51">
        <f>'wk1'!O23+'wk2'!O23+'wk3'!O23+'wk4'!O23+'wk5'!O23</f>
        <v>0</v>
      </c>
      <c r="H15" s="140"/>
      <c r="I15" s="137">
        <f t="shared" si="1"/>
        <v>8</v>
      </c>
      <c r="J15" s="133">
        <f t="shared" si="2"/>
        <v>0</v>
      </c>
      <c r="K15" s="47"/>
      <c r="L15" s="47"/>
    </row>
    <row r="16" spans="1:12" ht="15" customHeight="1">
      <c r="A16" s="48" t="str">
        <f>'Members Data'!A16</f>
        <v>Harkar</v>
      </c>
      <c r="B16" s="43">
        <f t="shared" si="0"/>
        <v>6</v>
      </c>
      <c r="C16" s="49">
        <f>'wk1'!K24+'wk2'!K24+'wk3'!K24+'wk4'!K24+'wk5'!K24</f>
        <v>0</v>
      </c>
      <c r="D16" s="49">
        <f>'wk1'!I24+'wk2'!I24+'wk3'!I24+'wk4'!I24+'wk5'!I24</f>
        <v>5</v>
      </c>
      <c r="E16" s="49">
        <f>'wk1'!L24+'wk2'!L24+'wk3'!L24+'wk4'!L24+'wk5'!L24</f>
        <v>0</v>
      </c>
      <c r="F16" s="50">
        <f>'wk1'!J24+'wk2'!J24+'wk3'!J24+'wk4'!J24+'wk5'!J24</f>
        <v>1</v>
      </c>
      <c r="G16" s="51">
        <f>'wk1'!O24+'wk2'!O24+'wk3'!O24+'wk4'!O24+'wk5'!O24</f>
        <v>0</v>
      </c>
      <c r="H16" s="140"/>
      <c r="I16" s="137">
        <f t="shared" si="1"/>
        <v>5</v>
      </c>
      <c r="J16" s="133">
        <f t="shared" si="2"/>
        <v>1</v>
      </c>
      <c r="K16" s="47"/>
      <c r="L16" s="47"/>
    </row>
    <row r="17" spans="1:12" ht="15" customHeight="1">
      <c r="A17" s="48" t="str">
        <f>'Members Data'!A17</f>
        <v>Hyperïon</v>
      </c>
      <c r="B17" s="43">
        <f t="shared" si="0"/>
        <v>0</v>
      </c>
      <c r="C17" s="49">
        <f>'wk1'!K25+'wk2'!K25+'wk3'!K25+'wk4'!K25+'wk5'!K25</f>
        <v>0</v>
      </c>
      <c r="D17" s="49">
        <f>'wk1'!I25+'wk2'!I25+'wk3'!I25+'wk4'!I25+'wk5'!I25</f>
        <v>0</v>
      </c>
      <c r="E17" s="49">
        <f>'wk1'!L25+'wk2'!L25+'wk3'!L25+'wk4'!L25+'wk5'!L25</f>
        <v>0</v>
      </c>
      <c r="F17" s="50">
        <f>'wk1'!J25+'wk2'!J25+'wk3'!J25+'wk4'!J25+'wk5'!J25</f>
        <v>0</v>
      </c>
      <c r="G17" s="51">
        <f>'wk1'!O25+'wk2'!O25+'wk3'!O25+'wk4'!O25+'wk5'!O25</f>
        <v>0</v>
      </c>
      <c r="H17" s="140"/>
      <c r="I17" s="137">
        <f t="shared" si="1"/>
        <v>0</v>
      </c>
      <c r="J17" s="133">
        <f t="shared" si="2"/>
        <v>0</v>
      </c>
      <c r="K17" s="47"/>
      <c r="L17" s="47"/>
    </row>
    <row r="18" spans="1:12" ht="15" customHeight="1">
      <c r="A18" s="48" t="str">
        <f>'Members Data'!A18</f>
        <v>Illianá</v>
      </c>
      <c r="B18" s="43">
        <f t="shared" si="0"/>
        <v>4</v>
      </c>
      <c r="C18" s="49">
        <f>'wk1'!K26+'wk2'!K26+'wk3'!K26+'wk4'!K26+'wk5'!K26</f>
        <v>0</v>
      </c>
      <c r="D18" s="49">
        <f>'wk1'!I26+'wk2'!I26+'wk3'!I26+'wk4'!I26+'wk5'!I26</f>
        <v>4</v>
      </c>
      <c r="E18" s="49">
        <f>'wk1'!L26+'wk2'!L26+'wk3'!L26+'wk4'!L26+'wk5'!L26</f>
        <v>0</v>
      </c>
      <c r="F18" s="50">
        <f>'wk1'!J26+'wk2'!J26+'wk3'!J26+'wk4'!J26+'wk5'!J26</f>
        <v>0</v>
      </c>
      <c r="G18" s="51">
        <f>'wk1'!O26+'wk2'!O26+'wk3'!O26+'wk4'!O26+'wk5'!O26</f>
        <v>0</v>
      </c>
      <c r="H18" s="140"/>
      <c r="I18" s="137">
        <f t="shared" si="1"/>
        <v>4</v>
      </c>
      <c r="J18" s="133">
        <f t="shared" si="2"/>
        <v>0</v>
      </c>
      <c r="K18" s="47"/>
      <c r="L18" s="47"/>
    </row>
    <row r="19" spans="1:12" ht="15" customHeight="1">
      <c r="A19" s="48" t="str">
        <f>'Members Data'!A19</f>
        <v>Izzabelle</v>
      </c>
      <c r="B19" s="43">
        <f t="shared" si="0"/>
        <v>7</v>
      </c>
      <c r="C19" s="49">
        <f>'wk1'!K27+'wk2'!K27+'wk3'!K27+'wk4'!K27+'wk5'!K27</f>
        <v>0</v>
      </c>
      <c r="D19" s="49">
        <f>'wk1'!I27+'wk2'!I27+'wk3'!I27+'wk4'!I27+'wk5'!I27</f>
        <v>6</v>
      </c>
      <c r="E19" s="49">
        <f>'wk1'!L27+'wk2'!L27+'wk3'!L27+'wk4'!L27+'wk5'!L27</f>
        <v>0</v>
      </c>
      <c r="F19" s="50">
        <f>'wk1'!J27+'wk2'!J27+'wk3'!J27+'wk4'!J27+'wk5'!J27</f>
        <v>1</v>
      </c>
      <c r="G19" s="51">
        <f>'wk1'!O27+'wk2'!O27+'wk3'!O27+'wk4'!O27+'wk5'!O27</f>
        <v>0</v>
      </c>
      <c r="H19" s="140"/>
      <c r="I19" s="137">
        <f t="shared" si="1"/>
        <v>6</v>
      </c>
      <c r="J19" s="133">
        <f t="shared" si="2"/>
        <v>1</v>
      </c>
      <c r="K19" s="47"/>
      <c r="L19" s="47"/>
    </row>
    <row r="20" spans="1:12" ht="15" customHeight="1">
      <c r="A20" s="48" t="str">
        <f>'Members Data'!A20</f>
        <v>Kátsumi</v>
      </c>
      <c r="B20" s="43">
        <f t="shared" si="0"/>
        <v>4</v>
      </c>
      <c r="C20" s="49">
        <f>'wk1'!K28+'wk2'!K28+'wk3'!K28+'wk4'!K28+'wk5'!K28</f>
        <v>0</v>
      </c>
      <c r="D20" s="49">
        <f>'wk1'!I28+'wk2'!I28+'wk3'!I28+'wk4'!I28+'wk5'!I28</f>
        <v>2</v>
      </c>
      <c r="E20" s="49">
        <f>'wk1'!L28+'wk2'!L28+'wk3'!L28+'wk4'!L28+'wk5'!L28</f>
        <v>0</v>
      </c>
      <c r="F20" s="50">
        <f>'wk1'!J28+'wk2'!J28+'wk3'!J28+'wk4'!J28+'wk5'!J28</f>
        <v>2</v>
      </c>
      <c r="G20" s="51">
        <f>'wk1'!O28+'wk2'!O28+'wk3'!O28+'wk4'!O28+'wk5'!O28</f>
        <v>0</v>
      </c>
      <c r="H20" s="140"/>
      <c r="I20" s="137">
        <f t="shared" si="1"/>
        <v>2</v>
      </c>
      <c r="J20" s="133">
        <f t="shared" si="2"/>
        <v>2</v>
      </c>
      <c r="K20" s="47"/>
      <c r="L20" s="47"/>
    </row>
    <row r="21" spans="1:12" ht="15" customHeight="1">
      <c r="A21" s="48" t="str">
        <f>'Members Data'!A21</f>
        <v>Lychi</v>
      </c>
      <c r="B21" s="43">
        <f t="shared" si="0"/>
        <v>8</v>
      </c>
      <c r="C21" s="49">
        <f>'wk1'!K29+'wk2'!K29+'wk3'!K29+'wk4'!K29+'wk5'!K29</f>
        <v>0</v>
      </c>
      <c r="D21" s="49">
        <f>'wk1'!I29+'wk2'!I29+'wk3'!I29+'wk4'!I29+'wk5'!I29</f>
        <v>7</v>
      </c>
      <c r="E21" s="49">
        <f>'wk1'!L29+'wk2'!L29+'wk3'!L29+'wk4'!L29+'wk5'!L29</f>
        <v>0</v>
      </c>
      <c r="F21" s="50">
        <f>'wk1'!J29+'wk2'!J29+'wk3'!J29+'wk4'!J29+'wk5'!J29</f>
        <v>1</v>
      </c>
      <c r="G21" s="51">
        <f>'wk1'!O29+'wk2'!O29+'wk3'!O29+'wk4'!O29+'wk5'!O29</f>
        <v>0</v>
      </c>
      <c r="H21" s="140"/>
      <c r="I21" s="137">
        <f t="shared" si="1"/>
        <v>7</v>
      </c>
      <c r="J21" s="133">
        <f t="shared" si="2"/>
        <v>1</v>
      </c>
      <c r="K21" s="47"/>
      <c r="L21" s="47"/>
    </row>
    <row r="22" spans="1:12" ht="15" customHeight="1">
      <c r="A22" s="48" t="str">
        <f>'Members Data'!A22</f>
        <v>Méych</v>
      </c>
      <c r="B22" s="43">
        <f t="shared" si="0"/>
        <v>6</v>
      </c>
      <c r="C22" s="49">
        <f>'wk1'!K30+'wk2'!K30+'wk3'!K30+'wk4'!K30+'wk5'!K30</f>
        <v>0</v>
      </c>
      <c r="D22" s="49">
        <f>'wk1'!I30+'wk2'!I30+'wk3'!I30+'wk4'!I30+'wk5'!I30</f>
        <v>4</v>
      </c>
      <c r="E22" s="49">
        <f>'wk1'!L30+'wk2'!L30+'wk3'!L30+'wk4'!L30+'wk5'!L30</f>
        <v>0</v>
      </c>
      <c r="F22" s="50">
        <f>'wk1'!J30+'wk2'!J30+'wk3'!J30+'wk4'!J30+'wk5'!J30</f>
        <v>2</v>
      </c>
      <c r="G22" s="51">
        <f>'wk1'!O30+'wk2'!O30+'wk3'!O30+'wk4'!O30+'wk5'!O30</f>
        <v>0</v>
      </c>
      <c r="H22" s="140"/>
      <c r="I22" s="137">
        <f t="shared" si="1"/>
        <v>4</v>
      </c>
      <c r="J22" s="133">
        <f t="shared" si="2"/>
        <v>2</v>
      </c>
      <c r="K22" s="47"/>
      <c r="L22" s="47"/>
    </row>
    <row r="23" spans="1:12" ht="15" customHeight="1">
      <c r="A23" s="48" t="str">
        <f>'Members Data'!A23</f>
        <v>Muckyfloor</v>
      </c>
      <c r="B23" s="43">
        <f t="shared" si="0"/>
        <v>8</v>
      </c>
      <c r="C23" s="49">
        <f>'wk1'!K31+'wk2'!K31+'wk3'!K31+'wk4'!K31+'wk5'!K31</f>
        <v>0</v>
      </c>
      <c r="D23" s="49">
        <f>'wk1'!I31+'wk2'!I31+'wk3'!I31+'wk4'!I31+'wk5'!I31</f>
        <v>7</v>
      </c>
      <c r="E23" s="49">
        <f>'wk1'!L31+'wk2'!L31+'wk3'!L31+'wk4'!L31+'wk5'!L31</f>
        <v>0</v>
      </c>
      <c r="F23" s="50">
        <f>'wk1'!J31+'wk2'!J31+'wk3'!J31+'wk4'!J31+'wk5'!J31</f>
        <v>1</v>
      </c>
      <c r="G23" s="51">
        <f>'wk1'!O31+'wk2'!O31+'wk3'!O31+'wk4'!O31+'wk5'!O31</f>
        <v>0</v>
      </c>
      <c r="H23" s="140"/>
      <c r="I23" s="137">
        <f t="shared" si="1"/>
        <v>7</v>
      </c>
      <c r="J23" s="133">
        <f t="shared" si="2"/>
        <v>1</v>
      </c>
      <c r="K23" s="47"/>
      <c r="L23" s="47"/>
    </row>
    <row r="24" spans="1:12" ht="15" customHeight="1">
      <c r="A24" s="48" t="str">
        <f>'Members Data'!A24</f>
        <v>Müfti</v>
      </c>
      <c r="B24" s="43">
        <f t="shared" si="0"/>
        <v>7</v>
      </c>
      <c r="C24" s="49">
        <f>'wk1'!K32+'wk2'!K32+'wk3'!K32+'wk4'!K32+'wk5'!K32</f>
        <v>0</v>
      </c>
      <c r="D24" s="49">
        <f>'wk1'!I32+'wk2'!I32+'wk3'!I32+'wk4'!I32+'wk5'!I32</f>
        <v>6</v>
      </c>
      <c r="E24" s="49">
        <f>'wk1'!L32+'wk2'!L32+'wk3'!L32+'wk4'!L32+'wk5'!L32</f>
        <v>0</v>
      </c>
      <c r="F24" s="50">
        <f>'wk1'!J32+'wk2'!J32+'wk3'!J32+'wk4'!J32+'wk5'!J32</f>
        <v>1</v>
      </c>
      <c r="G24" s="51">
        <f>'wk1'!O32+'wk2'!O32+'wk3'!O32+'wk4'!O32+'wk5'!O32</f>
        <v>0</v>
      </c>
      <c r="H24" s="140"/>
      <c r="I24" s="137">
        <f t="shared" si="1"/>
        <v>6</v>
      </c>
      <c r="J24" s="133">
        <f t="shared" si="2"/>
        <v>1</v>
      </c>
      <c r="K24" s="47"/>
      <c r="L24" s="47"/>
    </row>
    <row r="25" spans="1:12" ht="15" customHeight="1">
      <c r="A25" s="48" t="str">
        <f>'Members Data'!A25</f>
        <v>Palorde</v>
      </c>
      <c r="B25" s="43">
        <f t="shared" si="0"/>
        <v>4</v>
      </c>
      <c r="C25" s="49">
        <f>'wk1'!K33+'wk2'!K33+'wk3'!K33+'wk4'!K33+'wk5'!K33</f>
        <v>0</v>
      </c>
      <c r="D25" s="49">
        <f>'wk1'!I33+'wk2'!I33+'wk3'!I33+'wk4'!I33+'wk5'!I33</f>
        <v>3</v>
      </c>
      <c r="E25" s="49">
        <f>'wk1'!L33+'wk2'!L33+'wk3'!L33+'wk4'!L33+'wk5'!L33</f>
        <v>0</v>
      </c>
      <c r="F25" s="50">
        <f>'wk1'!J33+'wk2'!J33+'wk3'!J33+'wk4'!J33+'wk5'!J33</f>
        <v>1</v>
      </c>
      <c r="G25" s="51">
        <f>'wk1'!O33+'wk2'!O33+'wk3'!O33+'wk4'!O33+'wk5'!O33</f>
        <v>0</v>
      </c>
      <c r="H25" s="140"/>
      <c r="I25" s="137">
        <f t="shared" si="1"/>
        <v>3</v>
      </c>
      <c r="J25" s="133">
        <f t="shared" si="2"/>
        <v>1</v>
      </c>
      <c r="K25" s="47"/>
      <c r="L25" s="47"/>
    </row>
    <row r="26" spans="1:12" ht="15" customHeight="1">
      <c r="A26" s="48" t="str">
        <f>'Members Data'!A26</f>
        <v>Páula</v>
      </c>
      <c r="B26" s="43">
        <f t="shared" si="0"/>
        <v>8</v>
      </c>
      <c r="C26" s="49">
        <f>'wk1'!K34+'wk2'!K34+'wk3'!K34+'wk4'!K34+'wk5'!K34</f>
        <v>0</v>
      </c>
      <c r="D26" s="49">
        <f>'wk1'!I34+'wk2'!I34+'wk3'!I34+'wk4'!I34+'wk5'!I34</f>
        <v>7</v>
      </c>
      <c r="E26" s="49">
        <f>'wk1'!L34+'wk2'!L34+'wk3'!L34+'wk4'!L34+'wk5'!L34</f>
        <v>0</v>
      </c>
      <c r="F26" s="50">
        <f>'wk1'!J34+'wk2'!J34+'wk3'!J34+'wk4'!J34+'wk5'!J34</f>
        <v>1</v>
      </c>
      <c r="G26" s="51">
        <f>'wk1'!O34+'wk2'!O34+'wk3'!O34+'wk4'!O34+'wk5'!O34</f>
        <v>0</v>
      </c>
      <c r="H26" s="140"/>
      <c r="I26" s="137">
        <f t="shared" si="1"/>
        <v>7</v>
      </c>
      <c r="J26" s="133">
        <f t="shared" si="2"/>
        <v>1</v>
      </c>
      <c r="K26" s="47"/>
      <c r="L26" s="47"/>
    </row>
    <row r="27" spans="1:12" ht="15" customHeight="1">
      <c r="A27" s="48" t="str">
        <f>'Members Data'!A27</f>
        <v>Quemzar</v>
      </c>
      <c r="B27" s="43">
        <f t="shared" si="0"/>
        <v>5</v>
      </c>
      <c r="C27" s="49">
        <f>'wk1'!K35+'wk2'!K35+'wk3'!K35+'wk4'!K35+'wk5'!K35</f>
        <v>0</v>
      </c>
      <c r="D27" s="49">
        <f>'wk1'!I35+'wk2'!I35+'wk3'!I35+'wk4'!I35+'wk5'!I35</f>
        <v>5</v>
      </c>
      <c r="E27" s="49">
        <f>'wk1'!L35+'wk2'!L35+'wk3'!L35+'wk4'!L35+'wk5'!L35</f>
        <v>0</v>
      </c>
      <c r="F27" s="50">
        <f>'wk1'!J35+'wk2'!J35+'wk3'!J35+'wk4'!J35+'wk5'!J35</f>
        <v>0</v>
      </c>
      <c r="G27" s="51">
        <f>'wk1'!O35+'wk2'!O35+'wk3'!O35+'wk4'!O35+'wk5'!O35</f>
        <v>0</v>
      </c>
      <c r="H27" s="140"/>
      <c r="I27" s="137">
        <f t="shared" si="1"/>
        <v>5</v>
      </c>
      <c r="J27" s="133">
        <f t="shared" si="2"/>
        <v>0</v>
      </c>
      <c r="K27" s="47"/>
      <c r="L27" s="47"/>
    </row>
    <row r="28" spans="1:12" ht="15" customHeight="1">
      <c r="A28" s="48" t="str">
        <f>'Members Data'!A28</f>
        <v>Rahwin</v>
      </c>
      <c r="B28" s="43">
        <f t="shared" si="0"/>
        <v>8</v>
      </c>
      <c r="C28" s="49">
        <f>'wk1'!K36+'wk2'!K36+'wk3'!K36+'wk4'!K36+'wk5'!K36</f>
        <v>0</v>
      </c>
      <c r="D28" s="49">
        <f>'wk1'!I36+'wk2'!I36+'wk3'!I36+'wk4'!I36+'wk5'!I36</f>
        <v>7</v>
      </c>
      <c r="E28" s="49">
        <f>'wk1'!L36+'wk2'!L36+'wk3'!L36+'wk4'!L36+'wk5'!L36</f>
        <v>0</v>
      </c>
      <c r="F28" s="50">
        <f>'wk1'!J36+'wk2'!J36+'wk3'!J36+'wk4'!J36+'wk5'!J36</f>
        <v>1</v>
      </c>
      <c r="G28" s="51">
        <f>'wk1'!O36+'wk2'!O36+'wk3'!O36+'wk4'!O36+'wk5'!O36</f>
        <v>0</v>
      </c>
      <c r="H28" s="140"/>
      <c r="I28" s="137">
        <f t="shared" si="1"/>
        <v>7</v>
      </c>
      <c r="J28" s="133">
        <f t="shared" si="2"/>
        <v>1</v>
      </c>
      <c r="K28" s="47"/>
      <c r="L28" s="47"/>
    </row>
    <row r="29" spans="1:12" ht="15" customHeight="1">
      <c r="A29" s="48" t="str">
        <f>'Members Data'!A29</f>
        <v>Raiyn</v>
      </c>
      <c r="B29" s="43">
        <f t="shared" si="0"/>
        <v>5</v>
      </c>
      <c r="C29" s="49">
        <f>'wk1'!K37+'wk2'!K37+'wk3'!K37+'wk4'!K37+'wk5'!K37</f>
        <v>0</v>
      </c>
      <c r="D29" s="49">
        <f>'wk1'!I37+'wk2'!I37+'wk3'!I37+'wk4'!I37+'wk5'!I37</f>
        <v>5</v>
      </c>
      <c r="E29" s="49">
        <f>'wk1'!L37+'wk2'!L37+'wk3'!L37+'wk4'!L37+'wk5'!L37</f>
        <v>0</v>
      </c>
      <c r="F29" s="50">
        <f>'wk1'!J37+'wk2'!J37+'wk3'!J37+'wk4'!J37+'wk5'!J37</f>
        <v>0</v>
      </c>
      <c r="G29" s="51">
        <f>'wk1'!O37+'wk2'!O37+'wk3'!O37+'wk4'!O37+'wk5'!O37</f>
        <v>0</v>
      </c>
      <c r="H29" s="140"/>
      <c r="I29" s="137">
        <f t="shared" si="1"/>
        <v>5</v>
      </c>
      <c r="J29" s="133">
        <f t="shared" si="2"/>
        <v>0</v>
      </c>
      <c r="K29" s="47"/>
      <c r="L29" s="47"/>
    </row>
    <row r="30" spans="1:12" ht="15" customHeight="1">
      <c r="A30" s="48" t="str">
        <f>'Members Data'!A30</f>
        <v>Rokthrol</v>
      </c>
      <c r="B30" s="43">
        <f t="shared" si="0"/>
        <v>2</v>
      </c>
      <c r="C30" s="49">
        <f>'wk1'!K38+'wk2'!K38+'wk3'!K38+'wk4'!K38+'wk5'!K38</f>
        <v>0</v>
      </c>
      <c r="D30" s="49">
        <f>'wk1'!I38+'wk2'!I38+'wk3'!I38+'wk4'!I38+'wk5'!I38</f>
        <v>2</v>
      </c>
      <c r="E30" s="49">
        <f>'wk1'!L38+'wk2'!L38+'wk3'!L38+'wk4'!L38+'wk5'!L38</f>
        <v>0</v>
      </c>
      <c r="F30" s="50">
        <f>'wk1'!J38+'wk2'!J38+'wk3'!J38+'wk4'!J38+'wk5'!J38</f>
        <v>0</v>
      </c>
      <c r="G30" s="51">
        <f>'wk1'!O38+'wk2'!O38+'wk3'!O38+'wk4'!O38+'wk5'!O38</f>
        <v>0</v>
      </c>
      <c r="H30" s="140"/>
      <c r="I30" s="137">
        <f t="shared" si="1"/>
        <v>2</v>
      </c>
      <c r="J30" s="133">
        <f t="shared" si="2"/>
        <v>0</v>
      </c>
      <c r="K30" s="47"/>
      <c r="L30" s="47"/>
    </row>
    <row r="31" spans="1:12" ht="15" customHeight="1">
      <c r="A31" s="48" t="str">
        <f>'Members Data'!A31</f>
        <v>Sáik</v>
      </c>
      <c r="B31" s="43">
        <f t="shared" si="0"/>
        <v>8</v>
      </c>
      <c r="C31" s="49">
        <f>'wk1'!K39+'wk2'!K39+'wk3'!K39+'wk4'!K39+'wk5'!K39</f>
        <v>0</v>
      </c>
      <c r="D31" s="49">
        <f>'wk1'!I39+'wk2'!I39+'wk3'!I39+'wk4'!I39+'wk5'!I39</f>
        <v>7</v>
      </c>
      <c r="E31" s="49">
        <f>'wk1'!L39+'wk2'!L39+'wk3'!L39+'wk4'!L39+'wk5'!L39</f>
        <v>0</v>
      </c>
      <c r="F31" s="50">
        <f>'wk1'!J39+'wk2'!J39+'wk3'!J39+'wk4'!J39+'wk5'!J39</f>
        <v>1</v>
      </c>
      <c r="G31" s="51">
        <f>'wk1'!O39+'wk2'!O39+'wk3'!O39+'wk4'!O39+'wk5'!O39</f>
        <v>0</v>
      </c>
      <c r="H31" s="140"/>
      <c r="I31" s="137">
        <f t="shared" si="1"/>
        <v>7</v>
      </c>
      <c r="J31" s="133">
        <f t="shared" si="2"/>
        <v>1</v>
      </c>
      <c r="K31" s="47"/>
      <c r="L31" s="47"/>
    </row>
    <row r="32" spans="1:12" ht="15" customHeight="1">
      <c r="A32" s="48" t="str">
        <f>'Members Data'!A32</f>
        <v>Seraphÿm</v>
      </c>
      <c r="B32" s="43">
        <f t="shared" si="0"/>
        <v>4</v>
      </c>
      <c r="C32" s="49">
        <f>'wk1'!K40+'wk2'!K40+'wk3'!K40+'wk4'!K40+'wk5'!K40</f>
        <v>0</v>
      </c>
      <c r="D32" s="49">
        <f>'wk1'!I40+'wk2'!I40+'wk3'!I40+'wk4'!I40+'wk5'!I40</f>
        <v>4</v>
      </c>
      <c r="E32" s="49">
        <f>'wk1'!L40+'wk2'!L40+'wk3'!L40+'wk4'!L40+'wk5'!L40</f>
        <v>0</v>
      </c>
      <c r="F32" s="50">
        <f>'wk1'!J40+'wk2'!J40+'wk3'!J40+'wk4'!J40+'wk5'!J40</f>
        <v>0</v>
      </c>
      <c r="G32" s="51">
        <f>'wk1'!O40+'wk2'!O40+'wk3'!O40+'wk4'!O40+'wk5'!O40</f>
        <v>0</v>
      </c>
      <c r="H32" s="140"/>
      <c r="I32" s="137">
        <f t="shared" si="1"/>
        <v>4</v>
      </c>
      <c r="J32" s="133">
        <f t="shared" si="2"/>
        <v>0</v>
      </c>
      <c r="K32" s="47"/>
      <c r="L32" s="47"/>
    </row>
    <row r="33" spans="1:12" ht="15" customHeight="1">
      <c r="A33" s="48" t="str">
        <f>'Members Data'!A33</f>
        <v>Shinkai</v>
      </c>
      <c r="B33" s="43">
        <f t="shared" si="0"/>
        <v>5</v>
      </c>
      <c r="C33" s="49">
        <f>'wk1'!K41+'wk2'!K41+'wk3'!K41+'wk4'!K41+'wk5'!K41</f>
        <v>0</v>
      </c>
      <c r="D33" s="49">
        <f>'wk1'!I41+'wk2'!I41+'wk3'!I41+'wk4'!I41+'wk5'!I41</f>
        <v>5</v>
      </c>
      <c r="E33" s="49">
        <f>'wk1'!L41+'wk2'!L41+'wk3'!L41+'wk4'!L41+'wk5'!L41</f>
        <v>0</v>
      </c>
      <c r="F33" s="50">
        <f>'wk1'!J41+'wk2'!J41+'wk3'!J41+'wk4'!J41+'wk5'!J41</f>
        <v>0</v>
      </c>
      <c r="G33" s="51">
        <f>'wk1'!O41+'wk2'!O41+'wk3'!O41+'wk4'!O41+'wk5'!O41</f>
        <v>0</v>
      </c>
      <c r="H33" s="140"/>
      <c r="I33" s="137">
        <f t="shared" si="1"/>
        <v>5</v>
      </c>
      <c r="J33" s="133">
        <f t="shared" si="2"/>
        <v>0</v>
      </c>
      <c r="K33" s="47"/>
      <c r="L33" s="47"/>
    </row>
    <row r="34" spans="1:12" ht="15" customHeight="1">
      <c r="A34" s="48" t="str">
        <f>'Members Data'!A34</f>
        <v>Yaodeng</v>
      </c>
      <c r="B34" s="43">
        <f t="shared" ref="B34:B65" si="3">SUM(C34:F34)</f>
        <v>8</v>
      </c>
      <c r="C34" s="49">
        <f>'wk1'!K42+'wk2'!K42+'wk3'!K42+'wk4'!K42+'wk5'!K42</f>
        <v>0</v>
      </c>
      <c r="D34" s="49">
        <f>'wk1'!I42+'wk2'!I42+'wk3'!I42+'wk4'!I42+'wk5'!I42</f>
        <v>8</v>
      </c>
      <c r="E34" s="49">
        <f>'wk1'!L42+'wk2'!L42+'wk3'!L42+'wk4'!L42+'wk5'!L42</f>
        <v>0</v>
      </c>
      <c r="F34" s="50">
        <f>'wk1'!J42+'wk2'!J42+'wk3'!J42+'wk4'!J42+'wk5'!J42</f>
        <v>0</v>
      </c>
      <c r="G34" s="51">
        <f>'wk1'!O42+'wk2'!O42+'wk3'!O42+'wk4'!O42+'wk5'!O42</f>
        <v>0</v>
      </c>
      <c r="H34" s="140"/>
      <c r="I34" s="137">
        <f t="shared" si="1"/>
        <v>8</v>
      </c>
      <c r="J34" s="133">
        <f t="shared" si="2"/>
        <v>0</v>
      </c>
      <c r="K34" s="47"/>
      <c r="L34" s="47"/>
    </row>
    <row r="35" spans="1:12" ht="15" customHeight="1">
      <c r="A35" s="48" t="str">
        <f>'Members Data'!A35</f>
        <v>Zerobabe</v>
      </c>
      <c r="B35" s="43">
        <f t="shared" si="3"/>
        <v>5</v>
      </c>
      <c r="C35" s="49">
        <f>'wk1'!K43+'wk2'!K43+'wk3'!K43+'wk4'!K43+'wk5'!K43</f>
        <v>0</v>
      </c>
      <c r="D35" s="49">
        <f>'wk1'!I43+'wk2'!I43+'wk3'!I43+'wk4'!I43+'wk5'!I43</f>
        <v>5</v>
      </c>
      <c r="E35" s="49">
        <f>'wk1'!L43+'wk2'!L43+'wk3'!L43+'wk4'!L43+'wk5'!L43</f>
        <v>0</v>
      </c>
      <c r="F35" s="50">
        <f>'wk1'!J43+'wk2'!J43+'wk3'!J43+'wk4'!J43+'wk5'!J43</f>
        <v>0</v>
      </c>
      <c r="G35" s="51">
        <f>'wk1'!O43+'wk2'!O43+'wk3'!O43+'wk4'!O43+'wk5'!O43</f>
        <v>0</v>
      </c>
      <c r="H35" s="140"/>
      <c r="I35" s="137">
        <f t="shared" si="1"/>
        <v>5</v>
      </c>
      <c r="J35" s="133">
        <f t="shared" si="2"/>
        <v>0</v>
      </c>
      <c r="K35" s="47"/>
      <c r="L35" s="47"/>
    </row>
    <row r="36" spans="1:12" ht="15" customHeight="1">
      <c r="A36" s="48" t="str">
        <f>'Members Data'!A36</f>
        <v>Zorrg</v>
      </c>
      <c r="B36" s="43">
        <f t="shared" si="3"/>
        <v>6</v>
      </c>
      <c r="C36" s="49">
        <f>'wk1'!K44+'wk2'!K44+'wk3'!K44+'wk4'!K44+'wk5'!K44</f>
        <v>0</v>
      </c>
      <c r="D36" s="49">
        <f>'wk1'!I44+'wk2'!I44+'wk3'!I44+'wk4'!I44+'wk5'!I44</f>
        <v>6</v>
      </c>
      <c r="E36" s="49">
        <f>'wk1'!L44+'wk2'!L44+'wk3'!L44+'wk4'!L44+'wk5'!L44</f>
        <v>0</v>
      </c>
      <c r="F36" s="50">
        <f>'wk1'!J44+'wk2'!J44+'wk3'!J44+'wk4'!J44+'wk5'!J44</f>
        <v>0</v>
      </c>
      <c r="G36" s="51">
        <f>'wk1'!O44+'wk2'!O44+'wk3'!O44+'wk4'!O44+'wk5'!O44</f>
        <v>0</v>
      </c>
      <c r="H36" s="140"/>
      <c r="I36" s="137">
        <f t="shared" si="1"/>
        <v>6</v>
      </c>
      <c r="J36" s="133">
        <f t="shared" si="2"/>
        <v>0</v>
      </c>
      <c r="K36" s="47"/>
      <c r="L36" s="47"/>
    </row>
    <row r="37" spans="1:12" ht="15" customHeight="1">
      <c r="A37" s="48" t="str">
        <f>'Members Data'!A37</f>
        <v>Volson</v>
      </c>
      <c r="B37" s="43">
        <f t="shared" si="3"/>
        <v>2</v>
      </c>
      <c r="C37" s="49">
        <f>'wk1'!K45+'wk2'!K45+'wk3'!K45+'wk4'!K45+'wk5'!K45</f>
        <v>0</v>
      </c>
      <c r="D37" s="49">
        <f>'wk1'!I45+'wk2'!I45+'wk3'!I45+'wk4'!I45+'wk5'!I45</f>
        <v>2</v>
      </c>
      <c r="E37" s="49">
        <f>'wk1'!L45+'wk2'!L45+'wk3'!L45+'wk4'!L45+'wk5'!L45</f>
        <v>0</v>
      </c>
      <c r="F37" s="50">
        <f>'wk1'!J45+'wk2'!J45+'wk3'!J45+'wk4'!J45+'wk5'!J45</f>
        <v>0</v>
      </c>
      <c r="G37" s="51">
        <f>'wk1'!O45+'wk2'!O45+'wk3'!O45+'wk4'!O45+'wk5'!O45</f>
        <v>0</v>
      </c>
      <c r="H37" s="140"/>
      <c r="I37" s="137">
        <f t="shared" si="1"/>
        <v>2</v>
      </c>
      <c r="J37" s="133">
        <f t="shared" si="2"/>
        <v>0</v>
      </c>
      <c r="K37" s="47"/>
      <c r="L37" s="47"/>
    </row>
    <row r="38" spans="1:12" ht="15" customHeight="1">
      <c r="A38" s="48">
        <f>'Members Data'!A38</f>
        <v>0</v>
      </c>
      <c r="B38" s="43">
        <f t="shared" si="3"/>
        <v>0</v>
      </c>
      <c r="C38" s="49">
        <f>'wk1'!K46+'wk2'!K46+'wk3'!K46+'wk4'!K46+'wk5'!K46</f>
        <v>0</v>
      </c>
      <c r="D38" s="49">
        <f>'wk1'!I46+'wk2'!I46+'wk3'!I46+'wk4'!I46+'wk5'!I46</f>
        <v>0</v>
      </c>
      <c r="E38" s="49">
        <f>'wk1'!L46+'wk2'!L46+'wk3'!L46+'wk4'!L46+'wk5'!L46</f>
        <v>0</v>
      </c>
      <c r="F38" s="50">
        <f>'wk1'!J46+'wk2'!J46+'wk3'!J46+'wk4'!J46+'wk5'!J46</f>
        <v>0</v>
      </c>
      <c r="G38" s="51">
        <f>'wk1'!O46+'wk2'!O46+'wk3'!O46+'wk4'!O46+'wk5'!O46</f>
        <v>0</v>
      </c>
      <c r="H38" s="140"/>
      <c r="I38" s="137">
        <f t="shared" si="1"/>
        <v>0</v>
      </c>
      <c r="J38" s="133">
        <f t="shared" si="2"/>
        <v>0</v>
      </c>
      <c r="K38" s="47"/>
      <c r="L38" s="47"/>
    </row>
    <row r="39" spans="1:12" ht="15" customHeight="1">
      <c r="A39" s="48">
        <f>'Members Data'!A39</f>
        <v>0</v>
      </c>
      <c r="B39" s="43">
        <f t="shared" si="3"/>
        <v>0</v>
      </c>
      <c r="C39" s="49">
        <f>'wk1'!K47+'wk2'!K47+'wk3'!K47+'wk4'!K47+'wk5'!K47</f>
        <v>0</v>
      </c>
      <c r="D39" s="49">
        <f>'wk1'!I47+'wk2'!I47+'wk3'!I47+'wk4'!I47+'wk5'!I47</f>
        <v>0</v>
      </c>
      <c r="E39" s="49">
        <f>'wk1'!L47+'wk2'!L47+'wk3'!L47+'wk4'!L47+'wk5'!L47</f>
        <v>0</v>
      </c>
      <c r="F39" s="50">
        <f>'wk1'!J47+'wk2'!J47+'wk3'!J47+'wk4'!J47+'wk5'!J47</f>
        <v>0</v>
      </c>
      <c r="G39" s="51">
        <f>'wk1'!O47+'wk2'!O47+'wk3'!O47+'wk4'!O47+'wk5'!O47</f>
        <v>0</v>
      </c>
      <c r="H39" s="140"/>
      <c r="I39" s="137">
        <f t="shared" si="1"/>
        <v>0</v>
      </c>
      <c r="J39" s="133">
        <f t="shared" si="2"/>
        <v>0</v>
      </c>
      <c r="K39" s="47"/>
      <c r="L39" s="47"/>
    </row>
    <row r="40" spans="1:12" ht="15" customHeight="1">
      <c r="A40" s="48">
        <f>'Members Data'!A40</f>
        <v>0</v>
      </c>
      <c r="B40" s="43">
        <f t="shared" si="3"/>
        <v>0</v>
      </c>
      <c r="C40" s="49">
        <f>'wk1'!K48+'wk2'!K48+'wk3'!K48+'wk4'!K48+'wk5'!K48</f>
        <v>0</v>
      </c>
      <c r="D40" s="49">
        <f>'wk1'!I48+'wk2'!I48+'wk3'!I48+'wk4'!I48+'wk5'!I48</f>
        <v>0</v>
      </c>
      <c r="E40" s="49">
        <f>'wk1'!L48+'wk2'!L48+'wk3'!L48+'wk4'!L48+'wk5'!L48</f>
        <v>0</v>
      </c>
      <c r="F40" s="50">
        <f>'wk1'!J48+'wk2'!J48+'wk3'!J48+'wk4'!J48+'wk5'!J48</f>
        <v>0</v>
      </c>
      <c r="G40" s="51">
        <f>'wk1'!O48+'wk2'!O48+'wk3'!O48+'wk4'!O48+'wk5'!O48</f>
        <v>0</v>
      </c>
      <c r="H40" s="140"/>
      <c r="I40" s="137">
        <f t="shared" si="1"/>
        <v>0</v>
      </c>
      <c r="J40" s="133">
        <f t="shared" si="2"/>
        <v>0</v>
      </c>
      <c r="K40" s="47"/>
      <c r="L40" s="47"/>
    </row>
    <row r="41" spans="1:12" ht="15" customHeight="1">
      <c r="A41" s="48">
        <f>'Members Data'!A41</f>
        <v>0</v>
      </c>
      <c r="B41" s="43">
        <f t="shared" si="3"/>
        <v>0</v>
      </c>
      <c r="C41" s="49">
        <f>'wk1'!K49+'wk2'!K49+'wk3'!K49+'wk4'!K49+'wk5'!K49</f>
        <v>0</v>
      </c>
      <c r="D41" s="49">
        <f>'wk1'!I49+'wk2'!I49+'wk3'!I49+'wk4'!I49+'wk5'!I49</f>
        <v>0</v>
      </c>
      <c r="E41" s="49">
        <f>'wk1'!L49+'wk2'!L49+'wk3'!L49+'wk4'!L49+'wk5'!L49</f>
        <v>0</v>
      </c>
      <c r="F41" s="50">
        <f>'wk1'!J49+'wk2'!J49+'wk3'!J49+'wk4'!J49+'wk5'!J49</f>
        <v>0</v>
      </c>
      <c r="G41" s="51">
        <f>'wk1'!O49+'wk2'!O49+'wk3'!O49+'wk4'!O49+'wk5'!O49</f>
        <v>0</v>
      </c>
      <c r="H41" s="140"/>
      <c r="I41" s="137">
        <f t="shared" si="1"/>
        <v>0</v>
      </c>
      <c r="J41" s="133">
        <f t="shared" si="2"/>
        <v>0</v>
      </c>
      <c r="K41" s="47"/>
      <c r="L41" s="47"/>
    </row>
    <row r="42" spans="1:12" ht="15" customHeight="1">
      <c r="A42" s="48">
        <f>'Members Data'!A42</f>
        <v>0</v>
      </c>
      <c r="B42" s="43">
        <f t="shared" si="3"/>
        <v>0</v>
      </c>
      <c r="C42" s="49">
        <f>'wk1'!K50+'wk2'!K50+'wk3'!K50+'wk4'!K50+'wk5'!K50</f>
        <v>0</v>
      </c>
      <c r="D42" s="49">
        <f>'wk1'!I50+'wk2'!I50+'wk3'!I50+'wk4'!I50+'wk5'!I50</f>
        <v>0</v>
      </c>
      <c r="E42" s="49">
        <f>'wk1'!L50+'wk2'!L50+'wk3'!L50+'wk4'!L50+'wk5'!L50</f>
        <v>0</v>
      </c>
      <c r="F42" s="50">
        <f>'wk1'!J50+'wk2'!J50+'wk3'!J50+'wk4'!J50+'wk5'!J50</f>
        <v>0</v>
      </c>
      <c r="G42" s="51">
        <f>'wk1'!O50+'wk2'!O50+'wk3'!O50+'wk4'!O50+'wk5'!O50</f>
        <v>0</v>
      </c>
      <c r="H42" s="140"/>
      <c r="I42" s="137">
        <f t="shared" si="1"/>
        <v>0</v>
      </c>
      <c r="J42" s="133">
        <f t="shared" si="2"/>
        <v>0</v>
      </c>
      <c r="K42" s="47"/>
      <c r="L42" s="47"/>
    </row>
    <row r="43" spans="1:12" ht="15" customHeight="1">
      <c r="A43" s="48">
        <f>'Members Data'!A43</f>
        <v>0</v>
      </c>
      <c r="B43" s="43">
        <f t="shared" si="3"/>
        <v>0</v>
      </c>
      <c r="C43" s="49">
        <f>'wk1'!K51+'wk2'!K51+'wk3'!K51+'wk4'!K51+'wk5'!K51</f>
        <v>0</v>
      </c>
      <c r="D43" s="49">
        <f>'wk1'!I51+'wk2'!I51+'wk3'!I51+'wk4'!I51+'wk5'!I51</f>
        <v>0</v>
      </c>
      <c r="E43" s="49">
        <f>'wk1'!L51+'wk2'!L51+'wk3'!L51+'wk4'!L51+'wk5'!L51</f>
        <v>0</v>
      </c>
      <c r="F43" s="50">
        <f>'wk1'!J51+'wk2'!J51+'wk3'!J51+'wk4'!J51+'wk5'!J51</f>
        <v>0</v>
      </c>
      <c r="G43" s="51">
        <f>'wk1'!O51+'wk2'!O51+'wk3'!O51+'wk4'!O51+'wk5'!O51</f>
        <v>0</v>
      </c>
      <c r="H43" s="140"/>
      <c r="I43" s="137">
        <f t="shared" si="1"/>
        <v>0</v>
      </c>
      <c r="J43" s="133">
        <f t="shared" si="2"/>
        <v>0</v>
      </c>
      <c r="K43" s="47"/>
      <c r="L43" s="47"/>
    </row>
    <row r="44" spans="1:12" ht="15" customHeight="1">
      <c r="A44" s="48">
        <f>'Members Data'!A44</f>
        <v>0</v>
      </c>
      <c r="B44" s="43">
        <f t="shared" si="3"/>
        <v>0</v>
      </c>
      <c r="C44" s="49">
        <f>'wk1'!K52+'wk2'!K52+'wk3'!K52+'wk4'!K52+'wk5'!K52</f>
        <v>0</v>
      </c>
      <c r="D44" s="49">
        <f>'wk1'!I52+'wk2'!I52+'wk3'!I52+'wk4'!I52+'wk5'!I52</f>
        <v>0</v>
      </c>
      <c r="E44" s="49">
        <f>'wk1'!L52+'wk2'!L52+'wk3'!L52+'wk4'!L52+'wk5'!L52</f>
        <v>0</v>
      </c>
      <c r="F44" s="50">
        <f>'wk1'!J52+'wk2'!J52+'wk3'!J52+'wk4'!J52+'wk5'!J52</f>
        <v>0</v>
      </c>
      <c r="G44" s="51">
        <f>'wk1'!O52+'wk2'!O52+'wk3'!O52+'wk4'!O52+'wk5'!O52</f>
        <v>0</v>
      </c>
      <c r="H44" s="140"/>
      <c r="I44" s="137">
        <f t="shared" si="1"/>
        <v>0</v>
      </c>
      <c r="J44" s="133">
        <f t="shared" si="2"/>
        <v>0</v>
      </c>
      <c r="K44" s="47"/>
      <c r="L44" s="47"/>
    </row>
    <row r="45" spans="1:12" ht="15" customHeight="1">
      <c r="A45" s="48">
        <f>'Members Data'!A45</f>
        <v>0</v>
      </c>
      <c r="B45" s="43">
        <f t="shared" si="3"/>
        <v>0</v>
      </c>
      <c r="C45" s="49">
        <f>'wk1'!K53+'wk2'!K53+'wk3'!K53+'wk4'!K53+'wk5'!K53</f>
        <v>0</v>
      </c>
      <c r="D45" s="49">
        <f>'wk1'!I53+'wk2'!I53+'wk3'!I53+'wk4'!I53+'wk5'!I53</f>
        <v>0</v>
      </c>
      <c r="E45" s="49">
        <f>'wk1'!L53+'wk2'!L53+'wk3'!L53+'wk4'!L53+'wk5'!L53</f>
        <v>0</v>
      </c>
      <c r="F45" s="50">
        <f>'wk1'!J53+'wk2'!J53+'wk3'!J53+'wk4'!J53+'wk5'!J53</f>
        <v>0</v>
      </c>
      <c r="G45" s="51">
        <f>'wk1'!O53+'wk2'!O53+'wk3'!O53+'wk4'!O53+'wk5'!O53</f>
        <v>0</v>
      </c>
      <c r="H45" s="140"/>
      <c r="I45" s="137">
        <f t="shared" si="1"/>
        <v>0</v>
      </c>
      <c r="J45" s="133">
        <f t="shared" si="2"/>
        <v>0</v>
      </c>
      <c r="K45" s="47"/>
      <c r="L45" s="47"/>
    </row>
    <row r="46" spans="1:12" ht="15" customHeight="1">
      <c r="A46" s="48">
        <f>'Members Data'!A46</f>
        <v>0</v>
      </c>
      <c r="B46" s="43">
        <f t="shared" si="3"/>
        <v>0</v>
      </c>
      <c r="C46" s="49">
        <f>'wk1'!K54+'wk2'!K54+'wk3'!K54+'wk4'!K54+'wk5'!K54</f>
        <v>0</v>
      </c>
      <c r="D46" s="49">
        <f>'wk1'!I54+'wk2'!I54+'wk3'!I54+'wk4'!I54+'wk5'!I54</f>
        <v>0</v>
      </c>
      <c r="E46" s="49">
        <f>'wk1'!L54+'wk2'!L54+'wk3'!L54+'wk4'!L54+'wk5'!L54</f>
        <v>0</v>
      </c>
      <c r="F46" s="50">
        <f>'wk1'!J54+'wk2'!J54+'wk3'!J54+'wk4'!J54+'wk5'!J54</f>
        <v>0</v>
      </c>
      <c r="G46" s="51">
        <f>'wk1'!O54+'wk2'!O54+'wk3'!O54+'wk4'!O54+'wk5'!O54</f>
        <v>0</v>
      </c>
      <c r="H46" s="140"/>
      <c r="I46" s="137">
        <f t="shared" si="1"/>
        <v>0</v>
      </c>
      <c r="J46" s="133">
        <f t="shared" si="2"/>
        <v>0</v>
      </c>
      <c r="K46" s="47"/>
      <c r="L46" s="47"/>
    </row>
    <row r="47" spans="1:12" ht="15" customHeight="1">
      <c r="A47" s="48">
        <f>'Members Data'!A47</f>
        <v>0</v>
      </c>
      <c r="B47" s="43">
        <f t="shared" si="3"/>
        <v>0</v>
      </c>
      <c r="C47" s="49">
        <f>'wk1'!K55+'wk2'!K55+'wk3'!K55+'wk4'!K55+'wk5'!K55</f>
        <v>0</v>
      </c>
      <c r="D47" s="49">
        <f>'wk1'!I55+'wk2'!I55+'wk3'!I55+'wk4'!I55+'wk5'!I55</f>
        <v>0</v>
      </c>
      <c r="E47" s="49">
        <f>'wk1'!L55+'wk2'!L55+'wk3'!L55+'wk4'!L55+'wk5'!L55</f>
        <v>0</v>
      </c>
      <c r="F47" s="50">
        <f>'wk1'!J55+'wk2'!J55+'wk3'!J55+'wk4'!J55+'wk5'!J55</f>
        <v>0</v>
      </c>
      <c r="G47" s="51">
        <f>'wk1'!O55+'wk2'!O55+'wk3'!O55+'wk4'!O55+'wk5'!O55</f>
        <v>0</v>
      </c>
      <c r="H47" s="140"/>
      <c r="I47" s="137">
        <f t="shared" si="1"/>
        <v>0</v>
      </c>
      <c r="J47" s="133">
        <f t="shared" si="2"/>
        <v>0</v>
      </c>
      <c r="K47" s="47"/>
      <c r="L47" s="47"/>
    </row>
    <row r="48" spans="1:12" ht="15" customHeight="1">
      <c r="A48" s="48">
        <f>'Members Data'!A48</f>
        <v>0</v>
      </c>
      <c r="B48" s="43">
        <f t="shared" si="3"/>
        <v>0</v>
      </c>
      <c r="C48" s="49">
        <f>'wk1'!K56+'wk2'!K56+'wk3'!K56+'wk4'!K56+'wk5'!K56</f>
        <v>0</v>
      </c>
      <c r="D48" s="49">
        <f>'wk1'!I56+'wk2'!I56+'wk3'!I56+'wk4'!I56+'wk5'!I56</f>
        <v>0</v>
      </c>
      <c r="E48" s="49">
        <f>'wk1'!L56+'wk2'!L56+'wk3'!L56+'wk4'!L56+'wk5'!L56</f>
        <v>0</v>
      </c>
      <c r="F48" s="50">
        <f>'wk1'!J56+'wk2'!J56+'wk3'!J56+'wk4'!J56+'wk5'!J56</f>
        <v>0</v>
      </c>
      <c r="G48" s="51">
        <f>'wk1'!O56+'wk2'!O56+'wk3'!O56+'wk4'!O56+'wk5'!O56</f>
        <v>0</v>
      </c>
      <c r="H48" s="140"/>
      <c r="I48" s="137">
        <f t="shared" si="1"/>
        <v>0</v>
      </c>
      <c r="J48" s="133">
        <f t="shared" si="2"/>
        <v>0</v>
      </c>
      <c r="K48" s="47"/>
      <c r="L48" s="47"/>
    </row>
    <row r="49" spans="1:12" ht="15" customHeight="1">
      <c r="A49" s="48">
        <f>'Members Data'!A49</f>
        <v>0</v>
      </c>
      <c r="B49" s="43">
        <f t="shared" si="3"/>
        <v>0</v>
      </c>
      <c r="C49" s="49">
        <f>'wk1'!K57+'wk2'!K57+'wk3'!K57+'wk4'!K57+'wk5'!K57</f>
        <v>0</v>
      </c>
      <c r="D49" s="49">
        <f>'wk1'!I57+'wk2'!I57+'wk3'!I57+'wk4'!I57+'wk5'!I57</f>
        <v>0</v>
      </c>
      <c r="E49" s="49">
        <f>'wk1'!L57+'wk2'!L57+'wk3'!L57+'wk4'!L57+'wk5'!L57</f>
        <v>0</v>
      </c>
      <c r="F49" s="50">
        <f>'wk1'!J57+'wk2'!J57+'wk3'!J57+'wk4'!J57+'wk5'!J57</f>
        <v>0</v>
      </c>
      <c r="G49" s="51">
        <f>'wk1'!O57+'wk2'!O57+'wk3'!O57+'wk4'!O57+'wk5'!O57</f>
        <v>0</v>
      </c>
      <c r="H49" s="140"/>
      <c r="I49" s="137">
        <f t="shared" si="1"/>
        <v>0</v>
      </c>
      <c r="J49" s="133">
        <f t="shared" si="2"/>
        <v>0</v>
      </c>
      <c r="K49" s="47"/>
      <c r="L49" s="47"/>
    </row>
    <row r="50" spans="1:12" ht="15" customHeight="1">
      <c r="A50" s="48">
        <f>'Members Data'!A50</f>
        <v>0</v>
      </c>
      <c r="B50" s="43">
        <f t="shared" si="3"/>
        <v>0</v>
      </c>
      <c r="C50" s="49">
        <f>'wk1'!K58+'wk2'!K58+'wk3'!K58+'wk4'!K58+'wk5'!K58</f>
        <v>0</v>
      </c>
      <c r="D50" s="49">
        <f>'wk1'!I58+'wk2'!I58+'wk3'!I58+'wk4'!I58+'wk5'!I58</f>
        <v>0</v>
      </c>
      <c r="E50" s="49">
        <f>'wk1'!L58+'wk2'!L58+'wk3'!L58+'wk4'!L58+'wk5'!L58</f>
        <v>0</v>
      </c>
      <c r="F50" s="50">
        <f>'wk1'!J58+'wk2'!J58+'wk3'!J58+'wk4'!J58+'wk5'!J58</f>
        <v>0</v>
      </c>
      <c r="G50" s="51">
        <f>'wk1'!O58+'wk2'!O58+'wk3'!O58+'wk4'!O58+'wk5'!O58</f>
        <v>0</v>
      </c>
      <c r="H50" s="140"/>
      <c r="I50" s="137">
        <f t="shared" si="1"/>
        <v>0</v>
      </c>
      <c r="J50" s="133">
        <f t="shared" si="2"/>
        <v>0</v>
      </c>
      <c r="K50" s="47"/>
      <c r="L50" s="47"/>
    </row>
    <row r="51" spans="1:12" ht="15" customHeight="1">
      <c r="A51" s="48">
        <f>'Members Data'!A51</f>
        <v>0</v>
      </c>
      <c r="B51" s="43">
        <f t="shared" si="3"/>
        <v>0</v>
      </c>
      <c r="C51" s="49">
        <f>'wk1'!K59+'wk2'!K59+'wk3'!K59+'wk4'!K59+'wk5'!K59</f>
        <v>0</v>
      </c>
      <c r="D51" s="49">
        <f>'wk1'!I59+'wk2'!I59+'wk3'!I59+'wk4'!I59+'wk5'!I59</f>
        <v>0</v>
      </c>
      <c r="E51" s="49">
        <f>'wk1'!L59+'wk2'!L59+'wk3'!L59+'wk4'!L59+'wk5'!L59</f>
        <v>0</v>
      </c>
      <c r="F51" s="50">
        <f>'wk1'!J59+'wk2'!J59+'wk3'!J59+'wk4'!J59+'wk5'!J59</f>
        <v>0</v>
      </c>
      <c r="G51" s="51">
        <f>'wk1'!O59+'wk2'!O59+'wk3'!O59+'wk4'!O59+'wk5'!O59</f>
        <v>0</v>
      </c>
      <c r="H51" s="140"/>
      <c r="I51" s="137">
        <f t="shared" si="1"/>
        <v>0</v>
      </c>
      <c r="J51" s="133">
        <f t="shared" si="2"/>
        <v>0</v>
      </c>
      <c r="K51" s="47"/>
      <c r="L51" s="47"/>
    </row>
    <row r="52" spans="1:12" ht="15" customHeight="1">
      <c r="A52" s="48">
        <f>'Members Data'!A52</f>
        <v>0</v>
      </c>
      <c r="B52" s="43">
        <f t="shared" si="3"/>
        <v>0</v>
      </c>
      <c r="C52" s="49">
        <f>'wk1'!K60+'wk2'!K60+'wk3'!K60+'wk4'!K60+'wk5'!K60</f>
        <v>0</v>
      </c>
      <c r="D52" s="49">
        <f>'wk1'!I60+'wk2'!I60+'wk3'!I60+'wk4'!I60+'wk5'!I60</f>
        <v>0</v>
      </c>
      <c r="E52" s="49">
        <f>'wk1'!L60+'wk2'!L60+'wk3'!L60+'wk4'!L60+'wk5'!L60</f>
        <v>0</v>
      </c>
      <c r="F52" s="50">
        <f>'wk1'!J60+'wk2'!J60+'wk3'!J60+'wk4'!J60+'wk5'!J60</f>
        <v>0</v>
      </c>
      <c r="G52" s="51">
        <f>'wk1'!O60+'wk2'!O60+'wk3'!O60+'wk4'!O60+'wk5'!O60</f>
        <v>0</v>
      </c>
      <c r="H52" s="140"/>
      <c r="I52" s="137">
        <f t="shared" si="1"/>
        <v>0</v>
      </c>
      <c r="J52" s="133">
        <f t="shared" si="2"/>
        <v>0</v>
      </c>
      <c r="K52" s="47"/>
      <c r="L52" s="47"/>
    </row>
    <row r="53" spans="1:12" ht="15" customHeight="1">
      <c r="A53" s="48">
        <f>'Members Data'!A53</f>
        <v>0</v>
      </c>
      <c r="B53" s="43">
        <f t="shared" si="3"/>
        <v>0</v>
      </c>
      <c r="C53" s="49">
        <f>'wk1'!K61+'wk2'!K61+'wk3'!K61+'wk4'!K61+'wk5'!K61</f>
        <v>0</v>
      </c>
      <c r="D53" s="49">
        <f>'wk1'!I61+'wk2'!I61+'wk3'!I61+'wk4'!I61+'wk5'!I61</f>
        <v>0</v>
      </c>
      <c r="E53" s="49">
        <f>'wk1'!L61+'wk2'!L61+'wk3'!L61+'wk4'!L61+'wk5'!L61</f>
        <v>0</v>
      </c>
      <c r="F53" s="50">
        <f>'wk1'!J61+'wk2'!J61+'wk3'!J61+'wk4'!J61+'wk5'!J61</f>
        <v>0</v>
      </c>
      <c r="G53" s="51">
        <f>'wk1'!O61+'wk2'!O61+'wk3'!O61+'wk4'!O61+'wk5'!O61</f>
        <v>0</v>
      </c>
      <c r="H53" s="140"/>
      <c r="I53" s="137">
        <f t="shared" si="1"/>
        <v>0</v>
      </c>
      <c r="J53" s="133">
        <f t="shared" si="2"/>
        <v>0</v>
      </c>
      <c r="K53" s="47"/>
      <c r="L53" s="47"/>
    </row>
    <row r="54" spans="1:12" ht="15" customHeight="1">
      <c r="A54" s="48">
        <f>'Members Data'!A54</f>
        <v>0</v>
      </c>
      <c r="B54" s="43">
        <f t="shared" si="3"/>
        <v>0</v>
      </c>
      <c r="C54" s="49">
        <f>'wk1'!K62+'wk2'!K62+'wk3'!K62+'wk4'!K62+'wk5'!K62</f>
        <v>0</v>
      </c>
      <c r="D54" s="49">
        <f>'wk1'!I62+'wk2'!I62+'wk3'!I62+'wk4'!I62+'wk5'!I62</f>
        <v>0</v>
      </c>
      <c r="E54" s="49">
        <f>'wk1'!L62+'wk2'!L62+'wk3'!L62+'wk4'!L62+'wk5'!L62</f>
        <v>0</v>
      </c>
      <c r="F54" s="50">
        <f>'wk1'!J62+'wk2'!J62+'wk3'!J62+'wk4'!J62+'wk5'!J62</f>
        <v>0</v>
      </c>
      <c r="G54" s="51">
        <f>'wk1'!O62+'wk2'!O62+'wk3'!O62+'wk4'!O62+'wk5'!O62</f>
        <v>0</v>
      </c>
      <c r="H54" s="140"/>
      <c r="I54" s="137">
        <f t="shared" si="1"/>
        <v>0</v>
      </c>
      <c r="J54" s="133">
        <f t="shared" si="2"/>
        <v>0</v>
      </c>
      <c r="K54" s="47"/>
      <c r="L54" s="47"/>
    </row>
    <row r="55" spans="1:12" ht="15" customHeight="1">
      <c r="A55" s="48">
        <f>'Members Data'!A55</f>
        <v>0</v>
      </c>
      <c r="B55" s="43">
        <f t="shared" si="3"/>
        <v>0</v>
      </c>
      <c r="C55" s="49">
        <f>'wk1'!K63+'wk2'!K63+'wk3'!K63+'wk4'!K63+'wk5'!K63</f>
        <v>0</v>
      </c>
      <c r="D55" s="49">
        <f>'wk1'!I63+'wk2'!I63+'wk3'!I63+'wk4'!I63+'wk5'!I63</f>
        <v>0</v>
      </c>
      <c r="E55" s="49">
        <f>'wk1'!L63+'wk2'!L63+'wk3'!L63+'wk4'!L63+'wk5'!L63</f>
        <v>0</v>
      </c>
      <c r="F55" s="50">
        <f>'wk1'!J63+'wk2'!J63+'wk3'!J63+'wk4'!J63+'wk5'!J63</f>
        <v>0</v>
      </c>
      <c r="G55" s="51">
        <f>'wk1'!O63+'wk2'!O63+'wk3'!O63+'wk4'!O63+'wk5'!O63</f>
        <v>0</v>
      </c>
      <c r="H55" s="140"/>
      <c r="I55" s="137">
        <f t="shared" si="1"/>
        <v>0</v>
      </c>
      <c r="J55" s="133">
        <f t="shared" si="2"/>
        <v>0</v>
      </c>
      <c r="K55" s="47"/>
      <c r="L55" s="47"/>
    </row>
    <row r="56" spans="1:12" ht="15" customHeight="1">
      <c r="A56" s="48">
        <f>'Members Data'!A56</f>
        <v>0</v>
      </c>
      <c r="B56" s="43">
        <f t="shared" si="3"/>
        <v>0</v>
      </c>
      <c r="C56" s="49">
        <f>'wk1'!K64+'wk2'!K64+'wk3'!K64+'wk4'!K64+'wk5'!K64</f>
        <v>0</v>
      </c>
      <c r="D56" s="49">
        <f>'wk1'!I64+'wk2'!I64+'wk3'!I64+'wk4'!I64+'wk5'!I64</f>
        <v>0</v>
      </c>
      <c r="E56" s="49">
        <f>'wk1'!L64+'wk2'!L64+'wk3'!L64+'wk4'!L64+'wk5'!L64</f>
        <v>0</v>
      </c>
      <c r="F56" s="50">
        <f>'wk1'!J64+'wk2'!J64+'wk3'!J64+'wk4'!J64+'wk5'!J64</f>
        <v>0</v>
      </c>
      <c r="G56" s="51">
        <f>'wk1'!O64+'wk2'!O64+'wk3'!O64+'wk4'!O64+'wk5'!O64</f>
        <v>0</v>
      </c>
      <c r="H56" s="140"/>
      <c r="I56" s="137">
        <f t="shared" si="1"/>
        <v>0</v>
      </c>
      <c r="J56" s="133">
        <f t="shared" si="2"/>
        <v>0</v>
      </c>
      <c r="K56" s="47"/>
      <c r="L56" s="47"/>
    </row>
    <row r="57" spans="1:12" ht="15" customHeight="1">
      <c r="A57" s="48">
        <f>'Members Data'!A57</f>
        <v>0</v>
      </c>
      <c r="B57" s="43">
        <f t="shared" si="3"/>
        <v>0</v>
      </c>
      <c r="C57" s="49">
        <f>'wk1'!K65+'wk2'!K65+'wk3'!K65+'wk4'!K65+'wk5'!K65</f>
        <v>0</v>
      </c>
      <c r="D57" s="49">
        <f>'wk1'!I65+'wk2'!I65+'wk3'!I65+'wk4'!I65+'wk5'!I65</f>
        <v>0</v>
      </c>
      <c r="E57" s="49">
        <f>'wk1'!L65+'wk2'!L65+'wk3'!L65+'wk4'!L65+'wk5'!L65</f>
        <v>0</v>
      </c>
      <c r="F57" s="50">
        <f>'wk1'!J65+'wk2'!J65+'wk3'!J65+'wk4'!J65+'wk5'!J65</f>
        <v>0</v>
      </c>
      <c r="G57" s="51">
        <f>'wk1'!O65+'wk2'!O65+'wk3'!O65+'wk4'!O65+'wk5'!O65</f>
        <v>0</v>
      </c>
      <c r="H57" s="140"/>
      <c r="I57" s="137">
        <f t="shared" si="1"/>
        <v>0</v>
      </c>
      <c r="J57" s="133">
        <f t="shared" si="2"/>
        <v>0</v>
      </c>
      <c r="K57" s="47"/>
      <c r="L57" s="47"/>
    </row>
    <row r="58" spans="1:12" ht="15" customHeight="1">
      <c r="A58" s="48">
        <f>'Members Data'!A58</f>
        <v>0</v>
      </c>
      <c r="B58" s="43">
        <f t="shared" si="3"/>
        <v>0</v>
      </c>
      <c r="C58" s="49">
        <f>'wk1'!K66+'wk2'!K66+'wk3'!K66+'wk4'!K66+'wk5'!K66</f>
        <v>0</v>
      </c>
      <c r="D58" s="49">
        <f>'wk1'!I66+'wk2'!I66+'wk3'!I66+'wk4'!I66+'wk5'!I66</f>
        <v>0</v>
      </c>
      <c r="E58" s="49">
        <f>'wk1'!L66+'wk2'!L66+'wk3'!L66+'wk4'!L66+'wk5'!L66</f>
        <v>0</v>
      </c>
      <c r="F58" s="50">
        <f>'wk1'!J66+'wk2'!J66+'wk3'!J66+'wk4'!J66+'wk5'!J66</f>
        <v>0</v>
      </c>
      <c r="G58" s="51">
        <f>'wk1'!O66+'wk2'!O66+'wk3'!O66+'wk4'!O66+'wk5'!O66</f>
        <v>0</v>
      </c>
      <c r="H58" s="140"/>
      <c r="I58" s="137">
        <f t="shared" si="1"/>
        <v>0</v>
      </c>
      <c r="J58" s="133">
        <f t="shared" si="2"/>
        <v>0</v>
      </c>
      <c r="K58" s="47"/>
      <c r="L58" s="47"/>
    </row>
    <row r="59" spans="1:12" ht="15" customHeight="1">
      <c r="A59" s="48">
        <f>'Members Data'!A59</f>
        <v>0</v>
      </c>
      <c r="B59" s="43">
        <f t="shared" si="3"/>
        <v>0</v>
      </c>
      <c r="C59" s="49">
        <f>'wk1'!K67+'wk2'!K67+'wk3'!K67+'wk4'!K67+'wk5'!K67</f>
        <v>0</v>
      </c>
      <c r="D59" s="49">
        <f>'wk1'!I67+'wk2'!I67+'wk3'!I67+'wk4'!I67+'wk5'!I67</f>
        <v>0</v>
      </c>
      <c r="E59" s="49">
        <f>'wk1'!L67+'wk2'!L67+'wk3'!L67+'wk4'!L67+'wk5'!L67</f>
        <v>0</v>
      </c>
      <c r="F59" s="50">
        <f>'wk1'!J67+'wk2'!J67+'wk3'!J67+'wk4'!J67+'wk5'!J67</f>
        <v>0</v>
      </c>
      <c r="G59" s="51">
        <f>'wk1'!O67+'wk2'!O67+'wk3'!O67+'wk4'!O67+'wk5'!O67</f>
        <v>0</v>
      </c>
      <c r="H59" s="140"/>
      <c r="I59" s="137">
        <f t="shared" si="1"/>
        <v>0</v>
      </c>
      <c r="J59" s="133">
        <f t="shared" si="2"/>
        <v>0</v>
      </c>
      <c r="K59" s="47"/>
      <c r="L59" s="47"/>
    </row>
    <row r="60" spans="1:12" ht="15" customHeight="1">
      <c r="A60" s="48">
        <f>'Members Data'!A60</f>
        <v>0</v>
      </c>
      <c r="B60" s="43">
        <f t="shared" si="3"/>
        <v>0</v>
      </c>
      <c r="C60" s="49">
        <f>'wk1'!K68+'wk2'!K68+'wk3'!K68+'wk4'!K68+'wk5'!K68</f>
        <v>0</v>
      </c>
      <c r="D60" s="49">
        <f>'wk1'!I68+'wk2'!I68+'wk3'!I68+'wk4'!I68+'wk5'!I68</f>
        <v>0</v>
      </c>
      <c r="E60" s="49">
        <f>'wk1'!L68+'wk2'!L68+'wk3'!L68+'wk4'!L68+'wk5'!L68</f>
        <v>0</v>
      </c>
      <c r="F60" s="50">
        <f>'wk1'!J68+'wk2'!J68+'wk3'!J68+'wk4'!J68+'wk5'!J68</f>
        <v>0</v>
      </c>
      <c r="G60" s="51">
        <f>'wk1'!O68+'wk2'!O68+'wk3'!O68+'wk4'!O68+'wk5'!O68</f>
        <v>0</v>
      </c>
      <c r="H60" s="140"/>
      <c r="I60" s="137">
        <f t="shared" si="1"/>
        <v>0</v>
      </c>
      <c r="J60" s="133">
        <f t="shared" si="2"/>
        <v>0</v>
      </c>
      <c r="K60" s="47"/>
      <c r="L60" s="47"/>
    </row>
    <row r="61" spans="1:12" ht="15" customHeight="1" thickBot="1">
      <c r="A61" s="144">
        <f>'Members Data'!A61</f>
        <v>0</v>
      </c>
      <c r="B61" s="145">
        <f t="shared" si="3"/>
        <v>0</v>
      </c>
      <c r="C61" s="145">
        <f>'wk1'!K69+'wk2'!K69+'wk3'!K69+'wk4'!K69+'wk5'!K69</f>
        <v>0</v>
      </c>
      <c r="D61" s="145">
        <f>'wk1'!I69+'wk2'!I69+'wk3'!I69+'wk4'!I69+'wk5'!I69</f>
        <v>0</v>
      </c>
      <c r="E61" s="145">
        <f>'wk1'!L69+'wk2'!L69+'wk3'!L69+'wk4'!L69+'wk5'!L69</f>
        <v>0</v>
      </c>
      <c r="F61" s="228">
        <f>'wk1'!J69+'wk2'!J69+'wk3'!J69+'wk4'!J69+'wk5'!J69</f>
        <v>0</v>
      </c>
      <c r="G61" s="148">
        <f>'wk1'!O69+'wk2'!O69+'wk3'!O69+'wk4'!O69+'wk5'!O69</f>
        <v>0</v>
      </c>
      <c r="H61" s="146"/>
      <c r="I61" s="147">
        <f t="shared" si="1"/>
        <v>0</v>
      </c>
      <c r="J61" s="148">
        <f t="shared" si="2"/>
        <v>0</v>
      </c>
      <c r="K61" s="47"/>
      <c r="L61" s="47"/>
    </row>
    <row r="62" spans="1:12" ht="15" customHeight="1" thickTop="1">
      <c r="A62" s="48" t="str">
        <f>'Members Data'!A62</f>
        <v>Kristofix</v>
      </c>
      <c r="B62" s="49">
        <f t="shared" si="3"/>
        <v>0</v>
      </c>
      <c r="C62" s="227">
        <f>'wk1'!K70+'wk2'!K70+'wk3'!K70+'wk4'!K70+'wk5'!K70</f>
        <v>0</v>
      </c>
      <c r="D62" s="227">
        <f>'wk1'!I70+'wk2'!I70+'wk3'!I70+'wk4'!I70+'wk5'!I70</f>
        <v>0</v>
      </c>
      <c r="E62" s="227">
        <f>'wk1'!L70+'wk2'!L70+'wk3'!L70+'wk4'!L70+'wk5'!L70</f>
        <v>0</v>
      </c>
      <c r="F62" s="229">
        <f>'wk1'!J70+'wk2'!J70+'wk3'!J70+'wk4'!J70+'wk5'!J70</f>
        <v>0</v>
      </c>
      <c r="G62" s="230">
        <f>'wk1'!O70+'wk2'!O70+'wk3'!O70+'wk4'!O70+'wk5'!O70</f>
        <v>0</v>
      </c>
      <c r="H62" s="140"/>
      <c r="I62" s="143">
        <f t="shared" si="1"/>
        <v>0</v>
      </c>
      <c r="J62" s="51">
        <f t="shared" si="2"/>
        <v>0</v>
      </c>
      <c r="K62" s="47"/>
      <c r="L62" s="47"/>
    </row>
    <row r="63" spans="1:12" ht="15" customHeight="1">
      <c r="A63" s="48" t="str">
        <f>'Members Data'!A63</f>
        <v>Nazgol</v>
      </c>
      <c r="B63" s="43">
        <f t="shared" si="3"/>
        <v>0</v>
      </c>
      <c r="C63" s="49">
        <f>'wk1'!K71+'wk2'!K71+'wk3'!K71+'wk4'!K71+'wk5'!K71</f>
        <v>0</v>
      </c>
      <c r="D63" s="49">
        <f>'wk1'!I71+'wk2'!I71+'wk3'!I71+'wk4'!I71+'wk5'!I71</f>
        <v>0</v>
      </c>
      <c r="E63" s="49">
        <f>'wk1'!L71+'wk2'!L71+'wk3'!L71+'wk4'!L71+'wk5'!L71</f>
        <v>0</v>
      </c>
      <c r="F63" s="50">
        <f>'wk1'!J71+'wk2'!J71+'wk3'!J71+'wk4'!J71+'wk5'!J71</f>
        <v>0</v>
      </c>
      <c r="G63" s="51">
        <f>'wk1'!O71+'wk2'!O71+'wk3'!O71+'wk4'!O71+'wk5'!O71</f>
        <v>0</v>
      </c>
      <c r="H63" s="140"/>
      <c r="I63" s="137">
        <f t="shared" si="1"/>
        <v>0</v>
      </c>
      <c r="J63" s="133">
        <f t="shared" si="2"/>
        <v>0</v>
      </c>
      <c r="K63" s="47"/>
      <c r="L63" s="47"/>
    </row>
    <row r="64" spans="1:12" ht="15" customHeight="1">
      <c r="A64" s="48" t="str">
        <f>'Members Data'!A64</f>
        <v>Icewinde</v>
      </c>
      <c r="B64" s="43">
        <f t="shared" si="3"/>
        <v>0</v>
      </c>
      <c r="C64" s="49">
        <f>'wk1'!K72+'wk2'!K72+'wk3'!K72+'wk4'!K72+'wk5'!K72</f>
        <v>0</v>
      </c>
      <c r="D64" s="49">
        <f>'wk1'!I72+'wk2'!I72+'wk3'!I72+'wk4'!I72+'wk5'!I72</f>
        <v>0</v>
      </c>
      <c r="E64" s="49">
        <f>'wk1'!L72+'wk2'!L72+'wk3'!L72+'wk4'!L72+'wk5'!L72</f>
        <v>0</v>
      </c>
      <c r="F64" s="50">
        <f>'wk1'!J72+'wk2'!J72+'wk3'!J72+'wk4'!J72+'wk5'!J72</f>
        <v>0</v>
      </c>
      <c r="G64" s="51">
        <f>'wk1'!O72+'wk2'!O72+'wk3'!O72+'wk4'!O72+'wk5'!O72</f>
        <v>0</v>
      </c>
      <c r="H64" s="140"/>
      <c r="I64" s="137">
        <f t="shared" si="1"/>
        <v>0</v>
      </c>
      <c r="J64" s="133">
        <f t="shared" si="2"/>
        <v>0</v>
      </c>
      <c r="K64" s="47"/>
      <c r="L64" s="47"/>
    </row>
    <row r="65" spans="1:12" ht="15" customHeight="1">
      <c r="A65" s="48" t="str">
        <f>'Members Data'!A65</f>
        <v>Ambú</v>
      </c>
      <c r="B65" s="43">
        <f t="shared" si="3"/>
        <v>0</v>
      </c>
      <c r="C65" s="49">
        <f>'wk1'!K73+'wk2'!K73+'wk3'!K73+'wk4'!K73+'wk5'!K73</f>
        <v>0</v>
      </c>
      <c r="D65" s="49">
        <f>'wk1'!I73+'wk2'!I73+'wk3'!I73+'wk4'!I73+'wk5'!I73</f>
        <v>0</v>
      </c>
      <c r="E65" s="49">
        <f>'wk1'!L73+'wk2'!L73+'wk3'!L73+'wk4'!L73+'wk5'!L73</f>
        <v>0</v>
      </c>
      <c r="F65" s="50">
        <f>'wk1'!J73+'wk2'!J73+'wk3'!J73+'wk4'!J73+'wk5'!J73</f>
        <v>0</v>
      </c>
      <c r="G65" s="51">
        <f>'wk1'!O73+'wk2'!O73+'wk3'!O73+'wk4'!O73+'wk5'!O73</f>
        <v>0</v>
      </c>
      <c r="H65" s="140"/>
      <c r="I65" s="137">
        <f t="shared" si="1"/>
        <v>0</v>
      </c>
      <c r="J65" s="133">
        <f t="shared" si="2"/>
        <v>0</v>
      </c>
      <c r="K65" s="47"/>
      <c r="L65" s="47"/>
    </row>
    <row r="66" spans="1:12" ht="15" customHeight="1">
      <c r="A66" s="48" t="str">
        <f>'Members Data'!A66</f>
        <v>Mortali</v>
      </c>
      <c r="B66" s="43">
        <f>SUM(C66:F66)</f>
        <v>0</v>
      </c>
      <c r="C66" s="49">
        <f>'wk1'!K74+'wk2'!K74+'wk3'!K74+'wk4'!K74+'wk5'!K74</f>
        <v>0</v>
      </c>
      <c r="D66" s="49">
        <f>'wk1'!I74+'wk2'!I74+'wk3'!I74+'wk4'!I74+'wk5'!I74</f>
        <v>0</v>
      </c>
      <c r="E66" s="49">
        <f>'wk1'!L74+'wk2'!L74+'wk3'!L74+'wk4'!L74+'wk5'!L74</f>
        <v>0</v>
      </c>
      <c r="F66" s="50">
        <f>'wk1'!J74+'wk2'!J74+'wk3'!J74+'wk4'!J74+'wk5'!J74</f>
        <v>0</v>
      </c>
      <c r="G66" s="51">
        <f>'wk1'!O74+'wk2'!O74+'wk3'!O74+'wk4'!O74+'wk5'!O74</f>
        <v>0</v>
      </c>
      <c r="H66" s="140"/>
      <c r="I66" s="137">
        <f t="shared" si="1"/>
        <v>0</v>
      </c>
      <c r="J66" s="133">
        <f t="shared" si="2"/>
        <v>0</v>
      </c>
      <c r="K66" s="47"/>
      <c r="L66" s="47"/>
    </row>
    <row r="67" spans="1:12" ht="15" customHeight="1">
      <c r="A67" s="48" t="str">
        <f>'Members Data'!A67</f>
        <v>Andreah</v>
      </c>
      <c r="B67" s="43">
        <f>SUM(C67:F67)</f>
        <v>0</v>
      </c>
      <c r="C67" s="49">
        <f>'wk1'!K75+'wk2'!K75+'wk3'!K75+'wk4'!K75+'wk5'!K75</f>
        <v>0</v>
      </c>
      <c r="D67" s="49">
        <f>'wk1'!I75+'wk2'!I75+'wk3'!I75+'wk4'!I75+'wk5'!I75</f>
        <v>0</v>
      </c>
      <c r="E67" s="49">
        <f>'wk1'!L75+'wk2'!L75+'wk3'!L75+'wk4'!L75+'wk5'!L75</f>
        <v>0</v>
      </c>
      <c r="F67" s="50">
        <f>'wk1'!J75+'wk2'!J75+'wk3'!J75+'wk4'!J75+'wk5'!J75</f>
        <v>0</v>
      </c>
      <c r="G67" s="51">
        <f>'wk1'!O75+'wk2'!O75+'wk3'!O75+'wk4'!O75+'wk5'!O75</f>
        <v>0</v>
      </c>
      <c r="H67" s="140"/>
      <c r="I67" s="137">
        <f>SUM(C67:D67)</f>
        <v>0</v>
      </c>
      <c r="J67" s="133">
        <f>SUM(E67:F67)</f>
        <v>0</v>
      </c>
      <c r="K67" s="47"/>
      <c r="L67" s="47"/>
    </row>
    <row r="68" spans="1:12" ht="15" customHeight="1">
      <c r="A68" s="48" t="str">
        <f>'Members Data'!A68</f>
        <v>Yardk</v>
      </c>
      <c r="B68" s="43">
        <f>SUM(C68:F68)</f>
        <v>0</v>
      </c>
      <c r="C68" s="49">
        <f>'wk1'!K76+'wk2'!K76+'wk3'!K76+'wk4'!K76+'wk5'!K76</f>
        <v>0</v>
      </c>
      <c r="D68" s="49">
        <f>'wk1'!I76+'wk2'!I76+'wk3'!I76+'wk4'!I76+'wk5'!I76</f>
        <v>0</v>
      </c>
      <c r="E68" s="49">
        <f>'wk1'!L76+'wk2'!L76+'wk3'!L76+'wk4'!L76+'wk5'!L76</f>
        <v>0</v>
      </c>
      <c r="F68" s="50">
        <f>'wk1'!J76+'wk2'!J76+'wk3'!J76+'wk4'!J76+'wk5'!J76</f>
        <v>0</v>
      </c>
      <c r="G68" s="51">
        <f>'wk1'!O76+'wk2'!O76+'wk3'!O76+'wk4'!O76+'wk5'!O76</f>
        <v>0</v>
      </c>
      <c r="H68" s="140"/>
      <c r="I68" s="137">
        <f>SUM(C68:D68)</f>
        <v>0</v>
      </c>
      <c r="J68" s="133">
        <f>SUM(E68:F68)</f>
        <v>0</v>
      </c>
      <c r="K68" s="47"/>
      <c r="L68" s="47"/>
    </row>
    <row r="69" spans="1:12" ht="15" customHeight="1">
      <c r="A69" s="48" t="str">
        <f>'Members Data'!A69</f>
        <v>Halfhorns</v>
      </c>
      <c r="B69" s="43">
        <f>SUM(C69:F69)</f>
        <v>0</v>
      </c>
      <c r="C69" s="49">
        <f>'wk1'!K77+'wk2'!K77+'wk3'!K77+'wk4'!K77+'wk5'!K77</f>
        <v>0</v>
      </c>
      <c r="D69" s="49">
        <f>'wk1'!I77+'wk2'!I77+'wk3'!I77+'wk4'!I77+'wk5'!I77</f>
        <v>0</v>
      </c>
      <c r="E69" s="49">
        <f>'wk1'!L77+'wk2'!L77+'wk3'!L77+'wk4'!L77+'wk5'!L77</f>
        <v>0</v>
      </c>
      <c r="F69" s="50">
        <f>'wk1'!J77+'wk2'!J77+'wk3'!J77+'wk4'!J77+'wk5'!J77</f>
        <v>0</v>
      </c>
      <c r="G69" s="51">
        <f>'wk1'!O77+'wk2'!O77+'wk3'!O77+'wk4'!O77+'wk5'!O77</f>
        <v>0</v>
      </c>
      <c r="H69" s="140"/>
      <c r="I69" s="137">
        <f>SUM(C69:D69)</f>
        <v>0</v>
      </c>
      <c r="J69" s="133">
        <f>SUM(E69:F69)</f>
        <v>0</v>
      </c>
      <c r="K69" s="47"/>
      <c r="L69" s="47"/>
    </row>
    <row r="70" spans="1:12" ht="15" customHeight="1">
      <c r="A70" s="48" t="str">
        <f>'Members Data'!A70</f>
        <v>Ebullio</v>
      </c>
      <c r="B70" s="43">
        <f>SUM(C70:F70)</f>
        <v>0</v>
      </c>
      <c r="C70" s="49">
        <f>'wk1'!K78+'wk2'!K78+'wk3'!K78+'wk4'!K78+'wk5'!K78</f>
        <v>0</v>
      </c>
      <c r="D70" s="49">
        <f>'wk1'!I78+'wk2'!I78+'wk3'!I78+'wk4'!I78+'wk5'!I78</f>
        <v>0</v>
      </c>
      <c r="E70" s="49">
        <f>'wk1'!L78+'wk2'!L78+'wk3'!L78+'wk4'!L78+'wk5'!L78</f>
        <v>0</v>
      </c>
      <c r="F70" s="50">
        <f>'wk1'!J78+'wk2'!J78+'wk3'!J78+'wk4'!J78+'wk5'!J78</f>
        <v>0</v>
      </c>
      <c r="G70" s="51">
        <f>'wk1'!O78+'wk2'!O78+'wk3'!O78+'wk4'!O78+'wk5'!O78</f>
        <v>0</v>
      </c>
      <c r="H70" s="140"/>
      <c r="I70" s="137">
        <f>SUM(C70:D70)</f>
        <v>0</v>
      </c>
      <c r="J70" s="133">
        <f>SUM(E70:F70)</f>
        <v>0</v>
      </c>
      <c r="K70" s="47"/>
      <c r="L70" s="47"/>
    </row>
    <row r="71" spans="1:12" ht="15" customHeight="1">
      <c r="A71" s="48" t="str">
        <f>'Members Data'!A71</f>
        <v>Fireaxe</v>
      </c>
      <c r="B71" s="43">
        <f t="shared" ref="B71:B100" si="4">SUM(C71:F71)</f>
        <v>0</v>
      </c>
      <c r="C71" s="49">
        <f>'wk1'!K79+'wk2'!K79+'wk3'!K79+'wk4'!K79+'wk5'!K79</f>
        <v>0</v>
      </c>
      <c r="D71" s="49">
        <f>'wk1'!I79+'wk2'!I79+'wk3'!I79+'wk4'!I79+'wk5'!I79</f>
        <v>0</v>
      </c>
      <c r="E71" s="49">
        <f>'wk1'!L79+'wk2'!L79+'wk3'!L79+'wk4'!L79+'wk5'!L79</f>
        <v>0</v>
      </c>
      <c r="F71" s="50">
        <f>'wk1'!J79+'wk2'!J79+'wk3'!J79+'wk4'!J79+'wk5'!J79</f>
        <v>0</v>
      </c>
      <c r="G71" s="51">
        <f>'wk1'!O79+'wk2'!O79+'wk3'!O79+'wk4'!O79+'wk5'!O79</f>
        <v>0</v>
      </c>
      <c r="H71" s="140"/>
      <c r="I71" s="137">
        <f t="shared" ref="I71:I100" si="5">SUM(C71:D71)</f>
        <v>0</v>
      </c>
      <c r="J71" s="133">
        <f t="shared" ref="J71:J100" si="6">SUM(E71:F71)</f>
        <v>0</v>
      </c>
      <c r="K71" s="47"/>
      <c r="L71" s="47"/>
    </row>
    <row r="72" spans="1:12" ht="15" customHeight="1">
      <c r="A72" s="48" t="str">
        <f>'Members Data'!A72</f>
        <v>Firefoxy</v>
      </c>
      <c r="B72" s="43">
        <f t="shared" si="4"/>
        <v>0</v>
      </c>
      <c r="C72" s="49">
        <f>'wk1'!K80+'wk2'!K80+'wk3'!K80+'wk4'!K80+'wk5'!K80</f>
        <v>0</v>
      </c>
      <c r="D72" s="49">
        <f>'wk1'!I80+'wk2'!I80+'wk3'!I80+'wk4'!I80+'wk5'!I80</f>
        <v>0</v>
      </c>
      <c r="E72" s="49">
        <f>'wk1'!L80+'wk2'!L80+'wk3'!L80+'wk4'!L80+'wk5'!L80</f>
        <v>0</v>
      </c>
      <c r="F72" s="50">
        <f>'wk1'!J80+'wk2'!J80+'wk3'!J80+'wk4'!J80+'wk5'!J80</f>
        <v>0</v>
      </c>
      <c r="G72" s="51">
        <f>'wk1'!O80+'wk2'!O80+'wk3'!O80+'wk4'!O80+'wk5'!O80</f>
        <v>0</v>
      </c>
      <c r="H72" s="140"/>
      <c r="I72" s="137">
        <f t="shared" si="5"/>
        <v>0</v>
      </c>
      <c r="J72" s="133">
        <f t="shared" si="6"/>
        <v>0</v>
      </c>
      <c r="K72" s="47"/>
      <c r="L72" s="47"/>
    </row>
    <row r="73" spans="1:12" ht="15" customHeight="1">
      <c r="A73" s="48" t="str">
        <f>'Members Data'!A73</f>
        <v>Boeyah</v>
      </c>
      <c r="B73" s="43">
        <f t="shared" si="4"/>
        <v>1</v>
      </c>
      <c r="C73" s="49">
        <f>'wk1'!K81+'wk2'!K81+'wk3'!K81+'wk4'!K81+'wk5'!K81</f>
        <v>0</v>
      </c>
      <c r="D73" s="49">
        <f>'wk1'!I81+'wk2'!I81+'wk3'!I81+'wk4'!I81+'wk5'!I81</f>
        <v>0</v>
      </c>
      <c r="E73" s="49">
        <f>'wk1'!L81+'wk2'!L81+'wk3'!L81+'wk4'!L81+'wk5'!L81</f>
        <v>0</v>
      </c>
      <c r="F73" s="50">
        <f>'wk1'!J81+'wk2'!J81+'wk3'!J81+'wk4'!J81+'wk5'!J81</f>
        <v>1</v>
      </c>
      <c r="G73" s="51">
        <f>'wk1'!O81+'wk2'!O81+'wk3'!O81+'wk4'!O81+'wk5'!O81</f>
        <v>0</v>
      </c>
      <c r="H73" s="140"/>
      <c r="I73" s="137">
        <f t="shared" si="5"/>
        <v>0</v>
      </c>
      <c r="J73" s="133">
        <f t="shared" si="6"/>
        <v>1</v>
      </c>
      <c r="K73" s="47"/>
      <c r="L73" s="47"/>
    </row>
    <row r="74" spans="1:12" ht="15" customHeight="1">
      <c r="A74" s="48" t="str">
        <f>'Members Data'!A74</f>
        <v>Judgementz</v>
      </c>
      <c r="B74" s="43">
        <f t="shared" si="4"/>
        <v>1</v>
      </c>
      <c r="C74" s="49">
        <f>'wk1'!K82+'wk2'!K82+'wk3'!K82+'wk4'!K82+'wk5'!K82</f>
        <v>0</v>
      </c>
      <c r="D74" s="49">
        <f>'wk1'!I82+'wk2'!I82+'wk3'!I82+'wk4'!I82+'wk5'!I82</f>
        <v>0</v>
      </c>
      <c r="E74" s="49">
        <f>'wk1'!L82+'wk2'!L82+'wk3'!L82+'wk4'!L82+'wk5'!L82</f>
        <v>0</v>
      </c>
      <c r="F74" s="50">
        <f>'wk1'!J82+'wk2'!J82+'wk3'!J82+'wk4'!J82+'wk5'!J82</f>
        <v>1</v>
      </c>
      <c r="G74" s="51">
        <f>'wk1'!O82+'wk2'!O82+'wk3'!O82+'wk4'!O82+'wk5'!O82</f>
        <v>0</v>
      </c>
      <c r="H74" s="140"/>
      <c r="I74" s="137">
        <f t="shared" si="5"/>
        <v>0</v>
      </c>
      <c r="J74" s="133">
        <f t="shared" si="6"/>
        <v>1</v>
      </c>
      <c r="K74" s="47"/>
      <c r="L74" s="47"/>
    </row>
    <row r="75" spans="1:12" ht="15" customHeight="1">
      <c r="A75" s="48">
        <f>'Members Data'!A75</f>
        <v>0</v>
      </c>
      <c r="B75" s="43">
        <f t="shared" si="4"/>
        <v>0</v>
      </c>
      <c r="C75" s="49">
        <f>'wk1'!K83+'wk2'!K83+'wk3'!K83+'wk4'!K83+'wk5'!K83</f>
        <v>0</v>
      </c>
      <c r="D75" s="49">
        <f>'wk1'!I83+'wk2'!I83+'wk3'!I83+'wk4'!I83+'wk5'!I83</f>
        <v>0</v>
      </c>
      <c r="E75" s="49">
        <f>'wk1'!L83+'wk2'!L83+'wk3'!L83+'wk4'!L83+'wk5'!L83</f>
        <v>0</v>
      </c>
      <c r="F75" s="50">
        <f>'wk1'!J83+'wk2'!J83+'wk3'!J83+'wk4'!J83+'wk5'!J83</f>
        <v>0</v>
      </c>
      <c r="G75" s="51">
        <f>'wk1'!O83+'wk2'!O83+'wk3'!O83+'wk4'!O83+'wk5'!O83</f>
        <v>0</v>
      </c>
      <c r="H75" s="140"/>
      <c r="I75" s="137">
        <f t="shared" si="5"/>
        <v>0</v>
      </c>
      <c r="J75" s="133">
        <f t="shared" si="6"/>
        <v>0</v>
      </c>
      <c r="K75" s="47"/>
      <c r="L75" s="47"/>
    </row>
    <row r="76" spans="1:12" ht="15" customHeight="1">
      <c r="A76" s="48">
        <f>'Members Data'!A76</f>
        <v>0</v>
      </c>
      <c r="B76" s="43">
        <f t="shared" si="4"/>
        <v>0</v>
      </c>
      <c r="C76" s="49">
        <f>'wk1'!K84+'wk2'!K84+'wk3'!K84+'wk4'!K84+'wk5'!K84</f>
        <v>0</v>
      </c>
      <c r="D76" s="49">
        <f>'wk1'!I84+'wk2'!I84+'wk3'!I84+'wk4'!I84+'wk5'!I84</f>
        <v>0</v>
      </c>
      <c r="E76" s="49">
        <f>'wk1'!L84+'wk2'!L84+'wk3'!L84+'wk4'!L84+'wk5'!L84</f>
        <v>0</v>
      </c>
      <c r="F76" s="50">
        <f>'wk1'!J84+'wk2'!J84+'wk3'!J84+'wk4'!J84+'wk5'!J84</f>
        <v>0</v>
      </c>
      <c r="G76" s="51">
        <f>'wk1'!O84+'wk2'!O84+'wk3'!O84+'wk4'!O84+'wk5'!O84</f>
        <v>0</v>
      </c>
      <c r="H76" s="140"/>
      <c r="I76" s="137">
        <f t="shared" si="5"/>
        <v>0</v>
      </c>
      <c r="J76" s="133">
        <f t="shared" si="6"/>
        <v>0</v>
      </c>
      <c r="K76" s="47"/>
      <c r="L76" s="47"/>
    </row>
    <row r="77" spans="1:12" ht="15" customHeight="1">
      <c r="A77" s="48">
        <f>'Members Data'!A77</f>
        <v>0</v>
      </c>
      <c r="B77" s="43">
        <f t="shared" si="4"/>
        <v>0</v>
      </c>
      <c r="C77" s="49">
        <f>'wk1'!K85+'wk2'!K85+'wk3'!K85+'wk4'!K85+'wk5'!K85</f>
        <v>0</v>
      </c>
      <c r="D77" s="49">
        <f>'wk1'!I85+'wk2'!I85+'wk3'!I85+'wk4'!I85+'wk5'!I85</f>
        <v>0</v>
      </c>
      <c r="E77" s="49">
        <f>'wk1'!L85+'wk2'!L85+'wk3'!L85+'wk4'!L85+'wk5'!L85</f>
        <v>0</v>
      </c>
      <c r="F77" s="50">
        <f>'wk1'!J85+'wk2'!J85+'wk3'!J85+'wk4'!J85+'wk5'!J85</f>
        <v>0</v>
      </c>
      <c r="G77" s="51">
        <f>'wk1'!O85+'wk2'!O85+'wk3'!O85+'wk4'!O85+'wk5'!O85</f>
        <v>0</v>
      </c>
      <c r="H77" s="140"/>
      <c r="I77" s="137">
        <f t="shared" si="5"/>
        <v>0</v>
      </c>
      <c r="J77" s="133">
        <f t="shared" si="6"/>
        <v>0</v>
      </c>
      <c r="K77" s="47"/>
      <c r="L77" s="47"/>
    </row>
    <row r="78" spans="1:12" ht="15" customHeight="1">
      <c r="A78" s="48">
        <f>'Members Data'!A78</f>
        <v>0</v>
      </c>
      <c r="B78" s="43">
        <f t="shared" si="4"/>
        <v>0</v>
      </c>
      <c r="C78" s="49">
        <f>'wk1'!K86+'wk2'!K86+'wk3'!K86+'wk4'!K86+'wk5'!K86</f>
        <v>0</v>
      </c>
      <c r="D78" s="49">
        <f>'wk1'!I86+'wk2'!I86+'wk3'!I86+'wk4'!I86+'wk5'!I86</f>
        <v>0</v>
      </c>
      <c r="E78" s="49">
        <f>'wk1'!L86+'wk2'!L86+'wk3'!L86+'wk4'!L86+'wk5'!L86</f>
        <v>0</v>
      </c>
      <c r="F78" s="50">
        <f>'wk1'!J86+'wk2'!J86+'wk3'!J86+'wk4'!J86+'wk5'!J86</f>
        <v>0</v>
      </c>
      <c r="G78" s="51">
        <f>'wk1'!O86+'wk2'!O86+'wk3'!O86+'wk4'!O86+'wk5'!O86</f>
        <v>0</v>
      </c>
      <c r="H78" s="140"/>
      <c r="I78" s="137">
        <f t="shared" si="5"/>
        <v>0</v>
      </c>
      <c r="J78" s="133">
        <f t="shared" si="6"/>
        <v>0</v>
      </c>
      <c r="K78" s="47"/>
      <c r="L78" s="47"/>
    </row>
    <row r="79" spans="1:12" ht="15" customHeight="1">
      <c r="A79" s="48">
        <f>'Members Data'!A79</f>
        <v>0</v>
      </c>
      <c r="B79" s="43">
        <f t="shared" si="4"/>
        <v>0</v>
      </c>
      <c r="C79" s="49">
        <f>'wk1'!K87+'wk2'!K87+'wk3'!K87+'wk4'!K87+'wk5'!K87</f>
        <v>0</v>
      </c>
      <c r="D79" s="49">
        <f>'wk1'!I87+'wk2'!I87+'wk3'!I87+'wk4'!I87+'wk5'!I87</f>
        <v>0</v>
      </c>
      <c r="E79" s="49">
        <f>'wk1'!L87+'wk2'!L87+'wk3'!L87+'wk4'!L87+'wk5'!L87</f>
        <v>0</v>
      </c>
      <c r="F79" s="50">
        <f>'wk1'!J87+'wk2'!J87+'wk3'!J87+'wk4'!J87+'wk5'!J87</f>
        <v>0</v>
      </c>
      <c r="G79" s="51">
        <f>'wk1'!O87+'wk2'!O87+'wk3'!O87+'wk4'!O87+'wk5'!O87</f>
        <v>0</v>
      </c>
      <c r="H79" s="140"/>
      <c r="I79" s="137">
        <f t="shared" si="5"/>
        <v>0</v>
      </c>
      <c r="J79" s="133">
        <f t="shared" si="6"/>
        <v>0</v>
      </c>
      <c r="K79" s="47"/>
      <c r="L79" s="47"/>
    </row>
    <row r="80" spans="1:12" ht="15" customHeight="1">
      <c r="A80" s="48">
        <f>'Members Data'!A80</f>
        <v>0</v>
      </c>
      <c r="B80" s="43">
        <f t="shared" si="4"/>
        <v>0</v>
      </c>
      <c r="C80" s="49">
        <f>'wk1'!K88+'wk2'!K88+'wk3'!K88+'wk4'!K88+'wk5'!K88</f>
        <v>0</v>
      </c>
      <c r="D80" s="49">
        <f>'wk1'!I88+'wk2'!I88+'wk3'!I88+'wk4'!I88+'wk5'!I88</f>
        <v>0</v>
      </c>
      <c r="E80" s="49">
        <f>'wk1'!L88+'wk2'!L88+'wk3'!L88+'wk4'!L88+'wk5'!L88</f>
        <v>0</v>
      </c>
      <c r="F80" s="50">
        <f>'wk1'!J88+'wk2'!J88+'wk3'!J88+'wk4'!J88+'wk5'!J88</f>
        <v>0</v>
      </c>
      <c r="G80" s="51">
        <f>'wk1'!O88+'wk2'!O88+'wk3'!O88+'wk4'!O88+'wk5'!O88</f>
        <v>0</v>
      </c>
      <c r="H80" s="140"/>
      <c r="I80" s="137">
        <f t="shared" si="5"/>
        <v>0</v>
      </c>
      <c r="J80" s="133">
        <f t="shared" si="6"/>
        <v>0</v>
      </c>
      <c r="K80" s="47"/>
      <c r="L80" s="47"/>
    </row>
    <row r="81" spans="1:12" ht="15" customHeight="1">
      <c r="A81" s="48">
        <f>'Members Data'!A81</f>
        <v>0</v>
      </c>
      <c r="B81" s="43">
        <f t="shared" si="4"/>
        <v>0</v>
      </c>
      <c r="C81" s="49">
        <f>'wk1'!K89+'wk2'!K89+'wk3'!K89+'wk4'!K89+'wk5'!K89</f>
        <v>0</v>
      </c>
      <c r="D81" s="49">
        <f>'wk1'!I89+'wk2'!I89+'wk3'!I89+'wk4'!I89+'wk5'!I89</f>
        <v>0</v>
      </c>
      <c r="E81" s="49">
        <f>'wk1'!L89+'wk2'!L89+'wk3'!L89+'wk4'!L89+'wk5'!L89</f>
        <v>0</v>
      </c>
      <c r="F81" s="50">
        <f>'wk1'!J89+'wk2'!J89+'wk3'!J89+'wk4'!J89+'wk5'!J89</f>
        <v>0</v>
      </c>
      <c r="G81" s="51">
        <f>'wk1'!O89+'wk2'!O89+'wk3'!O89+'wk4'!O89+'wk5'!O89</f>
        <v>0</v>
      </c>
      <c r="H81" s="140"/>
      <c r="I81" s="137">
        <f t="shared" si="5"/>
        <v>0</v>
      </c>
      <c r="J81" s="133">
        <f t="shared" si="6"/>
        <v>0</v>
      </c>
      <c r="K81" s="47"/>
      <c r="L81" s="47"/>
    </row>
    <row r="82" spans="1:12" ht="15" customHeight="1">
      <c r="A82" s="48">
        <f>'Members Data'!A82</f>
        <v>0</v>
      </c>
      <c r="B82" s="43">
        <f t="shared" si="4"/>
        <v>0</v>
      </c>
      <c r="C82" s="49">
        <f>'wk1'!K90+'wk2'!K90+'wk3'!K90+'wk4'!K90+'wk5'!K90</f>
        <v>0</v>
      </c>
      <c r="D82" s="49">
        <f>'wk1'!I90+'wk2'!I90+'wk3'!I90+'wk4'!I90+'wk5'!I90</f>
        <v>0</v>
      </c>
      <c r="E82" s="49">
        <f>'wk1'!L90+'wk2'!L90+'wk3'!L90+'wk4'!L90+'wk5'!L90</f>
        <v>0</v>
      </c>
      <c r="F82" s="50">
        <f>'wk1'!J90+'wk2'!J90+'wk3'!J90+'wk4'!J90+'wk5'!J90</f>
        <v>0</v>
      </c>
      <c r="G82" s="51">
        <f>'wk1'!O90+'wk2'!O90+'wk3'!O90+'wk4'!O90+'wk5'!O90</f>
        <v>0</v>
      </c>
      <c r="H82" s="140"/>
      <c r="I82" s="137">
        <f t="shared" si="5"/>
        <v>0</v>
      </c>
      <c r="J82" s="133">
        <f t="shared" si="6"/>
        <v>0</v>
      </c>
      <c r="K82" s="47"/>
      <c r="L82" s="47"/>
    </row>
    <row r="83" spans="1:12" ht="15" customHeight="1">
      <c r="A83" s="48">
        <f>'Members Data'!A83</f>
        <v>0</v>
      </c>
      <c r="B83" s="43">
        <f t="shared" si="4"/>
        <v>0</v>
      </c>
      <c r="C83" s="49">
        <f>'wk1'!K91+'wk2'!K91+'wk3'!K91+'wk4'!K91+'wk5'!K91</f>
        <v>0</v>
      </c>
      <c r="D83" s="49">
        <f>'wk1'!I91+'wk2'!I91+'wk3'!I91+'wk4'!I91+'wk5'!I91</f>
        <v>0</v>
      </c>
      <c r="E83" s="49">
        <f>'wk1'!L91+'wk2'!L91+'wk3'!L91+'wk4'!L91+'wk5'!L91</f>
        <v>0</v>
      </c>
      <c r="F83" s="50">
        <f>'wk1'!J91+'wk2'!J91+'wk3'!J91+'wk4'!J91+'wk5'!J91</f>
        <v>0</v>
      </c>
      <c r="G83" s="51">
        <f>'wk1'!O91+'wk2'!O91+'wk3'!O91+'wk4'!O91+'wk5'!O91</f>
        <v>0</v>
      </c>
      <c r="H83" s="140"/>
      <c r="I83" s="137">
        <f t="shared" si="5"/>
        <v>0</v>
      </c>
      <c r="J83" s="133">
        <f t="shared" si="6"/>
        <v>0</v>
      </c>
      <c r="K83" s="47"/>
      <c r="L83" s="47"/>
    </row>
    <row r="84" spans="1:12" ht="15" customHeight="1">
      <c r="A84" s="48">
        <f>'Members Data'!A84</f>
        <v>0</v>
      </c>
      <c r="B84" s="43">
        <f t="shared" si="4"/>
        <v>0</v>
      </c>
      <c r="C84" s="49">
        <f>'wk1'!K92+'wk2'!K92+'wk3'!K92+'wk4'!K92+'wk5'!K92</f>
        <v>0</v>
      </c>
      <c r="D84" s="49">
        <f>'wk1'!I92+'wk2'!I92+'wk3'!I92+'wk4'!I92+'wk5'!I92</f>
        <v>0</v>
      </c>
      <c r="E84" s="49">
        <f>'wk1'!L92+'wk2'!L92+'wk3'!L92+'wk4'!L92+'wk5'!L92</f>
        <v>0</v>
      </c>
      <c r="F84" s="50">
        <f>'wk1'!J92+'wk2'!J92+'wk3'!J92+'wk4'!J92+'wk5'!J92</f>
        <v>0</v>
      </c>
      <c r="G84" s="51">
        <f>'wk1'!O92+'wk2'!O92+'wk3'!O92+'wk4'!O92+'wk5'!O92</f>
        <v>0</v>
      </c>
      <c r="H84" s="140"/>
      <c r="I84" s="137">
        <f t="shared" si="5"/>
        <v>0</v>
      </c>
      <c r="J84" s="133">
        <f t="shared" si="6"/>
        <v>0</v>
      </c>
      <c r="K84" s="47"/>
      <c r="L84" s="47"/>
    </row>
    <row r="85" spans="1:12" ht="15" customHeight="1">
      <c r="A85" s="48">
        <f>'Members Data'!A85</f>
        <v>0</v>
      </c>
      <c r="B85" s="43">
        <f t="shared" si="4"/>
        <v>0</v>
      </c>
      <c r="C85" s="49">
        <f>'wk1'!K93+'wk2'!K93+'wk3'!K93+'wk4'!K93+'wk5'!K93</f>
        <v>0</v>
      </c>
      <c r="D85" s="49">
        <f>'wk1'!I93+'wk2'!I93+'wk3'!I93+'wk4'!I93+'wk5'!I93</f>
        <v>0</v>
      </c>
      <c r="E85" s="49">
        <f>'wk1'!L93+'wk2'!L93+'wk3'!L93+'wk4'!L93+'wk5'!L93</f>
        <v>0</v>
      </c>
      <c r="F85" s="50">
        <f>'wk1'!J93+'wk2'!J93+'wk3'!J93+'wk4'!J93+'wk5'!J93</f>
        <v>0</v>
      </c>
      <c r="G85" s="51">
        <f>'wk1'!O93+'wk2'!O93+'wk3'!O93+'wk4'!O93+'wk5'!O93</f>
        <v>0</v>
      </c>
      <c r="H85" s="140"/>
      <c r="I85" s="137">
        <f t="shared" si="5"/>
        <v>0</v>
      </c>
      <c r="J85" s="133">
        <f t="shared" si="6"/>
        <v>0</v>
      </c>
      <c r="K85" s="47"/>
      <c r="L85" s="47"/>
    </row>
    <row r="86" spans="1:12" ht="15" customHeight="1">
      <c r="A86" s="48">
        <f>'Members Data'!A86</f>
        <v>0</v>
      </c>
      <c r="B86" s="43">
        <f t="shared" si="4"/>
        <v>0</v>
      </c>
      <c r="C86" s="49">
        <f>'wk1'!K94+'wk2'!K94+'wk3'!K94+'wk4'!K94+'wk5'!K94</f>
        <v>0</v>
      </c>
      <c r="D86" s="49">
        <f>'wk1'!I94+'wk2'!I94+'wk3'!I94+'wk4'!I94+'wk5'!I94</f>
        <v>0</v>
      </c>
      <c r="E86" s="49">
        <f>'wk1'!L94+'wk2'!L94+'wk3'!L94+'wk4'!L94+'wk5'!L94</f>
        <v>0</v>
      </c>
      <c r="F86" s="50">
        <f>'wk1'!J94+'wk2'!J94+'wk3'!J94+'wk4'!J94+'wk5'!J94</f>
        <v>0</v>
      </c>
      <c r="G86" s="51">
        <f>'wk1'!O94+'wk2'!O94+'wk3'!O94+'wk4'!O94+'wk5'!O94</f>
        <v>0</v>
      </c>
      <c r="H86" s="140"/>
      <c r="I86" s="137">
        <f t="shared" si="5"/>
        <v>0</v>
      </c>
      <c r="J86" s="133">
        <f t="shared" si="6"/>
        <v>0</v>
      </c>
      <c r="K86" s="47"/>
      <c r="L86" s="47"/>
    </row>
    <row r="87" spans="1:12" ht="15" customHeight="1">
      <c r="A87" s="48">
        <f>'Members Data'!A87</f>
        <v>0</v>
      </c>
      <c r="B87" s="43">
        <f t="shared" si="4"/>
        <v>0</v>
      </c>
      <c r="C87" s="49">
        <f>'wk1'!K95+'wk2'!K95+'wk3'!K95+'wk4'!K95+'wk5'!K95</f>
        <v>0</v>
      </c>
      <c r="D87" s="49">
        <f>'wk1'!I95+'wk2'!I95+'wk3'!I95+'wk4'!I95+'wk5'!I95</f>
        <v>0</v>
      </c>
      <c r="E87" s="49">
        <f>'wk1'!L95+'wk2'!L95+'wk3'!L95+'wk4'!L95+'wk5'!L95</f>
        <v>0</v>
      </c>
      <c r="F87" s="50">
        <f>'wk1'!J95+'wk2'!J95+'wk3'!J95+'wk4'!J95+'wk5'!J95</f>
        <v>0</v>
      </c>
      <c r="G87" s="51">
        <f>'wk1'!O95+'wk2'!O95+'wk3'!O95+'wk4'!O95+'wk5'!O95</f>
        <v>0</v>
      </c>
      <c r="H87" s="140"/>
      <c r="I87" s="137">
        <f t="shared" si="5"/>
        <v>0</v>
      </c>
      <c r="J87" s="133">
        <f t="shared" si="6"/>
        <v>0</v>
      </c>
      <c r="K87" s="47"/>
      <c r="L87" s="47"/>
    </row>
    <row r="88" spans="1:12" ht="15" customHeight="1">
      <c r="A88" s="48">
        <f>'Members Data'!A88</f>
        <v>0</v>
      </c>
      <c r="B88" s="43">
        <f t="shared" si="4"/>
        <v>0</v>
      </c>
      <c r="C88" s="49">
        <f>'wk1'!K96+'wk2'!K96+'wk3'!K96+'wk4'!K96+'wk5'!K96</f>
        <v>0</v>
      </c>
      <c r="D88" s="49">
        <f>'wk1'!I96+'wk2'!I96+'wk3'!I96+'wk4'!I96+'wk5'!I96</f>
        <v>0</v>
      </c>
      <c r="E88" s="49">
        <f>'wk1'!L96+'wk2'!L96+'wk3'!L96+'wk4'!L96+'wk5'!L96</f>
        <v>0</v>
      </c>
      <c r="F88" s="50">
        <f>'wk1'!J96+'wk2'!J96+'wk3'!J96+'wk4'!J96+'wk5'!J96</f>
        <v>0</v>
      </c>
      <c r="G88" s="51">
        <f>'wk1'!O96+'wk2'!O96+'wk3'!O96+'wk4'!O96+'wk5'!O96</f>
        <v>0</v>
      </c>
      <c r="H88" s="140"/>
      <c r="I88" s="137">
        <f t="shared" si="5"/>
        <v>0</v>
      </c>
      <c r="J88" s="133">
        <f t="shared" si="6"/>
        <v>0</v>
      </c>
      <c r="K88" s="47"/>
      <c r="L88" s="47"/>
    </row>
    <row r="89" spans="1:12" ht="15" customHeight="1">
      <c r="A89" s="48">
        <f>'Members Data'!A89</f>
        <v>0</v>
      </c>
      <c r="B89" s="43">
        <f t="shared" si="4"/>
        <v>0</v>
      </c>
      <c r="C89" s="49">
        <f>'wk1'!K97+'wk2'!K97+'wk3'!K97+'wk4'!K97+'wk5'!K97</f>
        <v>0</v>
      </c>
      <c r="D89" s="49">
        <f>'wk1'!I97+'wk2'!I97+'wk3'!I97+'wk4'!I97+'wk5'!I97</f>
        <v>0</v>
      </c>
      <c r="E89" s="49">
        <f>'wk1'!L97+'wk2'!L97+'wk3'!L97+'wk4'!L97+'wk5'!L97</f>
        <v>0</v>
      </c>
      <c r="F89" s="50">
        <f>'wk1'!J97+'wk2'!J97+'wk3'!J97+'wk4'!J97+'wk5'!J97</f>
        <v>0</v>
      </c>
      <c r="G89" s="51">
        <f>'wk1'!O97+'wk2'!O97+'wk3'!O97+'wk4'!O97+'wk5'!O97</f>
        <v>0</v>
      </c>
      <c r="H89" s="140"/>
      <c r="I89" s="137">
        <f t="shared" si="5"/>
        <v>0</v>
      </c>
      <c r="J89" s="133">
        <f t="shared" si="6"/>
        <v>0</v>
      </c>
      <c r="K89" s="47"/>
      <c r="L89" s="47"/>
    </row>
    <row r="90" spans="1:12" ht="15" customHeight="1">
      <c r="A90" s="48">
        <f>'Members Data'!A90</f>
        <v>0</v>
      </c>
      <c r="B90" s="43">
        <f t="shared" si="4"/>
        <v>0</v>
      </c>
      <c r="C90" s="49">
        <f>'wk1'!K98+'wk2'!K98+'wk3'!K98+'wk4'!K98+'wk5'!K98</f>
        <v>0</v>
      </c>
      <c r="D90" s="49">
        <f>'wk1'!I98+'wk2'!I98+'wk3'!I98+'wk4'!I98+'wk5'!I98</f>
        <v>0</v>
      </c>
      <c r="E90" s="49">
        <f>'wk1'!L98+'wk2'!L98+'wk3'!L98+'wk4'!L98+'wk5'!L98</f>
        <v>0</v>
      </c>
      <c r="F90" s="50">
        <f>'wk1'!J98+'wk2'!J98+'wk3'!J98+'wk4'!J98+'wk5'!J98</f>
        <v>0</v>
      </c>
      <c r="G90" s="51">
        <f>'wk1'!O98+'wk2'!O98+'wk3'!O98+'wk4'!O98+'wk5'!O98</f>
        <v>0</v>
      </c>
      <c r="H90" s="140"/>
      <c r="I90" s="137">
        <f t="shared" si="5"/>
        <v>0</v>
      </c>
      <c r="J90" s="133">
        <f t="shared" si="6"/>
        <v>0</v>
      </c>
      <c r="K90" s="47"/>
      <c r="L90" s="47"/>
    </row>
    <row r="91" spans="1:12" ht="15" customHeight="1">
      <c r="A91" s="48">
        <f>'Members Data'!A91</f>
        <v>0</v>
      </c>
      <c r="B91" s="43">
        <f t="shared" si="4"/>
        <v>0</v>
      </c>
      <c r="C91" s="49">
        <f>'wk1'!K99+'wk2'!K99+'wk3'!K99+'wk4'!K99+'wk5'!K99</f>
        <v>0</v>
      </c>
      <c r="D91" s="49">
        <f>'wk1'!I99+'wk2'!I99+'wk3'!I99+'wk4'!I99+'wk5'!I99</f>
        <v>0</v>
      </c>
      <c r="E91" s="49">
        <f>'wk1'!L99+'wk2'!L99+'wk3'!L99+'wk4'!L99+'wk5'!L99</f>
        <v>0</v>
      </c>
      <c r="F91" s="50">
        <f>'wk1'!J99+'wk2'!J99+'wk3'!J99+'wk4'!J99+'wk5'!J99</f>
        <v>0</v>
      </c>
      <c r="G91" s="51">
        <f>'wk1'!O99+'wk2'!O99+'wk3'!O99+'wk4'!O99+'wk5'!O99</f>
        <v>0</v>
      </c>
      <c r="H91" s="140"/>
      <c r="I91" s="137">
        <f t="shared" si="5"/>
        <v>0</v>
      </c>
      <c r="J91" s="133">
        <f t="shared" si="6"/>
        <v>0</v>
      </c>
      <c r="K91" s="47"/>
      <c r="L91" s="47"/>
    </row>
    <row r="92" spans="1:12" ht="15" customHeight="1">
      <c r="A92" s="48">
        <f>'Members Data'!A92</f>
        <v>0</v>
      </c>
      <c r="B92" s="43">
        <f t="shared" si="4"/>
        <v>0</v>
      </c>
      <c r="C92" s="49">
        <f>'wk1'!K100+'wk2'!K100+'wk3'!K100+'wk4'!K100+'wk5'!K100</f>
        <v>0</v>
      </c>
      <c r="D92" s="49">
        <f>'wk1'!I100+'wk2'!I100+'wk3'!I100+'wk4'!I100+'wk5'!I100</f>
        <v>0</v>
      </c>
      <c r="E92" s="49">
        <f>'wk1'!L100+'wk2'!L100+'wk3'!L100+'wk4'!L100+'wk5'!L100</f>
        <v>0</v>
      </c>
      <c r="F92" s="50">
        <f>'wk1'!J100+'wk2'!J100+'wk3'!J100+'wk4'!J100+'wk5'!J100</f>
        <v>0</v>
      </c>
      <c r="G92" s="51">
        <f>'wk1'!O100+'wk2'!O100+'wk3'!O100+'wk4'!O100+'wk5'!O100</f>
        <v>0</v>
      </c>
      <c r="H92" s="140"/>
      <c r="I92" s="137">
        <f t="shared" si="5"/>
        <v>0</v>
      </c>
      <c r="J92" s="133">
        <f t="shared" si="6"/>
        <v>0</v>
      </c>
      <c r="K92" s="47"/>
      <c r="L92" s="47"/>
    </row>
    <row r="93" spans="1:12" ht="15" customHeight="1">
      <c r="A93" s="48">
        <f>'Members Data'!A93</f>
        <v>0</v>
      </c>
      <c r="B93" s="43">
        <f t="shared" si="4"/>
        <v>0</v>
      </c>
      <c r="C93" s="49">
        <f>'wk1'!K101+'wk2'!K101+'wk3'!K101+'wk4'!K101+'wk5'!K101</f>
        <v>0</v>
      </c>
      <c r="D93" s="49">
        <f>'wk1'!I101+'wk2'!I101+'wk3'!I101+'wk4'!I101+'wk5'!I101</f>
        <v>0</v>
      </c>
      <c r="E93" s="49">
        <f>'wk1'!L101+'wk2'!L101+'wk3'!L101+'wk4'!L101+'wk5'!L101</f>
        <v>0</v>
      </c>
      <c r="F93" s="50">
        <f>'wk1'!J101+'wk2'!J101+'wk3'!J101+'wk4'!J101+'wk5'!J101</f>
        <v>0</v>
      </c>
      <c r="G93" s="51">
        <f>'wk1'!O101+'wk2'!O101+'wk3'!O101+'wk4'!O101+'wk5'!O101</f>
        <v>0</v>
      </c>
      <c r="H93" s="140"/>
      <c r="I93" s="137">
        <f t="shared" si="5"/>
        <v>0</v>
      </c>
      <c r="J93" s="133">
        <f t="shared" si="6"/>
        <v>0</v>
      </c>
      <c r="K93" s="47"/>
      <c r="L93" s="47"/>
    </row>
    <row r="94" spans="1:12" ht="15" customHeight="1">
      <c r="A94" s="48">
        <f>'Members Data'!A94</f>
        <v>0</v>
      </c>
      <c r="B94" s="43">
        <f t="shared" si="4"/>
        <v>0</v>
      </c>
      <c r="C94" s="49">
        <f>'wk1'!K102+'wk2'!K102+'wk3'!K102+'wk4'!K102+'wk5'!K102</f>
        <v>0</v>
      </c>
      <c r="D94" s="49">
        <f>'wk1'!I102+'wk2'!I102+'wk3'!I102+'wk4'!I102+'wk5'!I102</f>
        <v>0</v>
      </c>
      <c r="E94" s="49">
        <f>'wk1'!L102+'wk2'!L102+'wk3'!L102+'wk4'!L102+'wk5'!L102</f>
        <v>0</v>
      </c>
      <c r="F94" s="50">
        <f>'wk1'!J102+'wk2'!J102+'wk3'!J102+'wk4'!J102+'wk5'!J102</f>
        <v>0</v>
      </c>
      <c r="G94" s="51">
        <f>'wk1'!O102+'wk2'!O102+'wk3'!O102+'wk4'!O102+'wk5'!O102</f>
        <v>0</v>
      </c>
      <c r="H94" s="140"/>
      <c r="I94" s="137">
        <f t="shared" si="5"/>
        <v>0</v>
      </c>
      <c r="J94" s="133">
        <f t="shared" si="6"/>
        <v>0</v>
      </c>
      <c r="K94" s="47"/>
      <c r="L94" s="47"/>
    </row>
    <row r="95" spans="1:12" ht="15" customHeight="1">
      <c r="A95" s="48">
        <f>'Members Data'!A95</f>
        <v>0</v>
      </c>
      <c r="B95" s="43">
        <f t="shared" si="4"/>
        <v>0</v>
      </c>
      <c r="C95" s="49">
        <f>'wk1'!K103+'wk2'!K103+'wk3'!K103+'wk4'!K103+'wk5'!K103</f>
        <v>0</v>
      </c>
      <c r="D95" s="49">
        <f>'wk1'!I103+'wk2'!I103+'wk3'!I103+'wk4'!I103+'wk5'!I103</f>
        <v>0</v>
      </c>
      <c r="E95" s="49">
        <f>'wk1'!L103+'wk2'!L103+'wk3'!L103+'wk4'!L103+'wk5'!L103</f>
        <v>0</v>
      </c>
      <c r="F95" s="50">
        <f>'wk1'!J103+'wk2'!J103+'wk3'!J103+'wk4'!J103+'wk5'!J103</f>
        <v>0</v>
      </c>
      <c r="G95" s="51">
        <f>'wk1'!O103+'wk2'!O103+'wk3'!O103+'wk4'!O103+'wk5'!O103</f>
        <v>0</v>
      </c>
      <c r="H95" s="140"/>
      <c r="I95" s="137">
        <f t="shared" si="5"/>
        <v>0</v>
      </c>
      <c r="J95" s="133">
        <f t="shared" si="6"/>
        <v>0</v>
      </c>
      <c r="K95" s="47"/>
      <c r="L95" s="47"/>
    </row>
    <row r="96" spans="1:12" ht="15" customHeight="1">
      <c r="A96" s="48">
        <f>'Members Data'!A96</f>
        <v>0</v>
      </c>
      <c r="B96" s="43">
        <f t="shared" si="4"/>
        <v>0</v>
      </c>
      <c r="C96" s="49">
        <f>'wk1'!K104+'wk2'!K104+'wk3'!K104+'wk4'!K104+'wk5'!K104</f>
        <v>0</v>
      </c>
      <c r="D96" s="49">
        <f>'wk1'!I104+'wk2'!I104+'wk3'!I104+'wk4'!I104+'wk5'!I104</f>
        <v>0</v>
      </c>
      <c r="E96" s="49">
        <f>'wk1'!L104+'wk2'!L104+'wk3'!L104+'wk4'!L104+'wk5'!L104</f>
        <v>0</v>
      </c>
      <c r="F96" s="50">
        <f>'wk1'!J104+'wk2'!J104+'wk3'!J104+'wk4'!J104+'wk5'!J104</f>
        <v>0</v>
      </c>
      <c r="G96" s="51">
        <f>'wk1'!O104+'wk2'!O104+'wk3'!O104+'wk4'!O104+'wk5'!O104</f>
        <v>0</v>
      </c>
      <c r="H96" s="140"/>
      <c r="I96" s="137">
        <f t="shared" si="5"/>
        <v>0</v>
      </c>
      <c r="J96" s="133">
        <f t="shared" si="6"/>
        <v>0</v>
      </c>
      <c r="K96" s="47"/>
      <c r="L96" s="47"/>
    </row>
    <row r="97" spans="1:12" ht="15" customHeight="1">
      <c r="A97" s="48">
        <f>'Members Data'!A97</f>
        <v>0</v>
      </c>
      <c r="B97" s="43">
        <f t="shared" si="4"/>
        <v>0</v>
      </c>
      <c r="C97" s="49">
        <f>'wk1'!K105+'wk2'!K105+'wk3'!K105+'wk4'!K105+'wk5'!K105</f>
        <v>0</v>
      </c>
      <c r="D97" s="49">
        <f>'wk1'!I105+'wk2'!I105+'wk3'!I105+'wk4'!I105+'wk5'!I105</f>
        <v>0</v>
      </c>
      <c r="E97" s="49">
        <f>'wk1'!L105+'wk2'!L105+'wk3'!L105+'wk4'!L105+'wk5'!L105</f>
        <v>0</v>
      </c>
      <c r="F97" s="50">
        <f>'wk1'!J105+'wk2'!J105+'wk3'!J105+'wk4'!J105+'wk5'!J105</f>
        <v>0</v>
      </c>
      <c r="G97" s="51">
        <f>'wk1'!O105+'wk2'!O105+'wk3'!O105+'wk4'!O105+'wk5'!O105</f>
        <v>0</v>
      </c>
      <c r="H97" s="140"/>
      <c r="I97" s="137">
        <f t="shared" si="5"/>
        <v>0</v>
      </c>
      <c r="J97" s="133">
        <f t="shared" si="6"/>
        <v>0</v>
      </c>
      <c r="K97" s="47"/>
      <c r="L97" s="47"/>
    </row>
    <row r="98" spans="1:12" ht="15" customHeight="1">
      <c r="A98" s="48">
        <f>'Members Data'!A98</f>
        <v>0</v>
      </c>
      <c r="B98" s="43">
        <f t="shared" si="4"/>
        <v>0</v>
      </c>
      <c r="C98" s="49">
        <f>'wk1'!K106+'wk2'!K106+'wk3'!K106+'wk4'!K106+'wk5'!K106</f>
        <v>0</v>
      </c>
      <c r="D98" s="49">
        <f>'wk1'!I106+'wk2'!I106+'wk3'!I106+'wk4'!I106+'wk5'!I106</f>
        <v>0</v>
      </c>
      <c r="E98" s="49">
        <f>'wk1'!L106+'wk2'!L106+'wk3'!L106+'wk4'!L106+'wk5'!L106</f>
        <v>0</v>
      </c>
      <c r="F98" s="50">
        <f>'wk1'!J106+'wk2'!J106+'wk3'!J106+'wk4'!J106+'wk5'!J106</f>
        <v>0</v>
      </c>
      <c r="G98" s="51">
        <f>'wk1'!O106+'wk2'!O106+'wk3'!O106+'wk4'!O106+'wk5'!O106</f>
        <v>0</v>
      </c>
      <c r="H98" s="140"/>
      <c r="I98" s="137">
        <f t="shared" si="5"/>
        <v>0</v>
      </c>
      <c r="J98" s="133">
        <f t="shared" si="6"/>
        <v>0</v>
      </c>
      <c r="K98" s="47"/>
      <c r="L98" s="47"/>
    </row>
    <row r="99" spans="1:12" ht="15" customHeight="1">
      <c r="A99" s="48">
        <f>'Members Data'!A99</f>
        <v>0</v>
      </c>
      <c r="B99" s="43">
        <f t="shared" si="4"/>
        <v>0</v>
      </c>
      <c r="C99" s="49">
        <f>'wk1'!K107+'wk2'!K107+'wk3'!K107+'wk4'!K107+'wk5'!K107</f>
        <v>0</v>
      </c>
      <c r="D99" s="49">
        <f>'wk1'!I107+'wk2'!I107+'wk3'!I107+'wk4'!I107+'wk5'!I107</f>
        <v>0</v>
      </c>
      <c r="E99" s="49">
        <f>'wk1'!L107+'wk2'!L107+'wk3'!L107+'wk4'!L107+'wk5'!L107</f>
        <v>0</v>
      </c>
      <c r="F99" s="50">
        <f>'wk1'!J107+'wk2'!J107+'wk3'!J107+'wk4'!J107+'wk5'!J107</f>
        <v>0</v>
      </c>
      <c r="G99" s="51">
        <f>'wk1'!O107+'wk2'!O107+'wk3'!O107+'wk4'!O107+'wk5'!O107</f>
        <v>0</v>
      </c>
      <c r="H99" s="140"/>
      <c r="I99" s="137">
        <f t="shared" si="5"/>
        <v>0</v>
      </c>
      <c r="J99" s="133">
        <f t="shared" si="6"/>
        <v>0</v>
      </c>
      <c r="K99" s="47"/>
      <c r="L99" s="47"/>
    </row>
    <row r="100" spans="1:12" ht="15" customHeight="1" thickBot="1">
      <c r="A100" s="225">
        <f>'Members Data'!A100</f>
        <v>0</v>
      </c>
      <c r="B100" s="52">
        <f t="shared" si="4"/>
        <v>0</v>
      </c>
      <c r="C100" s="52">
        <f>'wk1'!K108+'wk2'!K108+'wk3'!K108+'wk4'!K108+'wk5'!K108</f>
        <v>0</v>
      </c>
      <c r="D100" s="52">
        <f>'wk1'!I108+'wk2'!I108+'wk3'!I108+'wk4'!I108+'wk5'!I108</f>
        <v>0</v>
      </c>
      <c r="E100" s="52">
        <f>'wk1'!L108+'wk2'!L108+'wk3'!L108+'wk4'!L108+'wk5'!L108</f>
        <v>0</v>
      </c>
      <c r="F100" s="17">
        <f>'wk1'!J108+'wk2'!J108+'wk3'!J108+'wk4'!J108+'wk5'!J108</f>
        <v>0</v>
      </c>
      <c r="G100" s="134">
        <f>'wk1'!O108+'wk2'!O108+'wk3'!O108+'wk4'!O108+'wk5'!O108</f>
        <v>0</v>
      </c>
      <c r="H100" s="141"/>
      <c r="I100" s="138">
        <f t="shared" si="5"/>
        <v>0</v>
      </c>
      <c r="J100" s="134">
        <f t="shared" si="6"/>
        <v>0</v>
      </c>
      <c r="K100" s="47"/>
      <c r="L100" s="47"/>
    </row>
    <row r="101" spans="1:12" ht="15" customHeight="1">
      <c r="H101" s="47"/>
      <c r="I101" s="47"/>
      <c r="J101" s="47"/>
      <c r="K101" s="47"/>
      <c r="L101" s="47"/>
    </row>
    <row r="102" spans="1:12" ht="15" customHeight="1">
      <c r="H102" s="47"/>
      <c r="I102" s="47"/>
      <c r="J102" s="47"/>
      <c r="K102" s="47"/>
      <c r="L102" s="47"/>
    </row>
    <row r="103" spans="1:12" ht="15" customHeight="1">
      <c r="H103" s="47"/>
      <c r="I103" s="47"/>
      <c r="J103" s="47"/>
      <c r="K103" s="47"/>
      <c r="L103" s="47"/>
    </row>
  </sheetData>
  <sheetProtection sheet="1" objects="1" scenarios="1"/>
  <conditionalFormatting sqref="A2:A70">
    <cfRule type="expression" dxfId="40" priority="4" stopIfTrue="1">
      <formula>IF(G2&gt;0,TRUE)</formula>
    </cfRule>
    <cfRule type="expression" dxfId="39" priority="5" stopIfTrue="1">
      <formula>IF(B2&gt;7,TRUE)</formula>
    </cfRule>
    <cfRule type="expression" dxfId="38" priority="6" stopIfTrue="1">
      <formula>IF(B2&lt;8,TRUE)</formula>
    </cfRule>
  </conditionalFormatting>
  <conditionalFormatting sqref="A71:A100">
    <cfRule type="expression" dxfId="37" priority="1" stopIfTrue="1">
      <formula>IF(G71&gt;0,TRUE)</formula>
    </cfRule>
    <cfRule type="expression" dxfId="36" priority="2" stopIfTrue="1">
      <formula>IF(B71&gt;7,TRUE)</formula>
    </cfRule>
    <cfRule type="expression" dxfId="35" priority="3" stopIfTrue="1">
      <formula>IF(B71&lt;8,TRUE)</formula>
    </cfRule>
  </conditionalFormatting>
  <pageMargins left="0.7" right="0.7" top="0.75" bottom="0.75" header="0.51180555555555551" footer="0.51180555555555551"/>
  <pageSetup firstPageNumber="0"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filterMode="1"/>
  <dimension ref="A1:AA105"/>
  <sheetViews>
    <sheetView topLeftCell="C1" workbookViewId="0">
      <selection activeCell="C1" sqref="C1"/>
    </sheetView>
  </sheetViews>
  <sheetFormatPr defaultRowHeight="12.75"/>
  <cols>
    <col min="1" max="1" width="20.7109375" hidden="1" customWidth="1"/>
    <col min="2" max="2" width="12.85546875" hidden="1" customWidth="1"/>
    <col min="3" max="3" width="12.5703125" bestFit="1" customWidth="1"/>
    <col min="4" max="4" width="12.5703125" style="119" hidden="1" customWidth="1"/>
    <col min="5" max="5" width="12.5703125" customWidth="1"/>
    <col min="6" max="6" width="12.5703125" style="343" hidden="1" customWidth="1"/>
    <col min="7" max="7" width="12.5703125" customWidth="1"/>
    <col min="8" max="8" width="12.5703125" style="343" hidden="1" customWidth="1"/>
    <col min="9" max="9" width="12.7109375" customWidth="1"/>
    <col min="10" max="10" width="12.7109375" style="343" hidden="1" customWidth="1"/>
    <col min="11" max="11" width="12.7109375" customWidth="1"/>
    <col min="12" max="12" width="12.7109375" style="343" hidden="1" customWidth="1"/>
    <col min="13" max="13" width="12.7109375" customWidth="1"/>
    <col min="14" max="14" width="12.7109375" style="343" hidden="1" customWidth="1"/>
    <col min="15" max="15" width="12.7109375" customWidth="1"/>
    <col min="16" max="16" width="25.5703125" style="343" hidden="1" customWidth="1"/>
    <col min="17" max="17" width="6.7109375" style="344" hidden="1" customWidth="1"/>
    <col min="18" max="18" width="13.85546875" bestFit="1" customWidth="1"/>
    <col min="19" max="19" width="9.140625" hidden="1" customWidth="1"/>
    <col min="20" max="20" width="10.85546875" customWidth="1"/>
    <col min="21" max="26" width="9.140625" hidden="1" customWidth="1"/>
    <col min="27" max="27" width="12.85546875" hidden="1" customWidth="1"/>
  </cols>
  <sheetData>
    <row r="1" spans="1:27" ht="13.5" thickBot="1">
      <c r="F1" s="344"/>
      <c r="G1" s="119"/>
      <c r="H1" s="344"/>
      <c r="I1" s="119"/>
      <c r="J1" s="344"/>
      <c r="K1" s="119"/>
      <c r="L1" s="344"/>
      <c r="M1" s="119"/>
      <c r="N1" s="344"/>
      <c r="O1" s="119"/>
      <c r="P1" s="344"/>
    </row>
    <row r="2" spans="1:27" ht="14.25" thickTop="1" thickBot="1">
      <c r="A2" t="s">
        <v>153</v>
      </c>
      <c r="C2" s="345" t="s">
        <v>161</v>
      </c>
      <c r="D2" s="268" t="s">
        <v>155</v>
      </c>
      <c r="E2" s="345" t="s">
        <v>161</v>
      </c>
      <c r="F2" s="268" t="s">
        <v>155</v>
      </c>
      <c r="G2" s="345" t="s">
        <v>161</v>
      </c>
      <c r="H2" s="268" t="s">
        <v>155</v>
      </c>
      <c r="I2" s="339" t="s">
        <v>174</v>
      </c>
      <c r="J2" s="268" t="s">
        <v>155</v>
      </c>
      <c r="K2" s="340" t="s">
        <v>175</v>
      </c>
      <c r="L2" s="268" t="s">
        <v>155</v>
      </c>
      <c r="M2" s="340" t="s">
        <v>176</v>
      </c>
      <c r="N2" s="268" t="s">
        <v>155</v>
      </c>
      <c r="O2" s="340" t="s">
        <v>175</v>
      </c>
      <c r="P2" s="268" t="s">
        <v>155</v>
      </c>
      <c r="Q2" s="268"/>
      <c r="R2" s="345" t="s">
        <v>161</v>
      </c>
      <c r="S2" t="s">
        <v>157</v>
      </c>
    </row>
    <row r="3" spans="1:27" ht="14.25" thickTop="1" thickBot="1">
      <c r="A3" t="s">
        <v>154</v>
      </c>
      <c r="C3" s="300" t="s">
        <v>26</v>
      </c>
      <c r="D3" t="s">
        <v>156</v>
      </c>
      <c r="E3" s="301" t="s">
        <v>165</v>
      </c>
      <c r="F3" t="s">
        <v>156</v>
      </c>
      <c r="G3" s="302" t="s">
        <v>167</v>
      </c>
      <c r="H3" t="s">
        <v>156</v>
      </c>
      <c r="I3" s="303" t="s">
        <v>166</v>
      </c>
      <c r="J3" t="s">
        <v>156</v>
      </c>
      <c r="K3" s="304" t="s">
        <v>52</v>
      </c>
      <c r="L3" t="s">
        <v>156</v>
      </c>
      <c r="M3" s="304" t="s">
        <v>166</v>
      </c>
      <c r="N3" t="s">
        <v>156</v>
      </c>
      <c r="O3" s="304" t="s">
        <v>52</v>
      </c>
      <c r="P3" t="s">
        <v>156</v>
      </c>
      <c r="Q3"/>
      <c r="R3" s="305" t="s">
        <v>164</v>
      </c>
      <c r="S3" t="s">
        <v>158</v>
      </c>
    </row>
    <row r="4" spans="1:27" hidden="1">
      <c r="A4" t="s">
        <v>154</v>
      </c>
      <c r="B4" t="str">
        <f t="shared" ref="B4:B5" si="0">IF(R4 &gt;0, "[color=red]", IF(R4 =0, "[color=orange]", IF(R4 &lt;-11,  "[color=blue]", "[color=green]")))</f>
        <v>[color=orange]</v>
      </c>
      <c r="C4" s="291">
        <f>'Members Data'!A98</f>
        <v>0</v>
      </c>
      <c r="D4" s="320" t="s">
        <v>156</v>
      </c>
      <c r="E4" s="292">
        <f>'Members Data'!D98</f>
        <v>0</v>
      </c>
      <c r="F4" s="320" t="s">
        <v>156</v>
      </c>
      <c r="G4" s="293">
        <f>'Members Data'!B98</f>
        <v>0</v>
      </c>
      <c r="H4" s="320" t="s">
        <v>156</v>
      </c>
      <c r="I4" s="283">
        <f>DCC!I98</f>
        <v>0</v>
      </c>
      <c r="J4" s="320" t="s">
        <v>156</v>
      </c>
      <c r="K4" s="284">
        <f>DCC!J98</f>
        <v>0</v>
      </c>
      <c r="L4" s="320" t="s">
        <v>156</v>
      </c>
      <c r="M4" s="284">
        <f t="shared" ref="M4:M5" si="1">IF(ISNA(U4),0,U4)</f>
        <v>0</v>
      </c>
      <c r="N4" s="320" t="s">
        <v>156</v>
      </c>
      <c r="O4" s="284">
        <f t="shared" ref="O4:O5" si="2">IF(ISNA(V4),0,V4)</f>
        <v>0</v>
      </c>
      <c r="P4" s="320" t="s">
        <v>156</v>
      </c>
      <c r="Q4" s="119" t="s">
        <v>219</v>
      </c>
      <c r="R4" s="285">
        <f t="shared" ref="R4:R5" si="3">(I4*-2)+(K4*2)+(M4*-1)+(O4)</f>
        <v>0</v>
      </c>
      <c r="S4" t="s">
        <v>158</v>
      </c>
      <c r="U4" t="e">
        <f>VLOOKUP($C4,'Look-up'!$E:$H,3,FALSE)</f>
        <v>#N/A</v>
      </c>
      <c r="V4" t="e">
        <f>VLOOKUP($C4,'Look-up'!$E:$H,4,FALSE)</f>
        <v>#N/A</v>
      </c>
      <c r="X4" t="s">
        <v>13</v>
      </c>
      <c r="AA4" t="str">
        <f t="shared" ref="AA4:AA67" si="4">IF(R4 &gt;0, "[color=red]", IF(R4 =0, "[color=orange]", IF(R4 &lt;-11,  "[color=blue]", "[color=green]")))</f>
        <v>[color=orange]</v>
      </c>
    </row>
    <row r="5" spans="1:27" hidden="1">
      <c r="A5" t="s">
        <v>154</v>
      </c>
      <c r="B5" t="str">
        <f t="shared" si="0"/>
        <v>[color=orange]</v>
      </c>
      <c r="C5" s="294">
        <f>'Members Data'!A80</f>
        <v>0</v>
      </c>
      <c r="D5" s="320" t="s">
        <v>156</v>
      </c>
      <c r="E5" s="295">
        <f>'Members Data'!D80</f>
        <v>0</v>
      </c>
      <c r="F5" s="320" t="s">
        <v>156</v>
      </c>
      <c r="G5" s="296">
        <f>'Members Data'!B80</f>
        <v>0</v>
      </c>
      <c r="H5" s="320" t="s">
        <v>156</v>
      </c>
      <c r="I5" s="286">
        <f>DCC!I80</f>
        <v>0</v>
      </c>
      <c r="J5" s="320" t="s">
        <v>156</v>
      </c>
      <c r="K5" s="287">
        <f>DCC!J80</f>
        <v>0</v>
      </c>
      <c r="L5" s="320" t="s">
        <v>156</v>
      </c>
      <c r="M5" s="287">
        <f t="shared" si="1"/>
        <v>0</v>
      </c>
      <c r="N5" s="320" t="s">
        <v>156</v>
      </c>
      <c r="O5" s="287">
        <f t="shared" si="2"/>
        <v>0</v>
      </c>
      <c r="P5" s="320" t="s">
        <v>156</v>
      </c>
      <c r="Q5" s="119" t="s">
        <v>219</v>
      </c>
      <c r="R5" s="288">
        <f t="shared" si="3"/>
        <v>0</v>
      </c>
      <c r="S5" t="s">
        <v>158</v>
      </c>
      <c r="U5" t="e">
        <f>VLOOKUP($C5,'Look-up'!$E:$H,3,FALSE)</f>
        <v>#N/A</v>
      </c>
      <c r="V5" t="e">
        <f>VLOOKUP($C5,'Look-up'!$E:$H,4,FALSE)</f>
        <v>#N/A</v>
      </c>
      <c r="X5" t="s">
        <v>76</v>
      </c>
      <c r="AA5" t="str">
        <f t="shared" si="4"/>
        <v>[color=orange]</v>
      </c>
    </row>
    <row r="6" spans="1:27" hidden="1">
      <c r="A6" t="s">
        <v>154</v>
      </c>
      <c r="B6" t="str">
        <f>IF(R6 &gt;0, "[color=red]", IF(R6 =0, "[color=orange]", IF(R6 &lt;-11,  "[color=blue]", "[color=green]")))</f>
        <v>[color=orange]</v>
      </c>
      <c r="C6" s="294" t="str">
        <f>'Members Data'!A72</f>
        <v>Firefoxy</v>
      </c>
      <c r="D6" s="320" t="s">
        <v>156</v>
      </c>
      <c r="E6" s="295">
        <f>'Members Data'!D72</f>
        <v>0</v>
      </c>
      <c r="F6" s="320" t="s">
        <v>156</v>
      </c>
      <c r="G6" s="296">
        <f>'Members Data'!B72</f>
        <v>0</v>
      </c>
      <c r="H6" s="320" t="s">
        <v>156</v>
      </c>
      <c r="I6" s="286">
        <f>DCC!I72</f>
        <v>0</v>
      </c>
      <c r="J6" s="320" t="s">
        <v>156</v>
      </c>
      <c r="K6" s="287">
        <f>DCC!J72</f>
        <v>0</v>
      </c>
      <c r="L6" s="320" t="s">
        <v>156</v>
      </c>
      <c r="M6" s="287">
        <f t="shared" ref="M6" si="5">IF(ISNA(U6),0,U6)</f>
        <v>0</v>
      </c>
      <c r="N6" s="320" t="s">
        <v>156</v>
      </c>
      <c r="O6" s="287">
        <f t="shared" ref="O6" si="6">IF(ISNA(V6),0,V6)</f>
        <v>0</v>
      </c>
      <c r="P6" s="320" t="s">
        <v>156</v>
      </c>
      <c r="Q6" s="119" t="s">
        <v>219</v>
      </c>
      <c r="R6" s="288">
        <f>(I6*-2)+(K6*2)+(M6*-1)+(O6)</f>
        <v>0</v>
      </c>
      <c r="S6" t="s">
        <v>158</v>
      </c>
      <c r="U6" t="e">
        <f>VLOOKUP($C6,'Look-up'!$E:$H,3,FALSE)</f>
        <v>#N/A</v>
      </c>
      <c r="V6" t="e">
        <f>VLOOKUP($C6,'Look-up'!$E:$H,4,FALSE)</f>
        <v>#N/A</v>
      </c>
      <c r="W6">
        <f>I6+K6+M6+O6</f>
        <v>0</v>
      </c>
      <c r="X6" t="s">
        <v>77</v>
      </c>
      <c r="AA6" t="str">
        <f t="shared" si="4"/>
        <v>[color=orange]</v>
      </c>
    </row>
    <row r="7" spans="1:27" hidden="1">
      <c r="A7" t="s">
        <v>154</v>
      </c>
      <c r="B7" t="str">
        <f>IF(R7 &gt;0, "[color=red]", IF(R7 =0, "[color=orange]", IF(R7 &lt;-11,  "[color=blue]", "[color=green]")))</f>
        <v>[color=red]</v>
      </c>
      <c r="C7" s="294">
        <f>'Members Data'!A39</f>
        <v>0</v>
      </c>
      <c r="D7" s="320" t="s">
        <v>156</v>
      </c>
      <c r="E7" s="295">
        <f>'Members Data'!D39</f>
        <v>0</v>
      </c>
      <c r="F7" s="320" t="s">
        <v>156</v>
      </c>
      <c r="G7" s="296">
        <f>'Members Data'!B39</f>
        <v>0</v>
      </c>
      <c r="H7" s="320" t="s">
        <v>156</v>
      </c>
      <c r="I7" s="286">
        <f>DCC!I39</f>
        <v>0</v>
      </c>
      <c r="J7" s="320" t="s">
        <v>156</v>
      </c>
      <c r="K7" s="287">
        <f>DCC!J39</f>
        <v>0</v>
      </c>
      <c r="L7" s="320" t="s">
        <v>156</v>
      </c>
      <c r="M7" s="287">
        <f t="shared" ref="M7:M20" si="7">IF(ISNA(U7),0,U7)</f>
        <v>0</v>
      </c>
      <c r="N7" s="320" t="s">
        <v>156</v>
      </c>
      <c r="O7" s="287">
        <f t="shared" ref="O7:O20" si="8">IF(ISNA(V7),0,V7)</f>
        <v>0</v>
      </c>
      <c r="P7" s="320" t="s">
        <v>156</v>
      </c>
      <c r="Q7" s="119" t="s">
        <v>219</v>
      </c>
      <c r="R7" s="288" t="str">
        <f>IF(W7 =0, "Has not Signed",(I7*-2)+(K7*2)+(M7*-1)+(O7))</f>
        <v>Has not Signed</v>
      </c>
      <c r="S7" t="s">
        <v>158</v>
      </c>
      <c r="U7" t="e">
        <f>VLOOKUP($C7,'Look-up'!$E:$H,3,FALSE)</f>
        <v>#N/A</v>
      </c>
      <c r="V7" t="e">
        <f>VLOOKUP($C7,'Look-up'!$E:$H,4,FALSE)</f>
        <v>#N/A</v>
      </c>
      <c r="W7">
        <f>I7+K7+M7+O7</f>
        <v>0</v>
      </c>
      <c r="AA7" t="str">
        <f t="shared" si="4"/>
        <v>[color=red]</v>
      </c>
    </row>
    <row r="8" spans="1:27" hidden="1">
      <c r="A8" t="s">
        <v>154</v>
      </c>
      <c r="B8" t="str">
        <f t="shared" ref="B8:B71" si="9">IF(R8 &gt;0, "[color=red]", IF(R8 =0, "[color=orange]", IF(R8 &lt;-11,  "[color=blue]", "[color=green]")))</f>
        <v>[color=orange]</v>
      </c>
      <c r="C8" s="294">
        <f>'Members Data'!A51</f>
        <v>0</v>
      </c>
      <c r="D8" s="320" t="s">
        <v>156</v>
      </c>
      <c r="E8" s="295">
        <f>'Members Data'!D51</f>
        <v>0</v>
      </c>
      <c r="F8" s="320" t="s">
        <v>156</v>
      </c>
      <c r="G8" s="296">
        <f>'Members Data'!B51</f>
        <v>0</v>
      </c>
      <c r="H8" s="320" t="s">
        <v>156</v>
      </c>
      <c r="I8" s="286">
        <f>DCC!I51</f>
        <v>0</v>
      </c>
      <c r="J8" s="320" t="s">
        <v>156</v>
      </c>
      <c r="K8" s="287">
        <f>DCC!J51</f>
        <v>0</v>
      </c>
      <c r="L8" s="320" t="s">
        <v>156</v>
      </c>
      <c r="M8" s="287">
        <f t="shared" si="7"/>
        <v>0</v>
      </c>
      <c r="N8" s="320" t="s">
        <v>156</v>
      </c>
      <c r="O8" s="287">
        <f t="shared" si="8"/>
        <v>0</v>
      </c>
      <c r="P8" s="320" t="s">
        <v>156</v>
      </c>
      <c r="Q8" s="119" t="s">
        <v>219</v>
      </c>
      <c r="R8" s="288">
        <f t="shared" ref="R8:R18" si="10">(I8*-2)+(K8*2)+(M8*-1)+(O8)</f>
        <v>0</v>
      </c>
      <c r="S8" t="s">
        <v>158</v>
      </c>
      <c r="U8" t="e">
        <f>VLOOKUP($C8,'Look-up'!$E:$H,3,FALSE)</f>
        <v>#N/A</v>
      </c>
      <c r="V8" t="e">
        <f>VLOOKUP($C8,'Look-up'!$E:$H,4,FALSE)</f>
        <v>#N/A</v>
      </c>
      <c r="AA8" t="str">
        <f t="shared" si="4"/>
        <v>[color=orange]</v>
      </c>
    </row>
    <row r="9" spans="1:27" hidden="1">
      <c r="A9" t="s">
        <v>154</v>
      </c>
      <c r="B9" t="str">
        <f t="shared" si="9"/>
        <v>[color=orange]</v>
      </c>
      <c r="C9" s="294">
        <f>'Members Data'!A52</f>
        <v>0</v>
      </c>
      <c r="D9" s="320" t="s">
        <v>156</v>
      </c>
      <c r="E9" s="295">
        <f>'Members Data'!D52</f>
        <v>0</v>
      </c>
      <c r="F9" s="320" t="s">
        <v>156</v>
      </c>
      <c r="G9" s="296">
        <f>'Members Data'!B52</f>
        <v>0</v>
      </c>
      <c r="H9" s="320" t="s">
        <v>156</v>
      </c>
      <c r="I9" s="286">
        <f>DCC!I52</f>
        <v>0</v>
      </c>
      <c r="J9" s="320" t="s">
        <v>156</v>
      </c>
      <c r="K9" s="287">
        <f>DCC!J52</f>
        <v>0</v>
      </c>
      <c r="L9" s="320" t="s">
        <v>156</v>
      </c>
      <c r="M9" s="287">
        <f t="shared" si="7"/>
        <v>0</v>
      </c>
      <c r="N9" s="320" t="s">
        <v>156</v>
      </c>
      <c r="O9" s="287">
        <f t="shared" si="8"/>
        <v>0</v>
      </c>
      <c r="P9" s="320" t="s">
        <v>156</v>
      </c>
      <c r="Q9" s="119" t="s">
        <v>219</v>
      </c>
      <c r="R9" s="288">
        <f t="shared" si="10"/>
        <v>0</v>
      </c>
      <c r="S9" t="s">
        <v>158</v>
      </c>
      <c r="U9" t="e">
        <f>VLOOKUP($C9,'Look-up'!$E:$H,3,FALSE)</f>
        <v>#N/A</v>
      </c>
      <c r="V9" t="e">
        <f>VLOOKUP($C9,'Look-up'!$E:$H,4,FALSE)</f>
        <v>#N/A</v>
      </c>
      <c r="AA9" t="str">
        <f t="shared" si="4"/>
        <v>[color=orange]</v>
      </c>
    </row>
    <row r="10" spans="1:27" hidden="1">
      <c r="A10" t="s">
        <v>154</v>
      </c>
      <c r="B10" t="str">
        <f t="shared" si="9"/>
        <v>[color=orange]</v>
      </c>
      <c r="C10" s="294">
        <f>'Members Data'!A53</f>
        <v>0</v>
      </c>
      <c r="D10" s="320" t="s">
        <v>156</v>
      </c>
      <c r="E10" s="295">
        <f>'Members Data'!D53</f>
        <v>0</v>
      </c>
      <c r="F10" s="320" t="s">
        <v>156</v>
      </c>
      <c r="G10" s="296">
        <f>'Members Data'!B53</f>
        <v>0</v>
      </c>
      <c r="H10" s="320" t="s">
        <v>156</v>
      </c>
      <c r="I10" s="286">
        <f>DCC!I53</f>
        <v>0</v>
      </c>
      <c r="J10" s="320" t="s">
        <v>156</v>
      </c>
      <c r="K10" s="287">
        <f>DCC!J53</f>
        <v>0</v>
      </c>
      <c r="L10" s="320" t="s">
        <v>156</v>
      </c>
      <c r="M10" s="287">
        <f t="shared" si="7"/>
        <v>0</v>
      </c>
      <c r="N10" s="320" t="s">
        <v>156</v>
      </c>
      <c r="O10" s="287">
        <f t="shared" si="8"/>
        <v>0</v>
      </c>
      <c r="P10" s="320" t="s">
        <v>156</v>
      </c>
      <c r="Q10" s="119" t="s">
        <v>219</v>
      </c>
      <c r="R10" s="288">
        <f t="shared" si="10"/>
        <v>0</v>
      </c>
      <c r="S10" t="s">
        <v>158</v>
      </c>
      <c r="U10" t="e">
        <f>VLOOKUP($C10,'Look-up'!$E:$H,3,FALSE)</f>
        <v>#N/A</v>
      </c>
      <c r="V10" t="e">
        <f>VLOOKUP($C10,'Look-up'!$E:$H,4,FALSE)</f>
        <v>#N/A</v>
      </c>
      <c r="AA10" t="str">
        <f t="shared" si="4"/>
        <v>[color=orange]</v>
      </c>
    </row>
    <row r="11" spans="1:27" hidden="1">
      <c r="A11" t="s">
        <v>154</v>
      </c>
      <c r="B11" t="str">
        <f t="shared" si="9"/>
        <v>[color=orange]</v>
      </c>
      <c r="C11" s="294">
        <f>'Members Data'!A54</f>
        <v>0</v>
      </c>
      <c r="D11" s="320" t="s">
        <v>156</v>
      </c>
      <c r="E11" s="295">
        <f>'Members Data'!D54</f>
        <v>0</v>
      </c>
      <c r="F11" s="320" t="s">
        <v>156</v>
      </c>
      <c r="G11" s="296">
        <f>'Members Data'!B54</f>
        <v>0</v>
      </c>
      <c r="H11" s="320" t="s">
        <v>156</v>
      </c>
      <c r="I11" s="286">
        <f>DCC!I54</f>
        <v>0</v>
      </c>
      <c r="J11" s="320" t="s">
        <v>156</v>
      </c>
      <c r="K11" s="287">
        <f>DCC!J54</f>
        <v>0</v>
      </c>
      <c r="L11" s="320" t="s">
        <v>156</v>
      </c>
      <c r="M11" s="287">
        <f t="shared" si="7"/>
        <v>0</v>
      </c>
      <c r="N11" s="320" t="s">
        <v>156</v>
      </c>
      <c r="O11" s="287">
        <f t="shared" si="8"/>
        <v>0</v>
      </c>
      <c r="P11" s="320" t="s">
        <v>156</v>
      </c>
      <c r="Q11" s="119" t="s">
        <v>219</v>
      </c>
      <c r="R11" s="288">
        <f t="shared" si="10"/>
        <v>0</v>
      </c>
      <c r="S11" t="s">
        <v>158</v>
      </c>
      <c r="U11" t="e">
        <f>VLOOKUP($C11,'Look-up'!$E:$H,3,FALSE)</f>
        <v>#N/A</v>
      </c>
      <c r="V11" t="e">
        <f>VLOOKUP($C11,'Look-up'!$E:$H,4,FALSE)</f>
        <v>#N/A</v>
      </c>
      <c r="AA11" t="str">
        <f t="shared" si="4"/>
        <v>[color=orange]</v>
      </c>
    </row>
    <row r="12" spans="1:27" hidden="1">
      <c r="A12" t="s">
        <v>154</v>
      </c>
      <c r="B12" t="str">
        <f t="shared" si="9"/>
        <v>[color=orange]</v>
      </c>
      <c r="C12" s="294">
        <f>'Members Data'!A55</f>
        <v>0</v>
      </c>
      <c r="D12" s="320" t="s">
        <v>156</v>
      </c>
      <c r="E12" s="295">
        <f>'Members Data'!D55</f>
        <v>0</v>
      </c>
      <c r="F12" s="320" t="s">
        <v>156</v>
      </c>
      <c r="G12" s="296">
        <f>'Members Data'!B55</f>
        <v>0</v>
      </c>
      <c r="H12" s="320" t="s">
        <v>156</v>
      </c>
      <c r="I12" s="286">
        <f>DCC!I55</f>
        <v>0</v>
      </c>
      <c r="J12" s="320" t="s">
        <v>156</v>
      </c>
      <c r="K12" s="287">
        <f>DCC!J55</f>
        <v>0</v>
      </c>
      <c r="L12" s="320" t="s">
        <v>156</v>
      </c>
      <c r="M12" s="287">
        <f t="shared" si="7"/>
        <v>0</v>
      </c>
      <c r="N12" s="320" t="s">
        <v>156</v>
      </c>
      <c r="O12" s="287">
        <f t="shared" si="8"/>
        <v>0</v>
      </c>
      <c r="P12" s="320" t="s">
        <v>156</v>
      </c>
      <c r="Q12" s="119" t="s">
        <v>219</v>
      </c>
      <c r="R12" s="288">
        <f t="shared" si="10"/>
        <v>0</v>
      </c>
      <c r="S12" t="s">
        <v>158</v>
      </c>
      <c r="U12" t="e">
        <f>VLOOKUP($C12,'Look-up'!$E:$H,3,FALSE)</f>
        <v>#N/A</v>
      </c>
      <c r="V12" t="e">
        <f>VLOOKUP($C12,'Look-up'!$E:$H,4,FALSE)</f>
        <v>#N/A</v>
      </c>
      <c r="AA12" t="str">
        <f t="shared" si="4"/>
        <v>[color=orange]</v>
      </c>
    </row>
    <row r="13" spans="1:27" hidden="1">
      <c r="A13" t="s">
        <v>154</v>
      </c>
      <c r="B13" t="str">
        <f t="shared" si="9"/>
        <v>[color=orange]</v>
      </c>
      <c r="C13" s="294">
        <f>'Members Data'!A56</f>
        <v>0</v>
      </c>
      <c r="D13" s="320" t="s">
        <v>156</v>
      </c>
      <c r="E13" s="295">
        <f>'Members Data'!D56</f>
        <v>0</v>
      </c>
      <c r="F13" s="320" t="s">
        <v>156</v>
      </c>
      <c r="G13" s="296">
        <f>'Members Data'!B56</f>
        <v>0</v>
      </c>
      <c r="H13" s="320" t="s">
        <v>156</v>
      </c>
      <c r="I13" s="286">
        <f>DCC!I56</f>
        <v>0</v>
      </c>
      <c r="J13" s="320" t="s">
        <v>156</v>
      </c>
      <c r="K13" s="287">
        <f>DCC!J56</f>
        <v>0</v>
      </c>
      <c r="L13" s="320" t="s">
        <v>156</v>
      </c>
      <c r="M13" s="287">
        <f t="shared" si="7"/>
        <v>0</v>
      </c>
      <c r="N13" s="320" t="s">
        <v>156</v>
      </c>
      <c r="O13" s="287">
        <f t="shared" si="8"/>
        <v>0</v>
      </c>
      <c r="P13" s="320" t="s">
        <v>156</v>
      </c>
      <c r="Q13" s="119" t="s">
        <v>219</v>
      </c>
      <c r="R13" s="288">
        <f t="shared" si="10"/>
        <v>0</v>
      </c>
      <c r="S13" t="s">
        <v>158</v>
      </c>
      <c r="U13" t="e">
        <f>VLOOKUP($C13,'Look-up'!$E:$H,3,FALSE)</f>
        <v>#N/A</v>
      </c>
      <c r="V13" t="e">
        <f>VLOOKUP($C13,'Look-up'!$E:$H,4,FALSE)</f>
        <v>#N/A</v>
      </c>
      <c r="AA13" t="str">
        <f t="shared" si="4"/>
        <v>[color=orange]</v>
      </c>
    </row>
    <row r="14" spans="1:27" hidden="1">
      <c r="A14" t="s">
        <v>154</v>
      </c>
      <c r="B14" t="str">
        <f t="shared" si="9"/>
        <v>[color=orange]</v>
      </c>
      <c r="C14" s="294">
        <f>'Members Data'!A57</f>
        <v>0</v>
      </c>
      <c r="D14" s="320" t="s">
        <v>156</v>
      </c>
      <c r="E14" s="295">
        <f>'Members Data'!D57</f>
        <v>0</v>
      </c>
      <c r="F14" s="320" t="s">
        <v>156</v>
      </c>
      <c r="G14" s="296">
        <f>'Members Data'!B57</f>
        <v>0</v>
      </c>
      <c r="H14" s="320" t="s">
        <v>156</v>
      </c>
      <c r="I14" s="286">
        <f>DCC!I57</f>
        <v>0</v>
      </c>
      <c r="J14" s="320" t="s">
        <v>156</v>
      </c>
      <c r="K14" s="287">
        <f>DCC!J57</f>
        <v>0</v>
      </c>
      <c r="L14" s="320" t="s">
        <v>156</v>
      </c>
      <c r="M14" s="287">
        <f t="shared" si="7"/>
        <v>0</v>
      </c>
      <c r="N14" s="320" t="s">
        <v>156</v>
      </c>
      <c r="O14" s="287">
        <f t="shared" si="8"/>
        <v>0</v>
      </c>
      <c r="P14" s="320" t="s">
        <v>156</v>
      </c>
      <c r="Q14" s="119" t="s">
        <v>219</v>
      </c>
      <c r="R14" s="288">
        <f t="shared" si="10"/>
        <v>0</v>
      </c>
      <c r="S14" t="s">
        <v>158</v>
      </c>
      <c r="U14" t="e">
        <f>VLOOKUP($C14,'Look-up'!$E:$H,3,FALSE)</f>
        <v>#N/A</v>
      </c>
      <c r="V14" t="e">
        <f>VLOOKUP($C14,'Look-up'!$E:$H,4,FALSE)</f>
        <v>#N/A</v>
      </c>
      <c r="AA14" t="str">
        <f t="shared" si="4"/>
        <v>[color=orange]</v>
      </c>
    </row>
    <row r="15" spans="1:27" hidden="1">
      <c r="A15" t="s">
        <v>154</v>
      </c>
      <c r="B15" t="str">
        <f t="shared" si="9"/>
        <v>[color=orange]</v>
      </c>
      <c r="C15" s="294">
        <f>'Members Data'!A58</f>
        <v>0</v>
      </c>
      <c r="D15" s="320" t="s">
        <v>156</v>
      </c>
      <c r="E15" s="295">
        <f>'Members Data'!D58</f>
        <v>0</v>
      </c>
      <c r="F15" s="320" t="s">
        <v>156</v>
      </c>
      <c r="G15" s="296">
        <f>'Members Data'!B58</f>
        <v>0</v>
      </c>
      <c r="H15" s="320" t="s">
        <v>156</v>
      </c>
      <c r="I15" s="286">
        <f>DCC!I58</f>
        <v>0</v>
      </c>
      <c r="J15" s="320" t="s">
        <v>156</v>
      </c>
      <c r="K15" s="287">
        <f>DCC!J58</f>
        <v>0</v>
      </c>
      <c r="L15" s="320" t="s">
        <v>156</v>
      </c>
      <c r="M15" s="287">
        <f t="shared" si="7"/>
        <v>0</v>
      </c>
      <c r="N15" s="320" t="s">
        <v>156</v>
      </c>
      <c r="O15" s="287">
        <f t="shared" si="8"/>
        <v>0</v>
      </c>
      <c r="P15" s="320" t="s">
        <v>156</v>
      </c>
      <c r="Q15" s="119" t="s">
        <v>219</v>
      </c>
      <c r="R15" s="288">
        <f t="shared" si="10"/>
        <v>0</v>
      </c>
      <c r="S15" t="s">
        <v>158</v>
      </c>
      <c r="U15" t="e">
        <f>VLOOKUP($C15,'Look-up'!$E:$H,3,FALSE)</f>
        <v>#N/A</v>
      </c>
      <c r="V15" t="e">
        <f>VLOOKUP($C15,'Look-up'!$E:$H,4,FALSE)</f>
        <v>#N/A</v>
      </c>
      <c r="AA15" t="str">
        <f t="shared" si="4"/>
        <v>[color=orange]</v>
      </c>
    </row>
    <row r="16" spans="1:27" hidden="1">
      <c r="A16" t="s">
        <v>154</v>
      </c>
      <c r="B16" t="str">
        <f t="shared" si="9"/>
        <v>[color=orange]</v>
      </c>
      <c r="C16" s="294">
        <f>'Members Data'!A59</f>
        <v>0</v>
      </c>
      <c r="D16" s="320" t="s">
        <v>156</v>
      </c>
      <c r="E16" s="295">
        <f>'Members Data'!D59</f>
        <v>0</v>
      </c>
      <c r="F16" s="320" t="s">
        <v>156</v>
      </c>
      <c r="G16" s="296">
        <f>'Members Data'!B59</f>
        <v>0</v>
      </c>
      <c r="H16" s="320" t="s">
        <v>156</v>
      </c>
      <c r="I16" s="286">
        <f>DCC!I59</f>
        <v>0</v>
      </c>
      <c r="J16" s="320" t="s">
        <v>156</v>
      </c>
      <c r="K16" s="287">
        <f>DCC!J59</f>
        <v>0</v>
      </c>
      <c r="L16" s="320" t="s">
        <v>156</v>
      </c>
      <c r="M16" s="287">
        <f t="shared" si="7"/>
        <v>0</v>
      </c>
      <c r="N16" s="320" t="s">
        <v>156</v>
      </c>
      <c r="O16" s="287">
        <f t="shared" si="8"/>
        <v>0</v>
      </c>
      <c r="P16" s="320" t="s">
        <v>156</v>
      </c>
      <c r="Q16" s="119" t="s">
        <v>219</v>
      </c>
      <c r="R16" s="288">
        <f t="shared" si="10"/>
        <v>0</v>
      </c>
      <c r="S16" t="s">
        <v>158</v>
      </c>
      <c r="U16" t="e">
        <f>VLOOKUP($C16,'Look-up'!$E:$H,3,FALSE)</f>
        <v>#N/A</v>
      </c>
      <c r="V16" t="e">
        <f>VLOOKUP($C16,'Look-up'!$E:$H,4,FALSE)</f>
        <v>#N/A</v>
      </c>
      <c r="AA16" t="str">
        <f t="shared" si="4"/>
        <v>[color=orange]</v>
      </c>
    </row>
    <row r="17" spans="1:27" hidden="1">
      <c r="A17" t="s">
        <v>154</v>
      </c>
      <c r="B17" t="str">
        <f t="shared" si="9"/>
        <v>[color=orange]</v>
      </c>
      <c r="C17" s="294">
        <f>'Members Data'!A60</f>
        <v>0</v>
      </c>
      <c r="D17" s="320" t="s">
        <v>156</v>
      </c>
      <c r="E17" s="295">
        <f>'Members Data'!D60</f>
        <v>0</v>
      </c>
      <c r="F17" s="320" t="s">
        <v>156</v>
      </c>
      <c r="G17" s="296">
        <f>'Members Data'!B60</f>
        <v>0</v>
      </c>
      <c r="H17" s="320" t="s">
        <v>156</v>
      </c>
      <c r="I17" s="286">
        <f>DCC!I60</f>
        <v>0</v>
      </c>
      <c r="J17" s="320" t="s">
        <v>156</v>
      </c>
      <c r="K17" s="287">
        <f>DCC!J60</f>
        <v>0</v>
      </c>
      <c r="L17" s="320" t="s">
        <v>156</v>
      </c>
      <c r="M17" s="287">
        <f t="shared" si="7"/>
        <v>0</v>
      </c>
      <c r="N17" s="320" t="s">
        <v>156</v>
      </c>
      <c r="O17" s="287">
        <f t="shared" si="8"/>
        <v>0</v>
      </c>
      <c r="P17" s="320" t="s">
        <v>156</v>
      </c>
      <c r="Q17" s="119" t="s">
        <v>219</v>
      </c>
      <c r="R17" s="288">
        <f t="shared" si="10"/>
        <v>0</v>
      </c>
      <c r="S17" t="s">
        <v>158</v>
      </c>
      <c r="U17" t="e">
        <f>VLOOKUP($C17,'Look-up'!$E:$H,3,FALSE)</f>
        <v>#N/A</v>
      </c>
      <c r="V17" t="e">
        <f>VLOOKUP($C17,'Look-up'!$E:$H,4,FALSE)</f>
        <v>#N/A</v>
      </c>
      <c r="AA17" t="str">
        <f t="shared" si="4"/>
        <v>[color=orange]</v>
      </c>
    </row>
    <row r="18" spans="1:27" hidden="1">
      <c r="A18" t="s">
        <v>154</v>
      </c>
      <c r="B18" t="str">
        <f t="shared" si="9"/>
        <v>[color=orange]</v>
      </c>
      <c r="C18" s="294">
        <f>'Members Data'!A61</f>
        <v>0</v>
      </c>
      <c r="D18" s="320" t="s">
        <v>156</v>
      </c>
      <c r="E18" s="295">
        <f>'Members Data'!D61</f>
        <v>0</v>
      </c>
      <c r="F18" s="320" t="s">
        <v>156</v>
      </c>
      <c r="G18" s="296">
        <f>'Members Data'!B61</f>
        <v>0</v>
      </c>
      <c r="H18" s="320" t="s">
        <v>156</v>
      </c>
      <c r="I18" s="286">
        <f>DCC!I61</f>
        <v>0</v>
      </c>
      <c r="J18" s="320" t="s">
        <v>156</v>
      </c>
      <c r="K18" s="287">
        <f>DCC!J61</f>
        <v>0</v>
      </c>
      <c r="L18" s="320" t="s">
        <v>156</v>
      </c>
      <c r="M18" s="287">
        <f t="shared" si="7"/>
        <v>0</v>
      </c>
      <c r="N18" s="320" t="s">
        <v>156</v>
      </c>
      <c r="O18" s="287">
        <f t="shared" si="8"/>
        <v>0</v>
      </c>
      <c r="P18" s="320" t="s">
        <v>156</v>
      </c>
      <c r="Q18" s="119" t="s">
        <v>219</v>
      </c>
      <c r="R18" s="288">
        <f t="shared" si="10"/>
        <v>0</v>
      </c>
      <c r="S18" t="s">
        <v>158</v>
      </c>
      <c r="U18" t="e">
        <f>VLOOKUP($C18,'Look-up'!$E:$H,3,FALSE)</f>
        <v>#N/A</v>
      </c>
      <c r="V18" t="e">
        <f>VLOOKUP($C18,'Look-up'!$E:$H,4,FALSE)</f>
        <v>#N/A</v>
      </c>
      <c r="AA18" t="str">
        <f t="shared" si="4"/>
        <v>[color=orange]</v>
      </c>
    </row>
    <row r="19" spans="1:27" hidden="1">
      <c r="A19" t="s">
        <v>154</v>
      </c>
      <c r="B19" t="str">
        <f t="shared" si="9"/>
        <v>[color=red]</v>
      </c>
      <c r="C19" s="294">
        <f>'Members Data'!A38</f>
        <v>0</v>
      </c>
      <c r="D19" s="320" t="s">
        <v>156</v>
      </c>
      <c r="E19" s="295">
        <f>'Members Data'!D38</f>
        <v>0</v>
      </c>
      <c r="F19" s="320" t="s">
        <v>156</v>
      </c>
      <c r="G19" s="296">
        <f>'Members Data'!B38</f>
        <v>0</v>
      </c>
      <c r="H19" s="320" t="s">
        <v>156</v>
      </c>
      <c r="I19" s="286">
        <f>DCC!I38</f>
        <v>0</v>
      </c>
      <c r="J19" s="320" t="s">
        <v>156</v>
      </c>
      <c r="K19" s="287">
        <f>DCC!J38</f>
        <v>0</v>
      </c>
      <c r="L19" s="320" t="s">
        <v>156</v>
      </c>
      <c r="M19" s="287">
        <f t="shared" si="7"/>
        <v>0</v>
      </c>
      <c r="N19" s="320" t="s">
        <v>156</v>
      </c>
      <c r="O19" s="287">
        <f t="shared" si="8"/>
        <v>0</v>
      </c>
      <c r="P19" s="320" t="s">
        <v>156</v>
      </c>
      <c r="Q19" s="119" t="s">
        <v>219</v>
      </c>
      <c r="R19" s="288" t="str">
        <f t="shared" ref="R19:R20" si="11">IF(W19 =0, "Has not Signed",(I19*-2)+(K19*2)+(M19*-1)+(O19))</f>
        <v>Has not Signed</v>
      </c>
      <c r="S19" t="s">
        <v>158</v>
      </c>
      <c r="U19" t="e">
        <f>VLOOKUP($C19,'Look-up'!$E:$H,3,FALSE)</f>
        <v>#N/A</v>
      </c>
      <c r="V19" t="e">
        <f>VLOOKUP($C19,'Look-up'!$E:$H,4,FALSE)</f>
        <v>#N/A</v>
      </c>
      <c r="AA19" t="str">
        <f t="shared" si="4"/>
        <v>[color=red]</v>
      </c>
    </row>
    <row r="20" spans="1:27" hidden="1">
      <c r="A20" t="s">
        <v>154</v>
      </c>
      <c r="B20" t="str">
        <f t="shared" si="9"/>
        <v>[color=red]</v>
      </c>
      <c r="C20" s="294" t="str">
        <f>'Members Data'!A37</f>
        <v>Volson</v>
      </c>
      <c r="D20" s="320" t="s">
        <v>156</v>
      </c>
      <c r="E20" s="295" t="str">
        <f>'Members Data'!D37</f>
        <v>RDPS</v>
      </c>
      <c r="F20" s="320" t="s">
        <v>156</v>
      </c>
      <c r="G20" s="296" t="str">
        <f>'Members Data'!B37</f>
        <v>Venturer</v>
      </c>
      <c r="H20" s="320" t="s">
        <v>156</v>
      </c>
      <c r="I20" s="286">
        <f>DCC!I37</f>
        <v>2</v>
      </c>
      <c r="J20" s="320" t="s">
        <v>156</v>
      </c>
      <c r="K20" s="287">
        <f>DCC!J37</f>
        <v>0</v>
      </c>
      <c r="L20" s="320" t="s">
        <v>156</v>
      </c>
      <c r="M20" s="287">
        <f t="shared" si="7"/>
        <v>0</v>
      </c>
      <c r="N20" s="320" t="s">
        <v>156</v>
      </c>
      <c r="O20" s="287">
        <f t="shared" si="8"/>
        <v>0</v>
      </c>
      <c r="P20" s="320" t="s">
        <v>156</v>
      </c>
      <c r="Q20" s="119" t="s">
        <v>219</v>
      </c>
      <c r="R20" s="288" t="str">
        <f t="shared" si="11"/>
        <v>Has not Signed</v>
      </c>
      <c r="S20" t="s">
        <v>158</v>
      </c>
      <c r="U20" t="e">
        <f>VLOOKUP($C20,'Look-up'!$E:$H,3,FALSE)</f>
        <v>#N/A</v>
      </c>
      <c r="V20" t="e">
        <f>VLOOKUP($C20,'Look-up'!$E:$H,4,FALSE)</f>
        <v>#N/A</v>
      </c>
      <c r="AA20" t="str">
        <f t="shared" si="4"/>
        <v>[color=red]</v>
      </c>
    </row>
    <row r="21" spans="1:27" hidden="1">
      <c r="A21" t="s">
        <v>154</v>
      </c>
      <c r="B21" t="str">
        <f t="shared" si="9"/>
        <v>[color=green]</v>
      </c>
      <c r="C21" s="294" t="str">
        <f>'Members Data'!A35</f>
        <v>Zerobabe</v>
      </c>
      <c r="D21" s="320" t="s">
        <v>156</v>
      </c>
      <c r="E21" s="295" t="str">
        <f>'Members Data'!D35</f>
        <v>MDPS</v>
      </c>
      <c r="F21" s="320" t="s">
        <v>156</v>
      </c>
      <c r="G21" s="296" t="str">
        <f>'Members Data'!B35</f>
        <v>Venturer</v>
      </c>
      <c r="H21" s="320" t="s">
        <v>156</v>
      </c>
      <c r="I21" s="286">
        <f>DCC!I35</f>
        <v>5</v>
      </c>
      <c r="J21" s="320" t="s">
        <v>156</v>
      </c>
      <c r="K21" s="287">
        <f>DCC!J35</f>
        <v>0</v>
      </c>
      <c r="L21" s="320" t="s">
        <v>156</v>
      </c>
      <c r="M21" s="287">
        <f t="shared" ref="M21:M52" si="12">IF(ISNA(U21),0,U21)</f>
        <v>0</v>
      </c>
      <c r="N21" s="320" t="s">
        <v>156</v>
      </c>
      <c r="O21" s="287">
        <f t="shared" ref="O21:O52" si="13">IF(ISNA(V21),0,V21)</f>
        <v>0</v>
      </c>
      <c r="P21" s="320" t="s">
        <v>156</v>
      </c>
      <c r="Q21" s="119" t="s">
        <v>219</v>
      </c>
      <c r="R21" s="288">
        <f>IF(W21 =0, "Has not Signed",(I21*-2)+(K21*2)+(M21*-1)+(O21))</f>
        <v>-10</v>
      </c>
      <c r="S21" t="s">
        <v>158</v>
      </c>
      <c r="U21" t="e">
        <f>VLOOKUP($C21,'Look-up'!$E:$H,3,FALSE)</f>
        <v>#N/A</v>
      </c>
      <c r="V21" t="e">
        <f>VLOOKUP($C21,'Look-up'!$E:$H,4,FALSE)</f>
        <v>#N/A</v>
      </c>
      <c r="W21">
        <f t="shared" ref="W21:W24" si="14">I21+K21+M21+O21</f>
        <v>5</v>
      </c>
      <c r="AA21" t="str">
        <f t="shared" si="4"/>
        <v>[color=green]</v>
      </c>
    </row>
    <row r="22" spans="1:27" hidden="1">
      <c r="A22" t="s">
        <v>154</v>
      </c>
      <c r="B22" t="str">
        <f t="shared" si="9"/>
        <v>[color=blue]</v>
      </c>
      <c r="C22" s="294" t="str">
        <f>'Members Data'!A36</f>
        <v>Zorrg</v>
      </c>
      <c r="D22" s="320" t="s">
        <v>156</v>
      </c>
      <c r="E22" s="295" t="str">
        <f>'Members Data'!D36</f>
        <v>MDPS</v>
      </c>
      <c r="F22" s="320" t="s">
        <v>156</v>
      </c>
      <c r="G22" s="296" t="str">
        <f>'Members Data'!B36</f>
        <v>Venturer</v>
      </c>
      <c r="H22" s="320" t="s">
        <v>156</v>
      </c>
      <c r="I22" s="286">
        <f>DCC!I36</f>
        <v>6</v>
      </c>
      <c r="J22" s="320" t="s">
        <v>156</v>
      </c>
      <c r="K22" s="287">
        <f>DCC!J36</f>
        <v>0</v>
      </c>
      <c r="L22" s="320" t="s">
        <v>156</v>
      </c>
      <c r="M22" s="287">
        <f t="shared" si="12"/>
        <v>0</v>
      </c>
      <c r="N22" s="320" t="s">
        <v>156</v>
      </c>
      <c r="O22" s="287">
        <f t="shared" si="13"/>
        <v>0</v>
      </c>
      <c r="P22" s="320" t="s">
        <v>156</v>
      </c>
      <c r="Q22" s="119" t="s">
        <v>219</v>
      </c>
      <c r="R22" s="288">
        <f>IF(W22 =0, "Has not Signed",(I22*-2)+(K22*2)+(M22*-1)+(O22))</f>
        <v>-12</v>
      </c>
      <c r="S22" t="s">
        <v>158</v>
      </c>
      <c r="U22" t="e">
        <f>VLOOKUP($C22,'Look-up'!$E:$H,3,FALSE)</f>
        <v>#N/A</v>
      </c>
      <c r="V22" t="e">
        <f>VLOOKUP($C22,'Look-up'!$E:$H,4,FALSE)</f>
        <v>#N/A</v>
      </c>
      <c r="W22">
        <f t="shared" si="14"/>
        <v>6</v>
      </c>
      <c r="AA22" t="str">
        <f t="shared" si="4"/>
        <v>[color=blue]</v>
      </c>
    </row>
    <row r="23" spans="1:27" hidden="1">
      <c r="A23" t="s">
        <v>154</v>
      </c>
      <c r="B23" t="str">
        <f t="shared" si="9"/>
        <v>[color=blue]</v>
      </c>
      <c r="C23" s="294" t="str">
        <f>'Members Data'!A34</f>
        <v>Yaodeng</v>
      </c>
      <c r="D23" s="320" t="s">
        <v>156</v>
      </c>
      <c r="E23" s="295" t="str">
        <f>'Members Data'!D34</f>
        <v>MDPS</v>
      </c>
      <c r="F23" s="320" t="s">
        <v>156</v>
      </c>
      <c r="G23" s="296" t="str">
        <f>'Members Data'!B34</f>
        <v>Venturer</v>
      </c>
      <c r="H23" s="320" t="s">
        <v>156</v>
      </c>
      <c r="I23" s="286">
        <f>DCC!I34</f>
        <v>8</v>
      </c>
      <c r="J23" s="320" t="s">
        <v>156</v>
      </c>
      <c r="K23" s="287">
        <f>DCC!J34</f>
        <v>0</v>
      </c>
      <c r="L23" s="320" t="s">
        <v>156</v>
      </c>
      <c r="M23" s="287">
        <f t="shared" si="12"/>
        <v>0</v>
      </c>
      <c r="N23" s="320" t="s">
        <v>156</v>
      </c>
      <c r="O23" s="287">
        <f t="shared" si="13"/>
        <v>0</v>
      </c>
      <c r="P23" s="320" t="s">
        <v>156</v>
      </c>
      <c r="Q23" s="119" t="s">
        <v>219</v>
      </c>
      <c r="R23" s="288">
        <f>IF(W23 =0, "Has not Signed",(I23*-2)+(K23*2)+(M23*-1)+(O23))</f>
        <v>-16</v>
      </c>
      <c r="S23" t="s">
        <v>158</v>
      </c>
      <c r="U23" t="e">
        <f>VLOOKUP($C23,'Look-up'!$E:$H,3,FALSE)</f>
        <v>#N/A</v>
      </c>
      <c r="V23" t="e">
        <f>VLOOKUP($C23,'Look-up'!$E:$H,4,FALSE)</f>
        <v>#N/A</v>
      </c>
      <c r="W23">
        <f t="shared" si="14"/>
        <v>8</v>
      </c>
      <c r="AA23" t="str">
        <f t="shared" si="4"/>
        <v>[color=blue]</v>
      </c>
    </row>
    <row r="24" spans="1:27">
      <c r="A24" t="s">
        <v>154</v>
      </c>
      <c r="B24" t="str">
        <f t="shared" si="9"/>
        <v>[color=blue]</v>
      </c>
      <c r="C24" s="294" t="str">
        <f>'Members Data'!A26</f>
        <v>Páula</v>
      </c>
      <c r="D24" s="320" t="s">
        <v>156</v>
      </c>
      <c r="E24" s="295" t="str">
        <f>'Members Data'!D26</f>
        <v>RDPS</v>
      </c>
      <c r="F24" s="320" t="s">
        <v>156</v>
      </c>
      <c r="G24" s="296" t="str">
        <f>'Members Data'!B26</f>
        <v>Venturer</v>
      </c>
      <c r="H24" s="320" t="s">
        <v>156</v>
      </c>
      <c r="I24" s="286">
        <f>DCC!I26</f>
        <v>7</v>
      </c>
      <c r="J24" s="320" t="s">
        <v>156</v>
      </c>
      <c r="K24" s="287">
        <f>DCC!J26</f>
        <v>1</v>
      </c>
      <c r="L24" s="320" t="s">
        <v>156</v>
      </c>
      <c r="M24" s="287">
        <f t="shared" si="12"/>
        <v>0</v>
      </c>
      <c r="N24" s="320" t="s">
        <v>156</v>
      </c>
      <c r="O24" s="287">
        <f t="shared" si="13"/>
        <v>0</v>
      </c>
      <c r="P24" s="320" t="s">
        <v>156</v>
      </c>
      <c r="Q24" s="119" t="s">
        <v>219</v>
      </c>
      <c r="R24" s="288">
        <f>IF(W24 =0, "Has not Signed",(I24*-2)+(K24*2)+(M24*-1)+(O24))</f>
        <v>-12</v>
      </c>
      <c r="S24" t="s">
        <v>158</v>
      </c>
      <c r="U24" t="e">
        <f>VLOOKUP($C24,'Look-up'!$E:$H,3,FALSE)</f>
        <v>#N/A</v>
      </c>
      <c r="V24" t="e">
        <f>VLOOKUP($C24,'Look-up'!$E:$H,4,FALSE)</f>
        <v>#N/A</v>
      </c>
      <c r="W24">
        <f t="shared" si="14"/>
        <v>8</v>
      </c>
      <c r="AA24" t="str">
        <f t="shared" si="4"/>
        <v>[color=blue]</v>
      </c>
    </row>
    <row r="25" spans="1:27" hidden="1">
      <c r="A25" t="s">
        <v>154</v>
      </c>
      <c r="B25" t="str">
        <f t="shared" si="9"/>
        <v>[color=orange]</v>
      </c>
      <c r="C25" s="294" t="str">
        <f>'Members Data'!A68</f>
        <v>Yardk</v>
      </c>
      <c r="D25" s="320" t="s">
        <v>156</v>
      </c>
      <c r="E25" s="295">
        <f>'Members Data'!D68</f>
        <v>0</v>
      </c>
      <c r="F25" s="320" t="s">
        <v>156</v>
      </c>
      <c r="G25" s="296" t="str">
        <f>'Members Data'!B68</f>
        <v>Traveler</v>
      </c>
      <c r="H25" s="320" t="s">
        <v>156</v>
      </c>
      <c r="I25" s="286">
        <f>DCC!I68</f>
        <v>0</v>
      </c>
      <c r="J25" s="320" t="s">
        <v>156</v>
      </c>
      <c r="K25" s="287">
        <f>DCC!J68</f>
        <v>0</v>
      </c>
      <c r="L25" s="320" t="s">
        <v>156</v>
      </c>
      <c r="M25" s="287">
        <f t="shared" si="12"/>
        <v>0</v>
      </c>
      <c r="N25" s="320" t="s">
        <v>156</v>
      </c>
      <c r="O25" s="287">
        <f t="shared" si="13"/>
        <v>0</v>
      </c>
      <c r="P25" s="320" t="s">
        <v>156</v>
      </c>
      <c r="Q25" s="119" t="s">
        <v>219</v>
      </c>
      <c r="R25" s="288">
        <f>(I25*-2)+(K25*2)+(M25*-1)+(O25)</f>
        <v>0</v>
      </c>
      <c r="S25" t="s">
        <v>158</v>
      </c>
      <c r="U25" t="e">
        <f>VLOOKUP($C25,'Look-up'!$E:$H,3,FALSE)</f>
        <v>#N/A</v>
      </c>
      <c r="V25" t="e">
        <f>VLOOKUP($C25,'Look-up'!$E:$H,4,FALSE)</f>
        <v>#N/A</v>
      </c>
      <c r="AA25" t="str">
        <f t="shared" si="4"/>
        <v>[color=orange]</v>
      </c>
    </row>
    <row r="26" spans="1:27">
      <c r="A26" t="s">
        <v>154</v>
      </c>
      <c r="B26" t="str">
        <f t="shared" si="9"/>
        <v>[color=orange]</v>
      </c>
      <c r="C26" s="294" t="str">
        <f>'Members Data'!A69</f>
        <v>Halfhorns</v>
      </c>
      <c r="D26" s="320" t="s">
        <v>156</v>
      </c>
      <c r="E26" s="295" t="str">
        <f>'Members Data'!D69</f>
        <v>MDPS</v>
      </c>
      <c r="F26" s="320" t="s">
        <v>156</v>
      </c>
      <c r="G26" s="296" t="str">
        <f>'Members Data'!B69</f>
        <v>Traveler</v>
      </c>
      <c r="H26" s="320" t="s">
        <v>156</v>
      </c>
      <c r="I26" s="286">
        <f>DCC!I69</f>
        <v>0</v>
      </c>
      <c r="J26" s="320" t="s">
        <v>156</v>
      </c>
      <c r="K26" s="287">
        <f>DCC!J69</f>
        <v>0</v>
      </c>
      <c r="L26" s="320" t="s">
        <v>156</v>
      </c>
      <c r="M26" s="287">
        <f t="shared" si="12"/>
        <v>0</v>
      </c>
      <c r="N26" s="320" t="s">
        <v>156</v>
      </c>
      <c r="O26" s="287">
        <f t="shared" si="13"/>
        <v>0</v>
      </c>
      <c r="P26" s="320" t="s">
        <v>156</v>
      </c>
      <c r="Q26" s="119" t="s">
        <v>219</v>
      </c>
      <c r="R26" s="288">
        <f>(I26*-2)+(K26*2)+(M26*-1)+(O26)</f>
        <v>0</v>
      </c>
      <c r="S26" t="s">
        <v>158</v>
      </c>
      <c r="U26" t="e">
        <f>VLOOKUP($C26,'Look-up'!$E:$H,3,FALSE)</f>
        <v>#N/A</v>
      </c>
      <c r="V26" t="e">
        <f>VLOOKUP($C26,'Look-up'!$E:$H,4,FALSE)</f>
        <v>#N/A</v>
      </c>
      <c r="AA26" t="str">
        <f t="shared" si="4"/>
        <v>[color=orange]</v>
      </c>
    </row>
    <row r="27" spans="1:27" hidden="1">
      <c r="A27" t="s">
        <v>154</v>
      </c>
      <c r="B27" t="str">
        <f t="shared" si="9"/>
        <v>[color=orange]</v>
      </c>
      <c r="C27" s="294" t="str">
        <f>'Members Data'!A70</f>
        <v>Ebullio</v>
      </c>
      <c r="D27" s="320" t="s">
        <v>156</v>
      </c>
      <c r="E27" s="295">
        <f>'Members Data'!D70</f>
        <v>0</v>
      </c>
      <c r="F27" s="320" t="s">
        <v>156</v>
      </c>
      <c r="G27" s="296">
        <f>'Members Data'!B70</f>
        <v>0</v>
      </c>
      <c r="H27" s="320" t="s">
        <v>156</v>
      </c>
      <c r="I27" s="286">
        <f>DCC!I70</f>
        <v>0</v>
      </c>
      <c r="J27" s="320" t="s">
        <v>156</v>
      </c>
      <c r="K27" s="287">
        <f>DCC!J70</f>
        <v>0</v>
      </c>
      <c r="L27" s="320" t="s">
        <v>156</v>
      </c>
      <c r="M27" s="287">
        <f t="shared" si="12"/>
        <v>0</v>
      </c>
      <c r="N27" s="320" t="s">
        <v>156</v>
      </c>
      <c r="O27" s="287">
        <f t="shared" si="13"/>
        <v>0</v>
      </c>
      <c r="P27" s="320" t="s">
        <v>156</v>
      </c>
      <c r="Q27" s="119" t="s">
        <v>219</v>
      </c>
      <c r="R27" s="288">
        <f>(I27*-2)+(K27*2)+(M27*-1)+(O27)</f>
        <v>0</v>
      </c>
      <c r="S27" t="s">
        <v>158</v>
      </c>
      <c r="U27" t="e">
        <f>VLOOKUP($C27,'Look-up'!$E:$H,3,FALSE)</f>
        <v>#N/A</v>
      </c>
      <c r="V27" t="e">
        <f>VLOOKUP($C27,'Look-up'!$E:$H,4,FALSE)</f>
        <v>#N/A</v>
      </c>
      <c r="AA27" t="str">
        <f t="shared" si="4"/>
        <v>[color=orange]</v>
      </c>
    </row>
    <row r="28" spans="1:27" hidden="1">
      <c r="A28" t="s">
        <v>154</v>
      </c>
      <c r="B28" t="str">
        <f t="shared" si="9"/>
        <v>[color=red]</v>
      </c>
      <c r="C28" s="294" t="str">
        <f>'Members Data'!A73</f>
        <v>Boeyah</v>
      </c>
      <c r="D28" s="320" t="s">
        <v>156</v>
      </c>
      <c r="E28" s="295">
        <f>'Members Data'!D73</f>
        <v>0</v>
      </c>
      <c r="F28" s="320" t="s">
        <v>156</v>
      </c>
      <c r="G28" s="296">
        <f>'Members Data'!B73</f>
        <v>0</v>
      </c>
      <c r="H28" s="320" t="s">
        <v>156</v>
      </c>
      <c r="I28" s="286">
        <f>DCC!I73</f>
        <v>0</v>
      </c>
      <c r="J28" s="320" t="s">
        <v>156</v>
      </c>
      <c r="K28" s="287">
        <f>DCC!J73</f>
        <v>1</v>
      </c>
      <c r="L28" s="320" t="s">
        <v>156</v>
      </c>
      <c r="M28" s="287">
        <f t="shared" si="12"/>
        <v>0</v>
      </c>
      <c r="N28" s="320" t="s">
        <v>156</v>
      </c>
      <c r="O28" s="287">
        <f t="shared" si="13"/>
        <v>0</v>
      </c>
      <c r="P28" s="320" t="s">
        <v>156</v>
      </c>
      <c r="Q28" s="119" t="s">
        <v>219</v>
      </c>
      <c r="R28" s="288">
        <f>(I28*-2)+(K28*2)+(M28*-1)+(O28)</f>
        <v>2</v>
      </c>
      <c r="S28" t="s">
        <v>158</v>
      </c>
      <c r="U28" t="e">
        <f>VLOOKUP($C28,'Look-up'!$E:$H,3,FALSE)</f>
        <v>#N/A</v>
      </c>
      <c r="V28" t="e">
        <f>VLOOKUP($C28,'Look-up'!$E:$H,4,FALSE)</f>
        <v>#N/A</v>
      </c>
      <c r="AA28" t="str">
        <f t="shared" si="4"/>
        <v>[color=red]</v>
      </c>
    </row>
    <row r="29" spans="1:27" hidden="1">
      <c r="A29" t="s">
        <v>154</v>
      </c>
      <c r="B29" t="str">
        <f t="shared" si="9"/>
        <v>[color=red]</v>
      </c>
      <c r="C29" s="294" t="str">
        <f>'Members Data'!A74</f>
        <v>Judgementz</v>
      </c>
      <c r="D29" s="320" t="s">
        <v>156</v>
      </c>
      <c r="E29" s="295">
        <f>'Members Data'!D74</f>
        <v>0</v>
      </c>
      <c r="F29" s="320" t="s">
        <v>156</v>
      </c>
      <c r="G29" s="296">
        <f>'Members Data'!B74</f>
        <v>0</v>
      </c>
      <c r="H29" s="320" t="s">
        <v>156</v>
      </c>
      <c r="I29" s="286">
        <f>DCC!I74</f>
        <v>0</v>
      </c>
      <c r="J29" s="320" t="s">
        <v>156</v>
      </c>
      <c r="K29" s="287">
        <f>DCC!J74</f>
        <v>1</v>
      </c>
      <c r="L29" s="320" t="s">
        <v>156</v>
      </c>
      <c r="M29" s="287">
        <f t="shared" si="12"/>
        <v>0</v>
      </c>
      <c r="N29" s="320" t="s">
        <v>156</v>
      </c>
      <c r="O29" s="287">
        <f t="shared" si="13"/>
        <v>0</v>
      </c>
      <c r="P29" s="320" t="s">
        <v>156</v>
      </c>
      <c r="Q29" s="119" t="s">
        <v>219</v>
      </c>
      <c r="R29" s="288">
        <f>(I29*-2)+(K29*2)+(M29*-1)+(O29)</f>
        <v>2</v>
      </c>
      <c r="S29" t="s">
        <v>158</v>
      </c>
      <c r="U29" t="e">
        <f>VLOOKUP($C29,'Look-up'!$E:$H,3,FALSE)</f>
        <v>#N/A</v>
      </c>
      <c r="V29" t="e">
        <f>VLOOKUP($C29,'Look-up'!$E:$H,4,FALSE)</f>
        <v>#N/A</v>
      </c>
      <c r="AA29" t="str">
        <f t="shared" si="4"/>
        <v>[color=red]</v>
      </c>
    </row>
    <row r="30" spans="1:27" hidden="1">
      <c r="A30" t="s">
        <v>154</v>
      </c>
      <c r="B30" t="str">
        <f t="shared" si="9"/>
        <v>[color=red]</v>
      </c>
      <c r="C30" s="294">
        <f>'Members Data'!A40</f>
        <v>0</v>
      </c>
      <c r="D30" s="320" t="s">
        <v>156</v>
      </c>
      <c r="E30" s="295">
        <f>'Members Data'!D40</f>
        <v>0</v>
      </c>
      <c r="F30" s="320" t="s">
        <v>156</v>
      </c>
      <c r="G30" s="296">
        <f>'Members Data'!B40</f>
        <v>0</v>
      </c>
      <c r="H30" s="320" t="s">
        <v>156</v>
      </c>
      <c r="I30" s="286">
        <f>DCC!I40</f>
        <v>0</v>
      </c>
      <c r="J30" s="320" t="s">
        <v>156</v>
      </c>
      <c r="K30" s="287">
        <f>DCC!J40</f>
        <v>0</v>
      </c>
      <c r="L30" s="320" t="s">
        <v>156</v>
      </c>
      <c r="M30" s="287">
        <f t="shared" si="12"/>
        <v>0</v>
      </c>
      <c r="N30" s="320" t="s">
        <v>156</v>
      </c>
      <c r="O30" s="287">
        <f t="shared" si="13"/>
        <v>0</v>
      </c>
      <c r="P30" s="320" t="s">
        <v>156</v>
      </c>
      <c r="Q30" s="119" t="s">
        <v>219</v>
      </c>
      <c r="R30" s="288" t="str">
        <f>IF(W30 =0, "Has not Signed",(I30*-2)+(K30*2)+(M30*-1)+(O30))</f>
        <v>Has not Signed</v>
      </c>
      <c r="S30" t="s">
        <v>158</v>
      </c>
      <c r="U30" t="e">
        <f>VLOOKUP($C30,'Look-up'!$E:$H,3,FALSE)</f>
        <v>#N/A</v>
      </c>
      <c r="V30" t="e">
        <f>VLOOKUP($C30,'Look-up'!$E:$H,4,FALSE)</f>
        <v>#N/A</v>
      </c>
      <c r="AA30" t="str">
        <f t="shared" si="4"/>
        <v>[color=red]</v>
      </c>
    </row>
    <row r="31" spans="1:27" hidden="1">
      <c r="A31" t="s">
        <v>154</v>
      </c>
      <c r="B31" t="str">
        <f t="shared" si="9"/>
        <v>[color=orange]</v>
      </c>
      <c r="C31" s="294" t="str">
        <f>'Members Data'!A62</f>
        <v>Kristofix</v>
      </c>
      <c r="D31" s="320" t="s">
        <v>156</v>
      </c>
      <c r="E31" s="295">
        <f>'Members Data'!D62</f>
        <v>0</v>
      </c>
      <c r="F31" s="320" t="s">
        <v>156</v>
      </c>
      <c r="G31" s="296" t="str">
        <f>'Members Data'!B62</f>
        <v>Traveler</v>
      </c>
      <c r="H31" s="320" t="s">
        <v>156</v>
      </c>
      <c r="I31" s="286">
        <f>DCC!I62</f>
        <v>0</v>
      </c>
      <c r="J31" s="320" t="s">
        <v>156</v>
      </c>
      <c r="K31" s="287">
        <f>DCC!J62</f>
        <v>0</v>
      </c>
      <c r="L31" s="320" t="s">
        <v>156</v>
      </c>
      <c r="M31" s="287">
        <f t="shared" si="12"/>
        <v>0</v>
      </c>
      <c r="N31" s="320" t="s">
        <v>156</v>
      </c>
      <c r="O31" s="287">
        <f t="shared" si="13"/>
        <v>0</v>
      </c>
      <c r="P31" s="320" t="s">
        <v>156</v>
      </c>
      <c r="Q31" s="119" t="s">
        <v>219</v>
      </c>
      <c r="R31" s="288">
        <f t="shared" ref="R31:R56" si="15">(I31*-2)+(K31*2)+(M31*-1)+(O31)</f>
        <v>0</v>
      </c>
      <c r="S31" t="s">
        <v>158</v>
      </c>
      <c r="U31" t="e">
        <f>VLOOKUP($C31,'Look-up'!$E:$H,3,FALSE)</f>
        <v>#N/A</v>
      </c>
      <c r="V31" t="e">
        <f>VLOOKUP($C31,'Look-up'!$E:$H,4,FALSE)</f>
        <v>#N/A</v>
      </c>
      <c r="AA31" t="str">
        <f t="shared" si="4"/>
        <v>[color=orange]</v>
      </c>
    </row>
    <row r="32" spans="1:27" hidden="1">
      <c r="A32" t="s">
        <v>154</v>
      </c>
      <c r="B32" t="str">
        <f t="shared" si="9"/>
        <v>[color=orange]</v>
      </c>
      <c r="C32" s="294">
        <f>'Members Data'!A75</f>
        <v>0</v>
      </c>
      <c r="D32" s="320" t="s">
        <v>156</v>
      </c>
      <c r="E32" s="295">
        <f>'Members Data'!D75</f>
        <v>0</v>
      </c>
      <c r="F32" s="320" t="s">
        <v>156</v>
      </c>
      <c r="G32" s="296">
        <f>'Members Data'!B75</f>
        <v>0</v>
      </c>
      <c r="H32" s="320" t="s">
        <v>156</v>
      </c>
      <c r="I32" s="286">
        <f>DCC!I75</f>
        <v>0</v>
      </c>
      <c r="J32" s="320" t="s">
        <v>156</v>
      </c>
      <c r="K32" s="287">
        <f>DCC!J75</f>
        <v>0</v>
      </c>
      <c r="L32" s="320" t="s">
        <v>156</v>
      </c>
      <c r="M32" s="287">
        <f t="shared" si="12"/>
        <v>0</v>
      </c>
      <c r="N32" s="320" t="s">
        <v>156</v>
      </c>
      <c r="O32" s="287">
        <f t="shared" si="13"/>
        <v>0</v>
      </c>
      <c r="P32" s="320" t="s">
        <v>156</v>
      </c>
      <c r="Q32" s="119" t="s">
        <v>219</v>
      </c>
      <c r="R32" s="288">
        <f t="shared" si="15"/>
        <v>0</v>
      </c>
      <c r="S32" t="s">
        <v>158</v>
      </c>
      <c r="U32" t="e">
        <f>VLOOKUP($C32,'Look-up'!$E:$H,3,FALSE)</f>
        <v>#N/A</v>
      </c>
      <c r="V32" t="e">
        <f>VLOOKUP($C32,'Look-up'!$E:$H,4,FALSE)</f>
        <v>#N/A</v>
      </c>
      <c r="AA32" t="str">
        <f t="shared" si="4"/>
        <v>[color=orange]</v>
      </c>
    </row>
    <row r="33" spans="1:27" hidden="1">
      <c r="A33" t="s">
        <v>154</v>
      </c>
      <c r="B33" t="str">
        <f t="shared" si="9"/>
        <v>[color=orange]</v>
      </c>
      <c r="C33" s="294" t="str">
        <f>'Members Data'!A63</f>
        <v>Nazgol</v>
      </c>
      <c r="D33" s="320" t="s">
        <v>156</v>
      </c>
      <c r="E33" s="295">
        <f>'Members Data'!D63</f>
        <v>0</v>
      </c>
      <c r="F33" s="320" t="s">
        <v>156</v>
      </c>
      <c r="G33" s="296" t="str">
        <f>'Members Data'!B63</f>
        <v>Traveler</v>
      </c>
      <c r="H33" s="320" t="s">
        <v>156</v>
      </c>
      <c r="I33" s="286">
        <f>DCC!I63</f>
        <v>0</v>
      </c>
      <c r="J33" s="320" t="s">
        <v>156</v>
      </c>
      <c r="K33" s="287">
        <f>DCC!J63</f>
        <v>0</v>
      </c>
      <c r="L33" s="320" t="s">
        <v>156</v>
      </c>
      <c r="M33" s="287">
        <f t="shared" si="12"/>
        <v>0</v>
      </c>
      <c r="N33" s="320" t="s">
        <v>156</v>
      </c>
      <c r="O33" s="287">
        <f t="shared" si="13"/>
        <v>0</v>
      </c>
      <c r="P33" s="320" t="s">
        <v>156</v>
      </c>
      <c r="Q33" s="119" t="s">
        <v>219</v>
      </c>
      <c r="R33" s="288">
        <f t="shared" si="15"/>
        <v>0</v>
      </c>
      <c r="S33" t="s">
        <v>158</v>
      </c>
      <c r="U33" t="e">
        <f>VLOOKUP($C33,'Look-up'!$E:$H,3,FALSE)</f>
        <v>#N/A</v>
      </c>
      <c r="V33" t="e">
        <f>VLOOKUP($C33,'Look-up'!$E:$H,4,FALSE)</f>
        <v>#N/A</v>
      </c>
      <c r="AA33" t="str">
        <f t="shared" si="4"/>
        <v>[color=orange]</v>
      </c>
    </row>
    <row r="34" spans="1:27" hidden="1">
      <c r="A34" t="s">
        <v>154</v>
      </c>
      <c r="B34" t="str">
        <f t="shared" si="9"/>
        <v>[color=orange]</v>
      </c>
      <c r="C34" s="294">
        <f>'Members Data'!A77</f>
        <v>0</v>
      </c>
      <c r="D34" s="320" t="s">
        <v>156</v>
      </c>
      <c r="E34" s="295">
        <f>'Members Data'!D77</f>
        <v>0</v>
      </c>
      <c r="F34" s="320" t="s">
        <v>156</v>
      </c>
      <c r="G34" s="296">
        <f>'Members Data'!B77</f>
        <v>0</v>
      </c>
      <c r="H34" s="320" t="s">
        <v>156</v>
      </c>
      <c r="I34" s="286">
        <f>DCC!I77</f>
        <v>0</v>
      </c>
      <c r="J34" s="320" t="s">
        <v>156</v>
      </c>
      <c r="K34" s="287">
        <f>DCC!J77</f>
        <v>0</v>
      </c>
      <c r="L34" s="320" t="s">
        <v>156</v>
      </c>
      <c r="M34" s="287">
        <f t="shared" si="12"/>
        <v>0</v>
      </c>
      <c r="N34" s="320" t="s">
        <v>156</v>
      </c>
      <c r="O34" s="287">
        <f t="shared" si="13"/>
        <v>0</v>
      </c>
      <c r="P34" s="320" t="s">
        <v>156</v>
      </c>
      <c r="Q34" s="119" t="s">
        <v>219</v>
      </c>
      <c r="R34" s="288">
        <f t="shared" si="15"/>
        <v>0</v>
      </c>
      <c r="S34" t="s">
        <v>158</v>
      </c>
      <c r="U34" t="e">
        <f>VLOOKUP($C34,'Look-up'!$E:$H,3,FALSE)</f>
        <v>#N/A</v>
      </c>
      <c r="V34" t="e">
        <f>VLOOKUP($C34,'Look-up'!$E:$H,4,FALSE)</f>
        <v>#N/A</v>
      </c>
      <c r="AA34" t="str">
        <f t="shared" si="4"/>
        <v>[color=orange]</v>
      </c>
    </row>
    <row r="35" spans="1:27" hidden="1">
      <c r="A35" t="s">
        <v>154</v>
      </c>
      <c r="B35" t="str">
        <f t="shared" si="9"/>
        <v>[color=orange]</v>
      </c>
      <c r="C35" s="294">
        <f>'Members Data'!A78</f>
        <v>0</v>
      </c>
      <c r="D35" s="320" t="s">
        <v>156</v>
      </c>
      <c r="E35" s="295">
        <f>'Members Data'!D78</f>
        <v>0</v>
      </c>
      <c r="F35" s="320" t="s">
        <v>156</v>
      </c>
      <c r="G35" s="296">
        <f>'Members Data'!B78</f>
        <v>0</v>
      </c>
      <c r="H35" s="320" t="s">
        <v>156</v>
      </c>
      <c r="I35" s="286">
        <f>DCC!I78</f>
        <v>0</v>
      </c>
      <c r="J35" s="320" t="s">
        <v>156</v>
      </c>
      <c r="K35" s="287">
        <f>DCC!J78</f>
        <v>0</v>
      </c>
      <c r="L35" s="320" t="s">
        <v>156</v>
      </c>
      <c r="M35" s="287">
        <f t="shared" si="12"/>
        <v>0</v>
      </c>
      <c r="N35" s="320" t="s">
        <v>156</v>
      </c>
      <c r="O35" s="287">
        <f t="shared" si="13"/>
        <v>0</v>
      </c>
      <c r="P35" s="320" t="s">
        <v>156</v>
      </c>
      <c r="Q35" s="119" t="s">
        <v>219</v>
      </c>
      <c r="R35" s="288">
        <f t="shared" si="15"/>
        <v>0</v>
      </c>
      <c r="S35" t="s">
        <v>158</v>
      </c>
      <c r="U35" t="e">
        <f>VLOOKUP($C35,'Look-up'!$E:$H,3,FALSE)</f>
        <v>#N/A</v>
      </c>
      <c r="V35" t="e">
        <f>VLOOKUP($C35,'Look-up'!$E:$H,4,FALSE)</f>
        <v>#N/A</v>
      </c>
      <c r="AA35" t="str">
        <f t="shared" si="4"/>
        <v>[color=orange]</v>
      </c>
    </row>
    <row r="36" spans="1:27" hidden="1">
      <c r="A36" t="s">
        <v>154</v>
      </c>
      <c r="B36" t="str">
        <f t="shared" si="9"/>
        <v>[color=orange]</v>
      </c>
      <c r="C36" s="294">
        <f>'Members Data'!A79</f>
        <v>0</v>
      </c>
      <c r="D36" s="320" t="s">
        <v>156</v>
      </c>
      <c r="E36" s="295">
        <f>'Members Data'!D79</f>
        <v>0</v>
      </c>
      <c r="F36" s="320" t="s">
        <v>156</v>
      </c>
      <c r="G36" s="296">
        <f>'Members Data'!B79</f>
        <v>0</v>
      </c>
      <c r="H36" s="320" t="s">
        <v>156</v>
      </c>
      <c r="I36" s="286">
        <f>DCC!I79</f>
        <v>0</v>
      </c>
      <c r="J36" s="320" t="s">
        <v>156</v>
      </c>
      <c r="K36" s="287">
        <f>DCC!J79</f>
        <v>0</v>
      </c>
      <c r="L36" s="320" t="s">
        <v>156</v>
      </c>
      <c r="M36" s="287">
        <f t="shared" si="12"/>
        <v>0</v>
      </c>
      <c r="N36" s="320" t="s">
        <v>156</v>
      </c>
      <c r="O36" s="287">
        <f t="shared" si="13"/>
        <v>0</v>
      </c>
      <c r="P36" s="320" t="s">
        <v>156</v>
      </c>
      <c r="Q36" s="119" t="s">
        <v>219</v>
      </c>
      <c r="R36" s="288">
        <f t="shared" si="15"/>
        <v>0</v>
      </c>
      <c r="S36" t="s">
        <v>158</v>
      </c>
      <c r="U36" t="e">
        <f>VLOOKUP($C36,'Look-up'!$E:$H,3,FALSE)</f>
        <v>#N/A</v>
      </c>
      <c r="V36" t="e">
        <f>VLOOKUP($C36,'Look-up'!$E:$H,4,FALSE)</f>
        <v>#N/A</v>
      </c>
      <c r="AA36" t="str">
        <f t="shared" si="4"/>
        <v>[color=orange]</v>
      </c>
    </row>
    <row r="37" spans="1:27" hidden="1">
      <c r="A37" t="s">
        <v>154</v>
      </c>
      <c r="B37" t="str">
        <f t="shared" si="9"/>
        <v>[color=orange]</v>
      </c>
      <c r="C37" s="294">
        <f>'Members Data'!A81</f>
        <v>0</v>
      </c>
      <c r="D37" s="320" t="s">
        <v>156</v>
      </c>
      <c r="E37" s="295">
        <f>'Members Data'!D81</f>
        <v>0</v>
      </c>
      <c r="F37" s="320" t="s">
        <v>156</v>
      </c>
      <c r="G37" s="296">
        <f>'Members Data'!B81</f>
        <v>0</v>
      </c>
      <c r="H37" s="320" t="s">
        <v>156</v>
      </c>
      <c r="I37" s="286">
        <f>DCC!I81</f>
        <v>0</v>
      </c>
      <c r="J37" s="320" t="s">
        <v>156</v>
      </c>
      <c r="K37" s="287">
        <f>DCC!J81</f>
        <v>0</v>
      </c>
      <c r="L37" s="320" t="s">
        <v>156</v>
      </c>
      <c r="M37" s="287">
        <f t="shared" si="12"/>
        <v>0</v>
      </c>
      <c r="N37" s="320" t="s">
        <v>156</v>
      </c>
      <c r="O37" s="287">
        <f t="shared" si="13"/>
        <v>0</v>
      </c>
      <c r="P37" s="320" t="s">
        <v>156</v>
      </c>
      <c r="Q37" s="119" t="s">
        <v>219</v>
      </c>
      <c r="R37" s="288">
        <f t="shared" si="15"/>
        <v>0</v>
      </c>
      <c r="S37" t="s">
        <v>158</v>
      </c>
      <c r="U37" t="e">
        <f>VLOOKUP($C37,'Look-up'!$E:$H,3,FALSE)</f>
        <v>#N/A</v>
      </c>
      <c r="V37" t="e">
        <f>VLOOKUP($C37,'Look-up'!$E:$H,4,FALSE)</f>
        <v>#N/A</v>
      </c>
      <c r="AA37" t="str">
        <f t="shared" si="4"/>
        <v>[color=orange]</v>
      </c>
    </row>
    <row r="38" spans="1:27" hidden="1">
      <c r="A38" t="s">
        <v>154</v>
      </c>
      <c r="B38" t="str">
        <f t="shared" si="9"/>
        <v>[color=orange]</v>
      </c>
      <c r="C38" s="294">
        <f>'Members Data'!A82</f>
        <v>0</v>
      </c>
      <c r="D38" s="320" t="s">
        <v>156</v>
      </c>
      <c r="E38" s="295">
        <f>'Members Data'!D82</f>
        <v>0</v>
      </c>
      <c r="F38" s="320" t="s">
        <v>156</v>
      </c>
      <c r="G38" s="296">
        <f>'Members Data'!B82</f>
        <v>0</v>
      </c>
      <c r="H38" s="320" t="s">
        <v>156</v>
      </c>
      <c r="I38" s="286">
        <f>DCC!I82</f>
        <v>0</v>
      </c>
      <c r="J38" s="320" t="s">
        <v>156</v>
      </c>
      <c r="K38" s="287">
        <f>DCC!J82</f>
        <v>0</v>
      </c>
      <c r="L38" s="320" t="s">
        <v>156</v>
      </c>
      <c r="M38" s="287">
        <f t="shared" si="12"/>
        <v>0</v>
      </c>
      <c r="N38" s="320" t="s">
        <v>156</v>
      </c>
      <c r="O38" s="287">
        <f t="shared" si="13"/>
        <v>0</v>
      </c>
      <c r="P38" s="320" t="s">
        <v>156</v>
      </c>
      <c r="Q38" s="119" t="s">
        <v>219</v>
      </c>
      <c r="R38" s="288">
        <f t="shared" si="15"/>
        <v>0</v>
      </c>
      <c r="S38" t="s">
        <v>158</v>
      </c>
      <c r="U38" t="e">
        <f>VLOOKUP($C38,'Look-up'!$E:$H,3,FALSE)</f>
        <v>#N/A</v>
      </c>
      <c r="V38" t="e">
        <f>VLOOKUP($C38,'Look-up'!$E:$H,4,FALSE)</f>
        <v>#N/A</v>
      </c>
      <c r="AA38" t="str">
        <f t="shared" si="4"/>
        <v>[color=orange]</v>
      </c>
    </row>
    <row r="39" spans="1:27" hidden="1">
      <c r="A39" t="s">
        <v>154</v>
      </c>
      <c r="B39" t="str">
        <f t="shared" si="9"/>
        <v>[color=orange]</v>
      </c>
      <c r="C39" s="294">
        <f>'Members Data'!A83</f>
        <v>0</v>
      </c>
      <c r="D39" s="320" t="s">
        <v>156</v>
      </c>
      <c r="E39" s="295">
        <f>'Members Data'!D83</f>
        <v>0</v>
      </c>
      <c r="F39" s="320" t="s">
        <v>156</v>
      </c>
      <c r="G39" s="296">
        <f>'Members Data'!B83</f>
        <v>0</v>
      </c>
      <c r="H39" s="320" t="s">
        <v>156</v>
      </c>
      <c r="I39" s="286">
        <f>DCC!I83</f>
        <v>0</v>
      </c>
      <c r="J39" s="320" t="s">
        <v>156</v>
      </c>
      <c r="K39" s="287">
        <f>DCC!J83</f>
        <v>0</v>
      </c>
      <c r="L39" s="320" t="s">
        <v>156</v>
      </c>
      <c r="M39" s="287">
        <f t="shared" si="12"/>
        <v>0</v>
      </c>
      <c r="N39" s="320" t="s">
        <v>156</v>
      </c>
      <c r="O39" s="287">
        <f t="shared" si="13"/>
        <v>0</v>
      </c>
      <c r="P39" s="320" t="s">
        <v>156</v>
      </c>
      <c r="Q39" s="119" t="s">
        <v>219</v>
      </c>
      <c r="R39" s="288">
        <f t="shared" si="15"/>
        <v>0</v>
      </c>
      <c r="S39" t="s">
        <v>158</v>
      </c>
      <c r="U39" t="e">
        <f>VLOOKUP($C39,'Look-up'!$E:$H,3,FALSE)</f>
        <v>#N/A</v>
      </c>
      <c r="V39" t="e">
        <f>VLOOKUP($C39,'Look-up'!$E:$H,4,FALSE)</f>
        <v>#N/A</v>
      </c>
      <c r="AA39" t="str">
        <f t="shared" si="4"/>
        <v>[color=orange]</v>
      </c>
    </row>
    <row r="40" spans="1:27" hidden="1">
      <c r="A40" t="s">
        <v>154</v>
      </c>
      <c r="B40" t="str">
        <f t="shared" si="9"/>
        <v>[color=orange]</v>
      </c>
      <c r="C40" s="294">
        <f>'Members Data'!A84</f>
        <v>0</v>
      </c>
      <c r="D40" s="320" t="s">
        <v>156</v>
      </c>
      <c r="E40" s="295">
        <f>'Members Data'!D84</f>
        <v>0</v>
      </c>
      <c r="F40" s="320" t="s">
        <v>156</v>
      </c>
      <c r="G40" s="296">
        <f>'Members Data'!B84</f>
        <v>0</v>
      </c>
      <c r="H40" s="320" t="s">
        <v>156</v>
      </c>
      <c r="I40" s="286">
        <f>DCC!I84</f>
        <v>0</v>
      </c>
      <c r="J40" s="320" t="s">
        <v>156</v>
      </c>
      <c r="K40" s="287">
        <f>DCC!J84</f>
        <v>0</v>
      </c>
      <c r="L40" s="320" t="s">
        <v>156</v>
      </c>
      <c r="M40" s="287">
        <f t="shared" si="12"/>
        <v>0</v>
      </c>
      <c r="N40" s="320" t="s">
        <v>156</v>
      </c>
      <c r="O40" s="287">
        <f t="shared" si="13"/>
        <v>0</v>
      </c>
      <c r="P40" s="320" t="s">
        <v>156</v>
      </c>
      <c r="Q40" s="119" t="s">
        <v>219</v>
      </c>
      <c r="R40" s="288">
        <f t="shared" si="15"/>
        <v>0</v>
      </c>
      <c r="S40" t="s">
        <v>158</v>
      </c>
      <c r="U40" t="e">
        <f>VLOOKUP($C40,'Look-up'!$E:$H,3,FALSE)</f>
        <v>#N/A</v>
      </c>
      <c r="V40" t="e">
        <f>VLOOKUP($C40,'Look-up'!$E:$H,4,FALSE)</f>
        <v>#N/A</v>
      </c>
      <c r="AA40" t="str">
        <f t="shared" si="4"/>
        <v>[color=orange]</v>
      </c>
    </row>
    <row r="41" spans="1:27" hidden="1">
      <c r="A41" t="s">
        <v>154</v>
      </c>
      <c r="B41" t="str">
        <f t="shared" si="9"/>
        <v>[color=orange]</v>
      </c>
      <c r="C41" s="294">
        <f>'Members Data'!A85</f>
        <v>0</v>
      </c>
      <c r="D41" s="320" t="s">
        <v>156</v>
      </c>
      <c r="E41" s="295">
        <f>'Members Data'!D85</f>
        <v>0</v>
      </c>
      <c r="F41" s="320" t="s">
        <v>156</v>
      </c>
      <c r="G41" s="296">
        <f>'Members Data'!B85</f>
        <v>0</v>
      </c>
      <c r="H41" s="320" t="s">
        <v>156</v>
      </c>
      <c r="I41" s="286">
        <f>DCC!I85</f>
        <v>0</v>
      </c>
      <c r="J41" s="320" t="s">
        <v>156</v>
      </c>
      <c r="K41" s="287">
        <f>DCC!J85</f>
        <v>0</v>
      </c>
      <c r="L41" s="320" t="s">
        <v>156</v>
      </c>
      <c r="M41" s="287">
        <f t="shared" si="12"/>
        <v>0</v>
      </c>
      <c r="N41" s="320" t="s">
        <v>156</v>
      </c>
      <c r="O41" s="287">
        <f t="shared" si="13"/>
        <v>0</v>
      </c>
      <c r="P41" s="320" t="s">
        <v>156</v>
      </c>
      <c r="Q41" s="119" t="s">
        <v>219</v>
      </c>
      <c r="R41" s="288">
        <f t="shared" si="15"/>
        <v>0</v>
      </c>
      <c r="S41" t="s">
        <v>158</v>
      </c>
      <c r="U41" t="e">
        <f>VLOOKUP($C41,'Look-up'!$E:$H,3,FALSE)</f>
        <v>#N/A</v>
      </c>
      <c r="V41" t="e">
        <f>VLOOKUP($C41,'Look-up'!$E:$H,4,FALSE)</f>
        <v>#N/A</v>
      </c>
      <c r="AA41" t="str">
        <f t="shared" si="4"/>
        <v>[color=orange]</v>
      </c>
    </row>
    <row r="42" spans="1:27" hidden="1">
      <c r="A42" t="s">
        <v>154</v>
      </c>
      <c r="B42" t="str">
        <f t="shared" si="9"/>
        <v>[color=orange]</v>
      </c>
      <c r="C42" s="294">
        <f>'Members Data'!A86</f>
        <v>0</v>
      </c>
      <c r="D42" s="320" t="s">
        <v>156</v>
      </c>
      <c r="E42" s="295">
        <f>'Members Data'!D86</f>
        <v>0</v>
      </c>
      <c r="F42" s="320" t="s">
        <v>156</v>
      </c>
      <c r="G42" s="296">
        <f>'Members Data'!B86</f>
        <v>0</v>
      </c>
      <c r="H42" s="320" t="s">
        <v>156</v>
      </c>
      <c r="I42" s="286">
        <f>DCC!I86</f>
        <v>0</v>
      </c>
      <c r="J42" s="320" t="s">
        <v>156</v>
      </c>
      <c r="K42" s="287">
        <f>DCC!J86</f>
        <v>0</v>
      </c>
      <c r="L42" s="320" t="s">
        <v>156</v>
      </c>
      <c r="M42" s="287">
        <f t="shared" si="12"/>
        <v>0</v>
      </c>
      <c r="N42" s="320" t="s">
        <v>156</v>
      </c>
      <c r="O42" s="287">
        <f t="shared" si="13"/>
        <v>0</v>
      </c>
      <c r="P42" s="320" t="s">
        <v>156</v>
      </c>
      <c r="Q42" s="119" t="s">
        <v>219</v>
      </c>
      <c r="R42" s="288">
        <f t="shared" si="15"/>
        <v>0</v>
      </c>
      <c r="S42" t="s">
        <v>158</v>
      </c>
      <c r="U42" t="e">
        <f>VLOOKUP($C42,'Look-up'!$E:$H,3,FALSE)</f>
        <v>#N/A</v>
      </c>
      <c r="V42" t="e">
        <f>VLOOKUP($C42,'Look-up'!$E:$H,4,FALSE)</f>
        <v>#N/A</v>
      </c>
      <c r="AA42" t="str">
        <f t="shared" si="4"/>
        <v>[color=orange]</v>
      </c>
    </row>
    <row r="43" spans="1:27" hidden="1">
      <c r="A43" t="s">
        <v>154</v>
      </c>
      <c r="B43" t="str">
        <f t="shared" si="9"/>
        <v>[color=orange]</v>
      </c>
      <c r="C43" s="294">
        <f>'Members Data'!A87</f>
        <v>0</v>
      </c>
      <c r="D43" s="320" t="s">
        <v>156</v>
      </c>
      <c r="E43" s="295">
        <f>'Members Data'!D87</f>
        <v>0</v>
      </c>
      <c r="F43" s="320" t="s">
        <v>156</v>
      </c>
      <c r="G43" s="296">
        <f>'Members Data'!B87</f>
        <v>0</v>
      </c>
      <c r="H43" s="320" t="s">
        <v>156</v>
      </c>
      <c r="I43" s="286">
        <f>DCC!I87</f>
        <v>0</v>
      </c>
      <c r="J43" s="320" t="s">
        <v>156</v>
      </c>
      <c r="K43" s="287">
        <f>DCC!J87</f>
        <v>0</v>
      </c>
      <c r="L43" s="320" t="s">
        <v>156</v>
      </c>
      <c r="M43" s="287">
        <f t="shared" si="12"/>
        <v>0</v>
      </c>
      <c r="N43" s="320" t="s">
        <v>156</v>
      </c>
      <c r="O43" s="287">
        <f t="shared" si="13"/>
        <v>0</v>
      </c>
      <c r="P43" s="320" t="s">
        <v>156</v>
      </c>
      <c r="Q43" s="119" t="s">
        <v>219</v>
      </c>
      <c r="R43" s="288">
        <f t="shared" si="15"/>
        <v>0</v>
      </c>
      <c r="S43" t="s">
        <v>158</v>
      </c>
      <c r="U43" t="e">
        <f>VLOOKUP($C43,'Look-up'!$E:$H,3,FALSE)</f>
        <v>#N/A</v>
      </c>
      <c r="V43" t="e">
        <f>VLOOKUP($C43,'Look-up'!$E:$H,4,FALSE)</f>
        <v>#N/A</v>
      </c>
      <c r="AA43" t="str">
        <f t="shared" si="4"/>
        <v>[color=orange]</v>
      </c>
    </row>
    <row r="44" spans="1:27" hidden="1">
      <c r="A44" t="s">
        <v>154</v>
      </c>
      <c r="B44" t="str">
        <f t="shared" si="9"/>
        <v>[color=orange]</v>
      </c>
      <c r="C44" s="294">
        <f>'Members Data'!A88</f>
        <v>0</v>
      </c>
      <c r="D44" s="320" t="s">
        <v>156</v>
      </c>
      <c r="E44" s="295">
        <f>'Members Data'!D88</f>
        <v>0</v>
      </c>
      <c r="F44" s="320" t="s">
        <v>156</v>
      </c>
      <c r="G44" s="296">
        <f>'Members Data'!B88</f>
        <v>0</v>
      </c>
      <c r="H44" s="320" t="s">
        <v>156</v>
      </c>
      <c r="I44" s="286">
        <f>DCC!I88</f>
        <v>0</v>
      </c>
      <c r="J44" s="320" t="s">
        <v>156</v>
      </c>
      <c r="K44" s="287">
        <f>DCC!J88</f>
        <v>0</v>
      </c>
      <c r="L44" s="320" t="s">
        <v>156</v>
      </c>
      <c r="M44" s="287">
        <f t="shared" si="12"/>
        <v>0</v>
      </c>
      <c r="N44" s="320" t="s">
        <v>156</v>
      </c>
      <c r="O44" s="287">
        <f t="shared" si="13"/>
        <v>0</v>
      </c>
      <c r="P44" s="320" t="s">
        <v>156</v>
      </c>
      <c r="Q44" s="119" t="s">
        <v>219</v>
      </c>
      <c r="R44" s="288">
        <f t="shared" si="15"/>
        <v>0</v>
      </c>
      <c r="S44" t="s">
        <v>158</v>
      </c>
      <c r="U44" t="e">
        <f>VLOOKUP($C44,'Look-up'!$E:$H,3,FALSE)</f>
        <v>#N/A</v>
      </c>
      <c r="V44" t="e">
        <f>VLOOKUP($C44,'Look-up'!$E:$H,4,FALSE)</f>
        <v>#N/A</v>
      </c>
      <c r="AA44" t="str">
        <f t="shared" si="4"/>
        <v>[color=orange]</v>
      </c>
    </row>
    <row r="45" spans="1:27" hidden="1">
      <c r="A45" t="s">
        <v>154</v>
      </c>
      <c r="B45" t="str">
        <f t="shared" si="9"/>
        <v>[color=orange]</v>
      </c>
      <c r="C45" s="294">
        <f>'Members Data'!A89</f>
        <v>0</v>
      </c>
      <c r="D45" s="320" t="s">
        <v>156</v>
      </c>
      <c r="E45" s="295">
        <f>'Members Data'!D89</f>
        <v>0</v>
      </c>
      <c r="F45" s="320" t="s">
        <v>156</v>
      </c>
      <c r="G45" s="296">
        <f>'Members Data'!B89</f>
        <v>0</v>
      </c>
      <c r="H45" s="320" t="s">
        <v>156</v>
      </c>
      <c r="I45" s="286">
        <f>DCC!I89</f>
        <v>0</v>
      </c>
      <c r="J45" s="320" t="s">
        <v>156</v>
      </c>
      <c r="K45" s="287">
        <f>DCC!J89</f>
        <v>0</v>
      </c>
      <c r="L45" s="320" t="s">
        <v>156</v>
      </c>
      <c r="M45" s="287">
        <f t="shared" si="12"/>
        <v>0</v>
      </c>
      <c r="N45" s="320" t="s">
        <v>156</v>
      </c>
      <c r="O45" s="287">
        <f t="shared" si="13"/>
        <v>0</v>
      </c>
      <c r="P45" s="320" t="s">
        <v>156</v>
      </c>
      <c r="Q45" s="119" t="s">
        <v>219</v>
      </c>
      <c r="R45" s="288">
        <f t="shared" si="15"/>
        <v>0</v>
      </c>
      <c r="S45" t="s">
        <v>158</v>
      </c>
      <c r="U45" t="e">
        <f>VLOOKUP($C45,'Look-up'!$E:$H,3,FALSE)</f>
        <v>#N/A</v>
      </c>
      <c r="V45" t="e">
        <f>VLOOKUP($C45,'Look-up'!$E:$H,4,FALSE)</f>
        <v>#N/A</v>
      </c>
      <c r="AA45" t="str">
        <f t="shared" si="4"/>
        <v>[color=orange]</v>
      </c>
    </row>
    <row r="46" spans="1:27" hidden="1">
      <c r="A46" t="s">
        <v>154</v>
      </c>
      <c r="B46" t="str">
        <f t="shared" si="9"/>
        <v>[color=orange]</v>
      </c>
      <c r="C46" s="294">
        <f>'Members Data'!A90</f>
        <v>0</v>
      </c>
      <c r="D46" s="320" t="s">
        <v>156</v>
      </c>
      <c r="E46" s="295">
        <f>'Members Data'!D90</f>
        <v>0</v>
      </c>
      <c r="F46" s="320" t="s">
        <v>156</v>
      </c>
      <c r="G46" s="296">
        <f>'Members Data'!B90</f>
        <v>0</v>
      </c>
      <c r="H46" s="320" t="s">
        <v>156</v>
      </c>
      <c r="I46" s="286">
        <f>DCC!I90</f>
        <v>0</v>
      </c>
      <c r="J46" s="320" t="s">
        <v>156</v>
      </c>
      <c r="K46" s="287">
        <f>DCC!J90</f>
        <v>0</v>
      </c>
      <c r="L46" s="320" t="s">
        <v>156</v>
      </c>
      <c r="M46" s="287">
        <f t="shared" si="12"/>
        <v>0</v>
      </c>
      <c r="N46" s="320" t="s">
        <v>156</v>
      </c>
      <c r="O46" s="287">
        <f t="shared" si="13"/>
        <v>0</v>
      </c>
      <c r="P46" s="320" t="s">
        <v>156</v>
      </c>
      <c r="Q46" s="119" t="s">
        <v>219</v>
      </c>
      <c r="R46" s="288">
        <f t="shared" si="15"/>
        <v>0</v>
      </c>
      <c r="S46" t="s">
        <v>158</v>
      </c>
      <c r="U46" t="e">
        <f>VLOOKUP($C46,'Look-up'!$E:$H,3,FALSE)</f>
        <v>#N/A</v>
      </c>
      <c r="V46" t="e">
        <f>VLOOKUP($C46,'Look-up'!$E:$H,4,FALSE)</f>
        <v>#N/A</v>
      </c>
      <c r="AA46" t="str">
        <f t="shared" si="4"/>
        <v>[color=orange]</v>
      </c>
    </row>
    <row r="47" spans="1:27" hidden="1">
      <c r="A47" t="s">
        <v>154</v>
      </c>
      <c r="B47" t="str">
        <f t="shared" si="9"/>
        <v>[color=orange]</v>
      </c>
      <c r="C47" s="294">
        <f>'Members Data'!A91</f>
        <v>0</v>
      </c>
      <c r="D47" s="320" t="s">
        <v>156</v>
      </c>
      <c r="E47" s="295">
        <f>'Members Data'!D91</f>
        <v>0</v>
      </c>
      <c r="F47" s="320" t="s">
        <v>156</v>
      </c>
      <c r="G47" s="296">
        <f>'Members Data'!B91</f>
        <v>0</v>
      </c>
      <c r="H47" s="320" t="s">
        <v>156</v>
      </c>
      <c r="I47" s="286">
        <f>DCC!I91</f>
        <v>0</v>
      </c>
      <c r="J47" s="320" t="s">
        <v>156</v>
      </c>
      <c r="K47" s="287">
        <f>DCC!J91</f>
        <v>0</v>
      </c>
      <c r="L47" s="320" t="s">
        <v>156</v>
      </c>
      <c r="M47" s="287">
        <f t="shared" si="12"/>
        <v>0</v>
      </c>
      <c r="N47" s="320" t="s">
        <v>156</v>
      </c>
      <c r="O47" s="287">
        <f t="shared" si="13"/>
        <v>0</v>
      </c>
      <c r="P47" s="320" t="s">
        <v>156</v>
      </c>
      <c r="Q47" s="119" t="s">
        <v>219</v>
      </c>
      <c r="R47" s="288">
        <f t="shared" si="15"/>
        <v>0</v>
      </c>
      <c r="S47" t="s">
        <v>158</v>
      </c>
      <c r="U47" t="e">
        <f>VLOOKUP($C47,'Look-up'!$E:$H,3,FALSE)</f>
        <v>#N/A</v>
      </c>
      <c r="V47" t="e">
        <f>VLOOKUP($C47,'Look-up'!$E:$H,4,FALSE)</f>
        <v>#N/A</v>
      </c>
      <c r="AA47" t="str">
        <f t="shared" si="4"/>
        <v>[color=orange]</v>
      </c>
    </row>
    <row r="48" spans="1:27" hidden="1">
      <c r="A48" t="s">
        <v>154</v>
      </c>
      <c r="B48" t="str">
        <f t="shared" si="9"/>
        <v>[color=orange]</v>
      </c>
      <c r="C48" s="294">
        <f>'Members Data'!A92</f>
        <v>0</v>
      </c>
      <c r="D48" s="320" t="s">
        <v>156</v>
      </c>
      <c r="E48" s="295">
        <f>'Members Data'!D92</f>
        <v>0</v>
      </c>
      <c r="F48" s="320" t="s">
        <v>156</v>
      </c>
      <c r="G48" s="296">
        <f>'Members Data'!B92</f>
        <v>0</v>
      </c>
      <c r="H48" s="320" t="s">
        <v>156</v>
      </c>
      <c r="I48" s="286">
        <f>DCC!I92</f>
        <v>0</v>
      </c>
      <c r="J48" s="320" t="s">
        <v>156</v>
      </c>
      <c r="K48" s="287">
        <f>DCC!J92</f>
        <v>0</v>
      </c>
      <c r="L48" s="320" t="s">
        <v>156</v>
      </c>
      <c r="M48" s="287">
        <f t="shared" si="12"/>
        <v>0</v>
      </c>
      <c r="N48" s="320" t="s">
        <v>156</v>
      </c>
      <c r="O48" s="287">
        <f t="shared" si="13"/>
        <v>0</v>
      </c>
      <c r="P48" s="320" t="s">
        <v>156</v>
      </c>
      <c r="Q48" s="119" t="s">
        <v>219</v>
      </c>
      <c r="R48" s="288">
        <f t="shared" si="15"/>
        <v>0</v>
      </c>
      <c r="S48" t="s">
        <v>158</v>
      </c>
      <c r="U48" t="e">
        <f>VLOOKUP($C48,'Look-up'!$E:$H,3,FALSE)</f>
        <v>#N/A</v>
      </c>
      <c r="V48" t="e">
        <f>VLOOKUP($C48,'Look-up'!$E:$H,4,FALSE)</f>
        <v>#N/A</v>
      </c>
      <c r="AA48" t="str">
        <f t="shared" si="4"/>
        <v>[color=orange]</v>
      </c>
    </row>
    <row r="49" spans="1:27" hidden="1">
      <c r="A49" t="s">
        <v>154</v>
      </c>
      <c r="B49" t="str">
        <f t="shared" si="9"/>
        <v>[color=orange]</v>
      </c>
      <c r="C49" s="294">
        <f>'Members Data'!A93</f>
        <v>0</v>
      </c>
      <c r="D49" s="320" t="s">
        <v>156</v>
      </c>
      <c r="E49" s="295">
        <f>'Members Data'!D93</f>
        <v>0</v>
      </c>
      <c r="F49" s="320" t="s">
        <v>156</v>
      </c>
      <c r="G49" s="296">
        <f>'Members Data'!B93</f>
        <v>0</v>
      </c>
      <c r="H49" s="320" t="s">
        <v>156</v>
      </c>
      <c r="I49" s="286">
        <f>DCC!I93</f>
        <v>0</v>
      </c>
      <c r="J49" s="320" t="s">
        <v>156</v>
      </c>
      <c r="K49" s="287">
        <f>DCC!J93</f>
        <v>0</v>
      </c>
      <c r="L49" s="320" t="s">
        <v>156</v>
      </c>
      <c r="M49" s="287">
        <f t="shared" si="12"/>
        <v>0</v>
      </c>
      <c r="N49" s="320" t="s">
        <v>156</v>
      </c>
      <c r="O49" s="287">
        <f t="shared" si="13"/>
        <v>0</v>
      </c>
      <c r="P49" s="320" t="s">
        <v>156</v>
      </c>
      <c r="Q49" s="119" t="s">
        <v>219</v>
      </c>
      <c r="R49" s="288">
        <f t="shared" si="15"/>
        <v>0</v>
      </c>
      <c r="S49" t="s">
        <v>158</v>
      </c>
      <c r="U49" t="e">
        <f>VLOOKUP($C49,'Look-up'!$E:$H,3,FALSE)</f>
        <v>#N/A</v>
      </c>
      <c r="V49" t="e">
        <f>VLOOKUP($C49,'Look-up'!$E:$H,4,FALSE)</f>
        <v>#N/A</v>
      </c>
      <c r="AA49" t="str">
        <f t="shared" si="4"/>
        <v>[color=orange]</v>
      </c>
    </row>
    <row r="50" spans="1:27" hidden="1">
      <c r="A50" t="s">
        <v>154</v>
      </c>
      <c r="B50" t="str">
        <f t="shared" si="9"/>
        <v>[color=orange]</v>
      </c>
      <c r="C50" s="294">
        <f>'Members Data'!A94</f>
        <v>0</v>
      </c>
      <c r="D50" s="320" t="s">
        <v>156</v>
      </c>
      <c r="E50" s="295">
        <f>'Members Data'!D94</f>
        <v>0</v>
      </c>
      <c r="F50" s="320" t="s">
        <v>156</v>
      </c>
      <c r="G50" s="296">
        <f>'Members Data'!B94</f>
        <v>0</v>
      </c>
      <c r="H50" s="320" t="s">
        <v>156</v>
      </c>
      <c r="I50" s="286">
        <f>DCC!I94</f>
        <v>0</v>
      </c>
      <c r="J50" s="320" t="s">
        <v>156</v>
      </c>
      <c r="K50" s="287">
        <f>DCC!J94</f>
        <v>0</v>
      </c>
      <c r="L50" s="320" t="s">
        <v>156</v>
      </c>
      <c r="M50" s="287">
        <f t="shared" si="12"/>
        <v>0</v>
      </c>
      <c r="N50" s="320" t="s">
        <v>156</v>
      </c>
      <c r="O50" s="287">
        <f t="shared" si="13"/>
        <v>0</v>
      </c>
      <c r="P50" s="320" t="s">
        <v>156</v>
      </c>
      <c r="Q50" s="119" t="s">
        <v>219</v>
      </c>
      <c r="R50" s="288">
        <f t="shared" si="15"/>
        <v>0</v>
      </c>
      <c r="S50" t="s">
        <v>158</v>
      </c>
      <c r="U50" t="e">
        <f>VLOOKUP($C50,'Look-up'!$E:$H,3,FALSE)</f>
        <v>#N/A</v>
      </c>
      <c r="V50" t="e">
        <f>VLOOKUP($C50,'Look-up'!$E:$H,4,FALSE)</f>
        <v>#N/A</v>
      </c>
      <c r="AA50" t="str">
        <f t="shared" si="4"/>
        <v>[color=orange]</v>
      </c>
    </row>
    <row r="51" spans="1:27" hidden="1">
      <c r="A51" t="s">
        <v>154</v>
      </c>
      <c r="B51" t="str">
        <f t="shared" si="9"/>
        <v>[color=orange]</v>
      </c>
      <c r="C51" s="294">
        <f>'Members Data'!A95</f>
        <v>0</v>
      </c>
      <c r="D51" s="320" t="s">
        <v>156</v>
      </c>
      <c r="E51" s="295">
        <f>'Members Data'!D95</f>
        <v>0</v>
      </c>
      <c r="F51" s="320" t="s">
        <v>156</v>
      </c>
      <c r="G51" s="296">
        <f>'Members Data'!B95</f>
        <v>0</v>
      </c>
      <c r="H51" s="320" t="s">
        <v>156</v>
      </c>
      <c r="I51" s="286">
        <f>DCC!I95</f>
        <v>0</v>
      </c>
      <c r="J51" s="320" t="s">
        <v>156</v>
      </c>
      <c r="K51" s="287">
        <f>DCC!J95</f>
        <v>0</v>
      </c>
      <c r="L51" s="320" t="s">
        <v>156</v>
      </c>
      <c r="M51" s="287">
        <f t="shared" si="12"/>
        <v>0</v>
      </c>
      <c r="N51" s="320" t="s">
        <v>156</v>
      </c>
      <c r="O51" s="287">
        <f t="shared" si="13"/>
        <v>0</v>
      </c>
      <c r="P51" s="320" t="s">
        <v>156</v>
      </c>
      <c r="Q51" s="119" t="s">
        <v>219</v>
      </c>
      <c r="R51" s="288">
        <f t="shared" si="15"/>
        <v>0</v>
      </c>
      <c r="S51" t="s">
        <v>158</v>
      </c>
      <c r="U51" t="e">
        <f>VLOOKUP($C51,'Look-up'!$E:$H,3,FALSE)</f>
        <v>#N/A</v>
      </c>
      <c r="V51" t="e">
        <f>VLOOKUP($C51,'Look-up'!$E:$H,4,FALSE)</f>
        <v>#N/A</v>
      </c>
      <c r="AA51" t="str">
        <f t="shared" si="4"/>
        <v>[color=orange]</v>
      </c>
    </row>
    <row r="52" spans="1:27" hidden="1">
      <c r="A52" t="s">
        <v>154</v>
      </c>
      <c r="B52" t="str">
        <f t="shared" si="9"/>
        <v>[color=orange]</v>
      </c>
      <c r="C52" s="294">
        <f>'Members Data'!A96</f>
        <v>0</v>
      </c>
      <c r="D52" s="320" t="s">
        <v>156</v>
      </c>
      <c r="E52" s="295">
        <f>'Members Data'!D96</f>
        <v>0</v>
      </c>
      <c r="F52" s="320" t="s">
        <v>156</v>
      </c>
      <c r="G52" s="296">
        <f>'Members Data'!B96</f>
        <v>0</v>
      </c>
      <c r="H52" s="320" t="s">
        <v>156</v>
      </c>
      <c r="I52" s="286">
        <f>DCC!I96</f>
        <v>0</v>
      </c>
      <c r="J52" s="320" t="s">
        <v>156</v>
      </c>
      <c r="K52" s="287">
        <f>DCC!J96</f>
        <v>0</v>
      </c>
      <c r="L52" s="320" t="s">
        <v>156</v>
      </c>
      <c r="M52" s="287">
        <f t="shared" si="12"/>
        <v>0</v>
      </c>
      <c r="N52" s="320" t="s">
        <v>156</v>
      </c>
      <c r="O52" s="287">
        <f t="shared" si="13"/>
        <v>0</v>
      </c>
      <c r="P52" s="320" t="s">
        <v>156</v>
      </c>
      <c r="Q52" s="119" t="s">
        <v>219</v>
      </c>
      <c r="R52" s="288">
        <f t="shared" si="15"/>
        <v>0</v>
      </c>
      <c r="S52" t="s">
        <v>158</v>
      </c>
      <c r="U52" t="e">
        <f>VLOOKUP($C52,'Look-up'!$E:$H,3,FALSE)</f>
        <v>#N/A</v>
      </c>
      <c r="V52" t="e">
        <f>VLOOKUP($C52,'Look-up'!$E:$H,4,FALSE)</f>
        <v>#N/A</v>
      </c>
      <c r="AA52" t="str">
        <f t="shared" si="4"/>
        <v>[color=orange]</v>
      </c>
    </row>
    <row r="53" spans="1:27" hidden="1">
      <c r="A53" t="s">
        <v>154</v>
      </c>
      <c r="B53" t="str">
        <f t="shared" si="9"/>
        <v>[color=orange]</v>
      </c>
      <c r="C53" s="294">
        <f>'Members Data'!A97</f>
        <v>0</v>
      </c>
      <c r="D53" s="320" t="s">
        <v>156</v>
      </c>
      <c r="E53" s="295">
        <f>'Members Data'!D97</f>
        <v>0</v>
      </c>
      <c r="F53" s="320" t="s">
        <v>156</v>
      </c>
      <c r="G53" s="296">
        <f>'Members Data'!B97</f>
        <v>0</v>
      </c>
      <c r="H53" s="320" t="s">
        <v>156</v>
      </c>
      <c r="I53" s="286">
        <f>DCC!I97</f>
        <v>0</v>
      </c>
      <c r="J53" s="320" t="s">
        <v>156</v>
      </c>
      <c r="K53" s="287">
        <f>DCC!J97</f>
        <v>0</v>
      </c>
      <c r="L53" s="320" t="s">
        <v>156</v>
      </c>
      <c r="M53" s="287">
        <f t="shared" ref="M53:M84" si="16">IF(ISNA(U53),0,U53)</f>
        <v>0</v>
      </c>
      <c r="N53" s="320" t="s">
        <v>156</v>
      </c>
      <c r="O53" s="287">
        <f t="shared" ref="O53:O84" si="17">IF(ISNA(V53),0,V53)</f>
        <v>0</v>
      </c>
      <c r="P53" s="320" t="s">
        <v>156</v>
      </c>
      <c r="Q53" s="119" t="s">
        <v>219</v>
      </c>
      <c r="R53" s="288">
        <f t="shared" si="15"/>
        <v>0</v>
      </c>
      <c r="S53" t="s">
        <v>158</v>
      </c>
      <c r="U53" t="e">
        <f>VLOOKUP($C53,'Look-up'!$E:$H,3,FALSE)</f>
        <v>#N/A</v>
      </c>
      <c r="V53" t="e">
        <f>VLOOKUP($C53,'Look-up'!$E:$H,4,FALSE)</f>
        <v>#N/A</v>
      </c>
      <c r="AA53" t="str">
        <f t="shared" si="4"/>
        <v>[color=orange]</v>
      </c>
    </row>
    <row r="54" spans="1:27" hidden="1">
      <c r="A54" t="s">
        <v>154</v>
      </c>
      <c r="B54" t="str">
        <f t="shared" si="9"/>
        <v>[color=orange]</v>
      </c>
      <c r="C54" s="294">
        <f>'Members Data'!A99</f>
        <v>0</v>
      </c>
      <c r="D54" s="320" t="s">
        <v>156</v>
      </c>
      <c r="E54" s="295">
        <f>'Members Data'!D99</f>
        <v>0</v>
      </c>
      <c r="F54" s="320" t="s">
        <v>156</v>
      </c>
      <c r="G54" s="296">
        <f>'Members Data'!B99</f>
        <v>0</v>
      </c>
      <c r="H54" s="320" t="s">
        <v>156</v>
      </c>
      <c r="I54" s="286">
        <f>DCC!I99</f>
        <v>0</v>
      </c>
      <c r="J54" s="320" t="s">
        <v>156</v>
      </c>
      <c r="K54" s="287">
        <f>DCC!J99</f>
        <v>0</v>
      </c>
      <c r="L54" s="320" t="s">
        <v>156</v>
      </c>
      <c r="M54" s="287">
        <f t="shared" si="16"/>
        <v>0</v>
      </c>
      <c r="N54" s="320" t="s">
        <v>156</v>
      </c>
      <c r="O54" s="287">
        <f t="shared" si="17"/>
        <v>0</v>
      </c>
      <c r="P54" s="320" t="s">
        <v>156</v>
      </c>
      <c r="Q54" s="119" t="s">
        <v>219</v>
      </c>
      <c r="R54" s="288">
        <f t="shared" si="15"/>
        <v>0</v>
      </c>
      <c r="S54" t="s">
        <v>158</v>
      </c>
      <c r="U54" t="e">
        <f>VLOOKUP($C54,'Look-up'!$E:$H,3,FALSE)</f>
        <v>#N/A</v>
      </c>
      <c r="V54" t="e">
        <f>VLOOKUP($C54,'Look-up'!$E:$H,4,FALSE)</f>
        <v>#N/A</v>
      </c>
      <c r="AA54" t="str">
        <f t="shared" si="4"/>
        <v>[color=orange]</v>
      </c>
    </row>
    <row r="55" spans="1:27" hidden="1">
      <c r="A55" t="s">
        <v>154</v>
      </c>
      <c r="B55" t="str">
        <f t="shared" si="9"/>
        <v>[color=orange]</v>
      </c>
      <c r="C55" s="294">
        <f>'Members Data'!A100</f>
        <v>0</v>
      </c>
      <c r="D55" s="320" t="s">
        <v>156</v>
      </c>
      <c r="E55" s="295">
        <f>'Members Data'!D100</f>
        <v>0</v>
      </c>
      <c r="F55" s="320" t="s">
        <v>156</v>
      </c>
      <c r="G55" s="296">
        <f>'Members Data'!B100</f>
        <v>0</v>
      </c>
      <c r="H55" s="320" t="s">
        <v>156</v>
      </c>
      <c r="I55" s="286">
        <f>DCC!I100</f>
        <v>0</v>
      </c>
      <c r="J55" s="320" t="s">
        <v>156</v>
      </c>
      <c r="K55" s="287">
        <f>DCC!J100</f>
        <v>0</v>
      </c>
      <c r="L55" s="320" t="s">
        <v>156</v>
      </c>
      <c r="M55" s="287">
        <f t="shared" si="16"/>
        <v>0</v>
      </c>
      <c r="N55" s="320" t="s">
        <v>156</v>
      </c>
      <c r="O55" s="287">
        <f t="shared" si="17"/>
        <v>0</v>
      </c>
      <c r="P55" s="320" t="s">
        <v>156</v>
      </c>
      <c r="Q55" s="119" t="s">
        <v>219</v>
      </c>
      <c r="R55" s="288">
        <f t="shared" si="15"/>
        <v>0</v>
      </c>
      <c r="S55" t="s">
        <v>158</v>
      </c>
      <c r="U55" t="e">
        <f>VLOOKUP($C55,'Look-up'!$E:$H,3,FALSE)</f>
        <v>#N/A</v>
      </c>
      <c r="V55" t="e">
        <f>VLOOKUP($C55,'Look-up'!$E:$H,4,FALSE)</f>
        <v>#N/A</v>
      </c>
      <c r="AA55" t="str">
        <f t="shared" si="4"/>
        <v>[color=orange]</v>
      </c>
    </row>
    <row r="56" spans="1:27" hidden="1">
      <c r="A56" t="s">
        <v>154</v>
      </c>
      <c r="B56" t="str">
        <f t="shared" si="9"/>
        <v>[color=orange]</v>
      </c>
      <c r="C56" s="294">
        <f>'Members Data'!A101</f>
        <v>0</v>
      </c>
      <c r="D56" s="320" t="s">
        <v>156</v>
      </c>
      <c r="E56" s="295">
        <f>'Members Data'!D101</f>
        <v>0</v>
      </c>
      <c r="F56" s="320" t="s">
        <v>156</v>
      </c>
      <c r="G56" s="296">
        <f>'Members Data'!B101</f>
        <v>0</v>
      </c>
      <c r="H56" s="320" t="s">
        <v>156</v>
      </c>
      <c r="I56" s="286">
        <f>DCC!I101</f>
        <v>0</v>
      </c>
      <c r="J56" s="320" t="s">
        <v>156</v>
      </c>
      <c r="K56" s="287">
        <f>DCC!J101</f>
        <v>0</v>
      </c>
      <c r="L56" s="320" t="s">
        <v>156</v>
      </c>
      <c r="M56" s="287">
        <f t="shared" si="16"/>
        <v>0</v>
      </c>
      <c r="N56" s="320" t="s">
        <v>156</v>
      </c>
      <c r="O56" s="287">
        <f t="shared" si="17"/>
        <v>0</v>
      </c>
      <c r="P56" s="320" t="s">
        <v>156</v>
      </c>
      <c r="Q56" s="119" t="s">
        <v>219</v>
      </c>
      <c r="R56" s="288">
        <f t="shared" si="15"/>
        <v>0</v>
      </c>
      <c r="S56" t="s">
        <v>158</v>
      </c>
      <c r="U56" t="e">
        <f>VLOOKUP($C56,'Look-up'!$E:$H,3,FALSE)</f>
        <v>#N/A</v>
      </c>
      <c r="V56" t="e">
        <f>VLOOKUP($C56,'Look-up'!$E:$H,4,FALSE)</f>
        <v>#N/A</v>
      </c>
      <c r="AA56" t="str">
        <f t="shared" si="4"/>
        <v>[color=orange]</v>
      </c>
    </row>
    <row r="57" spans="1:27" hidden="1">
      <c r="A57" t="s">
        <v>154</v>
      </c>
      <c r="B57" t="str">
        <f t="shared" si="9"/>
        <v>[color=red]</v>
      </c>
      <c r="C57" s="294">
        <f>'Members Data'!A47</f>
        <v>0</v>
      </c>
      <c r="D57" s="320" t="s">
        <v>156</v>
      </c>
      <c r="E57" s="295">
        <f>'Members Data'!D47</f>
        <v>0</v>
      </c>
      <c r="F57" s="320" t="s">
        <v>156</v>
      </c>
      <c r="G57" s="296">
        <f>'Members Data'!B47</f>
        <v>0</v>
      </c>
      <c r="H57" s="320" t="s">
        <v>156</v>
      </c>
      <c r="I57" s="286">
        <f>DCC!I47</f>
        <v>0</v>
      </c>
      <c r="J57" s="320" t="s">
        <v>156</v>
      </c>
      <c r="K57" s="287">
        <f>DCC!J47</f>
        <v>0</v>
      </c>
      <c r="L57" s="320" t="s">
        <v>156</v>
      </c>
      <c r="M57" s="287">
        <f t="shared" si="16"/>
        <v>0</v>
      </c>
      <c r="N57" s="320" t="s">
        <v>156</v>
      </c>
      <c r="O57" s="287">
        <f t="shared" si="17"/>
        <v>0</v>
      </c>
      <c r="P57" s="320" t="s">
        <v>156</v>
      </c>
      <c r="Q57" s="119" t="s">
        <v>219</v>
      </c>
      <c r="R57" s="288" t="str">
        <f>IF(W57 =0, "Has not Signed",(I57*-2)+(K57*2)+(M57*-1)+(O57))</f>
        <v>Has not Signed</v>
      </c>
      <c r="S57" t="s">
        <v>158</v>
      </c>
      <c r="U57" t="e">
        <f>VLOOKUP($C57,'Look-up'!$E:$H,3,FALSE)</f>
        <v>#N/A</v>
      </c>
      <c r="V57" t="e">
        <f>VLOOKUP($C57,'Look-up'!$E:$H,4,FALSE)</f>
        <v>#N/A</v>
      </c>
      <c r="W57">
        <f t="shared" ref="W57:W103" si="18">I57+K57+M57+O57</f>
        <v>0</v>
      </c>
      <c r="AA57" t="str">
        <f t="shared" si="4"/>
        <v>[color=red]</v>
      </c>
    </row>
    <row r="58" spans="1:27" hidden="1">
      <c r="A58" t="s">
        <v>154</v>
      </c>
      <c r="B58" t="str">
        <f t="shared" si="9"/>
        <v>[color=orange]</v>
      </c>
      <c r="C58" s="294" t="str">
        <f>'Members Data'!A64</f>
        <v>Icewinde</v>
      </c>
      <c r="D58" s="320" t="s">
        <v>156</v>
      </c>
      <c r="E58" s="295">
        <f>'Members Data'!D64</f>
        <v>0</v>
      </c>
      <c r="F58" s="320" t="s">
        <v>156</v>
      </c>
      <c r="G58" s="296" t="str">
        <f>'Members Data'!B64</f>
        <v>Traveler</v>
      </c>
      <c r="H58" s="320" t="s">
        <v>156</v>
      </c>
      <c r="I58" s="286">
        <f>DCC!I64</f>
        <v>0</v>
      </c>
      <c r="J58" s="320" t="s">
        <v>156</v>
      </c>
      <c r="K58" s="287">
        <f>DCC!J64</f>
        <v>0</v>
      </c>
      <c r="L58" s="320" t="s">
        <v>156</v>
      </c>
      <c r="M58" s="287">
        <f t="shared" si="16"/>
        <v>0</v>
      </c>
      <c r="N58" s="320" t="s">
        <v>156</v>
      </c>
      <c r="O58" s="287">
        <f t="shared" si="17"/>
        <v>0</v>
      </c>
      <c r="P58" s="320" t="s">
        <v>156</v>
      </c>
      <c r="Q58" s="119" t="s">
        <v>219</v>
      </c>
      <c r="R58" s="288">
        <f>(I58*-2)+(K58*2)+(M58*-1)+(O58)</f>
        <v>0</v>
      </c>
      <c r="S58" t="s">
        <v>158</v>
      </c>
      <c r="U58" t="e">
        <f>VLOOKUP($C58,'Look-up'!$E:$H,3,FALSE)</f>
        <v>#N/A</v>
      </c>
      <c r="V58" t="e">
        <f>VLOOKUP($C58,'Look-up'!$E:$H,4,FALSE)</f>
        <v>#N/A</v>
      </c>
      <c r="W58">
        <f t="shared" si="18"/>
        <v>0</v>
      </c>
      <c r="AA58" t="str">
        <f t="shared" si="4"/>
        <v>[color=orange]</v>
      </c>
    </row>
    <row r="59" spans="1:27" hidden="1">
      <c r="A59" t="s">
        <v>154</v>
      </c>
      <c r="B59" t="str">
        <f t="shared" si="9"/>
        <v>[color=red]</v>
      </c>
      <c r="C59" s="294">
        <f>'Members Data'!A46</f>
        <v>0</v>
      </c>
      <c r="D59" s="320" t="s">
        <v>156</v>
      </c>
      <c r="E59" s="295">
        <f>'Members Data'!D46</f>
        <v>0</v>
      </c>
      <c r="F59" s="320" t="s">
        <v>156</v>
      </c>
      <c r="G59" s="296">
        <f>'Members Data'!B46</f>
        <v>0</v>
      </c>
      <c r="H59" s="320" t="s">
        <v>156</v>
      </c>
      <c r="I59" s="286">
        <f>DCC!I46</f>
        <v>0</v>
      </c>
      <c r="J59" s="320" t="s">
        <v>156</v>
      </c>
      <c r="K59" s="287">
        <f>DCC!J46</f>
        <v>0</v>
      </c>
      <c r="L59" s="320" t="s">
        <v>156</v>
      </c>
      <c r="M59" s="287">
        <f t="shared" si="16"/>
        <v>0</v>
      </c>
      <c r="N59" s="320" t="s">
        <v>156</v>
      </c>
      <c r="O59" s="287">
        <f t="shared" si="17"/>
        <v>0</v>
      </c>
      <c r="P59" s="320" t="s">
        <v>156</v>
      </c>
      <c r="Q59" s="119" t="s">
        <v>219</v>
      </c>
      <c r="R59" s="288" t="str">
        <f>IF(W59 =0, "Has not Signed",(I59*-2)+(K59*2)+(M59*-1)+(O59))</f>
        <v>Has not Signed</v>
      </c>
      <c r="S59" t="s">
        <v>158</v>
      </c>
      <c r="U59" t="e">
        <f>VLOOKUP($C59,'Look-up'!$E:$H,3,FALSE)</f>
        <v>#N/A</v>
      </c>
      <c r="V59" t="e">
        <f>VLOOKUP($C59,'Look-up'!$E:$H,4,FALSE)</f>
        <v>#N/A</v>
      </c>
      <c r="W59">
        <f t="shared" si="18"/>
        <v>0</v>
      </c>
      <c r="AA59" t="str">
        <f t="shared" si="4"/>
        <v>[color=red]</v>
      </c>
    </row>
    <row r="60" spans="1:27" hidden="1">
      <c r="A60" t="s">
        <v>154</v>
      </c>
      <c r="B60" t="str">
        <f t="shared" si="9"/>
        <v>[color=orange]</v>
      </c>
      <c r="C60" s="294" t="str">
        <f>'Members Data'!A65</f>
        <v>Ambú</v>
      </c>
      <c r="D60" s="320" t="s">
        <v>156</v>
      </c>
      <c r="E60" s="295">
        <f>'Members Data'!D65</f>
        <v>0</v>
      </c>
      <c r="F60" s="320" t="s">
        <v>156</v>
      </c>
      <c r="G60" s="296" t="str">
        <f>'Members Data'!B65</f>
        <v>Traveler</v>
      </c>
      <c r="H60" s="320" t="s">
        <v>156</v>
      </c>
      <c r="I60" s="286">
        <f>DCC!I65</f>
        <v>0</v>
      </c>
      <c r="J60" s="320" t="s">
        <v>156</v>
      </c>
      <c r="K60" s="287">
        <f>DCC!J65</f>
        <v>0</v>
      </c>
      <c r="L60" s="320" t="s">
        <v>156</v>
      </c>
      <c r="M60" s="287">
        <f t="shared" si="16"/>
        <v>0</v>
      </c>
      <c r="N60" s="320" t="s">
        <v>156</v>
      </c>
      <c r="O60" s="287">
        <f t="shared" si="17"/>
        <v>0</v>
      </c>
      <c r="P60" s="320" t="s">
        <v>156</v>
      </c>
      <c r="Q60" s="119" t="s">
        <v>219</v>
      </c>
      <c r="R60" s="288">
        <f>(I60*-2)+(K60*2)+(M60*-1)+(O60)</f>
        <v>0</v>
      </c>
      <c r="S60" t="s">
        <v>158</v>
      </c>
      <c r="U60" t="e">
        <f>VLOOKUP($C60,'Look-up'!$E:$H,3,FALSE)</f>
        <v>#N/A</v>
      </c>
      <c r="V60" t="e">
        <f>VLOOKUP($C60,'Look-up'!$E:$H,4,FALSE)</f>
        <v>#N/A</v>
      </c>
      <c r="W60">
        <f t="shared" si="18"/>
        <v>0</v>
      </c>
      <c r="Z60" t="s">
        <v>216</v>
      </c>
      <c r="AA60" t="str">
        <f t="shared" si="4"/>
        <v>[color=orange]</v>
      </c>
    </row>
    <row r="61" spans="1:27" hidden="1">
      <c r="A61" t="s">
        <v>154</v>
      </c>
      <c r="B61" t="str">
        <f t="shared" si="9"/>
        <v>[color=orange]</v>
      </c>
      <c r="C61" s="294" t="str">
        <f>'Members Data'!A66</f>
        <v>Mortali</v>
      </c>
      <c r="D61" s="320" t="s">
        <v>156</v>
      </c>
      <c r="E61" s="295">
        <f>'Members Data'!D66</f>
        <v>0</v>
      </c>
      <c r="F61" s="320" t="s">
        <v>156</v>
      </c>
      <c r="G61" s="296" t="str">
        <f>'Members Data'!B66</f>
        <v>Traveler</v>
      </c>
      <c r="H61" s="320" t="s">
        <v>156</v>
      </c>
      <c r="I61" s="286">
        <f>DCC!I66</f>
        <v>0</v>
      </c>
      <c r="J61" s="320" t="s">
        <v>156</v>
      </c>
      <c r="K61" s="287">
        <f>DCC!J66</f>
        <v>0</v>
      </c>
      <c r="L61" s="320" t="s">
        <v>156</v>
      </c>
      <c r="M61" s="287">
        <f t="shared" si="16"/>
        <v>0</v>
      </c>
      <c r="N61" s="320" t="s">
        <v>156</v>
      </c>
      <c r="O61" s="287">
        <f t="shared" si="17"/>
        <v>0</v>
      </c>
      <c r="P61" s="320" t="s">
        <v>156</v>
      </c>
      <c r="Q61" s="119" t="s">
        <v>219</v>
      </c>
      <c r="R61" s="288">
        <f>(I61*-2)+(K61*2)+(M61*-1)+(O61)</f>
        <v>0</v>
      </c>
      <c r="S61" t="s">
        <v>158</v>
      </c>
      <c r="U61" t="e">
        <f>VLOOKUP($C61,'Look-up'!$E:$H,3,FALSE)</f>
        <v>#N/A</v>
      </c>
      <c r="V61" t="e">
        <f>VLOOKUP($C61,'Look-up'!$E:$H,4,FALSE)</f>
        <v>#N/A</v>
      </c>
      <c r="W61">
        <f t="shared" si="18"/>
        <v>0</v>
      </c>
      <c r="Z61" t="s">
        <v>217</v>
      </c>
      <c r="AA61" t="str">
        <f t="shared" si="4"/>
        <v>[color=orange]</v>
      </c>
    </row>
    <row r="62" spans="1:27" hidden="1">
      <c r="A62" t="s">
        <v>154</v>
      </c>
      <c r="B62" t="str">
        <f t="shared" si="9"/>
        <v>[color=orange]</v>
      </c>
      <c r="C62" s="294" t="str">
        <f>'Members Data'!A67</f>
        <v>Andreah</v>
      </c>
      <c r="D62" s="320" t="s">
        <v>156</v>
      </c>
      <c r="E62" s="295">
        <f>'Members Data'!D67</f>
        <v>0</v>
      </c>
      <c r="F62" s="320" t="s">
        <v>156</v>
      </c>
      <c r="G62" s="296" t="str">
        <f>'Members Data'!B67</f>
        <v>Traveler</v>
      </c>
      <c r="H62" s="320" t="s">
        <v>156</v>
      </c>
      <c r="I62" s="286">
        <f>DCC!I67</f>
        <v>0</v>
      </c>
      <c r="J62" s="320" t="s">
        <v>156</v>
      </c>
      <c r="K62" s="287">
        <f>DCC!J67</f>
        <v>0</v>
      </c>
      <c r="L62" s="320" t="s">
        <v>156</v>
      </c>
      <c r="M62" s="287">
        <f t="shared" si="16"/>
        <v>0</v>
      </c>
      <c r="N62" s="320" t="s">
        <v>156</v>
      </c>
      <c r="O62" s="287">
        <f t="shared" si="17"/>
        <v>0</v>
      </c>
      <c r="P62" s="320" t="s">
        <v>156</v>
      </c>
      <c r="Q62" s="119" t="s">
        <v>219</v>
      </c>
      <c r="R62" s="288">
        <f>(I62*-2)+(K62*2)+(M62*-1)+(O62)</f>
        <v>0</v>
      </c>
      <c r="S62" t="s">
        <v>158</v>
      </c>
      <c r="U62" t="e">
        <f>VLOOKUP($C62,'Look-up'!$E:$H,3,FALSE)</f>
        <v>#N/A</v>
      </c>
      <c r="V62" t="e">
        <f>VLOOKUP($C62,'Look-up'!$E:$H,4,FALSE)</f>
        <v>#N/A</v>
      </c>
      <c r="W62">
        <f t="shared" si="18"/>
        <v>0</v>
      </c>
      <c r="Z62" t="s">
        <v>218</v>
      </c>
      <c r="AA62" t="str">
        <f t="shared" si="4"/>
        <v>[color=orange]</v>
      </c>
    </row>
    <row r="63" spans="1:27">
      <c r="A63" t="s">
        <v>154</v>
      </c>
      <c r="B63" t="str">
        <f t="shared" si="9"/>
        <v>[color=green]</v>
      </c>
      <c r="C63" s="294" t="str">
        <f>'Members Data'!A22</f>
        <v>Méych</v>
      </c>
      <c r="D63" s="320" t="s">
        <v>156</v>
      </c>
      <c r="E63" s="295" t="str">
        <f>'Members Data'!D22</f>
        <v>RDPS</v>
      </c>
      <c r="F63" s="320" t="s">
        <v>156</v>
      </c>
      <c r="G63" s="296" t="str">
        <f>'Members Data'!B22</f>
        <v>Venturer</v>
      </c>
      <c r="H63" s="320" t="s">
        <v>156</v>
      </c>
      <c r="I63" s="286">
        <f>DCC!I22</f>
        <v>4</v>
      </c>
      <c r="J63" s="320" t="s">
        <v>156</v>
      </c>
      <c r="K63" s="287">
        <f>DCC!J22</f>
        <v>2</v>
      </c>
      <c r="L63" s="320" t="s">
        <v>156</v>
      </c>
      <c r="M63" s="287">
        <f t="shared" si="16"/>
        <v>0</v>
      </c>
      <c r="N63" s="320" t="s">
        <v>156</v>
      </c>
      <c r="O63" s="287">
        <f t="shared" si="17"/>
        <v>0</v>
      </c>
      <c r="P63" s="320" t="s">
        <v>156</v>
      </c>
      <c r="Q63" s="119" t="s">
        <v>219</v>
      </c>
      <c r="R63" s="288">
        <f>IF(W63 =0, "Has not Signed",(I63*-2)+(K63*2)+(M63*-1)+(O63))</f>
        <v>-4</v>
      </c>
      <c r="S63" t="s">
        <v>158</v>
      </c>
      <c r="U63" t="e">
        <f>VLOOKUP($C63,'Look-up'!$E:$H,3,FALSE)</f>
        <v>#N/A</v>
      </c>
      <c r="V63" t="e">
        <f>VLOOKUP($C63,'Look-up'!$E:$H,4,FALSE)</f>
        <v>#N/A</v>
      </c>
      <c r="W63">
        <f t="shared" si="18"/>
        <v>6</v>
      </c>
      <c r="AA63" t="str">
        <f t="shared" si="4"/>
        <v>[color=green]</v>
      </c>
    </row>
    <row r="64" spans="1:27">
      <c r="A64" t="s">
        <v>154</v>
      </c>
      <c r="B64" t="str">
        <f t="shared" si="9"/>
        <v>[color=blue]</v>
      </c>
      <c r="C64" s="294" t="str">
        <f>'Members Data'!A15</f>
        <v>Grandhoof</v>
      </c>
      <c r="D64" s="439" t="s">
        <v>156</v>
      </c>
      <c r="E64" s="295" t="str">
        <f>'Members Data'!D15</f>
        <v>Healer</v>
      </c>
      <c r="F64" s="440" t="s">
        <v>156</v>
      </c>
      <c r="G64" s="296" t="str">
        <f>'Members Data'!B15</f>
        <v>Venturer</v>
      </c>
      <c r="H64" s="440" t="s">
        <v>156</v>
      </c>
      <c r="I64" s="286">
        <f>DCC!I15</f>
        <v>8</v>
      </c>
      <c r="J64" s="440" t="s">
        <v>156</v>
      </c>
      <c r="K64" s="287">
        <f>DCC!J15</f>
        <v>0</v>
      </c>
      <c r="L64" s="440" t="s">
        <v>156</v>
      </c>
      <c r="M64" s="287">
        <f t="shared" si="16"/>
        <v>0</v>
      </c>
      <c r="N64" s="440" t="s">
        <v>156</v>
      </c>
      <c r="O64" s="287">
        <f t="shared" si="17"/>
        <v>0</v>
      </c>
      <c r="P64" s="440" t="s">
        <v>156</v>
      </c>
      <c r="Q64" s="119" t="s">
        <v>219</v>
      </c>
      <c r="R64" s="288">
        <f>IF(W64 =0, "Has not Signed",(I64*-2)+(K64*2)+(M64*-1)+(O64))</f>
        <v>-16</v>
      </c>
      <c r="S64" t="s">
        <v>158</v>
      </c>
      <c r="U64" t="e">
        <f>VLOOKUP($C64,'Look-up'!$E:$H,3,FALSE)</f>
        <v>#N/A</v>
      </c>
      <c r="V64" t="e">
        <f>VLOOKUP($C64,'Look-up'!$E:$H,4,FALSE)</f>
        <v>#N/A</v>
      </c>
      <c r="W64">
        <f t="shared" si="18"/>
        <v>8</v>
      </c>
      <c r="AA64" t="str">
        <f t="shared" si="4"/>
        <v>[color=blue]</v>
      </c>
    </row>
    <row r="65" spans="1:27">
      <c r="A65" t="s">
        <v>154</v>
      </c>
      <c r="B65" t="str">
        <f t="shared" si="9"/>
        <v>[color=green]</v>
      </c>
      <c r="C65" s="294" t="str">
        <f>'Members Data'!A18</f>
        <v>Illianá</v>
      </c>
      <c r="D65" s="439" t="s">
        <v>156</v>
      </c>
      <c r="E65" s="295" t="str">
        <f>'Members Data'!D18</f>
        <v>Healer</v>
      </c>
      <c r="F65" s="440" t="s">
        <v>156</v>
      </c>
      <c r="G65" s="296" t="str">
        <f>'Members Data'!B18</f>
        <v>Venturer</v>
      </c>
      <c r="H65" s="440" t="s">
        <v>156</v>
      </c>
      <c r="I65" s="286">
        <f>DCC!I18</f>
        <v>4</v>
      </c>
      <c r="J65" s="440" t="s">
        <v>156</v>
      </c>
      <c r="K65" s="287">
        <f>DCC!J18</f>
        <v>0</v>
      </c>
      <c r="L65" s="440" t="s">
        <v>156</v>
      </c>
      <c r="M65" s="287">
        <f t="shared" si="16"/>
        <v>0</v>
      </c>
      <c r="N65" s="440" t="s">
        <v>156</v>
      </c>
      <c r="O65" s="287">
        <f t="shared" si="17"/>
        <v>0</v>
      </c>
      <c r="P65" s="440" t="s">
        <v>156</v>
      </c>
      <c r="Q65" s="119" t="s">
        <v>219</v>
      </c>
      <c r="R65" s="288">
        <f>IF(W65 =0, "Has not Signed",(I65*-2)+(K65*2)+(M65*-1)+(O65))</f>
        <v>-8</v>
      </c>
      <c r="S65" t="s">
        <v>158</v>
      </c>
      <c r="U65" t="e">
        <f>VLOOKUP($C65,'Look-up'!$E:$H,3,FALSE)</f>
        <v>#N/A</v>
      </c>
      <c r="V65" t="e">
        <f>VLOOKUP($C65,'Look-up'!$E:$H,4,FALSE)</f>
        <v>#N/A</v>
      </c>
      <c r="W65">
        <f t="shared" si="18"/>
        <v>4</v>
      </c>
      <c r="AA65" t="str">
        <f t="shared" si="4"/>
        <v>[color=green]</v>
      </c>
    </row>
    <row r="66" spans="1:27" hidden="1">
      <c r="A66" t="s">
        <v>154</v>
      </c>
      <c r="B66" t="str">
        <f t="shared" si="9"/>
        <v>[color=orange]</v>
      </c>
      <c r="C66" s="294" t="str">
        <f>'Members Data'!A71</f>
        <v>Fireaxe</v>
      </c>
      <c r="D66" s="439" t="s">
        <v>156</v>
      </c>
      <c r="E66" s="295">
        <f>'Members Data'!D71</f>
        <v>0</v>
      </c>
      <c r="F66" s="440" t="s">
        <v>156</v>
      </c>
      <c r="G66" s="296">
        <f>'Members Data'!B71</f>
        <v>0</v>
      </c>
      <c r="H66" s="440" t="s">
        <v>156</v>
      </c>
      <c r="I66" s="286">
        <f>DCC!I71</f>
        <v>0</v>
      </c>
      <c r="J66" s="440" t="s">
        <v>156</v>
      </c>
      <c r="K66" s="287">
        <f>DCC!J71</f>
        <v>0</v>
      </c>
      <c r="L66" s="440" t="s">
        <v>156</v>
      </c>
      <c r="M66" s="287">
        <f t="shared" si="16"/>
        <v>0</v>
      </c>
      <c r="N66" s="440" t="s">
        <v>156</v>
      </c>
      <c r="O66" s="287">
        <f t="shared" si="17"/>
        <v>0</v>
      </c>
      <c r="P66" s="440" t="s">
        <v>156</v>
      </c>
      <c r="Q66" s="119" t="s">
        <v>219</v>
      </c>
      <c r="R66" s="288">
        <f>(I66*-2)+(K66*2)+(M66*-1)+(O66)</f>
        <v>0</v>
      </c>
      <c r="S66" t="s">
        <v>158</v>
      </c>
      <c r="U66" t="e">
        <f>VLOOKUP($C66,'Look-up'!$E:$H,3,FALSE)</f>
        <v>#N/A</v>
      </c>
      <c r="V66" t="e">
        <f>VLOOKUP($C66,'Look-up'!$E:$H,4,FALSE)</f>
        <v>#N/A</v>
      </c>
      <c r="W66">
        <f t="shared" si="18"/>
        <v>0</v>
      </c>
      <c r="AA66" t="str">
        <f t="shared" si="4"/>
        <v>[color=orange]</v>
      </c>
    </row>
    <row r="67" spans="1:27">
      <c r="A67" t="s">
        <v>154</v>
      </c>
      <c r="B67" t="str">
        <f t="shared" si="9"/>
        <v>[color=green]</v>
      </c>
      <c r="C67" s="294" t="str">
        <f>'Members Data'!A24</f>
        <v>Müfti</v>
      </c>
      <c r="D67" s="439" t="s">
        <v>156</v>
      </c>
      <c r="E67" s="295" t="str">
        <f>'Members Data'!D24</f>
        <v>RDPS</v>
      </c>
      <c r="F67" s="440" t="s">
        <v>156</v>
      </c>
      <c r="G67" s="296" t="str">
        <f>'Members Data'!B24</f>
        <v>Venturer</v>
      </c>
      <c r="H67" s="440" t="s">
        <v>156</v>
      </c>
      <c r="I67" s="286">
        <f>DCC!I24</f>
        <v>6</v>
      </c>
      <c r="J67" s="440" t="s">
        <v>156</v>
      </c>
      <c r="K67" s="287">
        <f>DCC!J24</f>
        <v>1</v>
      </c>
      <c r="L67" s="440" t="s">
        <v>156</v>
      </c>
      <c r="M67" s="287">
        <f t="shared" si="16"/>
        <v>0</v>
      </c>
      <c r="N67" s="440" t="s">
        <v>156</v>
      </c>
      <c r="O67" s="287">
        <f t="shared" si="17"/>
        <v>0</v>
      </c>
      <c r="P67" s="440" t="s">
        <v>156</v>
      </c>
      <c r="Q67" s="119" t="s">
        <v>219</v>
      </c>
      <c r="R67" s="288">
        <f t="shared" ref="R67:R77" si="19">IF(W67 =0, "Has not Signed",(I67*-2)+(K67*2)+(M67*-1)+(O67))</f>
        <v>-10</v>
      </c>
      <c r="S67" t="s">
        <v>158</v>
      </c>
      <c r="U67" t="e">
        <f>VLOOKUP($C67,'Look-up'!$E:$H,3,FALSE)</f>
        <v>#N/A</v>
      </c>
      <c r="V67" t="e">
        <f>VLOOKUP($C67,'Look-up'!$E:$H,4,FALSE)</f>
        <v>#N/A</v>
      </c>
      <c r="W67">
        <f t="shared" si="18"/>
        <v>7</v>
      </c>
      <c r="AA67" t="str">
        <f t="shared" si="4"/>
        <v>[color=green]</v>
      </c>
    </row>
    <row r="68" spans="1:27" hidden="1">
      <c r="A68" t="s">
        <v>154</v>
      </c>
      <c r="B68" t="str">
        <f t="shared" si="9"/>
        <v>[color=red]</v>
      </c>
      <c r="C68" s="294">
        <f>'Members Data'!A45</f>
        <v>0</v>
      </c>
      <c r="D68" s="439" t="s">
        <v>156</v>
      </c>
      <c r="E68" s="295">
        <f>'Members Data'!D45</f>
        <v>0</v>
      </c>
      <c r="F68" s="440" t="s">
        <v>156</v>
      </c>
      <c r="G68" s="296">
        <f>'Members Data'!B45</f>
        <v>0</v>
      </c>
      <c r="H68" s="440" t="s">
        <v>156</v>
      </c>
      <c r="I68" s="286">
        <f>DCC!I45</f>
        <v>0</v>
      </c>
      <c r="J68" s="440" t="s">
        <v>156</v>
      </c>
      <c r="K68" s="287">
        <f>DCC!J45</f>
        <v>0</v>
      </c>
      <c r="L68" s="440" t="s">
        <v>156</v>
      </c>
      <c r="M68" s="287">
        <f t="shared" si="16"/>
        <v>0</v>
      </c>
      <c r="N68" s="440" t="s">
        <v>156</v>
      </c>
      <c r="O68" s="287">
        <f t="shared" si="17"/>
        <v>0</v>
      </c>
      <c r="P68" s="440" t="s">
        <v>156</v>
      </c>
      <c r="Q68" s="119" t="s">
        <v>219</v>
      </c>
      <c r="R68" s="288" t="str">
        <f t="shared" si="19"/>
        <v>Has not Signed</v>
      </c>
      <c r="S68" t="s">
        <v>158</v>
      </c>
      <c r="U68" t="e">
        <f>VLOOKUP($C68,'Look-up'!$E:$H,3,FALSE)</f>
        <v>#N/A</v>
      </c>
      <c r="V68" t="e">
        <f>VLOOKUP($C68,'Look-up'!$E:$H,4,FALSE)</f>
        <v>#N/A</v>
      </c>
      <c r="W68">
        <f t="shared" si="18"/>
        <v>0</v>
      </c>
      <c r="AA68" t="str">
        <f t="shared" ref="AA68:AA103" si="20">IF(R68 &gt;0, "[color=red]", IF(R68 =0, "[color=orange]", IF(R68 &lt;-11,  "[color=blue]", "[color=green]")))</f>
        <v>[color=red]</v>
      </c>
    </row>
    <row r="69" spans="1:27" hidden="1">
      <c r="B69" t="str">
        <f t="shared" si="9"/>
        <v>[color=red]</v>
      </c>
      <c r="C69" s="294">
        <f>'Members Data'!A50</f>
        <v>0</v>
      </c>
      <c r="D69" s="439" t="s">
        <v>156</v>
      </c>
      <c r="E69" s="295">
        <f>'Members Data'!D50</f>
        <v>0</v>
      </c>
      <c r="F69" s="440" t="s">
        <v>156</v>
      </c>
      <c r="G69" s="296">
        <f>'Members Data'!B50</f>
        <v>0</v>
      </c>
      <c r="H69" s="440" t="s">
        <v>156</v>
      </c>
      <c r="I69" s="286">
        <f>DCC!I50</f>
        <v>0</v>
      </c>
      <c r="J69" s="440" t="s">
        <v>156</v>
      </c>
      <c r="K69" s="287">
        <f>DCC!J50</f>
        <v>0</v>
      </c>
      <c r="L69" s="440" t="s">
        <v>156</v>
      </c>
      <c r="M69" s="287">
        <f t="shared" si="16"/>
        <v>0</v>
      </c>
      <c r="N69" s="440" t="s">
        <v>156</v>
      </c>
      <c r="O69" s="287">
        <f t="shared" si="17"/>
        <v>0</v>
      </c>
      <c r="P69" s="440" t="s">
        <v>156</v>
      </c>
      <c r="Q69" s="119" t="s">
        <v>219</v>
      </c>
      <c r="R69" s="288" t="str">
        <f t="shared" si="19"/>
        <v>Has not Signed</v>
      </c>
      <c r="S69" t="s">
        <v>158</v>
      </c>
      <c r="U69" t="e">
        <f>VLOOKUP($C69,'Look-up'!$E:$H,3,FALSE)</f>
        <v>#N/A</v>
      </c>
      <c r="V69" t="e">
        <f>VLOOKUP($C69,'Look-up'!$E:$H,4,FALSE)</f>
        <v>#N/A</v>
      </c>
      <c r="W69">
        <f t="shared" si="18"/>
        <v>0</v>
      </c>
      <c r="AA69" t="str">
        <f t="shared" si="20"/>
        <v>[color=red]</v>
      </c>
    </row>
    <row r="70" spans="1:27">
      <c r="A70" t="s">
        <v>154</v>
      </c>
      <c r="B70" t="str">
        <f t="shared" si="9"/>
        <v>[color=green]</v>
      </c>
      <c r="C70" s="294" t="str">
        <f>'Members Data'!A33</f>
        <v>Shinkai</v>
      </c>
      <c r="D70" s="439" t="s">
        <v>156</v>
      </c>
      <c r="E70" s="295" t="str">
        <f>'Members Data'!D33</f>
        <v>MDPS</v>
      </c>
      <c r="F70" s="440" t="s">
        <v>156</v>
      </c>
      <c r="G70" s="296" t="str">
        <f>'Members Data'!B33</f>
        <v>Venturer</v>
      </c>
      <c r="H70" s="440" t="s">
        <v>156</v>
      </c>
      <c r="I70" s="286">
        <f>DCC!I33</f>
        <v>5</v>
      </c>
      <c r="J70" s="440" t="s">
        <v>156</v>
      </c>
      <c r="K70" s="287">
        <f>DCC!J33</f>
        <v>0</v>
      </c>
      <c r="L70" s="440" t="s">
        <v>156</v>
      </c>
      <c r="M70" s="287">
        <f t="shared" si="16"/>
        <v>0</v>
      </c>
      <c r="N70" s="440" t="s">
        <v>156</v>
      </c>
      <c r="O70" s="287">
        <f t="shared" si="17"/>
        <v>0</v>
      </c>
      <c r="P70" s="440" t="s">
        <v>156</v>
      </c>
      <c r="Q70" s="119" t="s">
        <v>219</v>
      </c>
      <c r="R70" s="288">
        <f t="shared" si="19"/>
        <v>-10</v>
      </c>
      <c r="S70" t="s">
        <v>158</v>
      </c>
      <c r="U70" t="e">
        <f>VLOOKUP($C70,'Look-up'!$E:$H,3,FALSE)</f>
        <v>#N/A</v>
      </c>
      <c r="V70" t="e">
        <f>VLOOKUP($C70,'Look-up'!$E:$H,4,FALSE)</f>
        <v>#N/A</v>
      </c>
      <c r="W70">
        <f t="shared" si="18"/>
        <v>5</v>
      </c>
      <c r="AA70" t="str">
        <f t="shared" si="20"/>
        <v>[color=green]</v>
      </c>
    </row>
    <row r="71" spans="1:27">
      <c r="A71" t="s">
        <v>154</v>
      </c>
      <c r="B71" t="str">
        <f t="shared" si="9"/>
        <v>[color=blue]</v>
      </c>
      <c r="C71" s="294" t="str">
        <f>'Members Data'!A21</f>
        <v>Lychi</v>
      </c>
      <c r="D71" s="439" t="s">
        <v>156</v>
      </c>
      <c r="E71" s="295" t="str">
        <f>'Members Data'!D21</f>
        <v>Healer</v>
      </c>
      <c r="F71" s="440" t="s">
        <v>156</v>
      </c>
      <c r="G71" s="296" t="str">
        <f>'Members Data'!B21</f>
        <v>Venturer</v>
      </c>
      <c r="H71" s="440" t="s">
        <v>156</v>
      </c>
      <c r="I71" s="286">
        <f>DCC!I21</f>
        <v>7</v>
      </c>
      <c r="J71" s="440" t="s">
        <v>156</v>
      </c>
      <c r="K71" s="287">
        <f>DCC!J21</f>
        <v>1</v>
      </c>
      <c r="L71" s="440" t="s">
        <v>156</v>
      </c>
      <c r="M71" s="287">
        <f t="shared" si="16"/>
        <v>0</v>
      </c>
      <c r="N71" s="440" t="s">
        <v>156</v>
      </c>
      <c r="O71" s="287">
        <f t="shared" si="17"/>
        <v>0</v>
      </c>
      <c r="P71" s="440" t="s">
        <v>156</v>
      </c>
      <c r="Q71" s="119" t="s">
        <v>219</v>
      </c>
      <c r="R71" s="288">
        <f t="shared" si="19"/>
        <v>-12</v>
      </c>
      <c r="S71" t="s">
        <v>158</v>
      </c>
      <c r="U71" t="e">
        <f>VLOOKUP($C71,'Look-up'!$E:$H,3,FALSE)</f>
        <v>#N/A</v>
      </c>
      <c r="V71" t="e">
        <f>VLOOKUP($C71,'Look-up'!$E:$H,4,FALSE)</f>
        <v>#N/A</v>
      </c>
      <c r="W71">
        <f t="shared" si="18"/>
        <v>8</v>
      </c>
      <c r="AA71" t="str">
        <f t="shared" si="20"/>
        <v>[color=blue]</v>
      </c>
    </row>
    <row r="72" spans="1:27" hidden="1">
      <c r="A72" t="s">
        <v>154</v>
      </c>
      <c r="B72" t="str">
        <f t="shared" ref="B72:B103" si="21">IF(R72 &gt;0, "[color=red]", IF(R72 =0, "[color=orange]", IF(R72 &lt;-11,  "[color=blue]", "[color=green]")))</f>
        <v>[color=red]</v>
      </c>
      <c r="C72" s="294">
        <f>'Members Data'!A44</f>
        <v>0</v>
      </c>
      <c r="D72" s="439" t="s">
        <v>156</v>
      </c>
      <c r="E72" s="295">
        <f>'Members Data'!D44</f>
        <v>0</v>
      </c>
      <c r="F72" s="440" t="s">
        <v>156</v>
      </c>
      <c r="G72" s="296">
        <f>'Members Data'!B44</f>
        <v>0</v>
      </c>
      <c r="H72" s="440" t="s">
        <v>156</v>
      </c>
      <c r="I72" s="286">
        <f>DCC!I44</f>
        <v>0</v>
      </c>
      <c r="J72" s="440" t="s">
        <v>156</v>
      </c>
      <c r="K72" s="287">
        <f>DCC!J44</f>
        <v>0</v>
      </c>
      <c r="L72" s="440" t="s">
        <v>156</v>
      </c>
      <c r="M72" s="287">
        <f t="shared" si="16"/>
        <v>0</v>
      </c>
      <c r="N72" s="440" t="s">
        <v>156</v>
      </c>
      <c r="O72" s="287">
        <f t="shared" si="17"/>
        <v>0</v>
      </c>
      <c r="P72" s="440" t="s">
        <v>156</v>
      </c>
      <c r="Q72" s="119" t="s">
        <v>219</v>
      </c>
      <c r="R72" s="288" t="str">
        <f t="shared" si="19"/>
        <v>Has not Signed</v>
      </c>
      <c r="S72" t="s">
        <v>158</v>
      </c>
      <c r="U72" t="e">
        <f>VLOOKUP($C72,'Look-up'!$E:$H,3,FALSE)</f>
        <v>#N/A</v>
      </c>
      <c r="V72" t="e">
        <f>VLOOKUP($C72,'Look-up'!$E:$H,4,FALSE)</f>
        <v>#N/A</v>
      </c>
      <c r="W72">
        <f t="shared" si="18"/>
        <v>0</v>
      </c>
      <c r="AA72" t="str">
        <f t="shared" si="20"/>
        <v>[color=red]</v>
      </c>
    </row>
    <row r="73" spans="1:27">
      <c r="A73" t="s">
        <v>154</v>
      </c>
      <c r="B73" t="str">
        <f t="shared" si="21"/>
        <v>[color=green]</v>
      </c>
      <c r="C73" s="294" t="str">
        <f>'Members Data'!A30</f>
        <v>Rokthrol</v>
      </c>
      <c r="D73" s="439" t="s">
        <v>156</v>
      </c>
      <c r="E73" s="295" t="str">
        <f>'Members Data'!D30</f>
        <v>MDPS</v>
      </c>
      <c r="F73" s="440" t="s">
        <v>156</v>
      </c>
      <c r="G73" s="296" t="str">
        <f>'Members Data'!B30</f>
        <v>Venturer</v>
      </c>
      <c r="H73" s="440" t="s">
        <v>156</v>
      </c>
      <c r="I73" s="286">
        <f>DCC!I30</f>
        <v>2</v>
      </c>
      <c r="J73" s="440" t="s">
        <v>156</v>
      </c>
      <c r="K73" s="287">
        <f>DCC!J30</f>
        <v>0</v>
      </c>
      <c r="L73" s="440" t="s">
        <v>156</v>
      </c>
      <c r="M73" s="287">
        <f t="shared" si="16"/>
        <v>0</v>
      </c>
      <c r="N73" s="440" t="s">
        <v>156</v>
      </c>
      <c r="O73" s="287">
        <f t="shared" si="17"/>
        <v>0</v>
      </c>
      <c r="P73" s="440" t="s">
        <v>156</v>
      </c>
      <c r="Q73" s="119" t="s">
        <v>219</v>
      </c>
      <c r="R73" s="288">
        <f t="shared" si="19"/>
        <v>-4</v>
      </c>
      <c r="S73" t="s">
        <v>158</v>
      </c>
      <c r="U73" t="e">
        <f>VLOOKUP($C73,'Look-up'!$E:$H,3,FALSE)</f>
        <v>#N/A</v>
      </c>
      <c r="V73" t="e">
        <f>VLOOKUP($C73,'Look-up'!$E:$H,4,FALSE)</f>
        <v>#N/A</v>
      </c>
      <c r="W73">
        <f t="shared" si="18"/>
        <v>2</v>
      </c>
      <c r="AA73" t="str">
        <f t="shared" si="20"/>
        <v>[color=green]</v>
      </c>
    </row>
    <row r="74" spans="1:27">
      <c r="A74" t="s">
        <v>154</v>
      </c>
      <c r="B74" t="str">
        <f t="shared" si="21"/>
        <v>[color=blue]</v>
      </c>
      <c r="C74" s="294" t="str">
        <f>'Members Data'!A14</f>
        <v>Difson</v>
      </c>
      <c r="D74" s="439" t="s">
        <v>156</v>
      </c>
      <c r="E74" s="295" t="str">
        <f>'Members Data'!D14</f>
        <v>RDPS</v>
      </c>
      <c r="F74" s="440" t="s">
        <v>156</v>
      </c>
      <c r="G74" s="296" t="str">
        <f>'Members Data'!B14</f>
        <v>Venturer</v>
      </c>
      <c r="H74" s="440" t="s">
        <v>156</v>
      </c>
      <c r="I74" s="286">
        <f>DCC!I14</f>
        <v>8</v>
      </c>
      <c r="J74" s="440" t="s">
        <v>156</v>
      </c>
      <c r="K74" s="287">
        <f>DCC!J14</f>
        <v>0</v>
      </c>
      <c r="L74" s="440" t="s">
        <v>156</v>
      </c>
      <c r="M74" s="287">
        <f t="shared" si="16"/>
        <v>0</v>
      </c>
      <c r="N74" s="440" t="s">
        <v>156</v>
      </c>
      <c r="O74" s="287">
        <f t="shared" si="17"/>
        <v>0</v>
      </c>
      <c r="P74" s="440" t="s">
        <v>156</v>
      </c>
      <c r="Q74" s="119" t="s">
        <v>219</v>
      </c>
      <c r="R74" s="288">
        <f t="shared" si="19"/>
        <v>-16</v>
      </c>
      <c r="S74" t="s">
        <v>158</v>
      </c>
      <c r="U74" t="e">
        <f>VLOOKUP($C74,'Look-up'!$E:$H,3,FALSE)</f>
        <v>#N/A</v>
      </c>
      <c r="V74" t="e">
        <f>VLOOKUP($C74,'Look-up'!$E:$H,4,FALSE)</f>
        <v>#N/A</v>
      </c>
      <c r="W74">
        <f t="shared" si="18"/>
        <v>8</v>
      </c>
      <c r="AA74" t="str">
        <f t="shared" si="20"/>
        <v>[color=blue]</v>
      </c>
    </row>
    <row r="75" spans="1:27">
      <c r="A75" t="s">
        <v>154</v>
      </c>
      <c r="B75" t="str">
        <f t="shared" si="21"/>
        <v>[color=blue]</v>
      </c>
      <c r="C75" s="294" t="str">
        <f>'Members Data'!A7</f>
        <v>Bonegasmic</v>
      </c>
      <c r="D75" s="439" t="s">
        <v>156</v>
      </c>
      <c r="E75" s="295" t="str">
        <f>'Members Data'!D7</f>
        <v>RDPS</v>
      </c>
      <c r="F75" s="440" t="s">
        <v>156</v>
      </c>
      <c r="G75" s="296" t="str">
        <f>'Members Data'!B7</f>
        <v>Venturer</v>
      </c>
      <c r="H75" s="440" t="s">
        <v>156</v>
      </c>
      <c r="I75" s="286">
        <f>DCC!I7</f>
        <v>7</v>
      </c>
      <c r="J75" s="440" t="s">
        <v>156</v>
      </c>
      <c r="K75" s="287">
        <f>DCC!J7</f>
        <v>1</v>
      </c>
      <c r="L75" s="440" t="s">
        <v>156</v>
      </c>
      <c r="M75" s="287">
        <f t="shared" si="16"/>
        <v>0</v>
      </c>
      <c r="N75" s="440" t="s">
        <v>156</v>
      </c>
      <c r="O75" s="287">
        <f t="shared" si="17"/>
        <v>0</v>
      </c>
      <c r="P75" s="440" t="s">
        <v>156</v>
      </c>
      <c r="Q75" s="119" t="s">
        <v>219</v>
      </c>
      <c r="R75" s="288">
        <f t="shared" si="19"/>
        <v>-12</v>
      </c>
      <c r="S75" t="s">
        <v>158</v>
      </c>
      <c r="U75" t="e">
        <f>VLOOKUP($C75,'Look-up'!$E:$H,3,FALSE)</f>
        <v>#N/A</v>
      </c>
      <c r="V75" t="e">
        <f>VLOOKUP($C75,'Look-up'!$E:$H,4,FALSE)</f>
        <v>#N/A</v>
      </c>
      <c r="W75">
        <f t="shared" si="18"/>
        <v>8</v>
      </c>
      <c r="AA75" t="str">
        <f t="shared" si="20"/>
        <v>[color=blue]</v>
      </c>
    </row>
    <row r="76" spans="1:27">
      <c r="A76" t="s">
        <v>154</v>
      </c>
      <c r="B76" t="str">
        <f t="shared" si="21"/>
        <v>[color=blue]</v>
      </c>
      <c r="C76" s="294" t="str">
        <f>'Members Data'!A28</f>
        <v>Rahwin</v>
      </c>
      <c r="D76" s="439" t="s">
        <v>156</v>
      </c>
      <c r="E76" s="295" t="str">
        <f>'Members Data'!D28</f>
        <v>RDPS</v>
      </c>
      <c r="F76" s="440" t="s">
        <v>156</v>
      </c>
      <c r="G76" s="296" t="str">
        <f>'Members Data'!B28</f>
        <v>Venturer</v>
      </c>
      <c r="H76" s="440" t="s">
        <v>156</v>
      </c>
      <c r="I76" s="286">
        <f>DCC!I28</f>
        <v>7</v>
      </c>
      <c r="J76" s="440" t="s">
        <v>156</v>
      </c>
      <c r="K76" s="287">
        <f>DCC!J28</f>
        <v>1</v>
      </c>
      <c r="L76" s="440" t="s">
        <v>156</v>
      </c>
      <c r="M76" s="287">
        <f t="shared" si="16"/>
        <v>0</v>
      </c>
      <c r="N76" s="440" t="s">
        <v>156</v>
      </c>
      <c r="O76" s="287">
        <f t="shared" si="17"/>
        <v>0</v>
      </c>
      <c r="P76" s="440" t="s">
        <v>156</v>
      </c>
      <c r="Q76" s="119" t="s">
        <v>219</v>
      </c>
      <c r="R76" s="288">
        <f t="shared" si="19"/>
        <v>-12</v>
      </c>
      <c r="S76" t="s">
        <v>158</v>
      </c>
      <c r="U76" t="e">
        <f>VLOOKUP($C76,'Look-up'!$E:$H,3,FALSE)</f>
        <v>#N/A</v>
      </c>
      <c r="V76" t="e">
        <f>VLOOKUP($C76,'Look-up'!$E:$H,4,FALSE)</f>
        <v>#N/A</v>
      </c>
      <c r="W76">
        <f t="shared" si="18"/>
        <v>8</v>
      </c>
      <c r="AA76" t="str">
        <f t="shared" si="20"/>
        <v>[color=blue]</v>
      </c>
    </row>
    <row r="77" spans="1:27">
      <c r="A77" t="s">
        <v>154</v>
      </c>
      <c r="B77" t="str">
        <f t="shared" si="21"/>
        <v>[color=green]</v>
      </c>
      <c r="C77" s="294" t="str">
        <f>'Members Data'!A6</f>
        <v>Assap</v>
      </c>
      <c r="D77" s="439" t="s">
        <v>156</v>
      </c>
      <c r="E77" s="295" t="str">
        <f>'Members Data'!D6</f>
        <v>RDPS</v>
      </c>
      <c r="F77" s="440" t="s">
        <v>156</v>
      </c>
      <c r="G77" s="296" t="str">
        <f>'Members Data'!B6</f>
        <v>Venturer</v>
      </c>
      <c r="H77" s="440" t="s">
        <v>156</v>
      </c>
      <c r="I77" s="286">
        <f>DCC!I6</f>
        <v>5</v>
      </c>
      <c r="J77" s="440" t="s">
        <v>156</v>
      </c>
      <c r="K77" s="287">
        <f>DCC!J6</f>
        <v>2</v>
      </c>
      <c r="L77" s="440" t="s">
        <v>156</v>
      </c>
      <c r="M77" s="287">
        <f t="shared" si="16"/>
        <v>0</v>
      </c>
      <c r="N77" s="440" t="s">
        <v>156</v>
      </c>
      <c r="O77" s="287">
        <f t="shared" si="17"/>
        <v>0</v>
      </c>
      <c r="P77" s="440" t="s">
        <v>156</v>
      </c>
      <c r="Q77" s="119" t="s">
        <v>219</v>
      </c>
      <c r="R77" s="288">
        <f t="shared" si="19"/>
        <v>-6</v>
      </c>
      <c r="S77" t="s">
        <v>158</v>
      </c>
      <c r="U77" t="e">
        <f>VLOOKUP($C77,'Look-up'!$E:$H,3,FALSE)</f>
        <v>#N/A</v>
      </c>
      <c r="V77" t="e">
        <f>VLOOKUP($C77,'Look-up'!$E:$H,4,FALSE)</f>
        <v>#N/A</v>
      </c>
      <c r="W77">
        <f t="shared" si="18"/>
        <v>7</v>
      </c>
      <c r="AA77" t="str">
        <f t="shared" si="20"/>
        <v>[color=green]</v>
      </c>
    </row>
    <row r="78" spans="1:27" hidden="1">
      <c r="A78" t="s">
        <v>154</v>
      </c>
      <c r="B78" t="str">
        <f t="shared" si="21"/>
        <v>[color=orange]</v>
      </c>
      <c r="C78" s="294">
        <f>'Members Data'!A76</f>
        <v>0</v>
      </c>
      <c r="D78" s="439" t="s">
        <v>156</v>
      </c>
      <c r="E78" s="295">
        <f>'Members Data'!D76</f>
        <v>0</v>
      </c>
      <c r="F78" s="440" t="s">
        <v>156</v>
      </c>
      <c r="G78" s="296">
        <f>'Members Data'!B76</f>
        <v>0</v>
      </c>
      <c r="H78" s="440" t="s">
        <v>156</v>
      </c>
      <c r="I78" s="286">
        <f>DCC!I76</f>
        <v>0</v>
      </c>
      <c r="J78" s="440" t="s">
        <v>156</v>
      </c>
      <c r="K78" s="287">
        <f>DCC!J76</f>
        <v>0</v>
      </c>
      <c r="L78" s="440" t="s">
        <v>156</v>
      </c>
      <c r="M78" s="287">
        <f t="shared" si="16"/>
        <v>0</v>
      </c>
      <c r="N78" s="440" t="s">
        <v>156</v>
      </c>
      <c r="O78" s="287">
        <f t="shared" si="17"/>
        <v>0</v>
      </c>
      <c r="P78" s="440" t="s">
        <v>156</v>
      </c>
      <c r="Q78" s="119" t="s">
        <v>219</v>
      </c>
      <c r="R78" s="288">
        <f>(I78*-2)+(K78*2)+(M78*-1)+(O78)</f>
        <v>0</v>
      </c>
      <c r="S78" t="s">
        <v>158</v>
      </c>
      <c r="U78" t="e">
        <f>VLOOKUP($C78,'Look-up'!$E:$H,3,FALSE)</f>
        <v>#N/A</v>
      </c>
      <c r="V78" t="e">
        <f>VLOOKUP($C78,'Look-up'!$E:$H,4,FALSE)</f>
        <v>#N/A</v>
      </c>
      <c r="W78">
        <f t="shared" si="18"/>
        <v>0</v>
      </c>
      <c r="AA78" t="str">
        <f t="shared" si="20"/>
        <v>[color=orange]</v>
      </c>
    </row>
    <row r="79" spans="1:27">
      <c r="A79" t="s">
        <v>154</v>
      </c>
      <c r="B79" t="str">
        <f t="shared" si="21"/>
        <v>[color=blue]</v>
      </c>
      <c r="C79" s="294" t="str">
        <f>'Members Data'!A8</f>
        <v>Brákspak</v>
      </c>
      <c r="D79" s="439" t="s">
        <v>156</v>
      </c>
      <c r="E79" s="295" t="str">
        <f>'Members Data'!D8</f>
        <v>RDPS</v>
      </c>
      <c r="F79" s="440" t="s">
        <v>156</v>
      </c>
      <c r="G79" s="296" t="str">
        <f>'Members Data'!B8</f>
        <v>Venturer</v>
      </c>
      <c r="H79" s="440" t="s">
        <v>156</v>
      </c>
      <c r="I79" s="286">
        <f>DCC!I8</f>
        <v>8</v>
      </c>
      <c r="J79" s="440" t="s">
        <v>156</v>
      </c>
      <c r="K79" s="287">
        <f>DCC!J8</f>
        <v>0</v>
      </c>
      <c r="L79" s="440" t="s">
        <v>156</v>
      </c>
      <c r="M79" s="287">
        <f t="shared" si="16"/>
        <v>0</v>
      </c>
      <c r="N79" s="440" t="s">
        <v>156</v>
      </c>
      <c r="O79" s="287">
        <f t="shared" si="17"/>
        <v>0</v>
      </c>
      <c r="P79" s="440" t="s">
        <v>156</v>
      </c>
      <c r="Q79" s="119" t="s">
        <v>219</v>
      </c>
      <c r="R79" s="288">
        <f t="shared" ref="R79:R103" si="22">IF(W79 =0, "Has not Signed",(I79*-2)+(K79*2)+(M79*-1)+(O79))</f>
        <v>-16</v>
      </c>
      <c r="S79" t="s">
        <v>158</v>
      </c>
      <c r="U79" t="e">
        <f>VLOOKUP($C79,'Look-up'!$E:$H,3,FALSE)</f>
        <v>#N/A</v>
      </c>
      <c r="V79" t="e">
        <f>VLOOKUP($C79,'Look-up'!$E:$H,4,FALSE)</f>
        <v>#N/A</v>
      </c>
      <c r="W79">
        <f t="shared" si="18"/>
        <v>8</v>
      </c>
      <c r="AA79" t="str">
        <f t="shared" si="20"/>
        <v>[color=blue]</v>
      </c>
    </row>
    <row r="80" spans="1:27">
      <c r="A80" t="s">
        <v>154</v>
      </c>
      <c r="B80" t="str">
        <f t="shared" si="21"/>
        <v>[color=green]</v>
      </c>
      <c r="C80" s="294" t="str">
        <f>'Members Data'!A19</f>
        <v>Izzabelle</v>
      </c>
      <c r="D80" s="439" t="s">
        <v>156</v>
      </c>
      <c r="E80" s="295" t="str">
        <f>'Members Data'!D19</f>
        <v>Healer</v>
      </c>
      <c r="F80" s="440" t="s">
        <v>156</v>
      </c>
      <c r="G80" s="296" t="str">
        <f>'Members Data'!B19</f>
        <v>Venturer</v>
      </c>
      <c r="H80" s="440" t="s">
        <v>156</v>
      </c>
      <c r="I80" s="286">
        <f>DCC!I19</f>
        <v>6</v>
      </c>
      <c r="J80" s="440" t="s">
        <v>156</v>
      </c>
      <c r="K80" s="287">
        <f>DCC!J19</f>
        <v>1</v>
      </c>
      <c r="L80" s="440" t="s">
        <v>156</v>
      </c>
      <c r="M80" s="287">
        <f t="shared" si="16"/>
        <v>0</v>
      </c>
      <c r="N80" s="440" t="s">
        <v>156</v>
      </c>
      <c r="O80" s="287">
        <f t="shared" si="17"/>
        <v>0</v>
      </c>
      <c r="P80" s="440" t="s">
        <v>156</v>
      </c>
      <c r="Q80" s="119" t="s">
        <v>219</v>
      </c>
      <c r="R80" s="288">
        <f t="shared" si="22"/>
        <v>-10</v>
      </c>
      <c r="S80" t="s">
        <v>158</v>
      </c>
      <c r="U80" t="e">
        <f>VLOOKUP($C80,'Look-up'!$E:$H,3,FALSE)</f>
        <v>#N/A</v>
      </c>
      <c r="V80" t="e">
        <f>VLOOKUP($C80,'Look-up'!$E:$H,4,FALSE)</f>
        <v>#N/A</v>
      </c>
      <c r="W80">
        <f t="shared" si="18"/>
        <v>7</v>
      </c>
      <c r="AA80" t="str">
        <f t="shared" si="20"/>
        <v>[color=green]</v>
      </c>
    </row>
    <row r="81" spans="1:27">
      <c r="A81" t="s">
        <v>154</v>
      </c>
      <c r="B81" t="str">
        <f t="shared" si="21"/>
        <v>[color=green]</v>
      </c>
      <c r="C81" s="294" t="str">
        <f>'Members Data'!A25</f>
        <v>Palorde</v>
      </c>
      <c r="D81" s="439" t="s">
        <v>156</v>
      </c>
      <c r="E81" s="295" t="str">
        <f>'Members Data'!D25</f>
        <v>MDPS</v>
      </c>
      <c r="F81" s="440" t="s">
        <v>156</v>
      </c>
      <c r="G81" s="296" t="str">
        <f>'Members Data'!B25</f>
        <v>Venturer</v>
      </c>
      <c r="H81" s="440" t="s">
        <v>156</v>
      </c>
      <c r="I81" s="286">
        <f>DCC!I25</f>
        <v>3</v>
      </c>
      <c r="J81" s="440" t="s">
        <v>156</v>
      </c>
      <c r="K81" s="287">
        <f>DCC!J25</f>
        <v>1</v>
      </c>
      <c r="L81" s="440" t="s">
        <v>156</v>
      </c>
      <c r="M81" s="287">
        <f t="shared" si="16"/>
        <v>0</v>
      </c>
      <c r="N81" s="440" t="s">
        <v>156</v>
      </c>
      <c r="O81" s="287">
        <f t="shared" si="17"/>
        <v>0</v>
      </c>
      <c r="P81" s="440" t="s">
        <v>156</v>
      </c>
      <c r="Q81" s="119" t="s">
        <v>219</v>
      </c>
      <c r="R81" s="288">
        <f t="shared" si="22"/>
        <v>-4</v>
      </c>
      <c r="S81" t="s">
        <v>158</v>
      </c>
      <c r="U81" t="e">
        <f>VLOOKUP($C81,'Look-up'!$E:$H,3,FALSE)</f>
        <v>#N/A</v>
      </c>
      <c r="V81" t="e">
        <f>VLOOKUP($C81,'Look-up'!$E:$H,4,FALSE)</f>
        <v>#N/A</v>
      </c>
      <c r="W81">
        <f t="shared" si="18"/>
        <v>4</v>
      </c>
      <c r="AA81" t="str">
        <f t="shared" si="20"/>
        <v>[color=green]</v>
      </c>
    </row>
    <row r="82" spans="1:27">
      <c r="A82" t="s">
        <v>154</v>
      </c>
      <c r="B82" t="str">
        <f t="shared" si="21"/>
        <v>[color=green]</v>
      </c>
      <c r="C82" s="294" t="str">
        <f>'Members Data'!A32</f>
        <v>Seraphÿm</v>
      </c>
      <c r="D82" s="439" t="s">
        <v>156</v>
      </c>
      <c r="E82" s="295" t="str">
        <f>'Members Data'!D32</f>
        <v>Healer</v>
      </c>
      <c r="F82" s="440" t="s">
        <v>156</v>
      </c>
      <c r="G82" s="296" t="str">
        <f>'Members Data'!B32</f>
        <v>Venturer</v>
      </c>
      <c r="H82" s="440" t="s">
        <v>156</v>
      </c>
      <c r="I82" s="286">
        <f>DCC!I32</f>
        <v>4</v>
      </c>
      <c r="J82" s="440" t="s">
        <v>156</v>
      </c>
      <c r="K82" s="287">
        <f>DCC!J32</f>
        <v>0</v>
      </c>
      <c r="L82" s="440" t="s">
        <v>156</v>
      </c>
      <c r="M82" s="287">
        <f t="shared" si="16"/>
        <v>0</v>
      </c>
      <c r="N82" s="440" t="s">
        <v>156</v>
      </c>
      <c r="O82" s="287">
        <f t="shared" si="17"/>
        <v>0</v>
      </c>
      <c r="P82" s="440" t="s">
        <v>156</v>
      </c>
      <c r="Q82" s="119" t="s">
        <v>219</v>
      </c>
      <c r="R82" s="288">
        <f t="shared" si="22"/>
        <v>-8</v>
      </c>
      <c r="S82" t="s">
        <v>158</v>
      </c>
      <c r="U82" t="e">
        <f>VLOOKUP($C82,'Look-up'!$E:$H,3,FALSE)</f>
        <v>#N/A</v>
      </c>
      <c r="V82" t="e">
        <f>VLOOKUP($C82,'Look-up'!$E:$H,4,FALSE)</f>
        <v>#N/A</v>
      </c>
      <c r="W82">
        <f t="shared" si="18"/>
        <v>4</v>
      </c>
      <c r="AA82" t="str">
        <f t="shared" si="20"/>
        <v>[color=green]</v>
      </c>
    </row>
    <row r="83" spans="1:27" hidden="1">
      <c r="B83" t="str">
        <f t="shared" si="21"/>
        <v>[color=red]</v>
      </c>
      <c r="C83" s="294">
        <f>'Members Data'!A48</f>
        <v>0</v>
      </c>
      <c r="D83" s="439" t="s">
        <v>156</v>
      </c>
      <c r="E83" s="295">
        <f>'Members Data'!D48</f>
        <v>0</v>
      </c>
      <c r="F83" s="440" t="s">
        <v>156</v>
      </c>
      <c r="G83" s="296">
        <f>'Members Data'!B48</f>
        <v>0</v>
      </c>
      <c r="H83" s="440" t="s">
        <v>156</v>
      </c>
      <c r="I83" s="286">
        <f>DCC!I48</f>
        <v>0</v>
      </c>
      <c r="J83" s="440" t="s">
        <v>156</v>
      </c>
      <c r="K83" s="287">
        <f>DCC!J48</f>
        <v>0</v>
      </c>
      <c r="L83" s="440" t="s">
        <v>156</v>
      </c>
      <c r="M83" s="287">
        <f t="shared" si="16"/>
        <v>0</v>
      </c>
      <c r="N83" s="440" t="s">
        <v>156</v>
      </c>
      <c r="O83" s="287">
        <f t="shared" si="17"/>
        <v>0</v>
      </c>
      <c r="P83" s="440" t="s">
        <v>156</v>
      </c>
      <c r="Q83" s="119" t="s">
        <v>219</v>
      </c>
      <c r="R83" s="288" t="str">
        <f t="shared" si="22"/>
        <v>Has not Signed</v>
      </c>
      <c r="S83" t="s">
        <v>158</v>
      </c>
      <c r="U83" t="e">
        <f>VLOOKUP($C83,'Look-up'!$E:$H,3,FALSE)</f>
        <v>#N/A</v>
      </c>
      <c r="V83" t="e">
        <f>VLOOKUP($C83,'Look-up'!$E:$H,4,FALSE)</f>
        <v>#N/A</v>
      </c>
      <c r="W83">
        <f t="shared" si="18"/>
        <v>0</v>
      </c>
      <c r="AA83" t="str">
        <f t="shared" si="20"/>
        <v>[color=red]</v>
      </c>
    </row>
    <row r="84" spans="1:27" hidden="1">
      <c r="A84" t="s">
        <v>154</v>
      </c>
      <c r="B84" t="str">
        <f t="shared" si="21"/>
        <v>[color=red]</v>
      </c>
      <c r="C84" s="294">
        <f>'Members Data'!A41</f>
        <v>0</v>
      </c>
      <c r="D84" s="439" t="s">
        <v>156</v>
      </c>
      <c r="E84" s="295">
        <f>'Members Data'!D41</f>
        <v>0</v>
      </c>
      <c r="F84" s="440" t="s">
        <v>156</v>
      </c>
      <c r="G84" s="296">
        <f>'Members Data'!B41</f>
        <v>0</v>
      </c>
      <c r="H84" s="440" t="s">
        <v>156</v>
      </c>
      <c r="I84" s="286">
        <f>DCC!I41</f>
        <v>0</v>
      </c>
      <c r="J84" s="440" t="s">
        <v>156</v>
      </c>
      <c r="K84" s="287">
        <f>DCC!J41</f>
        <v>0</v>
      </c>
      <c r="L84" s="440" t="s">
        <v>156</v>
      </c>
      <c r="M84" s="287">
        <f t="shared" si="16"/>
        <v>0</v>
      </c>
      <c r="N84" s="440" t="s">
        <v>156</v>
      </c>
      <c r="O84" s="287">
        <f t="shared" si="17"/>
        <v>0</v>
      </c>
      <c r="P84" s="440" t="s">
        <v>156</v>
      </c>
      <c r="Q84" s="119" t="s">
        <v>219</v>
      </c>
      <c r="R84" s="288" t="str">
        <f t="shared" si="22"/>
        <v>Has not Signed</v>
      </c>
      <c r="S84" t="s">
        <v>158</v>
      </c>
      <c r="U84" t="e">
        <f>VLOOKUP($C84,'Look-up'!$E:$H,3,FALSE)</f>
        <v>#N/A</v>
      </c>
      <c r="V84" t="e">
        <f>VLOOKUP($C84,'Look-up'!$E:$H,4,FALSE)</f>
        <v>#N/A</v>
      </c>
      <c r="W84">
        <f t="shared" si="18"/>
        <v>0</v>
      </c>
      <c r="AA84" t="str">
        <f t="shared" si="20"/>
        <v>[color=red]</v>
      </c>
    </row>
    <row r="85" spans="1:27" hidden="1">
      <c r="A85" t="s">
        <v>154</v>
      </c>
      <c r="B85" t="str">
        <f t="shared" si="21"/>
        <v>[color=red]</v>
      </c>
      <c r="C85" s="294">
        <f>'Members Data'!A43</f>
        <v>0</v>
      </c>
      <c r="D85" s="439" t="s">
        <v>156</v>
      </c>
      <c r="E85" s="295">
        <f>'Members Data'!D43</f>
        <v>0</v>
      </c>
      <c r="F85" s="440" t="s">
        <v>156</v>
      </c>
      <c r="G85" s="296">
        <f>'Members Data'!B43</f>
        <v>0</v>
      </c>
      <c r="H85" s="440" t="s">
        <v>156</v>
      </c>
      <c r="I85" s="286">
        <f>DCC!I43</f>
        <v>0</v>
      </c>
      <c r="J85" s="440" t="s">
        <v>156</v>
      </c>
      <c r="K85" s="287">
        <f>DCC!J43</f>
        <v>0</v>
      </c>
      <c r="L85" s="440" t="s">
        <v>156</v>
      </c>
      <c r="M85" s="287">
        <f t="shared" ref="M85:M103" si="23">IF(ISNA(U85),0,U85)</f>
        <v>0</v>
      </c>
      <c r="N85" s="440" t="s">
        <v>156</v>
      </c>
      <c r="O85" s="287">
        <f t="shared" ref="O85:O103" si="24">IF(ISNA(V85),0,V85)</f>
        <v>0</v>
      </c>
      <c r="P85" s="440" t="s">
        <v>156</v>
      </c>
      <c r="Q85" s="119" t="s">
        <v>219</v>
      </c>
      <c r="R85" s="288" t="str">
        <f t="shared" si="22"/>
        <v>Has not Signed</v>
      </c>
      <c r="S85" t="s">
        <v>158</v>
      </c>
      <c r="U85" t="e">
        <f>VLOOKUP($C85,'Look-up'!$E:$H,3,FALSE)</f>
        <v>#N/A</v>
      </c>
      <c r="V85" t="e">
        <f>VLOOKUP($C85,'Look-up'!$E:$H,4,FALSE)</f>
        <v>#N/A</v>
      </c>
      <c r="W85">
        <f t="shared" si="18"/>
        <v>0</v>
      </c>
      <c r="AA85" t="str">
        <f t="shared" si="20"/>
        <v>[color=red]</v>
      </c>
    </row>
    <row r="86" spans="1:27">
      <c r="A86" t="s">
        <v>154</v>
      </c>
      <c r="B86" t="str">
        <f t="shared" si="21"/>
        <v>[color=blue]</v>
      </c>
      <c r="C86" s="294" t="str">
        <f>'Members Data'!A12</f>
        <v>Craving</v>
      </c>
      <c r="D86" s="439" t="s">
        <v>156</v>
      </c>
      <c r="E86" s="295" t="str">
        <f>'Members Data'!D12</f>
        <v>MDPS</v>
      </c>
      <c r="F86" s="440" t="s">
        <v>156</v>
      </c>
      <c r="G86" s="296" t="str">
        <f>'Members Data'!B12</f>
        <v>Venturer</v>
      </c>
      <c r="H86" s="440" t="s">
        <v>156</v>
      </c>
      <c r="I86" s="286">
        <f>DCC!I12</f>
        <v>8</v>
      </c>
      <c r="J86" s="440" t="s">
        <v>156</v>
      </c>
      <c r="K86" s="287">
        <f>DCC!J12</f>
        <v>0</v>
      </c>
      <c r="L86" s="440" t="s">
        <v>156</v>
      </c>
      <c r="M86" s="287">
        <f t="shared" si="23"/>
        <v>0</v>
      </c>
      <c r="N86" s="440" t="s">
        <v>156</v>
      </c>
      <c r="O86" s="287">
        <f t="shared" si="24"/>
        <v>0</v>
      </c>
      <c r="P86" s="440" t="s">
        <v>156</v>
      </c>
      <c r="Q86" s="119" t="s">
        <v>219</v>
      </c>
      <c r="R86" s="288">
        <f t="shared" si="22"/>
        <v>-16</v>
      </c>
      <c r="S86" t="s">
        <v>158</v>
      </c>
      <c r="U86" t="e">
        <f>VLOOKUP($C86,'Look-up'!$E:$H,3,FALSE)</f>
        <v>#N/A</v>
      </c>
      <c r="V86" t="e">
        <f>VLOOKUP($C86,'Look-up'!$E:$H,4,FALSE)</f>
        <v>#N/A</v>
      </c>
      <c r="W86">
        <f t="shared" si="18"/>
        <v>8</v>
      </c>
      <c r="AA86" t="str">
        <f t="shared" si="20"/>
        <v>[color=blue]</v>
      </c>
    </row>
    <row r="87" spans="1:27">
      <c r="A87" t="s">
        <v>154</v>
      </c>
      <c r="B87" t="str">
        <f t="shared" si="21"/>
        <v>[color=green]</v>
      </c>
      <c r="C87" s="294" t="str">
        <f>'Members Data'!A27</f>
        <v>Quemzar</v>
      </c>
      <c r="D87" s="439" t="s">
        <v>156</v>
      </c>
      <c r="E87" s="295" t="str">
        <f>'Members Data'!D27</f>
        <v>RDPS</v>
      </c>
      <c r="F87" s="440" t="s">
        <v>156</v>
      </c>
      <c r="G87" s="296" t="str">
        <f>'Members Data'!B27</f>
        <v>Venturer</v>
      </c>
      <c r="H87" s="440" t="s">
        <v>156</v>
      </c>
      <c r="I87" s="286">
        <f>DCC!I27</f>
        <v>5</v>
      </c>
      <c r="J87" s="440" t="s">
        <v>156</v>
      </c>
      <c r="K87" s="287">
        <f>DCC!J27</f>
        <v>0</v>
      </c>
      <c r="L87" s="440" t="s">
        <v>156</v>
      </c>
      <c r="M87" s="287">
        <f t="shared" si="23"/>
        <v>0</v>
      </c>
      <c r="N87" s="440" t="s">
        <v>156</v>
      </c>
      <c r="O87" s="287">
        <f t="shared" si="24"/>
        <v>0</v>
      </c>
      <c r="P87" s="440" t="s">
        <v>156</v>
      </c>
      <c r="Q87" s="119" t="s">
        <v>219</v>
      </c>
      <c r="R87" s="288">
        <f t="shared" si="22"/>
        <v>-10</v>
      </c>
      <c r="S87" t="s">
        <v>158</v>
      </c>
      <c r="U87" t="e">
        <f>VLOOKUP($C87,'Look-up'!$E:$H,3,FALSE)</f>
        <v>#N/A</v>
      </c>
      <c r="V87" t="e">
        <f>VLOOKUP($C87,'Look-up'!$E:$H,4,FALSE)</f>
        <v>#N/A</v>
      </c>
      <c r="W87">
        <f t="shared" si="18"/>
        <v>5</v>
      </c>
      <c r="AA87" t="str">
        <f t="shared" si="20"/>
        <v>[color=green]</v>
      </c>
    </row>
    <row r="88" spans="1:27">
      <c r="A88" t="s">
        <v>154</v>
      </c>
      <c r="B88" t="str">
        <f t="shared" si="21"/>
        <v>[color=blue]</v>
      </c>
      <c r="C88" s="294" t="str">
        <f>'Members Data'!A3</f>
        <v>Ambú</v>
      </c>
      <c r="D88" s="439" t="s">
        <v>156</v>
      </c>
      <c r="E88" s="295" t="str">
        <f>'Members Data'!D3</f>
        <v>MDPS</v>
      </c>
      <c r="F88" s="440" t="s">
        <v>156</v>
      </c>
      <c r="G88" s="296" t="str">
        <f>'Members Data'!B3</f>
        <v>Venturer</v>
      </c>
      <c r="H88" s="440" t="s">
        <v>156</v>
      </c>
      <c r="I88" s="286">
        <f>DCC!I3</f>
        <v>8</v>
      </c>
      <c r="J88" s="440" t="s">
        <v>156</v>
      </c>
      <c r="K88" s="287">
        <f>DCC!J3</f>
        <v>0</v>
      </c>
      <c r="L88" s="440" t="s">
        <v>156</v>
      </c>
      <c r="M88" s="287">
        <f t="shared" si="23"/>
        <v>0</v>
      </c>
      <c r="N88" s="440" t="s">
        <v>156</v>
      </c>
      <c r="O88" s="287">
        <f t="shared" si="24"/>
        <v>0</v>
      </c>
      <c r="P88" s="440" t="s">
        <v>156</v>
      </c>
      <c r="Q88" s="119" t="s">
        <v>219</v>
      </c>
      <c r="R88" s="288">
        <f t="shared" si="22"/>
        <v>-16</v>
      </c>
      <c r="S88" t="s">
        <v>158</v>
      </c>
      <c r="U88" t="e">
        <f>VLOOKUP($C88,'Look-up'!$E:$H,3,FALSE)</f>
        <v>#N/A</v>
      </c>
      <c r="V88" t="e">
        <f>VLOOKUP($C88,'Look-up'!$E:$H,4,FALSE)</f>
        <v>#N/A</v>
      </c>
      <c r="W88">
        <f t="shared" si="18"/>
        <v>8</v>
      </c>
      <c r="AA88" t="str">
        <f t="shared" si="20"/>
        <v>[color=blue]</v>
      </c>
    </row>
    <row r="89" spans="1:27">
      <c r="A89" t="s">
        <v>154</v>
      </c>
      <c r="B89" t="str">
        <f t="shared" si="21"/>
        <v>[color=green]</v>
      </c>
      <c r="C89" s="294" t="str">
        <f>'Members Data'!A29</f>
        <v>Raiyn</v>
      </c>
      <c r="D89" s="439" t="s">
        <v>156</v>
      </c>
      <c r="E89" s="295" t="str">
        <f>'Members Data'!D29</f>
        <v>Healer</v>
      </c>
      <c r="F89" s="440" t="s">
        <v>156</v>
      </c>
      <c r="G89" s="296" t="str">
        <f>'Members Data'!B29</f>
        <v>Venturer</v>
      </c>
      <c r="H89" s="440" t="s">
        <v>156</v>
      </c>
      <c r="I89" s="286">
        <f>DCC!I29</f>
        <v>5</v>
      </c>
      <c r="J89" s="440" t="s">
        <v>156</v>
      </c>
      <c r="K89" s="287">
        <f>DCC!J29</f>
        <v>0</v>
      </c>
      <c r="L89" s="440" t="s">
        <v>156</v>
      </c>
      <c r="M89" s="287">
        <f t="shared" si="23"/>
        <v>0</v>
      </c>
      <c r="N89" s="440" t="s">
        <v>156</v>
      </c>
      <c r="O89" s="287">
        <f t="shared" si="24"/>
        <v>0</v>
      </c>
      <c r="P89" s="440" t="s">
        <v>156</v>
      </c>
      <c r="Q89" s="119" t="s">
        <v>219</v>
      </c>
      <c r="R89" s="288">
        <f t="shared" si="22"/>
        <v>-10</v>
      </c>
      <c r="S89" t="s">
        <v>158</v>
      </c>
      <c r="U89" t="e">
        <f>VLOOKUP($C89,'Look-up'!$E:$H,3,FALSE)</f>
        <v>#N/A</v>
      </c>
      <c r="V89" t="e">
        <f>VLOOKUP($C89,'Look-up'!$E:$H,4,FALSE)</f>
        <v>#N/A</v>
      </c>
      <c r="W89">
        <f t="shared" si="18"/>
        <v>5</v>
      </c>
      <c r="AA89" t="str">
        <f t="shared" si="20"/>
        <v>[color=green]</v>
      </c>
    </row>
    <row r="90" spans="1:27" hidden="1">
      <c r="B90" t="str">
        <f t="shared" si="21"/>
        <v>[color=red]</v>
      </c>
      <c r="C90" s="294">
        <f>'Members Data'!A49</f>
        <v>0</v>
      </c>
      <c r="D90" s="439" t="s">
        <v>156</v>
      </c>
      <c r="E90" s="295">
        <f>'Members Data'!D49</f>
        <v>0</v>
      </c>
      <c r="F90" s="440" t="s">
        <v>156</v>
      </c>
      <c r="G90" s="296">
        <f>'Members Data'!B49</f>
        <v>0</v>
      </c>
      <c r="H90" s="440" t="s">
        <v>156</v>
      </c>
      <c r="I90" s="286">
        <f>DCC!I49</f>
        <v>0</v>
      </c>
      <c r="J90" s="440" t="s">
        <v>156</v>
      </c>
      <c r="K90" s="287">
        <f>DCC!J49</f>
        <v>0</v>
      </c>
      <c r="L90" s="440" t="s">
        <v>156</v>
      </c>
      <c r="M90" s="287">
        <f t="shared" si="23"/>
        <v>0</v>
      </c>
      <c r="N90" s="440" t="s">
        <v>156</v>
      </c>
      <c r="O90" s="287">
        <f t="shared" si="24"/>
        <v>0</v>
      </c>
      <c r="P90" s="440" t="s">
        <v>156</v>
      </c>
      <c r="Q90" s="119" t="s">
        <v>219</v>
      </c>
      <c r="R90" s="288" t="str">
        <f t="shared" si="22"/>
        <v>Has not Signed</v>
      </c>
      <c r="S90" t="s">
        <v>158</v>
      </c>
      <c r="U90" t="e">
        <f>VLOOKUP($C90,'Look-up'!$E:$H,3,FALSE)</f>
        <v>#N/A</v>
      </c>
      <c r="V90" t="e">
        <f>VLOOKUP($C90,'Look-up'!$E:$H,4,FALSE)</f>
        <v>#N/A</v>
      </c>
      <c r="W90">
        <f t="shared" si="18"/>
        <v>0</v>
      </c>
      <c r="AA90" t="str">
        <f t="shared" si="20"/>
        <v>[color=red]</v>
      </c>
    </row>
    <row r="91" spans="1:27">
      <c r="A91" t="s">
        <v>154</v>
      </c>
      <c r="B91" t="str">
        <f t="shared" si="21"/>
        <v>[color=red]</v>
      </c>
      <c r="C91" s="294" t="str">
        <f>'Members Data'!A17</f>
        <v>Hyperïon</v>
      </c>
      <c r="D91" s="439" t="s">
        <v>156</v>
      </c>
      <c r="E91" s="295" t="str">
        <f>'Members Data'!D17</f>
        <v>MDPS</v>
      </c>
      <c r="F91" s="440" t="s">
        <v>156</v>
      </c>
      <c r="G91" s="296" t="str">
        <f>'Members Data'!B17</f>
        <v>Venturer</v>
      </c>
      <c r="H91" s="440" t="s">
        <v>156</v>
      </c>
      <c r="I91" s="286">
        <f>DCC!I17</f>
        <v>0</v>
      </c>
      <c r="J91" s="440" t="s">
        <v>156</v>
      </c>
      <c r="K91" s="287">
        <f>DCC!J17</f>
        <v>0</v>
      </c>
      <c r="L91" s="440" t="s">
        <v>156</v>
      </c>
      <c r="M91" s="287">
        <f t="shared" si="23"/>
        <v>0</v>
      </c>
      <c r="N91" s="440" t="s">
        <v>156</v>
      </c>
      <c r="O91" s="287">
        <f t="shared" si="24"/>
        <v>0</v>
      </c>
      <c r="P91" s="440" t="s">
        <v>156</v>
      </c>
      <c r="Q91" s="119" t="s">
        <v>219</v>
      </c>
      <c r="R91" s="288" t="str">
        <f t="shared" si="22"/>
        <v>Has not Signed</v>
      </c>
      <c r="S91" t="s">
        <v>158</v>
      </c>
      <c r="U91" t="e">
        <f>VLOOKUP($C91,'Look-up'!$E:$H,3,FALSE)</f>
        <v>#N/A</v>
      </c>
      <c r="V91" t="e">
        <f>VLOOKUP($C91,'Look-up'!$E:$H,4,FALSE)</f>
        <v>#N/A</v>
      </c>
      <c r="W91">
        <f t="shared" si="18"/>
        <v>0</v>
      </c>
      <c r="AA91" t="str">
        <f t="shared" si="20"/>
        <v>[color=red]</v>
      </c>
    </row>
    <row r="92" spans="1:27">
      <c r="A92" t="s">
        <v>154</v>
      </c>
      <c r="B92" t="str">
        <f t="shared" si="21"/>
        <v>[color=blue]</v>
      </c>
      <c r="C92" s="294" t="str">
        <f>'Members Data'!A2</f>
        <v>Adanya</v>
      </c>
      <c r="D92" s="439" t="s">
        <v>156</v>
      </c>
      <c r="E92" s="295" t="str">
        <f>'Members Data'!D2</f>
        <v>Healer</v>
      </c>
      <c r="F92" s="440" t="s">
        <v>156</v>
      </c>
      <c r="G92" s="296" t="str">
        <f>'Members Data'!B2</f>
        <v>Venturer</v>
      </c>
      <c r="H92" s="440" t="s">
        <v>156</v>
      </c>
      <c r="I92" s="286">
        <f>DCC!I2</f>
        <v>8</v>
      </c>
      <c r="J92" s="440" t="s">
        <v>156</v>
      </c>
      <c r="K92" s="287">
        <f>DCC!J2</f>
        <v>0</v>
      </c>
      <c r="L92" s="440" t="s">
        <v>156</v>
      </c>
      <c r="M92" s="287">
        <f t="shared" si="23"/>
        <v>0</v>
      </c>
      <c r="N92" s="440" t="s">
        <v>156</v>
      </c>
      <c r="O92" s="287">
        <f t="shared" si="24"/>
        <v>0</v>
      </c>
      <c r="P92" s="440" t="s">
        <v>156</v>
      </c>
      <c r="Q92" s="119" t="s">
        <v>219</v>
      </c>
      <c r="R92" s="288">
        <f t="shared" si="22"/>
        <v>-16</v>
      </c>
      <c r="S92" t="s">
        <v>158</v>
      </c>
      <c r="U92" t="e">
        <f>VLOOKUP($C92,'Look-up'!$E:$H,3,FALSE)</f>
        <v>#N/A</v>
      </c>
      <c r="V92" t="e">
        <f>VLOOKUP($C92,'Look-up'!$E:$H,4,FALSE)</f>
        <v>#N/A</v>
      </c>
      <c r="W92">
        <f t="shared" si="18"/>
        <v>8</v>
      </c>
      <c r="AA92" t="str">
        <f t="shared" si="20"/>
        <v>[color=blue]</v>
      </c>
    </row>
    <row r="93" spans="1:27">
      <c r="A93" t="s">
        <v>154</v>
      </c>
      <c r="B93" t="str">
        <f t="shared" si="21"/>
        <v>[color=blue]</v>
      </c>
      <c r="C93" s="294" t="str">
        <f>'Members Data'!A11</f>
        <v>Cottman</v>
      </c>
      <c r="D93" s="439" t="s">
        <v>156</v>
      </c>
      <c r="E93" s="295" t="str">
        <f>'Members Data'!D11</f>
        <v>RDPS</v>
      </c>
      <c r="F93" s="440" t="s">
        <v>156</v>
      </c>
      <c r="G93" s="296" t="str">
        <f>'Members Data'!B11</f>
        <v>Venturer</v>
      </c>
      <c r="H93" s="440" t="s">
        <v>156</v>
      </c>
      <c r="I93" s="286">
        <f>DCC!I11</f>
        <v>6</v>
      </c>
      <c r="J93" s="440" t="s">
        <v>156</v>
      </c>
      <c r="K93" s="287">
        <f>DCC!J11</f>
        <v>0</v>
      </c>
      <c r="L93" s="440" t="s">
        <v>156</v>
      </c>
      <c r="M93" s="287">
        <f t="shared" si="23"/>
        <v>0</v>
      </c>
      <c r="N93" s="440" t="s">
        <v>156</v>
      </c>
      <c r="O93" s="287">
        <f t="shared" si="24"/>
        <v>0</v>
      </c>
      <c r="P93" s="440" t="s">
        <v>156</v>
      </c>
      <c r="Q93" s="119" t="s">
        <v>219</v>
      </c>
      <c r="R93" s="288">
        <f t="shared" si="22"/>
        <v>-12</v>
      </c>
      <c r="S93" t="s">
        <v>158</v>
      </c>
      <c r="U93" t="e">
        <f>VLOOKUP($C93,'Look-up'!$E:$H,3,FALSE)</f>
        <v>#N/A</v>
      </c>
      <c r="V93" t="e">
        <f>VLOOKUP($C93,'Look-up'!$E:$H,4,FALSE)</f>
        <v>#N/A</v>
      </c>
      <c r="W93">
        <f t="shared" si="18"/>
        <v>6</v>
      </c>
      <c r="AA93" t="str">
        <f t="shared" si="20"/>
        <v>[color=blue]</v>
      </c>
    </row>
    <row r="94" spans="1:27">
      <c r="A94" t="s">
        <v>154</v>
      </c>
      <c r="B94" t="str">
        <f t="shared" si="21"/>
        <v>[color=green]</v>
      </c>
      <c r="C94" s="294" t="str">
        <f>'Members Data'!A16</f>
        <v>Harkar</v>
      </c>
      <c r="D94" s="439" t="s">
        <v>156</v>
      </c>
      <c r="E94" s="295" t="str">
        <f>'Members Data'!D16</f>
        <v>RDPS</v>
      </c>
      <c r="F94" s="440" t="s">
        <v>156</v>
      </c>
      <c r="G94" s="296" t="str">
        <f>'Members Data'!B16</f>
        <v>Venturer</v>
      </c>
      <c r="H94" s="440" t="s">
        <v>156</v>
      </c>
      <c r="I94" s="286">
        <f>DCC!I16</f>
        <v>5</v>
      </c>
      <c r="J94" s="440" t="s">
        <v>156</v>
      </c>
      <c r="K94" s="287">
        <f>DCC!J16</f>
        <v>1</v>
      </c>
      <c r="L94" s="440" t="s">
        <v>156</v>
      </c>
      <c r="M94" s="287">
        <f t="shared" si="23"/>
        <v>0</v>
      </c>
      <c r="N94" s="440" t="s">
        <v>156</v>
      </c>
      <c r="O94" s="287">
        <f t="shared" si="24"/>
        <v>0</v>
      </c>
      <c r="P94" s="440" t="s">
        <v>156</v>
      </c>
      <c r="Q94" s="119" t="s">
        <v>219</v>
      </c>
      <c r="R94" s="288">
        <f t="shared" si="22"/>
        <v>-8</v>
      </c>
      <c r="S94" t="s">
        <v>158</v>
      </c>
      <c r="U94" t="e">
        <f>VLOOKUP($C94,'Look-up'!$E:$H,3,FALSE)</f>
        <v>#N/A</v>
      </c>
      <c r="V94" t="e">
        <f>VLOOKUP($C94,'Look-up'!$E:$H,4,FALSE)</f>
        <v>#N/A</v>
      </c>
      <c r="W94">
        <f t="shared" si="18"/>
        <v>6</v>
      </c>
      <c r="AA94" t="str">
        <f t="shared" si="20"/>
        <v>[color=green]</v>
      </c>
    </row>
    <row r="95" spans="1:27">
      <c r="A95" t="s">
        <v>154</v>
      </c>
      <c r="B95" t="str">
        <f t="shared" si="21"/>
        <v>[color=blue]</v>
      </c>
      <c r="C95" s="294" t="str">
        <f>'Members Data'!A10</f>
        <v>Céléstine</v>
      </c>
      <c r="D95" s="439" t="s">
        <v>156</v>
      </c>
      <c r="E95" s="295" t="str">
        <f>'Members Data'!D10</f>
        <v>Tank</v>
      </c>
      <c r="F95" s="440" t="s">
        <v>156</v>
      </c>
      <c r="G95" s="296" t="str">
        <f>'Members Data'!B10</f>
        <v>Venturer</v>
      </c>
      <c r="H95" s="440" t="s">
        <v>156</v>
      </c>
      <c r="I95" s="286">
        <f>DCC!I10</f>
        <v>7</v>
      </c>
      <c r="J95" s="440" t="s">
        <v>156</v>
      </c>
      <c r="K95" s="287">
        <f>DCC!J10</f>
        <v>0</v>
      </c>
      <c r="L95" s="440" t="s">
        <v>156</v>
      </c>
      <c r="M95" s="287">
        <f t="shared" si="23"/>
        <v>0</v>
      </c>
      <c r="N95" s="440" t="s">
        <v>156</v>
      </c>
      <c r="O95" s="287">
        <f t="shared" si="24"/>
        <v>0</v>
      </c>
      <c r="P95" s="440" t="s">
        <v>156</v>
      </c>
      <c r="Q95" s="119" t="s">
        <v>219</v>
      </c>
      <c r="R95" s="288">
        <f t="shared" si="22"/>
        <v>-14</v>
      </c>
      <c r="S95" t="s">
        <v>158</v>
      </c>
      <c r="U95" t="e">
        <f>VLOOKUP($C95,'Look-up'!$E:$H,3,FALSE)</f>
        <v>#N/A</v>
      </c>
      <c r="V95" t="e">
        <f>VLOOKUP($C95,'Look-up'!$E:$H,4,FALSE)</f>
        <v>#N/A</v>
      </c>
      <c r="W95">
        <f t="shared" si="18"/>
        <v>7</v>
      </c>
      <c r="AA95" t="str">
        <f t="shared" si="20"/>
        <v>[color=blue]</v>
      </c>
    </row>
    <row r="96" spans="1:27">
      <c r="A96" t="s">
        <v>154</v>
      </c>
      <c r="B96" t="str">
        <f t="shared" si="21"/>
        <v>[color=green]</v>
      </c>
      <c r="C96" s="294" t="str">
        <f>'Members Data'!A5</f>
        <v>Âspect</v>
      </c>
      <c r="D96" s="439" t="s">
        <v>156</v>
      </c>
      <c r="E96" s="295" t="str">
        <f>'Members Data'!D5</f>
        <v>RDPS</v>
      </c>
      <c r="F96" s="440" t="s">
        <v>156</v>
      </c>
      <c r="G96" s="296" t="str">
        <f>'Members Data'!B5</f>
        <v>Venturer</v>
      </c>
      <c r="H96" s="440" t="s">
        <v>156</v>
      </c>
      <c r="I96" s="286">
        <f>DCC!I5</f>
        <v>5</v>
      </c>
      <c r="J96" s="440" t="s">
        <v>156</v>
      </c>
      <c r="K96" s="287">
        <f>DCC!J5</f>
        <v>0</v>
      </c>
      <c r="L96" s="440" t="s">
        <v>156</v>
      </c>
      <c r="M96" s="287">
        <f t="shared" si="23"/>
        <v>0</v>
      </c>
      <c r="N96" s="440" t="s">
        <v>156</v>
      </c>
      <c r="O96" s="287">
        <f t="shared" si="24"/>
        <v>0</v>
      </c>
      <c r="P96" s="440" t="s">
        <v>156</v>
      </c>
      <c r="Q96" s="119" t="s">
        <v>219</v>
      </c>
      <c r="R96" s="288">
        <f t="shared" si="22"/>
        <v>-10</v>
      </c>
      <c r="S96" t="s">
        <v>158</v>
      </c>
      <c r="U96" t="e">
        <f>VLOOKUP($C96,'Look-up'!$E:$H,3,FALSE)</f>
        <v>#N/A</v>
      </c>
      <c r="V96" t="e">
        <f>VLOOKUP($C96,'Look-up'!$E:$H,4,FALSE)</f>
        <v>#N/A</v>
      </c>
      <c r="W96">
        <f t="shared" si="18"/>
        <v>5</v>
      </c>
      <c r="AA96" t="str">
        <f t="shared" si="20"/>
        <v>[color=green]</v>
      </c>
    </row>
    <row r="97" spans="1:27">
      <c r="A97" t="s">
        <v>154</v>
      </c>
      <c r="B97" t="str">
        <f t="shared" si="21"/>
        <v>[color=orange]</v>
      </c>
      <c r="C97" s="294" t="str">
        <f>'Members Data'!A20</f>
        <v>Kátsumi</v>
      </c>
      <c r="D97" s="439" t="s">
        <v>156</v>
      </c>
      <c r="E97" s="295" t="str">
        <f>'Members Data'!D20</f>
        <v>MDPS</v>
      </c>
      <c r="F97" s="440" t="s">
        <v>156</v>
      </c>
      <c r="G97" s="296" t="str">
        <f>'Members Data'!B20</f>
        <v>Venturer</v>
      </c>
      <c r="H97" s="440" t="s">
        <v>156</v>
      </c>
      <c r="I97" s="286">
        <f>DCC!I20</f>
        <v>2</v>
      </c>
      <c r="J97" s="440" t="s">
        <v>156</v>
      </c>
      <c r="K97" s="287">
        <f>DCC!J20</f>
        <v>2</v>
      </c>
      <c r="L97" s="440" t="s">
        <v>156</v>
      </c>
      <c r="M97" s="287">
        <f t="shared" si="23"/>
        <v>0</v>
      </c>
      <c r="N97" s="440" t="s">
        <v>156</v>
      </c>
      <c r="O97" s="287">
        <f t="shared" si="24"/>
        <v>0</v>
      </c>
      <c r="P97" s="440" t="s">
        <v>156</v>
      </c>
      <c r="Q97" s="119" t="s">
        <v>219</v>
      </c>
      <c r="R97" s="288">
        <f t="shared" si="22"/>
        <v>0</v>
      </c>
      <c r="S97" t="s">
        <v>158</v>
      </c>
      <c r="U97" t="e">
        <f>VLOOKUP($C97,'Look-up'!$E:$H,3,FALSE)</f>
        <v>#N/A</v>
      </c>
      <c r="V97" t="e">
        <f>VLOOKUP($C97,'Look-up'!$E:$H,4,FALSE)</f>
        <v>#N/A</v>
      </c>
      <c r="W97">
        <f t="shared" si="18"/>
        <v>4</v>
      </c>
      <c r="AA97" t="str">
        <f t="shared" si="20"/>
        <v>[color=orange]</v>
      </c>
    </row>
    <row r="98" spans="1:27" hidden="1">
      <c r="A98" t="s">
        <v>154</v>
      </c>
      <c r="B98" t="str">
        <f t="shared" si="21"/>
        <v>[color=red]</v>
      </c>
      <c r="C98" s="294">
        <f>'Members Data'!A42</f>
        <v>0</v>
      </c>
      <c r="D98" s="439" t="s">
        <v>156</v>
      </c>
      <c r="E98" s="295">
        <f>'Members Data'!D42</f>
        <v>0</v>
      </c>
      <c r="F98" s="440" t="s">
        <v>156</v>
      </c>
      <c r="G98" s="296">
        <f>'Members Data'!B42</f>
        <v>0</v>
      </c>
      <c r="H98" s="440" t="s">
        <v>156</v>
      </c>
      <c r="I98" s="286">
        <f>DCC!I42</f>
        <v>0</v>
      </c>
      <c r="J98" s="440" t="s">
        <v>156</v>
      </c>
      <c r="K98" s="287">
        <f>DCC!J42</f>
        <v>0</v>
      </c>
      <c r="L98" s="440" t="s">
        <v>156</v>
      </c>
      <c r="M98" s="287">
        <f t="shared" si="23"/>
        <v>0</v>
      </c>
      <c r="N98" s="440" t="s">
        <v>156</v>
      </c>
      <c r="O98" s="287">
        <f t="shared" si="24"/>
        <v>0</v>
      </c>
      <c r="P98" s="440" t="s">
        <v>156</v>
      </c>
      <c r="Q98" s="119" t="s">
        <v>219</v>
      </c>
      <c r="R98" s="288" t="str">
        <f t="shared" si="22"/>
        <v>Has not Signed</v>
      </c>
      <c r="S98" t="s">
        <v>158</v>
      </c>
      <c r="U98" t="e">
        <f>VLOOKUP($C98,'Look-up'!$E:$H,3,FALSE)</f>
        <v>#N/A</v>
      </c>
      <c r="V98" t="e">
        <f>VLOOKUP($C98,'Look-up'!$E:$H,4,FALSE)</f>
        <v>#N/A</v>
      </c>
      <c r="W98">
        <f t="shared" si="18"/>
        <v>0</v>
      </c>
      <c r="AA98" t="str">
        <f t="shared" si="20"/>
        <v>[color=red]</v>
      </c>
    </row>
    <row r="99" spans="1:27">
      <c r="A99" t="s">
        <v>154</v>
      </c>
      <c r="B99" t="str">
        <f t="shared" si="21"/>
        <v>[color=blue]</v>
      </c>
      <c r="C99" s="294" t="str">
        <f>'Members Data'!A23</f>
        <v>Muckyfloor</v>
      </c>
      <c r="D99" s="439" t="s">
        <v>156</v>
      </c>
      <c r="E99" s="295" t="str">
        <f>'Members Data'!D23</f>
        <v>MDPS</v>
      </c>
      <c r="F99" s="440" t="s">
        <v>156</v>
      </c>
      <c r="G99" s="296" t="str">
        <f>'Members Data'!B23</f>
        <v>Venturer</v>
      </c>
      <c r="H99" s="440" t="s">
        <v>156</v>
      </c>
      <c r="I99" s="286">
        <f>DCC!I23</f>
        <v>7</v>
      </c>
      <c r="J99" s="440" t="s">
        <v>156</v>
      </c>
      <c r="K99" s="287">
        <f>DCC!J23</f>
        <v>1</v>
      </c>
      <c r="L99" s="440" t="s">
        <v>156</v>
      </c>
      <c r="M99" s="287">
        <f t="shared" si="23"/>
        <v>0</v>
      </c>
      <c r="N99" s="440" t="s">
        <v>156</v>
      </c>
      <c r="O99" s="287">
        <f t="shared" si="24"/>
        <v>0</v>
      </c>
      <c r="P99" s="440" t="s">
        <v>156</v>
      </c>
      <c r="Q99" s="119" t="s">
        <v>219</v>
      </c>
      <c r="R99" s="288">
        <f t="shared" si="22"/>
        <v>-12</v>
      </c>
      <c r="S99" t="s">
        <v>158</v>
      </c>
      <c r="U99" t="e">
        <f>VLOOKUP($C99,'Look-up'!$E:$H,3,FALSE)</f>
        <v>#N/A</v>
      </c>
      <c r="V99" t="e">
        <f>VLOOKUP($C99,'Look-up'!$E:$H,4,FALSE)</f>
        <v>#N/A</v>
      </c>
      <c r="W99">
        <f t="shared" si="18"/>
        <v>8</v>
      </c>
      <c r="AA99" t="str">
        <f t="shared" si="20"/>
        <v>[color=blue]</v>
      </c>
    </row>
    <row r="100" spans="1:27">
      <c r="A100" t="s">
        <v>154</v>
      </c>
      <c r="B100" t="str">
        <f t="shared" si="21"/>
        <v>[color=orange]</v>
      </c>
      <c r="C100" s="294" t="str">
        <f>'Members Data'!A9</f>
        <v>Catena</v>
      </c>
      <c r="D100" s="439" t="s">
        <v>156</v>
      </c>
      <c r="E100" s="295" t="str">
        <f>'Members Data'!D9</f>
        <v>Healer</v>
      </c>
      <c r="F100" s="440" t="s">
        <v>156</v>
      </c>
      <c r="G100" s="296" t="str">
        <f>'Members Data'!B9</f>
        <v>Venturer</v>
      </c>
      <c r="H100" s="440" t="s">
        <v>156</v>
      </c>
      <c r="I100" s="286">
        <f>DCC!I9</f>
        <v>1</v>
      </c>
      <c r="J100" s="440" t="s">
        <v>156</v>
      </c>
      <c r="K100" s="287">
        <f>DCC!J9</f>
        <v>1</v>
      </c>
      <c r="L100" s="440" t="s">
        <v>156</v>
      </c>
      <c r="M100" s="287">
        <f t="shared" si="23"/>
        <v>0</v>
      </c>
      <c r="N100" s="440" t="s">
        <v>156</v>
      </c>
      <c r="O100" s="287">
        <f t="shared" si="24"/>
        <v>0</v>
      </c>
      <c r="P100" s="440" t="s">
        <v>156</v>
      </c>
      <c r="Q100" s="119" t="s">
        <v>219</v>
      </c>
      <c r="R100" s="288">
        <f t="shared" si="22"/>
        <v>0</v>
      </c>
      <c r="S100" t="s">
        <v>158</v>
      </c>
      <c r="U100" t="e">
        <f>VLOOKUP($C100,'Look-up'!$E:$H,3,FALSE)</f>
        <v>#N/A</v>
      </c>
      <c r="V100" t="e">
        <f>VLOOKUP($C100,'Look-up'!$E:$H,4,FALSE)</f>
        <v>#N/A</v>
      </c>
      <c r="W100">
        <f t="shared" si="18"/>
        <v>2</v>
      </c>
      <c r="AA100" t="str">
        <f t="shared" si="20"/>
        <v>[color=orange]</v>
      </c>
    </row>
    <row r="101" spans="1:27">
      <c r="A101" t="s">
        <v>154</v>
      </c>
      <c r="B101" t="str">
        <f t="shared" si="21"/>
        <v>[color=blue]</v>
      </c>
      <c r="C101" s="294" t="str">
        <f>'Members Data'!A31</f>
        <v>Sáik</v>
      </c>
      <c r="D101" s="439" t="s">
        <v>156</v>
      </c>
      <c r="E101" s="295" t="str">
        <f>'Members Data'!D31</f>
        <v>RDPS</v>
      </c>
      <c r="F101" s="440" t="s">
        <v>156</v>
      </c>
      <c r="G101" s="296" t="str">
        <f>'Members Data'!B31</f>
        <v>Venturer</v>
      </c>
      <c r="H101" s="440" t="s">
        <v>156</v>
      </c>
      <c r="I101" s="286">
        <f>DCC!I31</f>
        <v>7</v>
      </c>
      <c r="J101" s="440" t="s">
        <v>156</v>
      </c>
      <c r="K101" s="287">
        <f>DCC!J31</f>
        <v>1</v>
      </c>
      <c r="L101" s="440" t="s">
        <v>156</v>
      </c>
      <c r="M101" s="287">
        <f t="shared" si="23"/>
        <v>0</v>
      </c>
      <c r="N101" s="440" t="s">
        <v>156</v>
      </c>
      <c r="O101" s="287">
        <f t="shared" si="24"/>
        <v>0</v>
      </c>
      <c r="P101" s="440" t="s">
        <v>156</v>
      </c>
      <c r="Q101" s="119" t="s">
        <v>219</v>
      </c>
      <c r="R101" s="288">
        <f t="shared" si="22"/>
        <v>-12</v>
      </c>
      <c r="S101" t="s">
        <v>158</v>
      </c>
      <c r="U101" t="e">
        <f>VLOOKUP($C101,'Look-up'!$E:$H,3,FALSE)</f>
        <v>#N/A</v>
      </c>
      <c r="V101" t="e">
        <f>VLOOKUP($C101,'Look-up'!$E:$H,4,FALSE)</f>
        <v>#N/A</v>
      </c>
      <c r="W101">
        <f t="shared" si="18"/>
        <v>8</v>
      </c>
      <c r="AA101" t="str">
        <f t="shared" si="20"/>
        <v>[color=blue]</v>
      </c>
    </row>
    <row r="102" spans="1:27">
      <c r="A102" t="s">
        <v>154</v>
      </c>
      <c r="B102" t="str">
        <f t="shared" si="21"/>
        <v>[color=green]</v>
      </c>
      <c r="C102" s="294" t="str">
        <f>'Members Data'!A13</f>
        <v>Darshei</v>
      </c>
      <c r="D102" s="439" t="s">
        <v>156</v>
      </c>
      <c r="E102" s="295" t="str">
        <f>'Members Data'!D13</f>
        <v>Healer</v>
      </c>
      <c r="F102" s="440" t="s">
        <v>156</v>
      </c>
      <c r="G102" s="296" t="str">
        <f>'Members Data'!B13</f>
        <v>Venturer</v>
      </c>
      <c r="H102" s="440" t="s">
        <v>156</v>
      </c>
      <c r="I102" s="286">
        <f>DCC!I13</f>
        <v>6</v>
      </c>
      <c r="J102" s="440" t="s">
        <v>156</v>
      </c>
      <c r="K102" s="287">
        <f>DCC!J13</f>
        <v>1</v>
      </c>
      <c r="L102" s="440" t="s">
        <v>156</v>
      </c>
      <c r="M102" s="287">
        <f t="shared" si="23"/>
        <v>0</v>
      </c>
      <c r="N102" s="440" t="s">
        <v>156</v>
      </c>
      <c r="O102" s="287">
        <f t="shared" si="24"/>
        <v>0</v>
      </c>
      <c r="P102" s="440" t="s">
        <v>156</v>
      </c>
      <c r="Q102" s="119" t="s">
        <v>219</v>
      </c>
      <c r="R102" s="288">
        <f t="shared" si="22"/>
        <v>-10</v>
      </c>
      <c r="S102" t="s">
        <v>158</v>
      </c>
      <c r="U102" t="e">
        <f>VLOOKUP($C102,'Look-up'!$E:$H,3,FALSE)</f>
        <v>#N/A</v>
      </c>
      <c r="V102" t="e">
        <f>VLOOKUP($C102,'Look-up'!$E:$H,4,FALSE)</f>
        <v>#N/A</v>
      </c>
      <c r="W102">
        <f t="shared" si="18"/>
        <v>7</v>
      </c>
      <c r="AA102" t="str">
        <f t="shared" si="20"/>
        <v>[color=green]</v>
      </c>
    </row>
    <row r="103" spans="1:27" ht="13.5" thickBot="1">
      <c r="A103" t="s">
        <v>154</v>
      </c>
      <c r="B103" t="str">
        <f t="shared" si="21"/>
        <v>[color=blue]</v>
      </c>
      <c r="C103" s="297" t="str">
        <f>'Members Data'!A4</f>
        <v>Ashenhand</v>
      </c>
      <c r="D103" s="441" t="s">
        <v>156</v>
      </c>
      <c r="E103" s="298" t="str">
        <f>'Members Data'!D4</f>
        <v>Tank</v>
      </c>
      <c r="F103" s="440" t="s">
        <v>156</v>
      </c>
      <c r="G103" s="299" t="str">
        <f>'Members Data'!B4</f>
        <v>Venturer</v>
      </c>
      <c r="H103" s="440" t="s">
        <v>156</v>
      </c>
      <c r="I103" s="289">
        <f>DCC!I4</f>
        <v>8</v>
      </c>
      <c r="J103" s="440" t="s">
        <v>156</v>
      </c>
      <c r="K103" s="290">
        <f>DCC!J4</f>
        <v>0</v>
      </c>
      <c r="L103" s="440" t="s">
        <v>156</v>
      </c>
      <c r="M103" s="290">
        <f t="shared" si="23"/>
        <v>0</v>
      </c>
      <c r="N103" s="440" t="s">
        <v>156</v>
      </c>
      <c r="O103" s="290">
        <f t="shared" si="24"/>
        <v>0</v>
      </c>
      <c r="P103" s="440" t="s">
        <v>156</v>
      </c>
      <c r="Q103" s="119" t="s">
        <v>219</v>
      </c>
      <c r="R103" s="288">
        <f t="shared" si="22"/>
        <v>-16</v>
      </c>
      <c r="S103" t="s">
        <v>158</v>
      </c>
      <c r="U103" t="e">
        <f>VLOOKUP($C103,'Look-up'!$E:$H,3,FALSE)</f>
        <v>#N/A</v>
      </c>
      <c r="V103" t="e">
        <f>VLOOKUP($C103,'Look-up'!$E:$H,4,FALSE)</f>
        <v>#N/A</v>
      </c>
      <c r="W103">
        <f t="shared" si="18"/>
        <v>8</v>
      </c>
      <c r="AA103" t="str">
        <f t="shared" si="20"/>
        <v>[color=blue]</v>
      </c>
    </row>
    <row r="104" spans="1:27" ht="15.75" hidden="1" thickTop="1">
      <c r="A104" s="260" t="s">
        <v>160</v>
      </c>
      <c r="B104" s="260"/>
    </row>
    <row r="105" spans="1:27" ht="13.5" thickTop="1"/>
  </sheetData>
  <sheetProtection autoFilter="0"/>
  <autoFilter ref="C3:R104">
    <filterColumn colId="0"/>
    <filterColumn colId="1"/>
    <filterColumn colId="2"/>
    <filterColumn colId="3"/>
    <filterColumn colId="4">
      <filters>
        <filter val="Venturer"/>
      </filters>
    </filterColumn>
    <filterColumn colId="5"/>
    <filterColumn colId="7"/>
    <filterColumn colId="9"/>
    <filterColumn colId="11"/>
    <filterColumn colId="13"/>
    <filterColumn colId="14"/>
    <sortState ref="C21:R104">
      <sortCondition descending="1" ref="R3:R104"/>
    </sortState>
  </autoFilter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1:AG65"/>
  <sheetViews>
    <sheetView zoomScale="85" zoomScaleNormal="85" workbookViewId="0"/>
  </sheetViews>
  <sheetFormatPr defaultRowHeight="12.75"/>
  <cols>
    <col min="1" max="1" width="3.42578125" customWidth="1"/>
    <col min="2" max="2" width="9.140625" hidden="1" customWidth="1"/>
    <col min="3" max="3" width="12.140625" bestFit="1" customWidth="1"/>
    <col min="4" max="4" width="12.140625" hidden="1" customWidth="1"/>
    <col min="5" max="5" width="12.140625" bestFit="1" customWidth="1"/>
    <col min="6" max="6" width="12.140625" hidden="1" customWidth="1"/>
    <col min="7" max="7" width="12.140625" bestFit="1" customWidth="1"/>
    <col min="8" max="8" width="12.140625" hidden="1" customWidth="1"/>
    <col min="9" max="9" width="12.140625" bestFit="1" customWidth="1"/>
    <col min="10" max="10" width="12.140625" hidden="1" customWidth="1"/>
    <col min="11" max="11" width="11" bestFit="1" customWidth="1"/>
    <col min="12" max="12" width="11" hidden="1" customWidth="1"/>
    <col min="13" max="13" width="10" bestFit="1" customWidth="1"/>
    <col min="14" max="14" width="10" hidden="1" customWidth="1"/>
    <col min="15" max="15" width="11" bestFit="1" customWidth="1"/>
    <col min="16" max="16" width="11" hidden="1" customWidth="1"/>
    <col min="18" max="18" width="9.140625" hidden="1" customWidth="1"/>
    <col min="20" max="20" width="9.140625" hidden="1" customWidth="1"/>
    <col min="22" max="22" width="9.140625" hidden="1" customWidth="1"/>
    <col min="24" max="24" width="9.140625" hidden="1" customWidth="1"/>
    <col min="26" max="26" width="9.140625" hidden="1" customWidth="1"/>
    <col min="28" max="28" width="21.42578125" customWidth="1"/>
    <col min="29" max="29" width="14.5703125" customWidth="1"/>
    <col min="30" max="30" width="9.5703125" customWidth="1"/>
    <col min="31" max="33" width="9.140625" hidden="1" customWidth="1"/>
  </cols>
  <sheetData>
    <row r="1" spans="2:33" ht="13.5" thickBot="1"/>
    <row r="2" spans="2:33" ht="14.25" thickTop="1" thickBot="1">
      <c r="AB2" s="495" t="str">
        <f>'Short &amp; Simple'!H31</f>
        <v>25 Man Normal SoO - Iron Juggernaught</v>
      </c>
      <c r="AC2" s="496"/>
    </row>
    <row r="3" spans="2:33" ht="13.5" thickTop="1">
      <c r="B3" t="s">
        <v>153</v>
      </c>
      <c r="C3" s="251" t="str">
        <f>AB42</f>
        <v>------------</v>
      </c>
      <c r="D3" s="268" t="s">
        <v>155</v>
      </c>
      <c r="E3" s="245" t="str">
        <f>AB42</f>
        <v>------------</v>
      </c>
      <c r="F3" s="268" t="s">
        <v>155</v>
      </c>
      <c r="G3" s="245" t="str">
        <f>AB42</f>
        <v>------------</v>
      </c>
      <c r="H3" s="268" t="s">
        <v>155</v>
      </c>
      <c r="I3" s="252" t="str">
        <f>AB42</f>
        <v>------------</v>
      </c>
      <c r="J3" s="231" t="s">
        <v>155</v>
      </c>
      <c r="K3" s="266" t="s">
        <v>32</v>
      </c>
      <c r="L3" s="231" t="s">
        <v>155</v>
      </c>
      <c r="M3" s="266" t="s">
        <v>134</v>
      </c>
      <c r="N3" s="231" t="s">
        <v>155</v>
      </c>
      <c r="O3" s="266" t="s">
        <v>135</v>
      </c>
      <c r="P3" s="231" t="s">
        <v>155</v>
      </c>
      <c r="Q3" s="266" t="s">
        <v>169</v>
      </c>
      <c r="R3" s="231" t="s">
        <v>155</v>
      </c>
      <c r="S3" s="266" t="s">
        <v>136</v>
      </c>
      <c r="T3" s="231" t="s">
        <v>155</v>
      </c>
      <c r="U3" s="266" t="str">
        <f>AB42</f>
        <v>------------</v>
      </c>
      <c r="V3" s="231" t="s">
        <v>155</v>
      </c>
      <c r="W3" s="266" t="str">
        <f>AB42</f>
        <v>------------</v>
      </c>
      <c r="X3" s="231" t="s">
        <v>155</v>
      </c>
      <c r="Y3" s="267" t="str">
        <f>AB42</f>
        <v>------------</v>
      </c>
      <c r="Z3" t="s">
        <v>157</v>
      </c>
      <c r="AB3" s="241" t="str">
        <f>'Short &amp; Simple'!H32</f>
        <v>Death Knight - Frost</v>
      </c>
      <c r="AC3" s="270" t="s">
        <v>134</v>
      </c>
      <c r="AF3" t="str">
        <f>K3</f>
        <v>Auska</v>
      </c>
    </row>
    <row r="4" spans="2:33" ht="13.5" thickBot="1">
      <c r="B4" t="s">
        <v>154</v>
      </c>
      <c r="C4" s="249" t="s">
        <v>146</v>
      </c>
      <c r="D4" t="s">
        <v>156</v>
      </c>
      <c r="E4" s="250" t="s">
        <v>147</v>
      </c>
      <c r="F4" t="s">
        <v>156</v>
      </c>
      <c r="G4" s="250" t="s">
        <v>148</v>
      </c>
      <c r="H4" t="s">
        <v>156</v>
      </c>
      <c r="I4" s="269" t="s">
        <v>149</v>
      </c>
      <c r="J4" t="s">
        <v>156</v>
      </c>
      <c r="K4" s="258">
        <f>COUNTIF($AC$3:$AC$38,K$3)</f>
        <v>0</v>
      </c>
      <c r="L4" t="s">
        <v>156</v>
      </c>
      <c r="M4" s="258">
        <f>COUNTIF($AC$3:$AC$38,M$3)</f>
        <v>34</v>
      </c>
      <c r="N4" t="s">
        <v>156</v>
      </c>
      <c r="O4" s="258">
        <f>COUNTIF($AC$3:$AC$38,O$3)</f>
        <v>0</v>
      </c>
      <c r="P4" t="s">
        <v>156</v>
      </c>
      <c r="Q4" s="258">
        <f>COUNTIF($AC$3:$AC$38,Q$3)</f>
        <v>0</v>
      </c>
      <c r="R4" t="s">
        <v>156</v>
      </c>
      <c r="S4" s="258">
        <f>COUNTIF($AC$3:$AC$38,S$3)</f>
        <v>0</v>
      </c>
      <c r="T4" t="s">
        <v>156</v>
      </c>
      <c r="U4" s="258">
        <f t="shared" ref="U4:Y4" si="0">COUNTIF($AC$3:$AC$35,U$3)</f>
        <v>0</v>
      </c>
      <c r="V4" t="s">
        <v>156</v>
      </c>
      <c r="W4" s="258">
        <f t="shared" si="0"/>
        <v>0</v>
      </c>
      <c r="X4" t="s">
        <v>156</v>
      </c>
      <c r="Y4" s="259">
        <f t="shared" si="0"/>
        <v>0</v>
      </c>
      <c r="Z4" t="s">
        <v>158</v>
      </c>
      <c r="AB4" s="242" t="str">
        <f>'Short &amp; Simple'!H33</f>
        <v>Death Knight - Unholy</v>
      </c>
      <c r="AC4" s="263" t="s">
        <v>134</v>
      </c>
      <c r="AF4" t="str">
        <f>M3</f>
        <v>Muckyfloor</v>
      </c>
    </row>
    <row r="5" spans="2:33" ht="15.75" thickTop="1">
      <c r="B5" t="s">
        <v>154</v>
      </c>
      <c r="C5" s="319" t="s">
        <v>159</v>
      </c>
      <c r="D5" s="320" t="s">
        <v>156</v>
      </c>
      <c r="E5" s="321" t="s">
        <v>159</v>
      </c>
      <c r="F5" s="320" t="s">
        <v>156</v>
      </c>
      <c r="G5" s="321" t="s">
        <v>159</v>
      </c>
      <c r="H5" s="320" t="s">
        <v>156</v>
      </c>
      <c r="I5" s="322" t="s">
        <v>159</v>
      </c>
      <c r="J5" t="s">
        <v>156</v>
      </c>
      <c r="K5" s="251" t="str">
        <f>IF(Gear!$C2="",$AB$42,IF(Gear!$P2=0,$AB$42,IF(VLOOKUP(Gear!$C2,$AB$3:$AC$38,2,FALSE)=K$3,IF(Gear!$Q2&lt;$AG$6,Gear!$A2,$AB$42),$AB$42)))</f>
        <v>------------</v>
      </c>
      <c r="L5" s="261" t="str">
        <f>IF(Gear!$C2="",$AB$42,IF(Gear!$P2=0,$AB$42,IF(VLOOKUP(Gear!$C2,$AB$3:$AC$38,2,FALSE)=L$3,IF(Gear!$Q2&lt;$AG$6,Gear!$A2,$AB$42),$AB$42)))</f>
        <v>------------</v>
      </c>
      <c r="M5" s="245" t="str">
        <f>IF(Gear!$C2="",$AB$42,IF(Gear!$P2=0,$AB$42,IF(VLOOKUP(Gear!$C2,$AB$3:$AC$38,2,FALSE)=M$3,IF(Gear!$Q2&lt;$AG$6,Gear!$A2,$AB$42),$AB$42)))</f>
        <v>------------</v>
      </c>
      <c r="N5" s="261" t="str">
        <f>IF(Gear!$C2="",$AB$42,IF(Gear!$P2=0,$AB$42,IF(VLOOKUP(Gear!$C2,$AB$3:$AC$38,2,FALSE)=N$3,IF(Gear!$Q2&lt;$AG$6,Gear!$A2,$AB$42),$AB$42)))</f>
        <v>------------</v>
      </c>
      <c r="O5" s="245" t="str">
        <f>IF(Gear!$C2="",$AB$42,IF(Gear!$P2=0,$AB$42,IF(VLOOKUP(Gear!$C2,$AB$3:$AC$38,2,FALSE)=O$3,IF(Gear!$Q2&lt;$AG$6,Gear!$A2,$AB$42),$AB$42)))</f>
        <v>------------</v>
      </c>
      <c r="P5" s="261" t="str">
        <f>IF(Gear!$C2="",$AB$42,IF(Gear!$P2=0,$AB$42,IF(VLOOKUP(Gear!$C2,$AB$3:$AC$38,2,FALSE)=P$3,IF(Gear!$Q2&lt;$AG$6,Gear!$A2,$AB$42),$AB$42)))</f>
        <v>------------</v>
      </c>
      <c r="Q5" s="245" t="str">
        <f>IF(Gear!$C2="",$AB$42,IF(Gear!$P2=0,$AB$42,IF(VLOOKUP(Gear!$C2,$AB$3:$AC$38,2,FALSE)=Q$3,IF(Gear!$Q2&lt;$AG$6,Gear!$A2,$AB$42),$AB$42)))</f>
        <v>------------</v>
      </c>
      <c r="R5" s="261" t="str">
        <f>IF(Gear!$C2="",$AB$42,IF(Gear!$P2=0,$AB$42,IF(VLOOKUP(Gear!$C2,$AB$3:$AC$38,2,FALSE)=R$3,IF(Gear!$Q2&lt;$AG$6,Gear!$A2,$AB$42),$AB$42)))</f>
        <v>------------</v>
      </c>
      <c r="S5" s="245" t="str">
        <f>IF(Gear!$C2="",$AB$42,IF(Gear!$P2=0,$AB$42,IF(VLOOKUP(Gear!$C2,$AB$3:$AC$38,2,FALSE)=S$3,IF(Gear!$Q2&lt;$AG$6,Gear!$A2,$AB$42),$AB$42)))</f>
        <v>------------</v>
      </c>
      <c r="T5" s="261" t="str">
        <f>IF(Gear!$C2="",$AB$42,IF(Gear!$P2=0,$AB$42,IF(VLOOKUP(Gear!$C2,$AB$3:$AC$38,2,FALSE)=T$3,IF(Gear!$Q2&lt;$AG$6,Gear!$A2,$AB$42),$AB$42)))</f>
        <v>------------</v>
      </c>
      <c r="U5" s="245" t="str">
        <f>IF(Gear!$C2="",$AB$42,IF(Gear!$P2=0,$AB$42,IF(VLOOKUP(Gear!$C2,$AB$3:$AC$38,2,FALSE)=U$3,IF(Gear!$Q2&lt;$AG$6,Gear!$A2,$AB$42),$AB$42)))</f>
        <v>------------</v>
      </c>
      <c r="V5" s="261" t="str">
        <f>IF(Gear!$C2="",$AB$42,IF(Gear!$P2=0,$AB$42,IF(VLOOKUP(Gear!$C2,$AB$3:$AC$38,2,FALSE)=V$3,IF(Gear!$Q2&lt;$AG$6,Gear!$A2,$AB$42),$AB$42)))</f>
        <v>------------</v>
      </c>
      <c r="W5" s="245" t="str">
        <f>IF(Gear!$C2="",$AB$42,IF(Gear!$P2=0,$AB$42,IF(VLOOKUP(Gear!$C2,$AB$3:$AC$38,2,FALSE)=W$3,IF(Gear!$Q2&lt;$AG$6,Gear!$A2,$AB$42),$AB$42)))</f>
        <v>------------</v>
      </c>
      <c r="X5" s="261" t="str">
        <f>IF(Gear!$C2="",$AB$42,IF(Gear!$P2=0,$AB$42,IF(VLOOKUP(Gear!$C2,$AB$3:$AC$38,2,FALSE)=X$3,IF(Gear!$Q2&lt;$AG$6,Gear!$A2,$AB$42),$AB$42)))</f>
        <v>------------</v>
      </c>
      <c r="Y5" s="252" t="str">
        <f>IF(Gear!$C2="",$AB$42,IF(Gear!$P2=0,$AB$42,IF(VLOOKUP(Gear!$C2,$AB$3:$AC$38,2,FALSE)=Y$3,IF(Gear!$Q2&lt;$AG$6,Gear!$A2,$AB$42),$AB$42)))</f>
        <v>------------</v>
      </c>
      <c r="Z5" t="s">
        <v>158</v>
      </c>
      <c r="AB5" s="242" t="str">
        <f>'Short &amp; Simple'!H34</f>
        <v>Druid - Balance</v>
      </c>
      <c r="AC5" s="263" t="s">
        <v>134</v>
      </c>
      <c r="AE5" s="247"/>
      <c r="AF5" t="str">
        <f>O$3</f>
        <v>Thoeli</v>
      </c>
    </row>
    <row r="6" spans="2:33" ht="15">
      <c r="B6" t="s">
        <v>154</v>
      </c>
      <c r="C6" s="318" t="s">
        <v>159</v>
      </c>
      <c r="D6" s="320" t="s">
        <v>156</v>
      </c>
      <c r="E6" s="323" t="s">
        <v>159</v>
      </c>
      <c r="F6" s="320" t="s">
        <v>156</v>
      </c>
      <c r="G6" s="323" t="s">
        <v>159</v>
      </c>
      <c r="H6" s="320" t="s">
        <v>156</v>
      </c>
      <c r="I6" s="264" t="s">
        <v>159</v>
      </c>
      <c r="J6" t="s">
        <v>156</v>
      </c>
      <c r="K6" s="253" t="str">
        <f>IF(Gear!$C3="",$AB$42,IF(Gear!$P3=0,$AB$42,IF(VLOOKUP(Gear!$C3,$AB$3:$AC$38,2,FALSE)=K$3,IF(Gear!$Q3&lt;$AG$6,Gear!$A3,$AB$42),$AB$42)))</f>
        <v>------------</v>
      </c>
      <c r="L6" s="261" t="str">
        <f>IF(Gear!$C3="",$AB$42,IF(Gear!$P3=0,$AB$42,IF(VLOOKUP(Gear!$C3,$AB$3:$AC$38,2,FALSE)=L$3,IF(Gear!$Q3&lt;$AG$6,Gear!$A3,$AB$42),$AB$42)))</f>
        <v>------------</v>
      </c>
      <c r="M6" s="254" t="str">
        <f>IF(Gear!$C3="",$AB$42,IF(Gear!$P3=0,$AB$42,IF(VLOOKUP(Gear!$C3,$AB$3:$AC$38,2,FALSE)=M$3,IF(Gear!$Q3&lt;$AG$6,Gear!$A3,$AB$42),$AB$42)))</f>
        <v>------------</v>
      </c>
      <c r="N6" s="261" t="str">
        <f>IF(Gear!$C3="",$AB$42,IF(Gear!$P3=0,$AB$42,IF(VLOOKUP(Gear!$C3,$AB$3:$AC$38,2,FALSE)=N$3,IF(Gear!$Q3&lt;$AG$6,Gear!$A3,$AB$42),$AB$42)))</f>
        <v>------------</v>
      </c>
      <c r="O6" s="254" t="str">
        <f>IF(Gear!$C3="",$AB$42,IF(Gear!$P3=0,$AB$42,IF(VLOOKUP(Gear!$C3,$AB$3:$AC$38,2,FALSE)=O$3,IF(Gear!$Q3&lt;$AG$6,Gear!$A3,$AB$42),$AB$42)))</f>
        <v>------------</v>
      </c>
      <c r="P6" s="261" t="str">
        <f>IF(Gear!$C3="",$AB$42,IF(Gear!$P3=0,$AB$42,IF(VLOOKUP(Gear!$C3,$AB$3:$AC$38,2,FALSE)=P$3,IF(Gear!$Q3&lt;$AG$6,Gear!$A3,$AB$42),$AB$42)))</f>
        <v>------------</v>
      </c>
      <c r="Q6" s="254" t="str">
        <f>IF(Gear!$C3="",$AB$42,IF(Gear!$P3=0,$AB$42,IF(VLOOKUP(Gear!$C3,$AB$3:$AC$38,2,FALSE)=Q$3,IF(Gear!$Q3&lt;$AG$6,Gear!$A3,$AB$42),$AB$42)))</f>
        <v>------------</v>
      </c>
      <c r="R6" s="261" t="str">
        <f>IF(Gear!$C3="",$AB$42,IF(Gear!$P3=0,$AB$42,IF(VLOOKUP(Gear!$C3,$AB$3:$AC$38,2,FALSE)=R$3,IF(Gear!$Q3&lt;$AG$6,Gear!$A3,$AB$42),$AB$42)))</f>
        <v>------------</v>
      </c>
      <c r="S6" s="254" t="str">
        <f>IF(Gear!$C3="",$AB$42,IF(Gear!$P3=0,$AB$42,IF(VLOOKUP(Gear!$C3,$AB$3:$AC$38,2,FALSE)=S$3,IF(Gear!$Q3&lt;$AG$6,Gear!$A3,$AB$42),$AB$42)))</f>
        <v>------------</v>
      </c>
      <c r="T6" s="261" t="str">
        <f>IF(Gear!$C3="",$AB$42,IF(Gear!$P3=0,$AB$42,IF(VLOOKUP(Gear!$C3,$AB$3:$AC$38,2,FALSE)=T$3,IF(Gear!$Q3&lt;$AG$6,Gear!$A3,$AB$42),$AB$42)))</f>
        <v>------------</v>
      </c>
      <c r="U6" s="254" t="str">
        <f>IF(Gear!$C3="",$AB$42,IF(Gear!$P3=0,$AB$42,IF(VLOOKUP(Gear!$C3,$AB$3:$AC$38,2,FALSE)=U$3,IF(Gear!$Q3&lt;$AG$6,Gear!$A3,$AB$42),$AB$42)))</f>
        <v>------------</v>
      </c>
      <c r="V6" s="261" t="str">
        <f>IF(Gear!$C3="",$AB$42,IF(Gear!$P3=0,$AB$42,IF(VLOOKUP(Gear!$C3,$AB$3:$AC$38,2,FALSE)=V$3,IF(Gear!$Q3&lt;$AG$6,Gear!$A3,$AB$42),$AB$42)))</f>
        <v>------------</v>
      </c>
      <c r="W6" s="254" t="str">
        <f>IF(Gear!$C3="",$AB$42,IF(Gear!$P3=0,$AB$42,IF(VLOOKUP(Gear!$C3,$AB$3:$AC$38,2,FALSE)=W$3,IF(Gear!$Q3&lt;$AG$6,Gear!$A3,$AB$42),$AB$42)))</f>
        <v>------------</v>
      </c>
      <c r="X6" s="261" t="str">
        <f>IF(Gear!$C3="",$AB$42,IF(Gear!$P3=0,$AB$42,IF(VLOOKUP(Gear!$C3,$AB$3:$AC$38,2,FALSE)=X$3,IF(Gear!$Q3&lt;$AG$6,Gear!$A3,$AB$42),$AB$42)))</f>
        <v>------------</v>
      </c>
      <c r="Y6" s="255" t="str">
        <f>IF(Gear!$C3="",$AB$42,IF(Gear!$P3=0,$AB$42,IF(VLOOKUP(Gear!$C3,$AB$3:$AC$38,2,FALSE)=Y$3,IF(Gear!$Q3&lt;$AG$6,Gear!$A3,$AB$42),$AB$42)))</f>
        <v>------------</v>
      </c>
      <c r="Z6" t="s">
        <v>158</v>
      </c>
      <c r="AB6" s="242" t="str">
        <f>'Short &amp; Simple'!H35</f>
        <v>Druid - Feral Kitty</v>
      </c>
      <c r="AC6" s="263" t="s">
        <v>134</v>
      </c>
      <c r="AF6" t="str">
        <f>Q$3</f>
        <v>Omf</v>
      </c>
      <c r="AG6">
        <f>'Short &amp; Simple'!F68/100</f>
        <v>0.5</v>
      </c>
    </row>
    <row r="7" spans="2:33" ht="15">
      <c r="B7" t="s">
        <v>154</v>
      </c>
      <c r="C7" s="318" t="s">
        <v>159</v>
      </c>
      <c r="D7" s="320" t="s">
        <v>156</v>
      </c>
      <c r="E7" s="323" t="s">
        <v>159</v>
      </c>
      <c r="F7" s="320" t="s">
        <v>156</v>
      </c>
      <c r="G7" s="323" t="s">
        <v>159</v>
      </c>
      <c r="H7" s="320" t="s">
        <v>156</v>
      </c>
      <c r="I7" s="264" t="s">
        <v>159</v>
      </c>
      <c r="J7" t="s">
        <v>156</v>
      </c>
      <c r="K7" s="253" t="str">
        <f>IF(Gear!$C4="",$AB$42,IF(Gear!$P4=0,$AB$42,IF(VLOOKUP(Gear!$C4,$AB$3:$AC$38,2,FALSE)=K$3,IF(Gear!$Q4&lt;$AG$6,Gear!$A4,$AB$42),$AB$42)))</f>
        <v>------------</v>
      </c>
      <c r="L7" s="261" t="str">
        <f>IF(Gear!$C4="",$AB$42,IF(Gear!$P4=0,$AB$42,IF(VLOOKUP(Gear!$C4,$AB$3:$AC$38,2,FALSE)=L$3,IF(Gear!$Q4&lt;$AG$6,Gear!$A4,$AB$42),$AB$42)))</f>
        <v>------------</v>
      </c>
      <c r="M7" s="254" t="str">
        <f>IF(Gear!$C4="",$AB$42,IF(Gear!$P4=0,$AB$42,IF(VLOOKUP(Gear!$C4,$AB$3:$AC$38,2,FALSE)=M$3,IF(Gear!$Q4&lt;$AG$6,Gear!$A4,$AB$42),$AB$42)))</f>
        <v>------------</v>
      </c>
      <c r="N7" s="261" t="str">
        <f>IF(Gear!$C4="",$AB$42,IF(Gear!$P4=0,$AB$42,IF(VLOOKUP(Gear!$C4,$AB$3:$AC$38,2,FALSE)=N$3,IF(Gear!$Q4&lt;$AG$6,Gear!$A4,$AB$42),$AB$42)))</f>
        <v>------------</v>
      </c>
      <c r="O7" s="254" t="str">
        <f>IF(Gear!$C4="",$AB$42,IF(Gear!$P4=0,$AB$42,IF(VLOOKUP(Gear!$C4,$AB$3:$AC$38,2,FALSE)=O$3,IF(Gear!$Q4&lt;$AG$6,Gear!$A4,$AB$42),$AB$42)))</f>
        <v>------------</v>
      </c>
      <c r="P7" s="261" t="str">
        <f>IF(Gear!$C4="",$AB$42,IF(Gear!$P4=0,$AB$42,IF(VLOOKUP(Gear!$C4,$AB$3:$AC$38,2,FALSE)=P$3,IF(Gear!$Q4&lt;$AG$6,Gear!$A4,$AB$42),$AB$42)))</f>
        <v>------------</v>
      </c>
      <c r="Q7" s="254" t="str">
        <f>IF(Gear!$C4="",$AB$42,IF(Gear!$P4=0,$AB$42,IF(VLOOKUP(Gear!$C4,$AB$3:$AC$38,2,FALSE)=Q$3,IF(Gear!$Q4&lt;$AG$6,Gear!$A4,$AB$42),$AB$42)))</f>
        <v>------------</v>
      </c>
      <c r="R7" s="261" t="str">
        <f>IF(Gear!$C4="",$AB$42,IF(Gear!$P4=0,$AB$42,IF(VLOOKUP(Gear!$C4,$AB$3:$AC$38,2,FALSE)=R$3,IF(Gear!$Q4&lt;$AG$6,Gear!$A4,$AB$42),$AB$42)))</f>
        <v>------------</v>
      </c>
      <c r="S7" s="254" t="str">
        <f>IF(Gear!$C4="",$AB$42,IF(Gear!$P4=0,$AB$42,IF(VLOOKUP(Gear!$C4,$AB$3:$AC$38,2,FALSE)=S$3,IF(Gear!$Q4&lt;$AG$6,Gear!$A4,$AB$42),$AB$42)))</f>
        <v>------------</v>
      </c>
      <c r="T7" s="261" t="str">
        <f>IF(Gear!$C4="",$AB$42,IF(Gear!$P4=0,$AB$42,IF(VLOOKUP(Gear!$C4,$AB$3:$AC$38,2,FALSE)=T$3,IF(Gear!$Q4&lt;$AG$6,Gear!$A4,$AB$42),$AB$42)))</f>
        <v>------------</v>
      </c>
      <c r="U7" s="254" t="str">
        <f>IF(Gear!$C4="",$AB$42,IF(Gear!$P4=0,$AB$42,IF(VLOOKUP(Gear!$C4,$AB$3:$AC$38,2,FALSE)=U$3,IF(Gear!$Q4&lt;$AG$6,Gear!$A4,$AB$42),$AB$42)))</f>
        <v>------------</v>
      </c>
      <c r="V7" s="261" t="str">
        <f>IF(Gear!$C4="",$AB$42,IF(Gear!$P4=0,$AB$42,IF(VLOOKUP(Gear!$C4,$AB$3:$AC$38,2,FALSE)=V$3,IF(Gear!$Q4&lt;$AG$6,Gear!$A4,$AB$42),$AB$42)))</f>
        <v>------------</v>
      </c>
      <c r="W7" s="254" t="str">
        <f>IF(Gear!$C4="",$AB$42,IF(Gear!$P4=0,$AB$42,IF(VLOOKUP(Gear!$C4,$AB$3:$AC$38,2,FALSE)=W$3,IF(Gear!$Q4&lt;$AG$6,Gear!$A4,$AB$42),$AB$42)))</f>
        <v>------------</v>
      </c>
      <c r="X7" s="261" t="str">
        <f>IF(Gear!$C4="",$AB$42,IF(Gear!$P4=0,$AB$42,IF(VLOOKUP(Gear!$C4,$AB$3:$AC$38,2,FALSE)=X$3,IF(Gear!$Q4&lt;$AG$6,Gear!$A4,$AB$42),$AB$42)))</f>
        <v>------------</v>
      </c>
      <c r="Y7" s="255" t="str">
        <f>IF(Gear!$C4="",$AB$42,IF(Gear!$P4=0,$AB$42,IF(VLOOKUP(Gear!$C4,$AB$3:$AC$38,2,FALSE)=Y$3,IF(Gear!$Q4&lt;$AG$6,Gear!$A4,$AB$42),$AB$42)))</f>
        <v>------------</v>
      </c>
      <c r="Z7" t="s">
        <v>158</v>
      </c>
      <c r="AB7" s="242" t="str">
        <f>'Short &amp; Simple'!H36</f>
        <v>Hunter - Beastmastery</v>
      </c>
      <c r="AC7" s="263" t="s">
        <v>134</v>
      </c>
      <c r="AF7" t="str">
        <f>S$3</f>
        <v>Drakodin</v>
      </c>
    </row>
    <row r="8" spans="2:33" ht="15">
      <c r="B8" t="s">
        <v>154</v>
      </c>
      <c r="C8" s="318" t="s">
        <v>159</v>
      </c>
      <c r="D8" s="320" t="s">
        <v>156</v>
      </c>
      <c r="E8" s="323" t="s">
        <v>159</v>
      </c>
      <c r="F8" s="320" t="s">
        <v>156</v>
      </c>
      <c r="G8" s="323" t="s">
        <v>159</v>
      </c>
      <c r="H8" s="320" t="s">
        <v>156</v>
      </c>
      <c r="I8" s="264" t="s">
        <v>159</v>
      </c>
      <c r="J8" t="s">
        <v>156</v>
      </c>
      <c r="K8" s="253" t="str">
        <f>IF(Gear!$C5="",$AB$42,IF(Gear!$P5=0,$AB$42,IF(VLOOKUP(Gear!$C5,$AB$3:$AC$38,2,FALSE)=K$3,IF(Gear!$Q5&lt;$AG$6,Gear!$A5,$AB$42),$AB$42)))</f>
        <v>------------</v>
      </c>
      <c r="L8" s="261" t="str">
        <f>IF(Gear!$C5="",$AB$42,IF(Gear!$P5=0,$AB$42,IF(VLOOKUP(Gear!$C5,$AB$3:$AC$38,2,FALSE)=L$3,IF(Gear!$Q5&lt;$AG$6,Gear!$A5,$AB$42),$AB$42)))</f>
        <v>------------</v>
      </c>
      <c r="M8" s="254" t="str">
        <f>IF(Gear!$C5="",$AB$42,IF(Gear!$P5=0,$AB$42,IF(VLOOKUP(Gear!$C5,$AB$3:$AC$38,2,FALSE)=M$3,IF(Gear!$Q5&lt;$AG$6,Gear!$A5,$AB$42),$AB$42)))</f>
        <v>------------</v>
      </c>
      <c r="N8" s="261" t="str">
        <f>IF(Gear!$C5="",$AB$42,IF(Gear!$P5=0,$AB$42,IF(VLOOKUP(Gear!$C5,$AB$3:$AC$38,2,FALSE)=N$3,IF(Gear!$Q5&lt;$AG$6,Gear!$A5,$AB$42),$AB$42)))</f>
        <v>------------</v>
      </c>
      <c r="O8" s="254" t="str">
        <f>IF(Gear!$C5="",$AB$42,IF(Gear!$P5=0,$AB$42,IF(VLOOKUP(Gear!$C5,$AB$3:$AC$38,2,FALSE)=O$3,IF(Gear!$Q5&lt;$AG$6,Gear!$A5,$AB$42),$AB$42)))</f>
        <v>------------</v>
      </c>
      <c r="P8" s="261" t="str">
        <f>IF(Gear!$C5="",$AB$42,IF(Gear!$P5=0,$AB$42,IF(VLOOKUP(Gear!$C5,$AB$3:$AC$38,2,FALSE)=P$3,IF(Gear!$Q5&lt;$AG$6,Gear!$A5,$AB$42),$AB$42)))</f>
        <v>------------</v>
      </c>
      <c r="Q8" s="254" t="str">
        <f>IF(Gear!$C5="",$AB$42,IF(Gear!$P5=0,$AB$42,IF(VLOOKUP(Gear!$C5,$AB$3:$AC$38,2,FALSE)=Q$3,IF(Gear!$Q5&lt;$AG$6,Gear!$A5,$AB$42),$AB$42)))</f>
        <v>------------</v>
      </c>
      <c r="R8" s="261" t="str">
        <f>IF(Gear!$C5="",$AB$42,IF(Gear!$P5=0,$AB$42,IF(VLOOKUP(Gear!$C5,$AB$3:$AC$38,2,FALSE)=R$3,IF(Gear!$Q5&lt;$AG$6,Gear!$A5,$AB$42),$AB$42)))</f>
        <v>------------</v>
      </c>
      <c r="S8" s="254" t="str">
        <f>IF(Gear!$C5="",$AB$42,IF(Gear!$P5=0,$AB$42,IF(VLOOKUP(Gear!$C5,$AB$3:$AC$38,2,FALSE)=S$3,IF(Gear!$Q5&lt;$AG$6,Gear!$A5,$AB$42),$AB$42)))</f>
        <v>------------</v>
      </c>
      <c r="T8" s="261" t="str">
        <f>IF(Gear!$C5="",$AB$42,IF(Gear!$P5=0,$AB$42,IF(VLOOKUP(Gear!$C5,$AB$3:$AC$38,2,FALSE)=T$3,IF(Gear!$Q5&lt;$AG$6,Gear!$A5,$AB$42),$AB$42)))</f>
        <v>------------</v>
      </c>
      <c r="U8" s="254" t="str">
        <f>IF(Gear!$C5="",$AB$42,IF(Gear!$P5=0,$AB$42,IF(VLOOKUP(Gear!$C5,$AB$3:$AC$38,2,FALSE)=U$3,IF(Gear!$Q5&lt;$AG$6,Gear!$A5,$AB$42),$AB$42)))</f>
        <v>------------</v>
      </c>
      <c r="V8" s="261" t="str">
        <f>IF(Gear!$C5="",$AB$42,IF(Gear!$P5=0,$AB$42,IF(VLOOKUP(Gear!$C5,$AB$3:$AC$38,2,FALSE)=V$3,IF(Gear!$Q5&lt;$AG$6,Gear!$A5,$AB$42),$AB$42)))</f>
        <v>------------</v>
      </c>
      <c r="W8" s="254" t="str">
        <f>IF(Gear!$C5="",$AB$42,IF(Gear!$P5=0,$AB$42,IF(VLOOKUP(Gear!$C5,$AB$3:$AC$38,2,FALSE)=W$3,IF(Gear!$Q5&lt;$AG$6,Gear!$A5,$AB$42),$AB$42)))</f>
        <v>------------</v>
      </c>
      <c r="X8" s="261" t="str">
        <f>IF(Gear!$C5="",$AB$42,IF(Gear!$P5=0,$AB$42,IF(VLOOKUP(Gear!$C5,$AB$3:$AC$38,2,FALSE)=X$3,IF(Gear!$Q5&lt;$AG$6,Gear!$A5,$AB$42),$AB$42)))</f>
        <v>------------</v>
      </c>
      <c r="Y8" s="255" t="str">
        <f>IF(Gear!$C5="",$AB$42,IF(Gear!$P5=0,$AB$42,IF(VLOOKUP(Gear!$C5,$AB$3:$AC$38,2,FALSE)=Y$3,IF(Gear!$Q5&lt;$AG$6,Gear!$A5,$AB$42),$AB$42)))</f>
        <v>------------</v>
      </c>
      <c r="Z8" t="s">
        <v>158</v>
      </c>
      <c r="AB8" s="242" t="str">
        <f>'Short &amp; Simple'!H37</f>
        <v>Hunter - Marksman</v>
      </c>
      <c r="AC8" s="263" t="s">
        <v>134</v>
      </c>
      <c r="AF8" t="str">
        <f>U$3</f>
        <v>------------</v>
      </c>
    </row>
    <row r="9" spans="2:33" ht="15">
      <c r="B9" t="s">
        <v>154</v>
      </c>
      <c r="C9" s="318" t="s">
        <v>159</v>
      </c>
      <c r="D9" s="320" t="s">
        <v>156</v>
      </c>
      <c r="E9" s="323" t="s">
        <v>159</v>
      </c>
      <c r="F9" s="320" t="s">
        <v>156</v>
      </c>
      <c r="G9" s="323" t="s">
        <v>159</v>
      </c>
      <c r="H9" s="320" t="s">
        <v>156</v>
      </c>
      <c r="I9" s="264" t="s">
        <v>159</v>
      </c>
      <c r="J9" t="s">
        <v>156</v>
      </c>
      <c r="K9" s="253" t="str">
        <f>IF(Gear!$C6="",$AB$42,IF(Gear!$P6=0,$AB$42,IF(VLOOKUP(Gear!$C6,$AB$3:$AC$38,2,FALSE)=K$3,IF(Gear!$Q6&lt;$AG$6,Gear!$A6,$AB$42),$AB$42)))</f>
        <v>------------</v>
      </c>
      <c r="L9" s="261" t="str">
        <f>IF(Gear!$C6="",$AB$42,IF(Gear!$P6=0,$AB$42,IF(VLOOKUP(Gear!$C6,$AB$3:$AC$38,2,FALSE)=L$3,IF(Gear!$Q6&lt;$AG$6,Gear!$A6,$AB$42),$AB$42)))</f>
        <v>------------</v>
      </c>
      <c r="M9" s="254" t="str">
        <f>IF(Gear!$C6="",$AB$42,IF(Gear!$P6=0,$AB$42,IF(VLOOKUP(Gear!$C6,$AB$3:$AC$38,2,FALSE)=M$3,IF(Gear!$Q6&lt;$AG$6,Gear!$A6,$AB$42),$AB$42)))</f>
        <v>Assap</v>
      </c>
      <c r="N9" s="261" t="str">
        <f>IF(Gear!$C6="",$AB$42,IF(Gear!$P6=0,$AB$42,IF(VLOOKUP(Gear!$C6,$AB$3:$AC$38,2,FALSE)=N$3,IF(Gear!$Q6&lt;$AG$6,Gear!$A6,$AB$42),$AB$42)))</f>
        <v>------------</v>
      </c>
      <c r="O9" s="254" t="str">
        <f>IF(Gear!$C6="",$AB$42,IF(Gear!$P6=0,$AB$42,IF(VLOOKUP(Gear!$C6,$AB$3:$AC$38,2,FALSE)=O$3,IF(Gear!$Q6&lt;$AG$6,Gear!$A6,$AB$42),$AB$42)))</f>
        <v>------------</v>
      </c>
      <c r="P9" s="261" t="str">
        <f>IF(Gear!$C6="",$AB$42,IF(Gear!$P6=0,$AB$42,IF(VLOOKUP(Gear!$C6,$AB$3:$AC$38,2,FALSE)=P$3,IF(Gear!$Q6&lt;$AG$6,Gear!$A6,$AB$42),$AB$42)))</f>
        <v>------------</v>
      </c>
      <c r="Q9" s="254" t="str">
        <f>IF(Gear!$C6="",$AB$42,IF(Gear!$P6=0,$AB$42,IF(VLOOKUP(Gear!$C6,$AB$3:$AC$38,2,FALSE)=Q$3,IF(Gear!$Q6&lt;$AG$6,Gear!$A6,$AB$42),$AB$42)))</f>
        <v>------------</v>
      </c>
      <c r="R9" s="261" t="str">
        <f>IF(Gear!$C6="",$AB$42,IF(Gear!$P6=0,$AB$42,IF(VLOOKUP(Gear!$C6,$AB$3:$AC$38,2,FALSE)=R$3,IF(Gear!$Q6&lt;$AG$6,Gear!$A6,$AB$42),$AB$42)))</f>
        <v>------------</v>
      </c>
      <c r="S9" s="254" t="str">
        <f>IF(Gear!$C6="",$AB$42,IF(Gear!$P6=0,$AB$42,IF(VLOOKUP(Gear!$C6,$AB$3:$AC$38,2,FALSE)=S$3,IF(Gear!$Q6&lt;$AG$6,Gear!$A6,$AB$42),$AB$42)))</f>
        <v>------------</v>
      </c>
      <c r="T9" s="261" t="str">
        <f>IF(Gear!$C6="",$AB$42,IF(Gear!$P6=0,$AB$42,IF(VLOOKUP(Gear!$C6,$AB$3:$AC$38,2,FALSE)=T$3,IF(Gear!$Q6&lt;$AG$6,Gear!$A6,$AB$42),$AB$42)))</f>
        <v>------------</v>
      </c>
      <c r="U9" s="254" t="str">
        <f>IF(Gear!$C6="",$AB$42,IF(Gear!$P6=0,$AB$42,IF(VLOOKUP(Gear!$C6,$AB$3:$AC$38,2,FALSE)=U$3,IF(Gear!$Q6&lt;$AG$6,Gear!$A6,$AB$42),$AB$42)))</f>
        <v>------------</v>
      </c>
      <c r="V9" s="261" t="str">
        <f>IF(Gear!$C6="",$AB$42,IF(Gear!$P6=0,$AB$42,IF(VLOOKUP(Gear!$C6,$AB$3:$AC$38,2,FALSE)=V$3,IF(Gear!$Q6&lt;$AG$6,Gear!$A6,$AB$42),$AB$42)))</f>
        <v>------------</v>
      </c>
      <c r="W9" s="254" t="str">
        <f>IF(Gear!$C6="",$AB$42,IF(Gear!$P6=0,$AB$42,IF(VLOOKUP(Gear!$C6,$AB$3:$AC$38,2,FALSE)=W$3,IF(Gear!$Q6&lt;$AG$6,Gear!$A6,$AB$42),$AB$42)))</f>
        <v>------------</v>
      </c>
      <c r="X9" s="261" t="str">
        <f>IF(Gear!$C6="",$AB$42,IF(Gear!$P6=0,$AB$42,IF(VLOOKUP(Gear!$C6,$AB$3:$AC$38,2,FALSE)=X$3,IF(Gear!$Q6&lt;$AG$6,Gear!$A6,$AB$42),$AB$42)))</f>
        <v>------------</v>
      </c>
      <c r="Y9" s="255" t="str">
        <f>IF(Gear!$C6="",$AB$42,IF(Gear!$P6=0,$AB$42,IF(VLOOKUP(Gear!$C6,$AB$3:$AC$38,2,FALSE)=Y$3,IF(Gear!$Q6&lt;$AG$6,Gear!$A6,$AB$42),$AB$42)))</f>
        <v>------------</v>
      </c>
      <c r="Z9" t="s">
        <v>158</v>
      </c>
      <c r="AB9" s="242" t="str">
        <f>'Short &amp; Simple'!H38</f>
        <v>Hunter - Survival</v>
      </c>
      <c r="AC9" s="263" t="s">
        <v>134</v>
      </c>
      <c r="AF9" t="str">
        <f>W$3</f>
        <v>------------</v>
      </c>
    </row>
    <row r="10" spans="2:33" ht="15">
      <c r="B10" t="s">
        <v>154</v>
      </c>
      <c r="C10" s="318" t="s">
        <v>159</v>
      </c>
      <c r="D10" s="320" t="s">
        <v>156</v>
      </c>
      <c r="E10" s="323" t="s">
        <v>159</v>
      </c>
      <c r="F10" s="320" t="s">
        <v>156</v>
      </c>
      <c r="G10" s="323" t="s">
        <v>159</v>
      </c>
      <c r="H10" s="320" t="s">
        <v>156</v>
      </c>
      <c r="I10" s="264" t="s">
        <v>159</v>
      </c>
      <c r="J10" t="s">
        <v>156</v>
      </c>
      <c r="K10" s="253" t="str">
        <f>IF(Gear!$C7="",$AB$42,IF(Gear!$P7=0,$AB$42,IF(VLOOKUP(Gear!$C7,$AB$3:$AC$38,2,FALSE)=K$3,IF(Gear!$Q7&lt;$AG$6,Gear!$A7,$AB$42),$AB$42)))</f>
        <v>------------</v>
      </c>
      <c r="L10" s="261" t="str">
        <f>IF(Gear!$C7="",$AB$42,IF(Gear!$P7=0,$AB$42,IF(VLOOKUP(Gear!$C7,$AB$3:$AC$38,2,FALSE)=L$3,IF(Gear!$Q7&lt;$AG$6,Gear!$A7,$AB$42),$AB$42)))</f>
        <v>------------</v>
      </c>
      <c r="M10" s="254" t="str">
        <f>IF(Gear!$C7="",$AB$42,IF(Gear!$P7=0,$AB$42,IF(VLOOKUP(Gear!$C7,$AB$3:$AC$38,2,FALSE)=M$3,IF(Gear!$Q7&lt;$AG$6,Gear!$A7,$AB$42),$AB$42)))</f>
        <v>------------</v>
      </c>
      <c r="N10" s="261" t="str">
        <f>IF(Gear!$C7="",$AB$42,IF(Gear!$P7=0,$AB$42,IF(VLOOKUP(Gear!$C7,$AB$3:$AC$38,2,FALSE)=N$3,IF(Gear!$Q7&lt;$AG$6,Gear!$A7,$AB$42),$AB$42)))</f>
        <v>------------</v>
      </c>
      <c r="O10" s="254" t="str">
        <f>IF(Gear!$C7="",$AB$42,IF(Gear!$P7=0,$AB$42,IF(VLOOKUP(Gear!$C7,$AB$3:$AC$38,2,FALSE)=O$3,IF(Gear!$Q7&lt;$AG$6,Gear!$A7,$AB$42),$AB$42)))</f>
        <v>------------</v>
      </c>
      <c r="P10" s="261" t="str">
        <f>IF(Gear!$C7="",$AB$42,IF(Gear!$P7=0,$AB$42,IF(VLOOKUP(Gear!$C7,$AB$3:$AC$38,2,FALSE)=P$3,IF(Gear!$Q7&lt;$AG$6,Gear!$A7,$AB$42),$AB$42)))</f>
        <v>------------</v>
      </c>
      <c r="Q10" s="254" t="str">
        <f>IF(Gear!$C7="",$AB$42,IF(Gear!$P7=0,$AB$42,IF(VLOOKUP(Gear!$C7,$AB$3:$AC$38,2,FALSE)=Q$3,IF(Gear!$Q7&lt;$AG$6,Gear!$A7,$AB$42),$AB$42)))</f>
        <v>------------</v>
      </c>
      <c r="R10" s="261" t="str">
        <f>IF(Gear!$C7="",$AB$42,IF(Gear!$P7=0,$AB$42,IF(VLOOKUP(Gear!$C7,$AB$3:$AC$38,2,FALSE)=R$3,IF(Gear!$Q7&lt;$AG$6,Gear!$A7,$AB$42),$AB$42)))</f>
        <v>------------</v>
      </c>
      <c r="S10" s="254" t="str">
        <f>IF(Gear!$C7="",$AB$42,IF(Gear!$P7=0,$AB$42,IF(VLOOKUP(Gear!$C7,$AB$3:$AC$38,2,FALSE)=S$3,IF(Gear!$Q7&lt;$AG$6,Gear!$A7,$AB$42),$AB$42)))</f>
        <v>------------</v>
      </c>
      <c r="T10" s="261" t="str">
        <f>IF(Gear!$C7="",$AB$42,IF(Gear!$P7=0,$AB$42,IF(VLOOKUP(Gear!$C7,$AB$3:$AC$38,2,FALSE)=T$3,IF(Gear!$Q7&lt;$AG$6,Gear!$A7,$AB$42),$AB$42)))</f>
        <v>------------</v>
      </c>
      <c r="U10" s="254" t="str">
        <f>IF(Gear!$C7="",$AB$42,IF(Gear!$P7=0,$AB$42,IF(VLOOKUP(Gear!$C7,$AB$3:$AC$38,2,FALSE)=U$3,IF(Gear!$Q7&lt;$AG$6,Gear!$A7,$AB$42),$AB$42)))</f>
        <v>------------</v>
      </c>
      <c r="V10" s="261" t="str">
        <f>IF(Gear!$C7="",$AB$42,IF(Gear!$P7=0,$AB$42,IF(VLOOKUP(Gear!$C7,$AB$3:$AC$38,2,FALSE)=V$3,IF(Gear!$Q7&lt;$AG$6,Gear!$A7,$AB$42),$AB$42)))</f>
        <v>------------</v>
      </c>
      <c r="W10" s="254" t="str">
        <f>IF(Gear!$C7="",$AB$42,IF(Gear!$P7=0,$AB$42,IF(VLOOKUP(Gear!$C7,$AB$3:$AC$38,2,FALSE)=W$3,IF(Gear!$Q7&lt;$AG$6,Gear!$A7,$AB$42),$AB$42)))</f>
        <v>------------</v>
      </c>
      <c r="X10" s="261" t="str">
        <f>IF(Gear!$C7="",$AB$42,IF(Gear!$P7=0,$AB$42,IF(VLOOKUP(Gear!$C7,$AB$3:$AC$38,2,FALSE)=X$3,IF(Gear!$Q7&lt;$AG$6,Gear!$A7,$AB$42),$AB$42)))</f>
        <v>------------</v>
      </c>
      <c r="Y10" s="255" t="str">
        <f>IF(Gear!$C7="",$AB$42,IF(Gear!$P7=0,$AB$42,IF(VLOOKUP(Gear!$C7,$AB$3:$AC$38,2,FALSE)=Y$3,IF(Gear!$Q7&lt;$AG$6,Gear!$A7,$AB$42),$AB$42)))</f>
        <v>------------</v>
      </c>
      <c r="Z10" t="s">
        <v>158</v>
      </c>
      <c r="AB10" s="242" t="str">
        <f>'Short &amp; Simple'!H39</f>
        <v>Mage - Arcane</v>
      </c>
      <c r="AC10" s="263" t="s">
        <v>134</v>
      </c>
      <c r="AF10" t="str">
        <f>Y$3</f>
        <v>------------</v>
      </c>
    </row>
    <row r="11" spans="2:33" ht="15">
      <c r="B11" t="s">
        <v>154</v>
      </c>
      <c r="C11" s="318" t="s">
        <v>161</v>
      </c>
      <c r="D11" s="320" t="s">
        <v>156</v>
      </c>
      <c r="E11" s="323" t="s">
        <v>159</v>
      </c>
      <c r="F11" s="320" t="s">
        <v>156</v>
      </c>
      <c r="G11" s="323" t="s">
        <v>159</v>
      </c>
      <c r="H11" s="320" t="s">
        <v>156</v>
      </c>
      <c r="I11" s="264" t="s">
        <v>159</v>
      </c>
      <c r="J11" t="s">
        <v>156</v>
      </c>
      <c r="K11" s="253" t="str">
        <f>IF(Gear!$C8="",$AB$42,IF(Gear!$P8=0,$AB$42,IF(VLOOKUP(Gear!$C8,$AB$3:$AC$38,2,FALSE)=K$3,IF(Gear!$Q8&lt;$AG$6,Gear!$A8,$AB$42),$AB$42)))</f>
        <v>------------</v>
      </c>
      <c r="L11" s="261" t="str">
        <f>IF(Gear!$C8="",$AB$42,IF(Gear!$P8=0,$AB$42,IF(VLOOKUP(Gear!$C8,$AB$3:$AC$38,2,FALSE)=L$3,IF(Gear!$Q8&lt;$AG$6,Gear!$A8,$AB$42),$AB$42)))</f>
        <v>------------</v>
      </c>
      <c r="M11" s="254" t="str">
        <f>IF(Gear!$C8="",$AB$42,IF(Gear!$P8=0,$AB$42,IF(VLOOKUP(Gear!$C8,$AB$3:$AC$38,2,FALSE)=M$3,IF(Gear!$Q8&lt;$AG$6,Gear!$A8,$AB$42),$AB$42)))</f>
        <v>Brákspak</v>
      </c>
      <c r="N11" s="261" t="str">
        <f>IF(Gear!$C8="",$AB$42,IF(Gear!$P8=0,$AB$42,IF(VLOOKUP(Gear!$C8,$AB$3:$AC$38,2,FALSE)=N$3,IF(Gear!$Q8&lt;$AG$6,Gear!$A8,$AB$42),$AB$42)))</f>
        <v>------------</v>
      </c>
      <c r="O11" s="254" t="str">
        <f>IF(Gear!$C8="",$AB$42,IF(Gear!$P8=0,$AB$42,IF(VLOOKUP(Gear!$C8,$AB$3:$AC$38,2,FALSE)=O$3,IF(Gear!$Q8&lt;$AG$6,Gear!$A8,$AB$42),$AB$42)))</f>
        <v>------------</v>
      </c>
      <c r="P11" s="261" t="str">
        <f>IF(Gear!$C8="",$AB$42,IF(Gear!$P8=0,$AB$42,IF(VLOOKUP(Gear!$C8,$AB$3:$AC$38,2,FALSE)=P$3,IF(Gear!$Q8&lt;$AG$6,Gear!$A8,$AB$42),$AB$42)))</f>
        <v>------------</v>
      </c>
      <c r="Q11" s="254" t="str">
        <f>IF(Gear!$C8="",$AB$42,IF(Gear!$P8=0,$AB$42,IF(VLOOKUP(Gear!$C8,$AB$3:$AC$38,2,FALSE)=Q$3,IF(Gear!$Q8&lt;$AG$6,Gear!$A8,$AB$42),$AB$42)))</f>
        <v>------------</v>
      </c>
      <c r="R11" s="261" t="str">
        <f>IF(Gear!$C8="",$AB$42,IF(Gear!$P8=0,$AB$42,IF(VLOOKUP(Gear!$C8,$AB$3:$AC$38,2,FALSE)=R$3,IF(Gear!$Q8&lt;$AG$6,Gear!$A8,$AB$42),$AB$42)))</f>
        <v>------------</v>
      </c>
      <c r="S11" s="254" t="str">
        <f>IF(Gear!$C8="",$AB$42,IF(Gear!$P8=0,$AB$42,IF(VLOOKUP(Gear!$C8,$AB$3:$AC$38,2,FALSE)=S$3,IF(Gear!$Q8&lt;$AG$6,Gear!$A8,$AB$42),$AB$42)))</f>
        <v>------------</v>
      </c>
      <c r="T11" s="261" t="str">
        <f>IF(Gear!$C8="",$AB$42,IF(Gear!$P8=0,$AB$42,IF(VLOOKUP(Gear!$C8,$AB$3:$AC$38,2,FALSE)=T$3,IF(Gear!$Q8&lt;$AG$6,Gear!$A8,$AB$42),$AB$42)))</f>
        <v>------------</v>
      </c>
      <c r="U11" s="254" t="str">
        <f>IF(Gear!$C8="",$AB$42,IF(Gear!$P8=0,$AB$42,IF(VLOOKUP(Gear!$C8,$AB$3:$AC$38,2,FALSE)=U$3,IF(Gear!$Q8&lt;$AG$6,Gear!$A8,$AB$42),$AB$42)))</f>
        <v>------------</v>
      </c>
      <c r="V11" s="261" t="str">
        <f>IF(Gear!$C8="",$AB$42,IF(Gear!$P8=0,$AB$42,IF(VLOOKUP(Gear!$C8,$AB$3:$AC$38,2,FALSE)=V$3,IF(Gear!$Q8&lt;$AG$6,Gear!$A8,$AB$42),$AB$42)))</f>
        <v>------------</v>
      </c>
      <c r="W11" s="254" t="str">
        <f>IF(Gear!$C8="",$AB$42,IF(Gear!$P8=0,$AB$42,IF(VLOOKUP(Gear!$C8,$AB$3:$AC$38,2,FALSE)=W$3,IF(Gear!$Q8&lt;$AG$6,Gear!$A8,$AB$42),$AB$42)))</f>
        <v>------------</v>
      </c>
      <c r="X11" s="261" t="str">
        <f>IF(Gear!$C8="",$AB$42,IF(Gear!$P8=0,$AB$42,IF(VLOOKUP(Gear!$C8,$AB$3:$AC$38,2,FALSE)=X$3,IF(Gear!$Q8&lt;$AG$6,Gear!$A8,$AB$42),$AB$42)))</f>
        <v>------------</v>
      </c>
      <c r="Y11" s="255" t="str">
        <f>IF(Gear!$C8="",$AB$42,IF(Gear!$P8=0,$AB$42,IF(VLOOKUP(Gear!$C8,$AB$3:$AC$38,2,FALSE)=Y$3,IF(Gear!$Q8&lt;$AG$6,Gear!$A8,$AB$42),$AB$42)))</f>
        <v>------------</v>
      </c>
      <c r="Z11" t="s">
        <v>158</v>
      </c>
      <c r="AB11" s="242" t="str">
        <f>'Short &amp; Simple'!H40</f>
        <v>Mage - Fire</v>
      </c>
      <c r="AC11" s="263" t="s">
        <v>134</v>
      </c>
    </row>
    <row r="12" spans="2:33" ht="15">
      <c r="B12" t="s">
        <v>154</v>
      </c>
      <c r="C12" s="318" t="s">
        <v>159</v>
      </c>
      <c r="D12" s="320" t="s">
        <v>156</v>
      </c>
      <c r="E12" s="323" t="s">
        <v>159</v>
      </c>
      <c r="F12" s="320" t="s">
        <v>156</v>
      </c>
      <c r="G12" s="323" t="s">
        <v>159</v>
      </c>
      <c r="H12" s="320" t="s">
        <v>156</v>
      </c>
      <c r="I12" s="264" t="s">
        <v>159</v>
      </c>
      <c r="J12" t="s">
        <v>156</v>
      </c>
      <c r="K12" s="253" t="str">
        <f>IF(Gear!$C9="",$AB$42,IF(Gear!$P9=0,$AB$42,IF(VLOOKUP(Gear!$C9,$AB$3:$AC$38,2,FALSE)=K$3,IF(Gear!$Q9&lt;$AG$6,Gear!$A9,$AB$42),$AB$42)))</f>
        <v>------------</v>
      </c>
      <c r="L12" s="261" t="str">
        <f>IF(Gear!$C9="",$AB$42,IF(Gear!$P9=0,$AB$42,IF(VLOOKUP(Gear!$C9,$AB$3:$AC$38,2,FALSE)=L$3,IF(Gear!$Q9&lt;$AG$6,Gear!$A9,$AB$42),$AB$42)))</f>
        <v>------------</v>
      </c>
      <c r="M12" s="254" t="str">
        <f>IF(Gear!$C9="",$AB$42,IF(Gear!$P9=0,$AB$42,IF(VLOOKUP(Gear!$C9,$AB$3:$AC$38,2,FALSE)=M$3,IF(Gear!$Q9&lt;$AG$6,Gear!$A9,$AB$42),$AB$42)))</f>
        <v>------------</v>
      </c>
      <c r="N12" s="261" t="str">
        <f>IF(Gear!$C9="",$AB$42,IF(Gear!$P9=0,$AB$42,IF(VLOOKUP(Gear!$C9,$AB$3:$AC$38,2,FALSE)=N$3,IF(Gear!$Q9&lt;$AG$6,Gear!$A9,$AB$42),$AB$42)))</f>
        <v>------------</v>
      </c>
      <c r="O12" s="254" t="str">
        <f>IF(Gear!$C9="",$AB$42,IF(Gear!$P9=0,$AB$42,IF(VLOOKUP(Gear!$C9,$AB$3:$AC$38,2,FALSE)=O$3,IF(Gear!$Q9&lt;$AG$6,Gear!$A9,$AB$42),$AB$42)))</f>
        <v>------------</v>
      </c>
      <c r="P12" s="261" t="str">
        <f>IF(Gear!$C9="",$AB$42,IF(Gear!$P9=0,$AB$42,IF(VLOOKUP(Gear!$C9,$AB$3:$AC$38,2,FALSE)=P$3,IF(Gear!$Q9&lt;$AG$6,Gear!$A9,$AB$42),$AB$42)))</f>
        <v>------------</v>
      </c>
      <c r="Q12" s="254" t="str">
        <f>IF(Gear!$C9="",$AB$42,IF(Gear!$P9=0,$AB$42,IF(VLOOKUP(Gear!$C9,$AB$3:$AC$38,2,FALSE)=Q$3,IF(Gear!$Q9&lt;$AG$6,Gear!$A9,$AB$42),$AB$42)))</f>
        <v>------------</v>
      </c>
      <c r="R12" s="261" t="str">
        <f>IF(Gear!$C9="",$AB$42,IF(Gear!$P9=0,$AB$42,IF(VLOOKUP(Gear!$C9,$AB$3:$AC$38,2,FALSE)=R$3,IF(Gear!$Q9&lt;$AG$6,Gear!$A9,$AB$42),$AB$42)))</f>
        <v>------------</v>
      </c>
      <c r="S12" s="254" t="str">
        <f>IF(Gear!$C9="",$AB$42,IF(Gear!$P9=0,$AB$42,IF(VLOOKUP(Gear!$C9,$AB$3:$AC$38,2,FALSE)=S$3,IF(Gear!$Q9&lt;$AG$6,Gear!$A9,$AB$42),$AB$42)))</f>
        <v>------------</v>
      </c>
      <c r="T12" s="261" t="str">
        <f>IF(Gear!$C9="",$AB$42,IF(Gear!$P9=0,$AB$42,IF(VLOOKUP(Gear!$C9,$AB$3:$AC$38,2,FALSE)=T$3,IF(Gear!$Q9&lt;$AG$6,Gear!$A9,$AB$42),$AB$42)))</f>
        <v>------------</v>
      </c>
      <c r="U12" s="254" t="str">
        <f>IF(Gear!$C9="",$AB$42,IF(Gear!$P9=0,$AB$42,IF(VLOOKUP(Gear!$C9,$AB$3:$AC$38,2,FALSE)=U$3,IF(Gear!$Q9&lt;$AG$6,Gear!$A9,$AB$42),$AB$42)))</f>
        <v>------------</v>
      </c>
      <c r="V12" s="261" t="str">
        <f>IF(Gear!$C9="",$AB$42,IF(Gear!$P9=0,$AB$42,IF(VLOOKUP(Gear!$C9,$AB$3:$AC$38,2,FALSE)=V$3,IF(Gear!$Q9&lt;$AG$6,Gear!$A9,$AB$42),$AB$42)))</f>
        <v>------------</v>
      </c>
      <c r="W12" s="254" t="str">
        <f>IF(Gear!$C9="",$AB$42,IF(Gear!$P9=0,$AB$42,IF(VLOOKUP(Gear!$C9,$AB$3:$AC$38,2,FALSE)=W$3,IF(Gear!$Q9&lt;$AG$6,Gear!$A9,$AB$42),$AB$42)))</f>
        <v>------------</v>
      </c>
      <c r="X12" s="261" t="str">
        <f>IF(Gear!$C9="",$AB$42,IF(Gear!$P9=0,$AB$42,IF(VLOOKUP(Gear!$C9,$AB$3:$AC$38,2,FALSE)=X$3,IF(Gear!$Q9&lt;$AG$6,Gear!$A9,$AB$42),$AB$42)))</f>
        <v>------------</v>
      </c>
      <c r="Y12" s="255" t="str">
        <f>IF(Gear!$C9="",$AB$42,IF(Gear!$P9=0,$AB$42,IF(VLOOKUP(Gear!$C9,$AB$3:$AC$38,2,FALSE)=Y$3,IF(Gear!$Q9&lt;$AG$6,Gear!$A9,$AB$42),$AB$42)))</f>
        <v>------------</v>
      </c>
      <c r="Z12" t="s">
        <v>158</v>
      </c>
      <c r="AB12" s="242" t="str">
        <f>'Short &amp; Simple'!H41</f>
        <v>Mage - Frost</v>
      </c>
      <c r="AC12" s="263" t="s">
        <v>134</v>
      </c>
    </row>
    <row r="13" spans="2:33" ht="15">
      <c r="B13" t="s">
        <v>154</v>
      </c>
      <c r="C13" s="318" t="s">
        <v>159</v>
      </c>
      <c r="D13" s="320" t="s">
        <v>156</v>
      </c>
      <c r="E13" s="323" t="s">
        <v>159</v>
      </c>
      <c r="F13" s="320" t="s">
        <v>156</v>
      </c>
      <c r="G13" s="323" t="s">
        <v>159</v>
      </c>
      <c r="H13" s="320" t="s">
        <v>156</v>
      </c>
      <c r="I13" s="264" t="s">
        <v>159</v>
      </c>
      <c r="J13" t="s">
        <v>156</v>
      </c>
      <c r="K13" s="253" t="str">
        <f>IF(Gear!$C10="",$AB$42,IF(Gear!$P10=0,$AB$42,IF(VLOOKUP(Gear!$C10,$AB$3:$AC$38,2,FALSE)=K$3,IF(Gear!$Q10&lt;$AG$6,Gear!$A10,$AB$42),$AB$42)))</f>
        <v>------------</v>
      </c>
      <c r="L13" s="261" t="str">
        <f>IF(Gear!$C10="",$AB$42,IF(Gear!$P10=0,$AB$42,IF(VLOOKUP(Gear!$C10,$AB$3:$AC$38,2,FALSE)=L$3,IF(Gear!$Q10&lt;$AG$6,Gear!$A10,$AB$42),$AB$42)))</f>
        <v>------------</v>
      </c>
      <c r="M13" s="254" t="str">
        <f>IF(Gear!$C10="",$AB$42,IF(Gear!$P10=0,$AB$42,IF(VLOOKUP(Gear!$C10,$AB$3:$AC$38,2,FALSE)=M$3,IF(Gear!$Q10&lt;$AG$6,Gear!$A10,$AB$42),$AB$42)))</f>
        <v>------------</v>
      </c>
      <c r="N13" s="261" t="str">
        <f>IF(Gear!$C10="",$AB$42,IF(Gear!$P10=0,$AB$42,IF(VLOOKUP(Gear!$C10,$AB$3:$AC$38,2,FALSE)=N$3,IF(Gear!$Q10&lt;$AG$6,Gear!$A10,$AB$42),$AB$42)))</f>
        <v>------------</v>
      </c>
      <c r="O13" s="254" t="str">
        <f>IF(Gear!$C10="",$AB$42,IF(Gear!$P10=0,$AB$42,IF(VLOOKUP(Gear!$C10,$AB$3:$AC$38,2,FALSE)=O$3,IF(Gear!$Q10&lt;$AG$6,Gear!$A10,$AB$42),$AB$42)))</f>
        <v>------------</v>
      </c>
      <c r="P13" s="261" t="str">
        <f>IF(Gear!$C10="",$AB$42,IF(Gear!$P10=0,$AB$42,IF(VLOOKUP(Gear!$C10,$AB$3:$AC$38,2,FALSE)=P$3,IF(Gear!$Q10&lt;$AG$6,Gear!$A10,$AB$42),$AB$42)))</f>
        <v>------------</v>
      </c>
      <c r="Q13" s="254" t="str">
        <f>IF(Gear!$C10="",$AB$42,IF(Gear!$P10=0,$AB$42,IF(VLOOKUP(Gear!$C10,$AB$3:$AC$38,2,FALSE)=Q$3,IF(Gear!$Q10&lt;$AG$6,Gear!$A10,$AB$42),$AB$42)))</f>
        <v>------------</v>
      </c>
      <c r="R13" s="261" t="str">
        <f>IF(Gear!$C10="",$AB$42,IF(Gear!$P10=0,$AB$42,IF(VLOOKUP(Gear!$C10,$AB$3:$AC$38,2,FALSE)=R$3,IF(Gear!$Q10&lt;$AG$6,Gear!$A10,$AB$42),$AB$42)))</f>
        <v>------------</v>
      </c>
      <c r="S13" s="254" t="str">
        <f>IF(Gear!$C10="",$AB$42,IF(Gear!$P10=0,$AB$42,IF(VLOOKUP(Gear!$C10,$AB$3:$AC$38,2,FALSE)=S$3,IF(Gear!$Q10&lt;$AG$6,Gear!$A10,$AB$42),$AB$42)))</f>
        <v>------------</v>
      </c>
      <c r="T13" s="261" t="str">
        <f>IF(Gear!$C10="",$AB$42,IF(Gear!$P10=0,$AB$42,IF(VLOOKUP(Gear!$C10,$AB$3:$AC$38,2,FALSE)=T$3,IF(Gear!$Q10&lt;$AG$6,Gear!$A10,$AB$42),$AB$42)))</f>
        <v>------------</v>
      </c>
      <c r="U13" s="254" t="str">
        <f>IF(Gear!$C10="",$AB$42,IF(Gear!$P10=0,$AB$42,IF(VLOOKUP(Gear!$C10,$AB$3:$AC$38,2,FALSE)=U$3,IF(Gear!$Q10&lt;$AG$6,Gear!$A10,$AB$42),$AB$42)))</f>
        <v>------------</v>
      </c>
      <c r="V13" s="261" t="str">
        <f>IF(Gear!$C10="",$AB$42,IF(Gear!$P10=0,$AB$42,IF(VLOOKUP(Gear!$C10,$AB$3:$AC$38,2,FALSE)=V$3,IF(Gear!$Q10&lt;$AG$6,Gear!$A10,$AB$42),$AB$42)))</f>
        <v>------------</v>
      </c>
      <c r="W13" s="254" t="str">
        <f>IF(Gear!$C10="",$AB$42,IF(Gear!$P10=0,$AB$42,IF(VLOOKUP(Gear!$C10,$AB$3:$AC$38,2,FALSE)=W$3,IF(Gear!$Q10&lt;$AG$6,Gear!$A10,$AB$42),$AB$42)))</f>
        <v>------------</v>
      </c>
      <c r="X13" s="261" t="str">
        <f>IF(Gear!$C10="",$AB$42,IF(Gear!$P10=0,$AB$42,IF(VLOOKUP(Gear!$C10,$AB$3:$AC$38,2,FALSE)=X$3,IF(Gear!$Q10&lt;$AG$6,Gear!$A10,$AB$42),$AB$42)))</f>
        <v>------------</v>
      </c>
      <c r="Y13" s="255" t="str">
        <f>IF(Gear!$C10="",$AB$42,IF(Gear!$P10=0,$AB$42,IF(VLOOKUP(Gear!$C10,$AB$3:$AC$38,2,FALSE)=Y$3,IF(Gear!$Q10&lt;$AG$6,Gear!$A10,$AB$42),$AB$42)))</f>
        <v>------------</v>
      </c>
      <c r="Z13" t="s">
        <v>158</v>
      </c>
      <c r="AB13" s="242" t="str">
        <f>'Short &amp; Simple'!H42</f>
        <v>Monk - Windwalker</v>
      </c>
      <c r="AC13" s="263" t="s">
        <v>134</v>
      </c>
    </row>
    <row r="14" spans="2:33" ht="15">
      <c r="B14" t="s">
        <v>154</v>
      </c>
      <c r="C14" s="318" t="s">
        <v>159</v>
      </c>
      <c r="D14" s="320" t="s">
        <v>156</v>
      </c>
      <c r="E14" s="323" t="s">
        <v>159</v>
      </c>
      <c r="F14" s="320" t="s">
        <v>156</v>
      </c>
      <c r="G14" s="323" t="s">
        <v>159</v>
      </c>
      <c r="H14" s="320" t="s">
        <v>156</v>
      </c>
      <c r="I14" s="264" t="s">
        <v>159</v>
      </c>
      <c r="J14" t="s">
        <v>156</v>
      </c>
      <c r="K14" s="254" t="str">
        <f>IF(Gear!$C11="",$AB$42,IF(Gear!$P11=0,$AB$42,IF(VLOOKUP(Gear!$C11,$AB$3:$AC$38,2,FALSE)=K$3,IF(Gear!$Q11&lt;$AG$6,Gear!$A11,$AB$42),$AB$42)))</f>
        <v>------------</v>
      </c>
      <c r="L14" s="261" t="str">
        <f>IF(Gear!$C11="",$AB$42,IF(Gear!$P11=0,$AB$42,IF(VLOOKUP(Gear!$C11,$AB$3:$AC$38,2,FALSE)=L$3,IF(Gear!$Q11&lt;$AG$6,Gear!$A11,$AB$42),$AB$42)))</f>
        <v>------------</v>
      </c>
      <c r="M14" s="254" t="str">
        <f>IF(Gear!$C11="",$AB$42,IF(Gear!$P11=0,$AB$42,IF(VLOOKUP(Gear!$C11,$AB$3:$AC$38,2,FALSE)=M$3,IF(Gear!$Q11&lt;$AG$6,Gear!$A11,$AB$42),$AB$42)))</f>
        <v>------------</v>
      </c>
      <c r="N14" s="261" t="str">
        <f>IF(Gear!$C11="",$AB$42,IF(Gear!$P11=0,$AB$42,IF(VLOOKUP(Gear!$C11,$AB$3:$AC$38,2,FALSE)=N$3,IF(Gear!$Q11&lt;$AG$6,Gear!$A11,$AB$42),$AB$42)))</f>
        <v>------------</v>
      </c>
      <c r="O14" s="254" t="str">
        <f>IF(Gear!$C11="",$AB$42,IF(Gear!$P11=0,$AB$42,IF(VLOOKUP(Gear!$C11,$AB$3:$AC$38,2,FALSE)=O$3,IF(Gear!$Q11&lt;$AG$6,Gear!$A11,$AB$42),$AB$42)))</f>
        <v>------------</v>
      </c>
      <c r="P14" s="261" t="str">
        <f>IF(Gear!$C11="",$AB$42,IF(Gear!$P11=0,$AB$42,IF(VLOOKUP(Gear!$C11,$AB$3:$AC$38,2,FALSE)=P$3,IF(Gear!$Q11&lt;$AG$6,Gear!$A11,$AB$42),$AB$42)))</f>
        <v>------------</v>
      </c>
      <c r="Q14" s="254" t="str">
        <f>IF(Gear!$C11="",$AB$42,IF(Gear!$P11=0,$AB$42,IF(VLOOKUP(Gear!$C11,$AB$3:$AC$38,2,FALSE)=Q$3,IF(Gear!$Q11&lt;$AG$6,Gear!$A11,$AB$42),$AB$42)))</f>
        <v>------------</v>
      </c>
      <c r="R14" s="261" t="str">
        <f>IF(Gear!$C11="",$AB$42,IF(Gear!$P11=0,$AB$42,IF(VLOOKUP(Gear!$C11,$AB$3:$AC$38,2,FALSE)=R$3,IF(Gear!$Q11&lt;$AG$6,Gear!$A11,$AB$42),$AB$42)))</f>
        <v>------------</v>
      </c>
      <c r="S14" s="254" t="str">
        <f>IF(Gear!$C11="",$AB$42,IF(Gear!$P11=0,$AB$42,IF(VLOOKUP(Gear!$C11,$AB$3:$AC$38,2,FALSE)=S$3,IF(Gear!$Q11&lt;$AG$6,Gear!$A11,$AB$42),$AB$42)))</f>
        <v>------------</v>
      </c>
      <c r="T14" s="261" t="str">
        <f>IF(Gear!$C11="",$AB$42,IF(Gear!$P11=0,$AB$42,IF(VLOOKUP(Gear!$C11,$AB$3:$AC$38,2,FALSE)=T$3,IF(Gear!$Q11&lt;$AG$6,Gear!$A11,$AB$42),$AB$42)))</f>
        <v>------------</v>
      </c>
      <c r="U14" s="254" t="str">
        <f>IF(Gear!$C11="",$AB$42,IF(Gear!$P11=0,$AB$42,IF(VLOOKUP(Gear!$C11,$AB$3:$AC$38,2,FALSE)=U$3,IF(Gear!$Q11&lt;$AG$6,Gear!$A11,$AB$42),$AB$42)))</f>
        <v>------------</v>
      </c>
      <c r="V14" s="261" t="str">
        <f>IF(Gear!$C11="",$AB$42,IF(Gear!$P11=0,$AB$42,IF(VLOOKUP(Gear!$C11,$AB$3:$AC$38,2,FALSE)=V$3,IF(Gear!$Q11&lt;$AG$6,Gear!$A11,$AB$42),$AB$42)))</f>
        <v>------------</v>
      </c>
      <c r="W14" s="254" t="str">
        <f>IF(Gear!$C11="",$AB$42,IF(Gear!$P11=0,$AB$42,IF(VLOOKUP(Gear!$C11,$AB$3:$AC$38,2,FALSE)=W$3,IF(Gear!$Q11&lt;$AG$6,Gear!$A11,$AB$42),$AB$42)))</f>
        <v>------------</v>
      </c>
      <c r="X14" s="261" t="str">
        <f>IF(Gear!$C11="",$AB$42,IF(Gear!$P11=0,$AB$42,IF(VLOOKUP(Gear!$C11,$AB$3:$AC$38,2,FALSE)=X$3,IF(Gear!$Q11&lt;$AG$6,Gear!$A11,$AB$42),$AB$42)))</f>
        <v>------------</v>
      </c>
      <c r="Y14" s="255" t="str">
        <f>IF(Gear!$C11="",$AB$42,IF(Gear!$P11=0,$AB$42,IF(VLOOKUP(Gear!$C11,$AB$3:$AC$38,2,FALSE)=Y$3,IF(Gear!$Q11&lt;$AG$6,Gear!$A11,$AB$42),$AB$42)))</f>
        <v>------------</v>
      </c>
      <c r="Z14" t="s">
        <v>158</v>
      </c>
      <c r="AB14" s="242" t="str">
        <f>'Short &amp; Simple'!H43</f>
        <v>Paladin - Retribution</v>
      </c>
      <c r="AC14" s="263" t="s">
        <v>134</v>
      </c>
    </row>
    <row r="15" spans="2:33" ht="15">
      <c r="B15" t="s">
        <v>154</v>
      </c>
      <c r="C15" s="318" t="s">
        <v>159</v>
      </c>
      <c r="D15" s="320" t="s">
        <v>156</v>
      </c>
      <c r="E15" s="323" t="s">
        <v>159</v>
      </c>
      <c r="F15" s="320" t="s">
        <v>156</v>
      </c>
      <c r="G15" s="323" t="s">
        <v>159</v>
      </c>
      <c r="H15" s="320" t="s">
        <v>156</v>
      </c>
      <c r="I15" s="264" t="s">
        <v>159</v>
      </c>
      <c r="J15" t="s">
        <v>156</v>
      </c>
      <c r="K15" s="254" t="str">
        <f>IF(Gear!$C12="",$AB$42,IF(Gear!$P12=0,$AB$42,IF(VLOOKUP(Gear!$C12,$AB$3:$AC$38,2,FALSE)=K$3,IF(Gear!$Q12&lt;$AG$6,Gear!$A12,$AB$42),$AB$42)))</f>
        <v>------------</v>
      </c>
      <c r="L15" s="261" t="str">
        <f>IF(Gear!$C12="",$AB$42,IF(Gear!$P12=0,$AB$42,IF(VLOOKUP(Gear!$C12,$AB$3:$AC$38,2,FALSE)=L$3,IF(Gear!$Q12&lt;$AG$6,Gear!$A12,$AB$42),$AB$42)))</f>
        <v>------------</v>
      </c>
      <c r="M15" s="254" t="str">
        <f>IF(Gear!$C12="",$AB$42,IF(Gear!$P12=0,$AB$42,IF(VLOOKUP(Gear!$C12,$AB$3:$AC$38,2,FALSE)=M$3,IF(Gear!$Q12&lt;$AG$6,Gear!$A12,$AB$42),$AB$42)))</f>
        <v>------------</v>
      </c>
      <c r="N15" s="261" t="str">
        <f>IF(Gear!$C12="",$AB$42,IF(Gear!$P12=0,$AB$42,IF(VLOOKUP(Gear!$C12,$AB$3:$AC$38,2,FALSE)=N$3,IF(Gear!$Q12&lt;$AG$6,Gear!$A12,$AB$42),$AB$42)))</f>
        <v>------------</v>
      </c>
      <c r="O15" s="254" t="str">
        <f>IF(Gear!$C12="",$AB$42,IF(Gear!$P12=0,$AB$42,IF(VLOOKUP(Gear!$C12,$AB$3:$AC$38,2,FALSE)=O$3,IF(Gear!$Q12&lt;$AG$6,Gear!$A12,$AB$42),$AB$42)))</f>
        <v>------------</v>
      </c>
      <c r="P15" s="261" t="str">
        <f>IF(Gear!$C12="",$AB$42,IF(Gear!$P12=0,$AB$42,IF(VLOOKUP(Gear!$C12,$AB$3:$AC$38,2,FALSE)=P$3,IF(Gear!$Q12&lt;$AG$6,Gear!$A12,$AB$42),$AB$42)))</f>
        <v>------------</v>
      </c>
      <c r="Q15" s="254" t="str">
        <f>IF(Gear!$C12="",$AB$42,IF(Gear!$P12=0,$AB$42,IF(VLOOKUP(Gear!$C12,$AB$3:$AC$38,2,FALSE)=Q$3,IF(Gear!$Q12&lt;$AG$6,Gear!$A12,$AB$42),$AB$42)))</f>
        <v>------------</v>
      </c>
      <c r="R15" s="261" t="str">
        <f>IF(Gear!$C12="",$AB$42,IF(Gear!$P12=0,$AB$42,IF(VLOOKUP(Gear!$C12,$AB$3:$AC$38,2,FALSE)=R$3,IF(Gear!$Q12&lt;$AG$6,Gear!$A12,$AB$42),$AB$42)))</f>
        <v>------------</v>
      </c>
      <c r="S15" s="254" t="str">
        <f>IF(Gear!$C12="",$AB$42,IF(Gear!$P12=0,$AB$42,IF(VLOOKUP(Gear!$C12,$AB$3:$AC$38,2,FALSE)=S$3,IF(Gear!$Q12&lt;$AG$6,Gear!$A12,$AB$42),$AB$42)))</f>
        <v>------------</v>
      </c>
      <c r="T15" s="261" t="str">
        <f>IF(Gear!$C12="",$AB$42,IF(Gear!$P12=0,$AB$42,IF(VLOOKUP(Gear!$C12,$AB$3:$AC$38,2,FALSE)=T$3,IF(Gear!$Q12&lt;$AG$6,Gear!$A12,$AB$42),$AB$42)))</f>
        <v>------------</v>
      </c>
      <c r="U15" s="254" t="str">
        <f>IF(Gear!$C12="",$AB$42,IF(Gear!$P12=0,$AB$42,IF(VLOOKUP(Gear!$C12,$AB$3:$AC$38,2,FALSE)=U$3,IF(Gear!$Q12&lt;$AG$6,Gear!$A12,$AB$42),$AB$42)))</f>
        <v>------------</v>
      </c>
      <c r="V15" s="261" t="str">
        <f>IF(Gear!$C12="",$AB$42,IF(Gear!$P12=0,$AB$42,IF(VLOOKUP(Gear!$C12,$AB$3:$AC$38,2,FALSE)=V$3,IF(Gear!$Q12&lt;$AG$6,Gear!$A12,$AB$42),$AB$42)))</f>
        <v>------------</v>
      </c>
      <c r="W15" s="254" t="str">
        <f>IF(Gear!$C12="",$AB$42,IF(Gear!$P12=0,$AB$42,IF(VLOOKUP(Gear!$C12,$AB$3:$AC$38,2,FALSE)=W$3,IF(Gear!$Q12&lt;$AG$6,Gear!$A12,$AB$42),$AB$42)))</f>
        <v>------------</v>
      </c>
      <c r="X15" s="261" t="str">
        <f>IF(Gear!$C12="",$AB$42,IF(Gear!$P12=0,$AB$42,IF(VLOOKUP(Gear!$C12,$AB$3:$AC$38,2,FALSE)=X$3,IF(Gear!$Q12&lt;$AG$6,Gear!$A12,$AB$42),$AB$42)))</f>
        <v>------------</v>
      </c>
      <c r="Y15" s="255" t="str">
        <f>IF(Gear!$C12="",$AB$42,IF(Gear!$P12=0,$AB$42,IF(VLOOKUP(Gear!$C12,$AB$3:$AC$38,2,FALSE)=Y$3,IF(Gear!$Q12&lt;$AG$6,Gear!$A12,$AB$42),$AB$42)))</f>
        <v>------------</v>
      </c>
      <c r="Z15" t="s">
        <v>158</v>
      </c>
      <c r="AB15" s="242" t="str">
        <f>'Short &amp; Simple'!H44</f>
        <v>Priest - Shadow</v>
      </c>
      <c r="AC15" s="263" t="s">
        <v>134</v>
      </c>
    </row>
    <row r="16" spans="2:33" ht="15">
      <c r="B16" t="s">
        <v>154</v>
      </c>
      <c r="C16" s="318" t="s">
        <v>161</v>
      </c>
      <c r="D16" s="320" t="s">
        <v>156</v>
      </c>
      <c r="E16" s="323" t="s">
        <v>159</v>
      </c>
      <c r="F16" s="320" t="s">
        <v>156</v>
      </c>
      <c r="G16" s="323" t="s">
        <v>159</v>
      </c>
      <c r="H16" s="320" t="s">
        <v>156</v>
      </c>
      <c r="I16" s="264" t="s">
        <v>159</v>
      </c>
      <c r="J16" t="s">
        <v>156</v>
      </c>
      <c r="K16" s="254" t="str">
        <f>IF(Gear!$C13="",$AB$42,IF(Gear!$P13=0,$AB$42,IF(VLOOKUP(Gear!$C13,$AB$3:$AC$38,2,FALSE)=K$3,IF(Gear!$Q13&lt;$AG$6,Gear!$A13,$AB$42),$AB$42)))</f>
        <v>------------</v>
      </c>
      <c r="L16" s="261" t="str">
        <f>IF(Gear!$C13="",$AB$42,IF(Gear!$P13=0,$AB$42,IF(VLOOKUP(Gear!$C13,$AB$3:$AC$38,2,FALSE)=L$3,IF(Gear!$Q13&lt;$AG$6,Gear!$A13,$AB$42),$AB$42)))</f>
        <v>------------</v>
      </c>
      <c r="M16" s="254" t="str">
        <f>IF(Gear!$C13="",$AB$42,IF(Gear!$P13=0,$AB$42,IF(VLOOKUP(Gear!$C13,$AB$3:$AC$38,2,FALSE)=M$3,IF(Gear!$Q13&lt;$AG$6,Gear!$A13,$AB$42),$AB$42)))</f>
        <v>Darshei</v>
      </c>
      <c r="N16" s="261" t="str">
        <f>IF(Gear!$C13="",$AB$42,IF(Gear!$P13=0,$AB$42,IF(VLOOKUP(Gear!$C13,$AB$3:$AC$38,2,FALSE)=N$3,IF(Gear!$Q13&lt;$AG$6,Gear!$A13,$AB$42),$AB$42)))</f>
        <v>------------</v>
      </c>
      <c r="O16" s="254" t="str">
        <f>IF(Gear!$C13="",$AB$42,IF(Gear!$P13=0,$AB$42,IF(VLOOKUP(Gear!$C13,$AB$3:$AC$38,2,FALSE)=O$3,IF(Gear!$Q13&lt;$AG$6,Gear!$A13,$AB$42),$AB$42)))</f>
        <v>------------</v>
      </c>
      <c r="P16" s="261" t="str">
        <f>IF(Gear!$C13="",$AB$42,IF(Gear!$P13=0,$AB$42,IF(VLOOKUP(Gear!$C13,$AB$3:$AC$38,2,FALSE)=P$3,IF(Gear!$Q13&lt;$AG$6,Gear!$A13,$AB$42),$AB$42)))</f>
        <v>------------</v>
      </c>
      <c r="Q16" s="254" t="str">
        <f>IF(Gear!$C13="",$AB$42,IF(Gear!$P13=0,$AB$42,IF(VLOOKUP(Gear!$C13,$AB$3:$AC$38,2,FALSE)=Q$3,IF(Gear!$Q13&lt;$AG$6,Gear!$A13,$AB$42),$AB$42)))</f>
        <v>------------</v>
      </c>
      <c r="R16" s="261" t="str">
        <f>IF(Gear!$C13="",$AB$42,IF(Gear!$P13=0,$AB$42,IF(VLOOKUP(Gear!$C13,$AB$3:$AC$38,2,FALSE)=R$3,IF(Gear!$Q13&lt;$AG$6,Gear!$A13,$AB$42),$AB$42)))</f>
        <v>------------</v>
      </c>
      <c r="S16" s="254" t="str">
        <f>IF(Gear!$C13="",$AB$42,IF(Gear!$P13=0,$AB$42,IF(VLOOKUP(Gear!$C13,$AB$3:$AC$38,2,FALSE)=S$3,IF(Gear!$Q13&lt;$AG$6,Gear!$A13,$AB$42),$AB$42)))</f>
        <v>------------</v>
      </c>
      <c r="T16" s="261" t="str">
        <f>IF(Gear!$C13="",$AB$42,IF(Gear!$P13=0,$AB$42,IF(VLOOKUP(Gear!$C13,$AB$3:$AC$38,2,FALSE)=T$3,IF(Gear!$Q13&lt;$AG$6,Gear!$A13,$AB$42),$AB$42)))</f>
        <v>------------</v>
      </c>
      <c r="U16" s="254" t="str">
        <f>IF(Gear!$C13="",$AB$42,IF(Gear!$P13=0,$AB$42,IF(VLOOKUP(Gear!$C13,$AB$3:$AC$38,2,FALSE)=U$3,IF(Gear!$Q13&lt;$AG$6,Gear!$A13,$AB$42),$AB$42)))</f>
        <v>------------</v>
      </c>
      <c r="V16" s="261" t="str">
        <f>IF(Gear!$C13="",$AB$42,IF(Gear!$P13=0,$AB$42,IF(VLOOKUP(Gear!$C13,$AB$3:$AC$38,2,FALSE)=V$3,IF(Gear!$Q13&lt;$AG$6,Gear!$A13,$AB$42),$AB$42)))</f>
        <v>------------</v>
      </c>
      <c r="W16" s="254" t="str">
        <f>IF(Gear!$C13="",$AB$42,IF(Gear!$P13=0,$AB$42,IF(VLOOKUP(Gear!$C13,$AB$3:$AC$38,2,FALSE)=W$3,IF(Gear!$Q13&lt;$AG$6,Gear!$A13,$AB$42),$AB$42)))</f>
        <v>------------</v>
      </c>
      <c r="X16" s="261" t="str">
        <f>IF(Gear!$C13="",$AB$42,IF(Gear!$P13=0,$AB$42,IF(VLOOKUP(Gear!$C13,$AB$3:$AC$38,2,FALSE)=X$3,IF(Gear!$Q13&lt;$AG$6,Gear!$A13,$AB$42),$AB$42)))</f>
        <v>------------</v>
      </c>
      <c r="Y16" s="255" t="str">
        <f>IF(Gear!$C13="",$AB$42,IF(Gear!$P13=0,$AB$42,IF(VLOOKUP(Gear!$C13,$AB$3:$AC$38,2,FALSE)=Y$3,IF(Gear!$Q13&lt;$AG$6,Gear!$A13,$AB$42),$AB$42)))</f>
        <v>------------</v>
      </c>
      <c r="Z16" t="s">
        <v>158</v>
      </c>
      <c r="AB16" s="242" t="str">
        <f>'Short &amp; Simple'!H45</f>
        <v>Rogue - Assassination</v>
      </c>
      <c r="AC16" s="263" t="s">
        <v>134</v>
      </c>
    </row>
    <row r="17" spans="2:29" ht="15">
      <c r="B17" t="s">
        <v>154</v>
      </c>
      <c r="C17" s="318" t="s">
        <v>159</v>
      </c>
      <c r="D17" s="320" t="s">
        <v>156</v>
      </c>
      <c r="E17" s="323" t="s">
        <v>159</v>
      </c>
      <c r="F17" s="320" t="s">
        <v>156</v>
      </c>
      <c r="G17" s="323" t="s">
        <v>159</v>
      </c>
      <c r="H17" s="320" t="s">
        <v>156</v>
      </c>
      <c r="I17" s="264" t="s">
        <v>159</v>
      </c>
      <c r="J17" t="s">
        <v>156</v>
      </c>
      <c r="K17" s="253" t="str">
        <f>IF(Gear!$C14="",$AB$42,IF(Gear!$P14=0,$AB$42,IF(VLOOKUP(Gear!$C14,$AB$3:$AC$38,2,FALSE)=K$3,IF(Gear!$Q14&lt;$AG$6,Gear!$A14,$AB$42),$AB$42)))</f>
        <v>------------</v>
      </c>
      <c r="L17" s="261" t="str">
        <f>IF(Gear!$C14="",$AB$42,IF(Gear!$P14=0,$AB$42,IF(VLOOKUP(Gear!$C14,$AB$3:$AC$38,2,FALSE)=L$3,IF(Gear!$Q14&lt;$AG$6,Gear!$A14,$AB$42),$AB$42)))</f>
        <v>------------</v>
      </c>
      <c r="M17" s="254" t="str">
        <f>IF(Gear!$C14="",$AB$42,IF(Gear!$P14=0,$AB$42,IF(VLOOKUP(Gear!$C14,$AB$3:$AC$38,2,FALSE)=M$3,IF(Gear!$Q14&lt;$AG$6,Gear!$A14,$AB$42),$AB$42)))</f>
        <v>------------</v>
      </c>
      <c r="N17" s="261" t="str">
        <f>IF(Gear!$C14="",$AB$42,IF(Gear!$P14=0,$AB$42,IF(VLOOKUP(Gear!$C14,$AB$3:$AC$38,2,FALSE)=N$3,IF(Gear!$Q14&lt;$AG$6,Gear!$A14,$AB$42),$AB$42)))</f>
        <v>------------</v>
      </c>
      <c r="O17" s="254" t="str">
        <f>IF(Gear!$C14="",$AB$42,IF(Gear!$P14=0,$AB$42,IF(VLOOKUP(Gear!$C14,$AB$3:$AC$38,2,FALSE)=O$3,IF(Gear!$Q14&lt;$AG$6,Gear!$A14,$AB$42),$AB$42)))</f>
        <v>------------</v>
      </c>
      <c r="P17" s="261" t="str">
        <f>IF(Gear!$C14="",$AB$42,IF(Gear!$P14=0,$AB$42,IF(VLOOKUP(Gear!$C14,$AB$3:$AC$38,2,FALSE)=P$3,IF(Gear!$Q14&lt;$AG$6,Gear!$A14,$AB$42),$AB$42)))</f>
        <v>------------</v>
      </c>
      <c r="Q17" s="254" t="str">
        <f>IF(Gear!$C14="",$AB$42,IF(Gear!$P14=0,$AB$42,IF(VLOOKUP(Gear!$C14,$AB$3:$AC$38,2,FALSE)=Q$3,IF(Gear!$Q14&lt;$AG$6,Gear!$A14,$AB$42),$AB$42)))</f>
        <v>------------</v>
      </c>
      <c r="R17" s="261" t="str">
        <f>IF(Gear!$C14="",$AB$42,IF(Gear!$P14=0,$AB$42,IF(VLOOKUP(Gear!$C14,$AB$3:$AC$38,2,FALSE)=R$3,IF(Gear!$Q14&lt;$AG$6,Gear!$A14,$AB$42),$AB$42)))</f>
        <v>------------</v>
      </c>
      <c r="S17" s="254" t="str">
        <f>IF(Gear!$C14="",$AB$42,IF(Gear!$P14=0,$AB$42,IF(VLOOKUP(Gear!$C14,$AB$3:$AC$38,2,FALSE)=S$3,IF(Gear!$Q14&lt;$AG$6,Gear!$A14,$AB$42),$AB$42)))</f>
        <v>------------</v>
      </c>
      <c r="T17" s="261" t="str">
        <f>IF(Gear!$C14="",$AB$42,IF(Gear!$P14=0,$AB$42,IF(VLOOKUP(Gear!$C14,$AB$3:$AC$38,2,FALSE)=T$3,IF(Gear!$Q14&lt;$AG$6,Gear!$A14,$AB$42),$AB$42)))</f>
        <v>------------</v>
      </c>
      <c r="U17" s="254" t="str">
        <f>IF(Gear!$C14="",$AB$42,IF(Gear!$P14=0,$AB$42,IF(VLOOKUP(Gear!$C14,$AB$3:$AC$38,2,FALSE)=U$3,IF(Gear!$Q14&lt;$AG$6,Gear!$A14,$AB$42),$AB$42)))</f>
        <v>------------</v>
      </c>
      <c r="V17" s="261" t="str">
        <f>IF(Gear!$C14="",$AB$42,IF(Gear!$P14=0,$AB$42,IF(VLOOKUP(Gear!$C14,$AB$3:$AC$38,2,FALSE)=V$3,IF(Gear!$Q14&lt;$AG$6,Gear!$A14,$AB$42),$AB$42)))</f>
        <v>------------</v>
      </c>
      <c r="W17" s="254" t="str">
        <f>IF(Gear!$C14="",$AB$42,IF(Gear!$P14=0,$AB$42,IF(VLOOKUP(Gear!$C14,$AB$3:$AC$38,2,FALSE)=W$3,IF(Gear!$Q14&lt;$AG$6,Gear!$A14,$AB$42),$AB$42)))</f>
        <v>------------</v>
      </c>
      <c r="X17" s="261" t="str">
        <f>IF(Gear!$C14="",$AB$42,IF(Gear!$P14=0,$AB$42,IF(VLOOKUP(Gear!$C14,$AB$3:$AC$38,2,FALSE)=X$3,IF(Gear!$Q14&lt;$AG$6,Gear!$A14,$AB$42),$AB$42)))</f>
        <v>------------</v>
      </c>
      <c r="Y17" s="255" t="str">
        <f>IF(Gear!$C14="",$AB$42,IF(Gear!$P14=0,$AB$42,IF(VLOOKUP(Gear!$C14,$AB$3:$AC$38,2,FALSE)=Y$3,IF(Gear!$Q14&lt;$AG$6,Gear!$A14,$AB$42),$AB$42)))</f>
        <v>------------</v>
      </c>
      <c r="Z17" t="s">
        <v>158</v>
      </c>
      <c r="AB17" s="242" t="str">
        <f>'Short &amp; Simple'!H46</f>
        <v>Rogue - Combat</v>
      </c>
      <c r="AC17" s="263" t="s">
        <v>134</v>
      </c>
    </row>
    <row r="18" spans="2:29" ht="15">
      <c r="B18" t="s">
        <v>154</v>
      </c>
      <c r="C18" s="318" t="s">
        <v>159</v>
      </c>
      <c r="D18" s="320" t="s">
        <v>156</v>
      </c>
      <c r="E18" s="323" t="s">
        <v>159</v>
      </c>
      <c r="F18" s="320" t="s">
        <v>156</v>
      </c>
      <c r="G18" s="323" t="s">
        <v>159</v>
      </c>
      <c r="H18" s="320" t="s">
        <v>156</v>
      </c>
      <c r="I18" s="264" t="s">
        <v>159</v>
      </c>
      <c r="J18" t="s">
        <v>156</v>
      </c>
      <c r="K18" s="253" t="str">
        <f>IF(Gear!$C15="",$AB$42,IF(Gear!$P15=0,$AB$42,IF(VLOOKUP(Gear!$C15,$AB$3:$AC$38,2,FALSE)=K$3,IF(Gear!$Q15&lt;$AG$6,Gear!$A15,$AB$42),$AB$42)))</f>
        <v>------------</v>
      </c>
      <c r="L18" s="261" t="str">
        <f>IF(Gear!$C15="",$AB$42,IF(Gear!$P15=0,$AB$42,IF(VLOOKUP(Gear!$C15,$AB$3:$AC$38,2,FALSE)=L$3,IF(Gear!$Q15&lt;$AG$6,Gear!$A15,$AB$42),$AB$42)))</f>
        <v>------------</v>
      </c>
      <c r="M18" s="254" t="str">
        <f>IF(Gear!$C15="",$AB$42,IF(Gear!$P15=0,$AB$42,IF(VLOOKUP(Gear!$C15,$AB$3:$AC$38,2,FALSE)=M$3,IF(Gear!$Q15&lt;$AG$6,Gear!$A15,$AB$42),$AB$42)))</f>
        <v>------------</v>
      </c>
      <c r="N18" s="261" t="str">
        <f>IF(Gear!$C15="",$AB$42,IF(Gear!$P15=0,$AB$42,IF(VLOOKUP(Gear!$C15,$AB$3:$AC$38,2,FALSE)=N$3,IF(Gear!$Q15&lt;$AG$6,Gear!$A15,$AB$42),$AB$42)))</f>
        <v>------------</v>
      </c>
      <c r="O18" s="254" t="str">
        <f>IF(Gear!$C15="",$AB$42,IF(Gear!$P15=0,$AB$42,IF(VLOOKUP(Gear!$C15,$AB$3:$AC$38,2,FALSE)=O$3,IF(Gear!$Q15&lt;$AG$6,Gear!$A15,$AB$42),$AB$42)))</f>
        <v>------------</v>
      </c>
      <c r="P18" s="261" t="str">
        <f>IF(Gear!$C15="",$AB$42,IF(Gear!$P15=0,$AB$42,IF(VLOOKUP(Gear!$C15,$AB$3:$AC$38,2,FALSE)=P$3,IF(Gear!$Q15&lt;$AG$6,Gear!$A15,$AB$42),$AB$42)))</f>
        <v>------------</v>
      </c>
      <c r="Q18" s="254" t="str">
        <f>IF(Gear!$C15="",$AB$42,IF(Gear!$P15=0,$AB$42,IF(VLOOKUP(Gear!$C15,$AB$3:$AC$38,2,FALSE)=Q$3,IF(Gear!$Q15&lt;$AG$6,Gear!$A15,$AB$42),$AB$42)))</f>
        <v>------------</v>
      </c>
      <c r="R18" s="261" t="str">
        <f>IF(Gear!$C15="",$AB$42,IF(Gear!$P15=0,$AB$42,IF(VLOOKUP(Gear!$C15,$AB$3:$AC$38,2,FALSE)=R$3,IF(Gear!$Q15&lt;$AG$6,Gear!$A15,$AB$42),$AB$42)))</f>
        <v>------------</v>
      </c>
      <c r="S18" s="254" t="str">
        <f>IF(Gear!$C15="",$AB$42,IF(Gear!$P15=0,$AB$42,IF(VLOOKUP(Gear!$C15,$AB$3:$AC$38,2,FALSE)=S$3,IF(Gear!$Q15&lt;$AG$6,Gear!$A15,$AB$42),$AB$42)))</f>
        <v>------------</v>
      </c>
      <c r="T18" s="261" t="str">
        <f>IF(Gear!$C15="",$AB$42,IF(Gear!$P15=0,$AB$42,IF(VLOOKUP(Gear!$C15,$AB$3:$AC$38,2,FALSE)=T$3,IF(Gear!$Q15&lt;$AG$6,Gear!$A15,$AB$42),$AB$42)))</f>
        <v>------------</v>
      </c>
      <c r="U18" s="254" t="str">
        <f>IF(Gear!$C15="",$AB$42,IF(Gear!$P15=0,$AB$42,IF(VLOOKUP(Gear!$C15,$AB$3:$AC$38,2,FALSE)=U$3,IF(Gear!$Q15&lt;$AG$6,Gear!$A15,$AB$42),$AB$42)))</f>
        <v>------------</v>
      </c>
      <c r="V18" s="261" t="str">
        <f>IF(Gear!$C15="",$AB$42,IF(Gear!$P15=0,$AB$42,IF(VLOOKUP(Gear!$C15,$AB$3:$AC$38,2,FALSE)=V$3,IF(Gear!$Q15&lt;$AG$6,Gear!$A15,$AB$42),$AB$42)))</f>
        <v>------------</v>
      </c>
      <c r="W18" s="254" t="str">
        <f>IF(Gear!$C15="",$AB$42,IF(Gear!$P15=0,$AB$42,IF(VLOOKUP(Gear!$C15,$AB$3:$AC$38,2,FALSE)=W$3,IF(Gear!$Q15&lt;$AG$6,Gear!$A15,$AB$42),$AB$42)))</f>
        <v>------------</v>
      </c>
      <c r="X18" s="261" t="str">
        <f>IF(Gear!$C15="",$AB$42,IF(Gear!$P15=0,$AB$42,IF(VLOOKUP(Gear!$C15,$AB$3:$AC$38,2,FALSE)=X$3,IF(Gear!$Q15&lt;$AG$6,Gear!$A15,$AB$42),$AB$42)))</f>
        <v>------------</v>
      </c>
      <c r="Y18" s="255" t="str">
        <f>IF(Gear!$C15="",$AB$42,IF(Gear!$P15=0,$AB$42,IF(VLOOKUP(Gear!$C15,$AB$3:$AC$38,2,FALSE)=Y$3,IF(Gear!$Q15&lt;$AG$6,Gear!$A15,$AB$42),$AB$42)))</f>
        <v>------------</v>
      </c>
      <c r="Z18" t="s">
        <v>158</v>
      </c>
      <c r="AB18" s="242" t="str">
        <f>'Short &amp; Simple'!H47</f>
        <v>Rogue - Subtlety</v>
      </c>
      <c r="AC18" s="263" t="s">
        <v>134</v>
      </c>
    </row>
    <row r="19" spans="2:29" ht="15">
      <c r="B19" t="s">
        <v>154</v>
      </c>
      <c r="C19" s="318" t="s">
        <v>159</v>
      </c>
      <c r="D19" s="320" t="s">
        <v>156</v>
      </c>
      <c r="E19" s="323" t="s">
        <v>159</v>
      </c>
      <c r="F19" s="320" t="s">
        <v>156</v>
      </c>
      <c r="G19" s="323" t="s">
        <v>159</v>
      </c>
      <c r="H19" s="320" t="s">
        <v>156</v>
      </c>
      <c r="I19" s="264" t="s">
        <v>159</v>
      </c>
      <c r="J19" t="s">
        <v>156</v>
      </c>
      <c r="K19" s="253" t="str">
        <f>IF(Gear!$C16="",$AB$42,IF(Gear!$P16=0,$AB$42,IF(VLOOKUP(Gear!$C16,$AB$3:$AC$38,2,FALSE)=K$3,IF(Gear!$Q16&lt;$AG$6,Gear!$A16,$AB$42),$AB$42)))</f>
        <v>------------</v>
      </c>
      <c r="L19" s="261" t="str">
        <f>IF(Gear!$C16="",$AB$42,IF(Gear!$P16=0,$AB$42,IF(VLOOKUP(Gear!$C16,$AB$3:$AC$38,2,FALSE)=L$3,IF(Gear!$Q16&lt;$AG$6,Gear!$A16,$AB$42),$AB$42)))</f>
        <v>------------</v>
      </c>
      <c r="M19" s="254" t="str">
        <f>IF(Gear!$C16="",$AB$42,IF(Gear!$P16=0,$AB$42,IF(VLOOKUP(Gear!$C16,$AB$3:$AC$38,2,FALSE)=M$3,IF(Gear!$Q16&lt;$AG$6,Gear!$A16,$AB$42),$AB$42)))</f>
        <v>------------</v>
      </c>
      <c r="N19" s="261" t="str">
        <f>IF(Gear!$C16="",$AB$42,IF(Gear!$P16=0,$AB$42,IF(VLOOKUP(Gear!$C16,$AB$3:$AC$38,2,FALSE)=N$3,IF(Gear!$Q16&lt;$AG$6,Gear!$A16,$AB$42),$AB$42)))</f>
        <v>------------</v>
      </c>
      <c r="O19" s="254" t="str">
        <f>IF(Gear!$C16="",$AB$42,IF(Gear!$P16=0,$AB$42,IF(VLOOKUP(Gear!$C16,$AB$3:$AC$38,2,FALSE)=O$3,IF(Gear!$Q16&lt;$AG$6,Gear!$A16,$AB$42),$AB$42)))</f>
        <v>------------</v>
      </c>
      <c r="P19" s="261" t="str">
        <f>IF(Gear!$C16="",$AB$42,IF(Gear!$P16=0,$AB$42,IF(VLOOKUP(Gear!$C16,$AB$3:$AC$38,2,FALSE)=P$3,IF(Gear!$Q16&lt;$AG$6,Gear!$A16,$AB$42),$AB$42)))</f>
        <v>------------</v>
      </c>
      <c r="Q19" s="254" t="str">
        <f>IF(Gear!$C16="",$AB$42,IF(Gear!$P16=0,$AB$42,IF(VLOOKUP(Gear!$C16,$AB$3:$AC$38,2,FALSE)=Q$3,IF(Gear!$Q16&lt;$AG$6,Gear!$A16,$AB$42),$AB$42)))</f>
        <v>------------</v>
      </c>
      <c r="R19" s="261" t="str">
        <f>IF(Gear!$C16="",$AB$42,IF(Gear!$P16=0,$AB$42,IF(VLOOKUP(Gear!$C16,$AB$3:$AC$38,2,FALSE)=R$3,IF(Gear!$Q16&lt;$AG$6,Gear!$A16,$AB$42),$AB$42)))</f>
        <v>------------</v>
      </c>
      <c r="S19" s="254" t="str">
        <f>IF(Gear!$C16="",$AB$42,IF(Gear!$P16=0,$AB$42,IF(VLOOKUP(Gear!$C16,$AB$3:$AC$38,2,FALSE)=S$3,IF(Gear!$Q16&lt;$AG$6,Gear!$A16,$AB$42),$AB$42)))</f>
        <v>------------</v>
      </c>
      <c r="T19" s="261" t="str">
        <f>IF(Gear!$C16="",$AB$42,IF(Gear!$P16=0,$AB$42,IF(VLOOKUP(Gear!$C16,$AB$3:$AC$38,2,FALSE)=T$3,IF(Gear!$Q16&lt;$AG$6,Gear!$A16,$AB$42),$AB$42)))</f>
        <v>------------</v>
      </c>
      <c r="U19" s="254" t="str">
        <f>IF(Gear!$C16="",$AB$42,IF(Gear!$P16=0,$AB$42,IF(VLOOKUP(Gear!$C16,$AB$3:$AC$38,2,FALSE)=U$3,IF(Gear!$Q16&lt;$AG$6,Gear!$A16,$AB$42),$AB$42)))</f>
        <v>------------</v>
      </c>
      <c r="V19" s="261" t="str">
        <f>IF(Gear!$C16="",$AB$42,IF(Gear!$P16=0,$AB$42,IF(VLOOKUP(Gear!$C16,$AB$3:$AC$38,2,FALSE)=V$3,IF(Gear!$Q16&lt;$AG$6,Gear!$A16,$AB$42),$AB$42)))</f>
        <v>------------</v>
      </c>
      <c r="W19" s="254" t="str">
        <f>IF(Gear!$C16="",$AB$42,IF(Gear!$P16=0,$AB$42,IF(VLOOKUP(Gear!$C16,$AB$3:$AC$38,2,FALSE)=W$3,IF(Gear!$Q16&lt;$AG$6,Gear!$A16,$AB$42),$AB$42)))</f>
        <v>------------</v>
      </c>
      <c r="X19" s="261" t="str">
        <f>IF(Gear!$C16="",$AB$42,IF(Gear!$P16=0,$AB$42,IF(VLOOKUP(Gear!$C16,$AB$3:$AC$38,2,FALSE)=X$3,IF(Gear!$Q16&lt;$AG$6,Gear!$A16,$AB$42),$AB$42)))</f>
        <v>------------</v>
      </c>
      <c r="Y19" s="255" t="str">
        <f>IF(Gear!$C16="",$AB$42,IF(Gear!$P16=0,$AB$42,IF(VLOOKUP(Gear!$C16,$AB$3:$AC$38,2,FALSE)=Y$3,IF(Gear!$Q16&lt;$AG$6,Gear!$A16,$AB$42),$AB$42)))</f>
        <v>------------</v>
      </c>
      <c r="Z19" t="s">
        <v>158</v>
      </c>
      <c r="AB19" s="242" t="str">
        <f>'Short &amp; Simple'!H48</f>
        <v>Shaman - Elemental</v>
      </c>
      <c r="AC19" s="263" t="s">
        <v>134</v>
      </c>
    </row>
    <row r="20" spans="2:29" ht="15">
      <c r="B20" t="s">
        <v>154</v>
      </c>
      <c r="C20" s="318" t="s">
        <v>159</v>
      </c>
      <c r="D20" s="320" t="s">
        <v>156</v>
      </c>
      <c r="E20" s="323" t="s">
        <v>159</v>
      </c>
      <c r="F20" s="320" t="s">
        <v>156</v>
      </c>
      <c r="G20" s="323" t="s">
        <v>159</v>
      </c>
      <c r="H20" s="320" t="s">
        <v>156</v>
      </c>
      <c r="I20" s="264" t="s">
        <v>159</v>
      </c>
      <c r="J20" t="s">
        <v>156</v>
      </c>
      <c r="K20" s="253" t="str">
        <f>IF(Gear!$C17="",$AB$42,IF(Gear!$P17=0,$AB$42,IF(VLOOKUP(Gear!$C17,$AB$3:$AC$38,2,FALSE)=K$3,IF(Gear!$Q17&lt;$AG$6,Gear!$A17,$AB$42),$AB$42)))</f>
        <v>------------</v>
      </c>
      <c r="L20" s="261" t="str">
        <f>IF(Gear!$C17="",$AB$42,IF(Gear!$P17=0,$AB$42,IF(VLOOKUP(Gear!$C17,$AB$3:$AC$38,2,FALSE)=L$3,IF(Gear!$Q17&lt;$AG$6,Gear!$A17,$AB$42),$AB$42)))</f>
        <v>------------</v>
      </c>
      <c r="M20" s="254" t="str">
        <f>IF(Gear!$C17="",$AB$42,IF(Gear!$P17=0,$AB$42,IF(VLOOKUP(Gear!$C17,$AB$3:$AC$38,2,FALSE)=M$3,IF(Gear!$Q17&lt;$AG$6,Gear!$A17,$AB$42),$AB$42)))</f>
        <v>------------</v>
      </c>
      <c r="N20" s="261" t="str">
        <f>IF(Gear!$C17="",$AB$42,IF(Gear!$P17=0,$AB$42,IF(VLOOKUP(Gear!$C17,$AB$3:$AC$38,2,FALSE)=N$3,IF(Gear!$Q17&lt;$AG$6,Gear!$A17,$AB$42),$AB$42)))</f>
        <v>------------</v>
      </c>
      <c r="O20" s="254" t="str">
        <f>IF(Gear!$C17="",$AB$42,IF(Gear!$P17=0,$AB$42,IF(VLOOKUP(Gear!$C17,$AB$3:$AC$38,2,FALSE)=O$3,IF(Gear!$Q17&lt;$AG$6,Gear!$A17,$AB$42),$AB$42)))</f>
        <v>------------</v>
      </c>
      <c r="P20" s="261" t="str">
        <f>IF(Gear!$C17="",$AB$42,IF(Gear!$P17=0,$AB$42,IF(VLOOKUP(Gear!$C17,$AB$3:$AC$38,2,FALSE)=P$3,IF(Gear!$Q17&lt;$AG$6,Gear!$A17,$AB$42),$AB$42)))</f>
        <v>------------</v>
      </c>
      <c r="Q20" s="254" t="str">
        <f>IF(Gear!$C17="",$AB$42,IF(Gear!$P17=0,$AB$42,IF(VLOOKUP(Gear!$C17,$AB$3:$AC$38,2,FALSE)=Q$3,IF(Gear!$Q17&lt;$AG$6,Gear!$A17,$AB$42),$AB$42)))</f>
        <v>------------</v>
      </c>
      <c r="R20" s="261" t="str">
        <f>IF(Gear!$C17="",$AB$42,IF(Gear!$P17=0,$AB$42,IF(VLOOKUP(Gear!$C17,$AB$3:$AC$38,2,FALSE)=R$3,IF(Gear!$Q17&lt;$AG$6,Gear!$A17,$AB$42),$AB$42)))</f>
        <v>------------</v>
      </c>
      <c r="S20" s="254" t="str">
        <f>IF(Gear!$C17="",$AB$42,IF(Gear!$P17=0,$AB$42,IF(VLOOKUP(Gear!$C17,$AB$3:$AC$38,2,FALSE)=S$3,IF(Gear!$Q17&lt;$AG$6,Gear!$A17,$AB$42),$AB$42)))</f>
        <v>------------</v>
      </c>
      <c r="T20" s="261" t="str">
        <f>IF(Gear!$C17="",$AB$42,IF(Gear!$P17=0,$AB$42,IF(VLOOKUP(Gear!$C17,$AB$3:$AC$38,2,FALSE)=T$3,IF(Gear!$Q17&lt;$AG$6,Gear!$A17,$AB$42),$AB$42)))</f>
        <v>------------</v>
      </c>
      <c r="U20" s="254" t="str">
        <f>IF(Gear!$C17="",$AB$42,IF(Gear!$P17=0,$AB$42,IF(VLOOKUP(Gear!$C17,$AB$3:$AC$38,2,FALSE)=U$3,IF(Gear!$Q17&lt;$AG$6,Gear!$A17,$AB$42),$AB$42)))</f>
        <v>------------</v>
      </c>
      <c r="V20" s="261" t="str">
        <f>IF(Gear!$C17="",$AB$42,IF(Gear!$P17=0,$AB$42,IF(VLOOKUP(Gear!$C17,$AB$3:$AC$38,2,FALSE)=V$3,IF(Gear!$Q17&lt;$AG$6,Gear!$A17,$AB$42),$AB$42)))</f>
        <v>------------</v>
      </c>
      <c r="W20" s="254" t="str">
        <f>IF(Gear!$C17="",$AB$42,IF(Gear!$P17=0,$AB$42,IF(VLOOKUP(Gear!$C17,$AB$3:$AC$38,2,FALSE)=W$3,IF(Gear!$Q17&lt;$AG$6,Gear!$A17,$AB$42),$AB$42)))</f>
        <v>------------</v>
      </c>
      <c r="X20" s="261" t="str">
        <f>IF(Gear!$C17="",$AB$42,IF(Gear!$P17=0,$AB$42,IF(VLOOKUP(Gear!$C17,$AB$3:$AC$38,2,FALSE)=X$3,IF(Gear!$Q17&lt;$AG$6,Gear!$A17,$AB$42),$AB$42)))</f>
        <v>------------</v>
      </c>
      <c r="Y20" s="255" t="str">
        <f>IF(Gear!$C17="",$AB$42,IF(Gear!$P17=0,$AB$42,IF(VLOOKUP(Gear!$C17,$AB$3:$AC$38,2,FALSE)=Y$3,IF(Gear!$Q17&lt;$AG$6,Gear!$A17,$AB$42),$AB$42)))</f>
        <v>------------</v>
      </c>
      <c r="Z20" t="s">
        <v>158</v>
      </c>
      <c r="AB20" s="242" t="str">
        <f>'Short &amp; Simple'!H49</f>
        <v>Shaman - Enhancement</v>
      </c>
      <c r="AC20" s="263" t="s">
        <v>134</v>
      </c>
    </row>
    <row r="21" spans="2:29" ht="15">
      <c r="B21" t="s">
        <v>154</v>
      </c>
      <c r="C21" s="318" t="s">
        <v>159</v>
      </c>
      <c r="D21" s="320" t="s">
        <v>156</v>
      </c>
      <c r="E21" s="323" t="s">
        <v>159</v>
      </c>
      <c r="F21" s="320" t="s">
        <v>156</v>
      </c>
      <c r="G21" s="323" t="s">
        <v>159</v>
      </c>
      <c r="H21" s="320" t="s">
        <v>156</v>
      </c>
      <c r="I21" s="264" t="s">
        <v>159</v>
      </c>
      <c r="J21" t="s">
        <v>156</v>
      </c>
      <c r="K21" s="253" t="str">
        <f>IF(Gear!$C18="",$AB$42,IF(Gear!$P18=0,$AB$42,IF(VLOOKUP(Gear!$C18,$AB$3:$AC$38,2,FALSE)=K$3,IF(Gear!$Q18&lt;$AG$6,Gear!$A18,$AB$42),$AB$42)))</f>
        <v>------------</v>
      </c>
      <c r="L21" s="261" t="str">
        <f>IF(Gear!$C18="",$AB$42,IF(Gear!$P18=0,$AB$42,IF(VLOOKUP(Gear!$C18,$AB$3:$AC$38,2,FALSE)=L$3,IF(Gear!$Q18&lt;$AG$6,Gear!$A18,$AB$42),$AB$42)))</f>
        <v>------------</v>
      </c>
      <c r="M21" s="254" t="str">
        <f>IF(Gear!$C18="",$AB$42,IF(Gear!$P18=0,$AB$42,IF(VLOOKUP(Gear!$C18,$AB$3:$AC$38,2,FALSE)=M$3,IF(Gear!$Q18&lt;$AG$6,Gear!$A18,$AB$42),$AB$42)))</f>
        <v>Illianá</v>
      </c>
      <c r="N21" s="261" t="str">
        <f>IF(Gear!$C18="",$AB$42,IF(Gear!$P18=0,$AB$42,IF(VLOOKUP(Gear!$C18,$AB$3:$AC$38,2,FALSE)=N$3,IF(Gear!$Q18&lt;$AG$6,Gear!$A18,$AB$42),$AB$42)))</f>
        <v>------------</v>
      </c>
      <c r="O21" s="254" t="str">
        <f>IF(Gear!$C18="",$AB$42,IF(Gear!$P18=0,$AB$42,IF(VLOOKUP(Gear!$C18,$AB$3:$AC$38,2,FALSE)=O$3,IF(Gear!$Q18&lt;$AG$6,Gear!$A18,$AB$42),$AB$42)))</f>
        <v>------------</v>
      </c>
      <c r="P21" s="261" t="str">
        <f>IF(Gear!$C18="",$AB$42,IF(Gear!$P18=0,$AB$42,IF(VLOOKUP(Gear!$C18,$AB$3:$AC$38,2,FALSE)=P$3,IF(Gear!$Q18&lt;$AG$6,Gear!$A18,$AB$42),$AB$42)))</f>
        <v>------------</v>
      </c>
      <c r="Q21" s="254" t="str">
        <f>IF(Gear!$C18="",$AB$42,IF(Gear!$P18=0,$AB$42,IF(VLOOKUP(Gear!$C18,$AB$3:$AC$38,2,FALSE)=Q$3,IF(Gear!$Q18&lt;$AG$6,Gear!$A18,$AB$42),$AB$42)))</f>
        <v>------------</v>
      </c>
      <c r="R21" s="261" t="str">
        <f>IF(Gear!$C18="",$AB$42,IF(Gear!$P18=0,$AB$42,IF(VLOOKUP(Gear!$C18,$AB$3:$AC$38,2,FALSE)=R$3,IF(Gear!$Q18&lt;$AG$6,Gear!$A18,$AB$42),$AB$42)))</f>
        <v>------------</v>
      </c>
      <c r="S21" s="254" t="str">
        <f>IF(Gear!$C18="",$AB$42,IF(Gear!$P18=0,$AB$42,IF(VLOOKUP(Gear!$C18,$AB$3:$AC$38,2,FALSE)=S$3,IF(Gear!$Q18&lt;$AG$6,Gear!$A18,$AB$42),$AB$42)))</f>
        <v>------------</v>
      </c>
      <c r="T21" s="261" t="str">
        <f>IF(Gear!$C18="",$AB$42,IF(Gear!$P18=0,$AB$42,IF(VLOOKUP(Gear!$C18,$AB$3:$AC$38,2,FALSE)=T$3,IF(Gear!$Q18&lt;$AG$6,Gear!$A18,$AB$42),$AB$42)))</f>
        <v>------------</v>
      </c>
      <c r="U21" s="254" t="str">
        <f>IF(Gear!$C18="",$AB$42,IF(Gear!$P18=0,$AB$42,IF(VLOOKUP(Gear!$C18,$AB$3:$AC$38,2,FALSE)=U$3,IF(Gear!$Q18&lt;$AG$6,Gear!$A18,$AB$42),$AB$42)))</f>
        <v>------------</v>
      </c>
      <c r="V21" s="261" t="str">
        <f>IF(Gear!$C18="",$AB$42,IF(Gear!$P18=0,$AB$42,IF(VLOOKUP(Gear!$C18,$AB$3:$AC$38,2,FALSE)=V$3,IF(Gear!$Q18&lt;$AG$6,Gear!$A18,$AB$42),$AB$42)))</f>
        <v>------------</v>
      </c>
      <c r="W21" s="254" t="str">
        <f>IF(Gear!$C18="",$AB$42,IF(Gear!$P18=0,$AB$42,IF(VLOOKUP(Gear!$C18,$AB$3:$AC$38,2,FALSE)=W$3,IF(Gear!$Q18&lt;$AG$6,Gear!$A18,$AB$42),$AB$42)))</f>
        <v>------------</v>
      </c>
      <c r="X21" s="261" t="str">
        <f>IF(Gear!$C18="",$AB$42,IF(Gear!$P18=0,$AB$42,IF(VLOOKUP(Gear!$C18,$AB$3:$AC$38,2,FALSE)=X$3,IF(Gear!$Q18&lt;$AG$6,Gear!$A18,$AB$42),$AB$42)))</f>
        <v>------------</v>
      </c>
      <c r="Y21" s="255" t="str">
        <f>IF(Gear!$C18="",$AB$42,IF(Gear!$P18=0,$AB$42,IF(VLOOKUP(Gear!$C18,$AB$3:$AC$38,2,FALSE)=Y$3,IF(Gear!$Q18&lt;$AG$6,Gear!$A18,$AB$42),$AB$42)))</f>
        <v>------------</v>
      </c>
      <c r="Z21" t="s">
        <v>158</v>
      </c>
      <c r="AB21" s="242" t="str">
        <f>'Short &amp; Simple'!H50</f>
        <v>Warlock - Affliction</v>
      </c>
      <c r="AC21" s="263" t="s">
        <v>134</v>
      </c>
    </row>
    <row r="22" spans="2:29" ht="15">
      <c r="B22" t="s">
        <v>154</v>
      </c>
      <c r="C22" s="318" t="s">
        <v>159</v>
      </c>
      <c r="D22" s="320" t="s">
        <v>156</v>
      </c>
      <c r="E22" s="323" t="s">
        <v>159</v>
      </c>
      <c r="F22" s="320" t="s">
        <v>156</v>
      </c>
      <c r="G22" s="323" t="s">
        <v>159</v>
      </c>
      <c r="H22" s="320" t="s">
        <v>156</v>
      </c>
      <c r="I22" s="264" t="s">
        <v>161</v>
      </c>
      <c r="J22" t="s">
        <v>156</v>
      </c>
      <c r="K22" s="253" t="str">
        <f>IF(Gear!$C19="",$AB$42,IF(Gear!$P19=0,$AB$42,IF(VLOOKUP(Gear!$C19,$AB$3:$AC$38,2,FALSE)=K$3,IF(Gear!$Q19&lt;$AG$6,Gear!$A19,$AB$42),$AB$42)))</f>
        <v>------------</v>
      </c>
      <c r="L22" s="261" t="str">
        <f>IF(Gear!$C19="",$AB$42,IF(Gear!$P19=0,$AB$42,IF(VLOOKUP(Gear!$C19,$AB$3:$AC$38,2,FALSE)=L$3,IF(Gear!$Q19&lt;$AG$6,Gear!$A19,$AB$42),$AB$42)))</f>
        <v>------------</v>
      </c>
      <c r="M22" s="254" t="str">
        <f>IF(Gear!$C19="",$AB$42,IF(Gear!$P19=0,$AB$42,IF(VLOOKUP(Gear!$C19,$AB$3:$AC$38,2,FALSE)=M$3,IF(Gear!$Q19&lt;$AG$6,Gear!$A19,$AB$42),$AB$42)))</f>
        <v>------------</v>
      </c>
      <c r="N22" s="261" t="str">
        <f>IF(Gear!$C19="",$AB$42,IF(Gear!$P19=0,$AB$42,IF(VLOOKUP(Gear!$C19,$AB$3:$AC$38,2,FALSE)=N$3,IF(Gear!$Q19&lt;$AG$6,Gear!$A19,$AB$42),$AB$42)))</f>
        <v>------------</v>
      </c>
      <c r="O22" s="254" t="str">
        <f>IF(Gear!$C19="",$AB$42,IF(Gear!$P19=0,$AB$42,IF(VLOOKUP(Gear!$C19,$AB$3:$AC$38,2,FALSE)=O$3,IF(Gear!$Q19&lt;$AG$6,Gear!$A19,$AB$42),$AB$42)))</f>
        <v>------------</v>
      </c>
      <c r="P22" s="261" t="str">
        <f>IF(Gear!$C19="",$AB$42,IF(Gear!$P19=0,$AB$42,IF(VLOOKUP(Gear!$C19,$AB$3:$AC$38,2,FALSE)=P$3,IF(Gear!$Q19&lt;$AG$6,Gear!$A19,$AB$42),$AB$42)))</f>
        <v>------------</v>
      </c>
      <c r="Q22" s="254" t="str">
        <f>IF(Gear!$C19="",$AB$42,IF(Gear!$P19=0,$AB$42,IF(VLOOKUP(Gear!$C19,$AB$3:$AC$38,2,FALSE)=Q$3,IF(Gear!$Q19&lt;$AG$6,Gear!$A19,$AB$42),$AB$42)))</f>
        <v>------------</v>
      </c>
      <c r="R22" s="261" t="str">
        <f>IF(Gear!$C19="",$AB$42,IF(Gear!$P19=0,$AB$42,IF(VLOOKUP(Gear!$C19,$AB$3:$AC$38,2,FALSE)=R$3,IF(Gear!$Q19&lt;$AG$6,Gear!$A19,$AB$42),$AB$42)))</f>
        <v>------------</v>
      </c>
      <c r="S22" s="254" t="str">
        <f>IF(Gear!$C19="",$AB$42,IF(Gear!$P19=0,$AB$42,IF(VLOOKUP(Gear!$C19,$AB$3:$AC$38,2,FALSE)=S$3,IF(Gear!$Q19&lt;$AG$6,Gear!$A19,$AB$42),$AB$42)))</f>
        <v>------------</v>
      </c>
      <c r="T22" s="261" t="str">
        <f>IF(Gear!$C19="",$AB$42,IF(Gear!$P19=0,$AB$42,IF(VLOOKUP(Gear!$C19,$AB$3:$AC$38,2,FALSE)=T$3,IF(Gear!$Q19&lt;$AG$6,Gear!$A19,$AB$42),$AB$42)))</f>
        <v>------------</v>
      </c>
      <c r="U22" s="254" t="str">
        <f>IF(Gear!$C19="",$AB$42,IF(Gear!$P19=0,$AB$42,IF(VLOOKUP(Gear!$C19,$AB$3:$AC$38,2,FALSE)=U$3,IF(Gear!$Q19&lt;$AG$6,Gear!$A19,$AB$42),$AB$42)))</f>
        <v>------------</v>
      </c>
      <c r="V22" s="261" t="str">
        <f>IF(Gear!$C19="",$AB$42,IF(Gear!$P19=0,$AB$42,IF(VLOOKUP(Gear!$C19,$AB$3:$AC$38,2,FALSE)=V$3,IF(Gear!$Q19&lt;$AG$6,Gear!$A19,$AB$42),$AB$42)))</f>
        <v>------------</v>
      </c>
      <c r="W22" s="254" t="str">
        <f>IF(Gear!$C19="",$AB$42,IF(Gear!$P19=0,$AB$42,IF(VLOOKUP(Gear!$C19,$AB$3:$AC$38,2,FALSE)=W$3,IF(Gear!$Q19&lt;$AG$6,Gear!$A19,$AB$42),$AB$42)))</f>
        <v>------------</v>
      </c>
      <c r="X22" s="261" t="str">
        <f>IF(Gear!$C19="",$AB$42,IF(Gear!$P19=0,$AB$42,IF(VLOOKUP(Gear!$C19,$AB$3:$AC$38,2,FALSE)=X$3,IF(Gear!$Q19&lt;$AG$6,Gear!$A19,$AB$42),$AB$42)))</f>
        <v>------------</v>
      </c>
      <c r="Y22" s="255" t="str">
        <f>IF(Gear!$C19="",$AB$42,IF(Gear!$P19=0,$AB$42,IF(VLOOKUP(Gear!$C19,$AB$3:$AC$38,2,FALSE)=Y$3,IF(Gear!$Q19&lt;$AG$6,Gear!$A19,$AB$42),$AB$42)))</f>
        <v>------------</v>
      </c>
      <c r="Z22" t="s">
        <v>158</v>
      </c>
      <c r="AB22" s="242" t="str">
        <f>'Short &amp; Simple'!H51</f>
        <v>Warlock - Daemonology</v>
      </c>
      <c r="AC22" s="263" t="s">
        <v>134</v>
      </c>
    </row>
    <row r="23" spans="2:29" ht="15">
      <c r="B23" t="s">
        <v>154</v>
      </c>
      <c r="C23" s="318" t="s">
        <v>161</v>
      </c>
      <c r="D23" s="320" t="s">
        <v>156</v>
      </c>
      <c r="E23" s="323" t="s">
        <v>159</v>
      </c>
      <c r="F23" s="320" t="s">
        <v>156</v>
      </c>
      <c r="G23" s="323" t="s">
        <v>159</v>
      </c>
      <c r="H23" s="320" t="s">
        <v>156</v>
      </c>
      <c r="I23" s="264" t="s">
        <v>159</v>
      </c>
      <c r="J23" t="s">
        <v>156</v>
      </c>
      <c r="K23" s="253" t="str">
        <f>IF(Gear!$C20="",$AB$42,IF(Gear!$P20=0,$AB$42,IF(VLOOKUP(Gear!$C20,$AB$3:$AC$38,2,FALSE)=K$3,IF(Gear!$Q20&lt;$AG$6,Gear!$A20,$AB$42),$AB$42)))</f>
        <v>------------</v>
      </c>
      <c r="L23" s="261" t="str">
        <f>IF(Gear!$C20="",$AB$42,IF(Gear!$P20=0,$AB$42,IF(VLOOKUP(Gear!$C20,$AB$3:$AC$38,2,FALSE)=L$3,IF(Gear!$Q20&lt;$AG$6,Gear!$A20,$AB$42),$AB$42)))</f>
        <v>------------</v>
      </c>
      <c r="M23" s="254" t="str">
        <f>IF(Gear!$C20="",$AB$42,IF(Gear!$P20=0,$AB$42,IF(VLOOKUP(Gear!$C20,$AB$3:$AC$38,2,FALSE)=M$3,IF(Gear!$Q20&lt;$AG$6,Gear!$A20,$AB$42),$AB$42)))</f>
        <v>------------</v>
      </c>
      <c r="N23" s="261" t="str">
        <f>IF(Gear!$C20="",$AB$42,IF(Gear!$P20=0,$AB$42,IF(VLOOKUP(Gear!$C20,$AB$3:$AC$38,2,FALSE)=N$3,IF(Gear!$Q20&lt;$AG$6,Gear!$A20,$AB$42),$AB$42)))</f>
        <v>------------</v>
      </c>
      <c r="O23" s="254" t="str">
        <f>IF(Gear!$C20="",$AB$42,IF(Gear!$P20=0,$AB$42,IF(VLOOKUP(Gear!$C20,$AB$3:$AC$38,2,FALSE)=O$3,IF(Gear!$Q20&lt;$AG$6,Gear!$A20,$AB$42),$AB$42)))</f>
        <v>------------</v>
      </c>
      <c r="P23" s="261" t="str">
        <f>IF(Gear!$C20="",$AB$42,IF(Gear!$P20=0,$AB$42,IF(VLOOKUP(Gear!$C20,$AB$3:$AC$38,2,FALSE)=P$3,IF(Gear!$Q20&lt;$AG$6,Gear!$A20,$AB$42),$AB$42)))</f>
        <v>------------</v>
      </c>
      <c r="Q23" s="254" t="str">
        <f>IF(Gear!$C20="",$AB$42,IF(Gear!$P20=0,$AB$42,IF(VLOOKUP(Gear!$C20,$AB$3:$AC$38,2,FALSE)=Q$3,IF(Gear!$Q20&lt;$AG$6,Gear!$A20,$AB$42),$AB$42)))</f>
        <v>------------</v>
      </c>
      <c r="R23" s="261" t="str">
        <f>IF(Gear!$C20="",$AB$42,IF(Gear!$P20=0,$AB$42,IF(VLOOKUP(Gear!$C20,$AB$3:$AC$38,2,FALSE)=R$3,IF(Gear!$Q20&lt;$AG$6,Gear!$A20,$AB$42),$AB$42)))</f>
        <v>------------</v>
      </c>
      <c r="S23" s="254" t="str">
        <f>IF(Gear!$C20="",$AB$42,IF(Gear!$P20=0,$AB$42,IF(VLOOKUP(Gear!$C20,$AB$3:$AC$38,2,FALSE)=S$3,IF(Gear!$Q20&lt;$AG$6,Gear!$A20,$AB$42),$AB$42)))</f>
        <v>------------</v>
      </c>
      <c r="T23" s="261" t="str">
        <f>IF(Gear!$C20="",$AB$42,IF(Gear!$P20=0,$AB$42,IF(VLOOKUP(Gear!$C20,$AB$3:$AC$38,2,FALSE)=T$3,IF(Gear!$Q20&lt;$AG$6,Gear!$A20,$AB$42),$AB$42)))</f>
        <v>------------</v>
      </c>
      <c r="U23" s="254" t="str">
        <f>IF(Gear!$C20="",$AB$42,IF(Gear!$P20=0,$AB$42,IF(VLOOKUP(Gear!$C20,$AB$3:$AC$38,2,FALSE)=U$3,IF(Gear!$Q20&lt;$AG$6,Gear!$A20,$AB$42),$AB$42)))</f>
        <v>------------</v>
      </c>
      <c r="V23" s="261" t="str">
        <f>IF(Gear!$C20="",$AB$42,IF(Gear!$P20=0,$AB$42,IF(VLOOKUP(Gear!$C20,$AB$3:$AC$38,2,FALSE)=V$3,IF(Gear!$Q20&lt;$AG$6,Gear!$A20,$AB$42),$AB$42)))</f>
        <v>------------</v>
      </c>
      <c r="W23" s="254" t="str">
        <f>IF(Gear!$C20="",$AB$42,IF(Gear!$P20=0,$AB$42,IF(VLOOKUP(Gear!$C20,$AB$3:$AC$38,2,FALSE)=W$3,IF(Gear!$Q20&lt;$AG$6,Gear!$A20,$AB$42),$AB$42)))</f>
        <v>------------</v>
      </c>
      <c r="X23" s="261" t="str">
        <f>IF(Gear!$C20="",$AB$42,IF(Gear!$P20=0,$AB$42,IF(VLOOKUP(Gear!$C20,$AB$3:$AC$38,2,FALSE)=X$3,IF(Gear!$Q20&lt;$AG$6,Gear!$A20,$AB$42),$AB$42)))</f>
        <v>------------</v>
      </c>
      <c r="Y23" s="255" t="str">
        <f>IF(Gear!$C20="",$AB$42,IF(Gear!$P20=0,$AB$42,IF(VLOOKUP(Gear!$C20,$AB$3:$AC$38,2,FALSE)=Y$3,IF(Gear!$Q20&lt;$AG$6,Gear!$A20,$AB$42),$AB$42)))</f>
        <v>------------</v>
      </c>
      <c r="Z23" t="s">
        <v>158</v>
      </c>
      <c r="AB23" s="242" t="str">
        <f>'Short &amp; Simple'!H52</f>
        <v>Warlock - Destruction</v>
      </c>
      <c r="AC23" s="263" t="s">
        <v>134</v>
      </c>
    </row>
    <row r="24" spans="2:29" ht="15">
      <c r="B24" t="s">
        <v>154</v>
      </c>
      <c r="C24" s="318" t="s">
        <v>159</v>
      </c>
      <c r="D24" s="320" t="s">
        <v>156</v>
      </c>
      <c r="E24" s="323" t="s">
        <v>159</v>
      </c>
      <c r="F24" s="320" t="s">
        <v>156</v>
      </c>
      <c r="G24" s="323" t="s">
        <v>159</v>
      </c>
      <c r="H24" s="320" t="s">
        <v>156</v>
      </c>
      <c r="I24" s="264" t="s">
        <v>159</v>
      </c>
      <c r="J24" t="s">
        <v>156</v>
      </c>
      <c r="K24" s="253" t="str">
        <f>IF(Gear!$C21="",$AB$42,IF(Gear!$P21=0,$AB$42,IF(VLOOKUP(Gear!$C21,$AB$3:$AC$38,2,FALSE)=K$3,IF(Gear!$Q21&lt;$AG$6,Gear!$A21,$AB$42),$AB$42)))</f>
        <v>------------</v>
      </c>
      <c r="L24" s="261" t="str">
        <f>IF(Gear!$C21="",$AB$42,IF(Gear!$P21=0,$AB$42,IF(VLOOKUP(Gear!$C21,$AB$3:$AC$38,2,FALSE)=L$3,IF(Gear!$Q21&lt;$AG$6,Gear!$A21,$AB$42),$AB$42)))</f>
        <v>------------</v>
      </c>
      <c r="M24" s="254" t="str">
        <f>IF(Gear!$C21="",$AB$42,IF(Gear!$P21=0,$AB$42,IF(VLOOKUP(Gear!$C21,$AB$3:$AC$38,2,FALSE)=M$3,IF(Gear!$Q21&lt;$AG$6,Gear!$A21,$AB$42),$AB$42)))</f>
        <v>Lychi</v>
      </c>
      <c r="N24" s="261" t="str">
        <f>IF(Gear!$C21="",$AB$42,IF(Gear!$P21=0,$AB$42,IF(VLOOKUP(Gear!$C21,$AB$3:$AC$38,2,FALSE)=N$3,IF(Gear!$Q21&lt;$AG$6,Gear!$A21,$AB$42),$AB$42)))</f>
        <v>------------</v>
      </c>
      <c r="O24" s="254" t="str">
        <f>IF(Gear!$C21="",$AB$42,IF(Gear!$P21=0,$AB$42,IF(VLOOKUP(Gear!$C21,$AB$3:$AC$38,2,FALSE)=O$3,IF(Gear!$Q21&lt;$AG$6,Gear!$A21,$AB$42),$AB$42)))</f>
        <v>------------</v>
      </c>
      <c r="P24" s="261" t="str">
        <f>IF(Gear!$C21="",$AB$42,IF(Gear!$P21=0,$AB$42,IF(VLOOKUP(Gear!$C21,$AB$3:$AC$38,2,FALSE)=P$3,IF(Gear!$Q21&lt;$AG$6,Gear!$A21,$AB$42),$AB$42)))</f>
        <v>------------</v>
      </c>
      <c r="Q24" s="254" t="str">
        <f>IF(Gear!$C21="",$AB$42,IF(Gear!$P21=0,$AB$42,IF(VLOOKUP(Gear!$C21,$AB$3:$AC$38,2,FALSE)=Q$3,IF(Gear!$Q21&lt;$AG$6,Gear!$A21,$AB$42),$AB$42)))</f>
        <v>------------</v>
      </c>
      <c r="R24" s="261" t="str">
        <f>IF(Gear!$C21="",$AB$42,IF(Gear!$P21=0,$AB$42,IF(VLOOKUP(Gear!$C21,$AB$3:$AC$38,2,FALSE)=R$3,IF(Gear!$Q21&lt;$AG$6,Gear!$A21,$AB$42),$AB$42)))</f>
        <v>------------</v>
      </c>
      <c r="S24" s="254" t="str">
        <f>IF(Gear!$C21="",$AB$42,IF(Gear!$P21=0,$AB$42,IF(VLOOKUP(Gear!$C21,$AB$3:$AC$38,2,FALSE)=S$3,IF(Gear!$Q21&lt;$AG$6,Gear!$A21,$AB$42),$AB$42)))</f>
        <v>------------</v>
      </c>
      <c r="T24" s="261" t="str">
        <f>IF(Gear!$C21="",$AB$42,IF(Gear!$P21=0,$AB$42,IF(VLOOKUP(Gear!$C21,$AB$3:$AC$38,2,FALSE)=T$3,IF(Gear!$Q21&lt;$AG$6,Gear!$A21,$AB$42),$AB$42)))</f>
        <v>------------</v>
      </c>
      <c r="U24" s="254" t="str">
        <f>IF(Gear!$C21="",$AB$42,IF(Gear!$P21=0,$AB$42,IF(VLOOKUP(Gear!$C21,$AB$3:$AC$38,2,FALSE)=U$3,IF(Gear!$Q21&lt;$AG$6,Gear!$A21,$AB$42),$AB$42)))</f>
        <v>------------</v>
      </c>
      <c r="V24" s="261" t="str">
        <f>IF(Gear!$C21="",$AB$42,IF(Gear!$P21=0,$AB$42,IF(VLOOKUP(Gear!$C21,$AB$3:$AC$38,2,FALSE)=V$3,IF(Gear!$Q21&lt;$AG$6,Gear!$A21,$AB$42),$AB$42)))</f>
        <v>------------</v>
      </c>
      <c r="W24" s="254" t="str">
        <f>IF(Gear!$C21="",$AB$42,IF(Gear!$P21=0,$AB$42,IF(VLOOKUP(Gear!$C21,$AB$3:$AC$38,2,FALSE)=W$3,IF(Gear!$Q21&lt;$AG$6,Gear!$A21,$AB$42),$AB$42)))</f>
        <v>------------</v>
      </c>
      <c r="X24" s="261" t="str">
        <f>IF(Gear!$C21="",$AB$42,IF(Gear!$P21=0,$AB$42,IF(VLOOKUP(Gear!$C21,$AB$3:$AC$38,2,FALSE)=X$3,IF(Gear!$Q21&lt;$AG$6,Gear!$A21,$AB$42),$AB$42)))</f>
        <v>------------</v>
      </c>
      <c r="Y24" s="255" t="str">
        <f>IF(Gear!$C21="",$AB$42,IF(Gear!$P21=0,$AB$42,IF(VLOOKUP(Gear!$C21,$AB$3:$AC$38,2,FALSE)=Y$3,IF(Gear!$Q21&lt;$AG$6,Gear!$A21,$AB$42),$AB$42)))</f>
        <v>------------</v>
      </c>
      <c r="Z24" t="s">
        <v>158</v>
      </c>
      <c r="AB24" s="242" t="str">
        <f>'Short &amp; Simple'!H53</f>
        <v>Warrior - Arms</v>
      </c>
      <c r="AC24" s="263" t="s">
        <v>134</v>
      </c>
    </row>
    <row r="25" spans="2:29" ht="15.75" thickBot="1">
      <c r="B25" t="s">
        <v>154</v>
      </c>
      <c r="C25" s="318" t="s">
        <v>159</v>
      </c>
      <c r="D25" s="320" t="s">
        <v>156</v>
      </c>
      <c r="E25" s="323" t="s">
        <v>159</v>
      </c>
      <c r="F25" s="320" t="s">
        <v>156</v>
      </c>
      <c r="G25" s="323" t="s">
        <v>159</v>
      </c>
      <c r="H25" s="320" t="s">
        <v>156</v>
      </c>
      <c r="I25" s="264" t="s">
        <v>159</v>
      </c>
      <c r="J25" t="s">
        <v>156</v>
      </c>
      <c r="K25" s="253" t="str">
        <f>IF(Gear!$C22="",$AB$42,IF(Gear!$P22=0,$AB$42,IF(VLOOKUP(Gear!$C22,$AB$3:$AC$38,2,FALSE)=K$3,IF(Gear!$Q22&lt;$AG$6,Gear!$A22,$AB$42),$AB$42)))</f>
        <v>------------</v>
      </c>
      <c r="L25" s="261" t="str">
        <f>IF(Gear!$C22="",$AB$42,IF(Gear!$P22=0,$AB$42,IF(VLOOKUP(Gear!$C22,$AB$3:$AC$38,2,FALSE)=L$3,IF(Gear!$Q22&lt;$AG$6,Gear!$A22,$AB$42),$AB$42)))</f>
        <v>------------</v>
      </c>
      <c r="M25" s="254" t="str">
        <f>IF(Gear!$C22="",$AB$42,IF(Gear!$P22=0,$AB$42,IF(VLOOKUP(Gear!$C22,$AB$3:$AC$38,2,FALSE)=M$3,IF(Gear!$Q22&lt;$AG$6,Gear!$A22,$AB$42),$AB$42)))</f>
        <v>------------</v>
      </c>
      <c r="N25" s="261" t="str">
        <f>IF(Gear!$C22="",$AB$42,IF(Gear!$P22=0,$AB$42,IF(VLOOKUP(Gear!$C22,$AB$3:$AC$38,2,FALSE)=N$3,IF(Gear!$Q22&lt;$AG$6,Gear!$A22,$AB$42),$AB$42)))</f>
        <v>------------</v>
      </c>
      <c r="O25" s="254" t="str">
        <f>IF(Gear!$C22="",$AB$42,IF(Gear!$P22=0,$AB$42,IF(VLOOKUP(Gear!$C22,$AB$3:$AC$38,2,FALSE)=O$3,IF(Gear!$Q22&lt;$AG$6,Gear!$A22,$AB$42),$AB$42)))</f>
        <v>------------</v>
      </c>
      <c r="P25" s="261" t="str">
        <f>IF(Gear!$C22="",$AB$42,IF(Gear!$P22=0,$AB$42,IF(VLOOKUP(Gear!$C22,$AB$3:$AC$38,2,FALSE)=P$3,IF(Gear!$Q22&lt;$AG$6,Gear!$A22,$AB$42),$AB$42)))</f>
        <v>------------</v>
      </c>
      <c r="Q25" s="254" t="str">
        <f>IF(Gear!$C22="",$AB$42,IF(Gear!$P22=0,$AB$42,IF(VLOOKUP(Gear!$C22,$AB$3:$AC$38,2,FALSE)=Q$3,IF(Gear!$Q22&lt;$AG$6,Gear!$A22,$AB$42),$AB$42)))</f>
        <v>------------</v>
      </c>
      <c r="R25" s="261" t="str">
        <f>IF(Gear!$C22="",$AB$42,IF(Gear!$P22=0,$AB$42,IF(VLOOKUP(Gear!$C22,$AB$3:$AC$38,2,FALSE)=R$3,IF(Gear!$Q22&lt;$AG$6,Gear!$A22,$AB$42),$AB$42)))</f>
        <v>------------</v>
      </c>
      <c r="S25" s="254" t="str">
        <f>IF(Gear!$C22="",$AB$42,IF(Gear!$P22=0,$AB$42,IF(VLOOKUP(Gear!$C22,$AB$3:$AC$38,2,FALSE)=S$3,IF(Gear!$Q22&lt;$AG$6,Gear!$A22,$AB$42),$AB$42)))</f>
        <v>------------</v>
      </c>
      <c r="T25" s="261" t="str">
        <f>IF(Gear!$C22="",$AB$42,IF(Gear!$P22=0,$AB$42,IF(VLOOKUP(Gear!$C22,$AB$3:$AC$38,2,FALSE)=T$3,IF(Gear!$Q22&lt;$AG$6,Gear!$A22,$AB$42),$AB$42)))</f>
        <v>------------</v>
      </c>
      <c r="U25" s="254" t="str">
        <f>IF(Gear!$C22="",$AB$42,IF(Gear!$P22=0,$AB$42,IF(VLOOKUP(Gear!$C22,$AB$3:$AC$38,2,FALSE)=U$3,IF(Gear!$Q22&lt;$AG$6,Gear!$A22,$AB$42),$AB$42)))</f>
        <v>------------</v>
      </c>
      <c r="V25" s="261" t="str">
        <f>IF(Gear!$C22="",$AB$42,IF(Gear!$P22=0,$AB$42,IF(VLOOKUP(Gear!$C22,$AB$3:$AC$38,2,FALSE)=V$3,IF(Gear!$Q22&lt;$AG$6,Gear!$A22,$AB$42),$AB$42)))</f>
        <v>------------</v>
      </c>
      <c r="W25" s="254" t="str">
        <f>IF(Gear!$C22="",$AB$42,IF(Gear!$P22=0,$AB$42,IF(VLOOKUP(Gear!$C22,$AB$3:$AC$38,2,FALSE)=W$3,IF(Gear!$Q22&lt;$AG$6,Gear!$A22,$AB$42),$AB$42)))</f>
        <v>------------</v>
      </c>
      <c r="X25" s="261" t="str">
        <f>IF(Gear!$C22="",$AB$42,IF(Gear!$P22=0,$AB$42,IF(VLOOKUP(Gear!$C22,$AB$3:$AC$38,2,FALSE)=X$3,IF(Gear!$Q22&lt;$AG$6,Gear!$A22,$AB$42),$AB$42)))</f>
        <v>------------</v>
      </c>
      <c r="Y25" s="255" t="str">
        <f>IF(Gear!$C22="",$AB$42,IF(Gear!$P22=0,$AB$42,IF(VLOOKUP(Gear!$C22,$AB$3:$AC$38,2,FALSE)=Y$3,IF(Gear!$Q22&lt;$AG$6,Gear!$A22,$AB$42),$AB$42)))</f>
        <v>------------</v>
      </c>
      <c r="Z25" t="s">
        <v>158</v>
      </c>
      <c r="AB25" s="242" t="str">
        <f>'Short &amp; Simple'!H54</f>
        <v>Warrior - Fury</v>
      </c>
      <c r="AC25" s="263" t="s">
        <v>134</v>
      </c>
    </row>
    <row r="26" spans="2:29" ht="16.5" thickTop="1" thickBot="1">
      <c r="B26" t="s">
        <v>154</v>
      </c>
      <c r="C26" s="318" t="s">
        <v>159</v>
      </c>
      <c r="D26" s="320" t="s">
        <v>156</v>
      </c>
      <c r="E26" s="323" t="s">
        <v>159</v>
      </c>
      <c r="F26" s="320" t="s">
        <v>156</v>
      </c>
      <c r="G26" s="323" t="s">
        <v>159</v>
      </c>
      <c r="H26" s="320" t="s">
        <v>156</v>
      </c>
      <c r="I26" s="264" t="s">
        <v>159</v>
      </c>
      <c r="J26" t="s">
        <v>156</v>
      </c>
      <c r="K26" s="253" t="str">
        <f>IF(Gear!$C23="",$AB$42,IF(Gear!$P23=0,$AB$42,IF(VLOOKUP(Gear!$C23,$AB$3:$AC$38,2,FALSE)=K$3,IF(Gear!$Q23&lt;$AG$6,Gear!$A23,$AB$42),$AB$42)))</f>
        <v>------------</v>
      </c>
      <c r="L26" s="261" t="str">
        <f>IF(Gear!$C23="",$AB$42,IF(Gear!$P23=0,$AB$42,IF(VLOOKUP(Gear!$C23,$AB$3:$AC$38,2,FALSE)=L$3,IF(Gear!$Q23&lt;$AG$6,Gear!$A23,$AB$42),$AB$42)))</f>
        <v>------------</v>
      </c>
      <c r="M26" s="254" t="str">
        <f>IF(Gear!$C23="",$AB$42,IF(Gear!$P23=0,$AB$42,IF(VLOOKUP(Gear!$C23,$AB$3:$AC$38,2,FALSE)=M$3,IF(Gear!$Q23&lt;$AG$6,Gear!$A23,$AB$42),$AB$42)))</f>
        <v>------------</v>
      </c>
      <c r="N26" s="261" t="str">
        <f>IF(Gear!$C23="",$AB$42,IF(Gear!$P23=0,$AB$42,IF(VLOOKUP(Gear!$C23,$AB$3:$AC$38,2,FALSE)=N$3,IF(Gear!$Q23&lt;$AG$6,Gear!$A23,$AB$42),$AB$42)))</f>
        <v>------------</v>
      </c>
      <c r="O26" s="254" t="str">
        <f>IF(Gear!$C23="",$AB$42,IF(Gear!$P23=0,$AB$42,IF(VLOOKUP(Gear!$C23,$AB$3:$AC$38,2,FALSE)=O$3,IF(Gear!$Q23&lt;$AG$6,Gear!$A23,$AB$42),$AB$42)))</f>
        <v>------------</v>
      </c>
      <c r="P26" s="261" t="str">
        <f>IF(Gear!$C23="",$AB$42,IF(Gear!$P23=0,$AB$42,IF(VLOOKUP(Gear!$C23,$AB$3:$AC$38,2,FALSE)=P$3,IF(Gear!$Q23&lt;$AG$6,Gear!$A23,$AB$42),$AB$42)))</f>
        <v>------------</v>
      </c>
      <c r="Q26" s="254" t="str">
        <f>IF(Gear!$C23="",$AB$42,IF(Gear!$P23=0,$AB$42,IF(VLOOKUP(Gear!$C23,$AB$3:$AC$38,2,FALSE)=Q$3,IF(Gear!$Q23&lt;$AG$6,Gear!$A23,$AB$42),$AB$42)))</f>
        <v>------------</v>
      </c>
      <c r="R26" s="261" t="str">
        <f>IF(Gear!$C23="",$AB$42,IF(Gear!$P23=0,$AB$42,IF(VLOOKUP(Gear!$C23,$AB$3:$AC$38,2,FALSE)=R$3,IF(Gear!$Q23&lt;$AG$6,Gear!$A23,$AB$42),$AB$42)))</f>
        <v>------------</v>
      </c>
      <c r="S26" s="254" t="str">
        <f>IF(Gear!$C23="",$AB$42,IF(Gear!$P23=0,$AB$42,IF(VLOOKUP(Gear!$C23,$AB$3:$AC$38,2,FALSE)=S$3,IF(Gear!$Q23&lt;$AG$6,Gear!$A23,$AB$42),$AB$42)))</f>
        <v>------------</v>
      </c>
      <c r="T26" s="261" t="str">
        <f>IF(Gear!$C23="",$AB$42,IF(Gear!$P23=0,$AB$42,IF(VLOOKUP(Gear!$C23,$AB$3:$AC$38,2,FALSE)=T$3,IF(Gear!$Q23&lt;$AG$6,Gear!$A23,$AB$42),$AB$42)))</f>
        <v>------------</v>
      </c>
      <c r="U26" s="254" t="str">
        <f>IF(Gear!$C23="",$AB$42,IF(Gear!$P23=0,$AB$42,IF(VLOOKUP(Gear!$C23,$AB$3:$AC$38,2,FALSE)=U$3,IF(Gear!$Q23&lt;$AG$6,Gear!$A23,$AB$42),$AB$42)))</f>
        <v>------------</v>
      </c>
      <c r="V26" s="261" t="str">
        <f>IF(Gear!$C23="",$AB$42,IF(Gear!$P23=0,$AB$42,IF(VLOOKUP(Gear!$C23,$AB$3:$AC$38,2,FALSE)=V$3,IF(Gear!$Q23&lt;$AG$6,Gear!$A23,$AB$42),$AB$42)))</f>
        <v>------------</v>
      </c>
      <c r="W26" s="254" t="str">
        <f>IF(Gear!$C23="",$AB$42,IF(Gear!$P23=0,$AB$42,IF(VLOOKUP(Gear!$C23,$AB$3:$AC$38,2,FALSE)=W$3,IF(Gear!$Q23&lt;$AG$6,Gear!$A23,$AB$42),$AB$42)))</f>
        <v>------------</v>
      </c>
      <c r="X26" s="261" t="str">
        <f>IF(Gear!$C23="",$AB$42,IF(Gear!$P23=0,$AB$42,IF(VLOOKUP(Gear!$C23,$AB$3:$AC$38,2,FALSE)=X$3,IF(Gear!$Q23&lt;$AG$6,Gear!$A23,$AB$42),$AB$42)))</f>
        <v>------------</v>
      </c>
      <c r="Y26" s="255" t="str">
        <f>IF(Gear!$C23="",$AB$42,IF(Gear!$P23=0,$AB$42,IF(VLOOKUP(Gear!$C23,$AB$3:$AC$38,2,FALSE)=Y$3,IF(Gear!$Q23&lt;$AG$6,Gear!$A23,$AB$42),$AB$42)))</f>
        <v>------------</v>
      </c>
      <c r="Z26" t="s">
        <v>158</v>
      </c>
      <c r="AB26" s="495" t="str">
        <f>'Short &amp; Simple'!H55</f>
        <v>25 Man Normal SoO - The Fallen Protectors</v>
      </c>
      <c r="AC26" s="496"/>
    </row>
    <row r="27" spans="2:29" ht="15.75" thickTop="1">
      <c r="B27" t="s">
        <v>154</v>
      </c>
      <c r="C27" s="318" t="s">
        <v>159</v>
      </c>
      <c r="D27" s="320" t="s">
        <v>156</v>
      </c>
      <c r="E27" s="323" t="s">
        <v>159</v>
      </c>
      <c r="F27" s="320" t="s">
        <v>156</v>
      </c>
      <c r="G27" s="323" t="s">
        <v>159</v>
      </c>
      <c r="H27" s="320" t="s">
        <v>156</v>
      </c>
      <c r="I27" s="264" t="s">
        <v>159</v>
      </c>
      <c r="J27" t="s">
        <v>156</v>
      </c>
      <c r="K27" s="253" t="str">
        <f>IF(Gear!$C24="",$AB$42,IF(Gear!$P24=0,$AB$42,IF(VLOOKUP(Gear!$C24,$AB$3:$AC$38,2,FALSE)=K$3,IF(Gear!$Q24&lt;$AG$6,Gear!$A24,$AB$42),$AB$42)))</f>
        <v>------------</v>
      </c>
      <c r="L27" s="261" t="str">
        <f>IF(Gear!$C24="",$AB$42,IF(Gear!$P24=0,$AB$42,IF(VLOOKUP(Gear!$C24,$AB$3:$AC$38,2,FALSE)=L$3,IF(Gear!$Q24&lt;$AG$6,Gear!$A24,$AB$42),$AB$42)))</f>
        <v>------------</v>
      </c>
      <c r="M27" s="254" t="str">
        <f>IF(Gear!$C24="",$AB$42,IF(Gear!$P24=0,$AB$42,IF(VLOOKUP(Gear!$C24,$AB$3:$AC$38,2,FALSE)=M$3,IF(Gear!$Q24&lt;$AG$6,Gear!$A24,$AB$42),$AB$42)))</f>
        <v>------------</v>
      </c>
      <c r="N27" s="261" t="str">
        <f>IF(Gear!$C24="",$AB$42,IF(Gear!$P24=0,$AB$42,IF(VLOOKUP(Gear!$C24,$AB$3:$AC$38,2,FALSE)=N$3,IF(Gear!$Q24&lt;$AG$6,Gear!$A24,$AB$42),$AB$42)))</f>
        <v>------------</v>
      </c>
      <c r="O27" s="254" t="str">
        <f>IF(Gear!$C24="",$AB$42,IF(Gear!$P24=0,$AB$42,IF(VLOOKUP(Gear!$C24,$AB$3:$AC$38,2,FALSE)=O$3,IF(Gear!$Q24&lt;$AG$6,Gear!$A24,$AB$42),$AB$42)))</f>
        <v>------------</v>
      </c>
      <c r="P27" s="261" t="str">
        <f>IF(Gear!$C24="",$AB$42,IF(Gear!$P24=0,$AB$42,IF(VLOOKUP(Gear!$C24,$AB$3:$AC$38,2,FALSE)=P$3,IF(Gear!$Q24&lt;$AG$6,Gear!$A24,$AB$42),$AB$42)))</f>
        <v>------------</v>
      </c>
      <c r="Q27" s="254" t="str">
        <f>IF(Gear!$C24="",$AB$42,IF(Gear!$P24=0,$AB$42,IF(VLOOKUP(Gear!$C24,$AB$3:$AC$38,2,FALSE)=Q$3,IF(Gear!$Q24&lt;$AG$6,Gear!$A24,$AB$42),$AB$42)))</f>
        <v>------------</v>
      </c>
      <c r="R27" s="261" t="str">
        <f>IF(Gear!$C24="",$AB$42,IF(Gear!$P24=0,$AB$42,IF(VLOOKUP(Gear!$C24,$AB$3:$AC$38,2,FALSE)=R$3,IF(Gear!$Q24&lt;$AG$6,Gear!$A24,$AB$42),$AB$42)))</f>
        <v>------------</v>
      </c>
      <c r="S27" s="254" t="str">
        <f>IF(Gear!$C24="",$AB$42,IF(Gear!$P24=0,$AB$42,IF(VLOOKUP(Gear!$C24,$AB$3:$AC$38,2,FALSE)=S$3,IF(Gear!$Q24&lt;$AG$6,Gear!$A24,$AB$42),$AB$42)))</f>
        <v>------------</v>
      </c>
      <c r="T27" s="261" t="str">
        <f>IF(Gear!$C24="",$AB$42,IF(Gear!$P24=0,$AB$42,IF(VLOOKUP(Gear!$C24,$AB$3:$AC$38,2,FALSE)=T$3,IF(Gear!$Q24&lt;$AG$6,Gear!$A24,$AB$42),$AB$42)))</f>
        <v>------------</v>
      </c>
      <c r="U27" s="254" t="str">
        <f>IF(Gear!$C24="",$AB$42,IF(Gear!$P24=0,$AB$42,IF(VLOOKUP(Gear!$C24,$AB$3:$AC$38,2,FALSE)=U$3,IF(Gear!$Q24&lt;$AG$6,Gear!$A24,$AB$42),$AB$42)))</f>
        <v>------------</v>
      </c>
      <c r="V27" s="261" t="str">
        <f>IF(Gear!$C24="",$AB$42,IF(Gear!$P24=0,$AB$42,IF(VLOOKUP(Gear!$C24,$AB$3:$AC$38,2,FALSE)=V$3,IF(Gear!$Q24&lt;$AG$6,Gear!$A24,$AB$42),$AB$42)))</f>
        <v>------------</v>
      </c>
      <c r="W27" s="254" t="str">
        <f>IF(Gear!$C24="",$AB$42,IF(Gear!$P24=0,$AB$42,IF(VLOOKUP(Gear!$C24,$AB$3:$AC$38,2,FALSE)=W$3,IF(Gear!$Q24&lt;$AG$6,Gear!$A24,$AB$42),$AB$42)))</f>
        <v>------------</v>
      </c>
      <c r="X27" s="261" t="str">
        <f>IF(Gear!$C24="",$AB$42,IF(Gear!$P24=0,$AB$42,IF(VLOOKUP(Gear!$C24,$AB$3:$AC$38,2,FALSE)=X$3,IF(Gear!$Q24&lt;$AG$6,Gear!$A24,$AB$42),$AB$42)))</f>
        <v>------------</v>
      </c>
      <c r="Y27" s="255" t="str">
        <f>IF(Gear!$C24="",$AB$42,IF(Gear!$P24=0,$AB$42,IF(VLOOKUP(Gear!$C24,$AB$3:$AC$38,2,FALSE)=Y$3,IF(Gear!$Q24&lt;$AG$6,Gear!$A24,$AB$42),$AB$42)))</f>
        <v>------------</v>
      </c>
      <c r="Z27" t="s">
        <v>158</v>
      </c>
      <c r="AB27" s="242" t="str">
        <f>'Short &amp; Simple'!H56</f>
        <v>Druid - Restoration</v>
      </c>
      <c r="AC27" s="263" t="s">
        <v>134</v>
      </c>
    </row>
    <row r="28" spans="2:29" ht="15">
      <c r="B28" t="s">
        <v>154</v>
      </c>
      <c r="C28" s="318" t="s">
        <v>159</v>
      </c>
      <c r="D28" s="320" t="s">
        <v>156</v>
      </c>
      <c r="E28" s="323" t="s">
        <v>159</v>
      </c>
      <c r="F28" s="320" t="s">
        <v>156</v>
      </c>
      <c r="G28" s="323" t="s">
        <v>159</v>
      </c>
      <c r="H28" s="320" t="s">
        <v>156</v>
      </c>
      <c r="I28" s="264" t="s">
        <v>159</v>
      </c>
      <c r="J28" t="s">
        <v>156</v>
      </c>
      <c r="K28" s="253" t="str">
        <f>IF(Gear!$C25="",$AB$42,IF(Gear!$P25=0,$AB$42,IF(VLOOKUP(Gear!$C25,$AB$3:$AC$38,2,FALSE)=K$3,IF(Gear!$Q25&lt;$AG$6,Gear!$A25,$AB$42),$AB$42)))</f>
        <v>------------</v>
      </c>
      <c r="L28" s="261" t="str">
        <f>IF(Gear!$C25="",$AB$42,IF(Gear!$P25=0,$AB$42,IF(VLOOKUP(Gear!$C25,$AB$3:$AC$38,2,FALSE)=L$3,IF(Gear!$Q25&lt;$AG$6,Gear!$A25,$AB$42),$AB$42)))</f>
        <v>------------</v>
      </c>
      <c r="M28" s="254" t="str">
        <f>IF(Gear!$C25="",$AB$42,IF(Gear!$P25=0,$AB$42,IF(VLOOKUP(Gear!$C25,$AB$3:$AC$38,2,FALSE)=M$3,IF(Gear!$Q25&lt;$AG$6,Gear!$A25,$AB$42),$AB$42)))</f>
        <v>------------</v>
      </c>
      <c r="N28" s="261" t="str">
        <f>IF(Gear!$C25="",$AB$42,IF(Gear!$P25=0,$AB$42,IF(VLOOKUP(Gear!$C25,$AB$3:$AC$38,2,FALSE)=N$3,IF(Gear!$Q25&lt;$AG$6,Gear!$A25,$AB$42),$AB$42)))</f>
        <v>------------</v>
      </c>
      <c r="O28" s="254" t="str">
        <f>IF(Gear!$C25="",$AB$42,IF(Gear!$P25=0,$AB$42,IF(VLOOKUP(Gear!$C25,$AB$3:$AC$38,2,FALSE)=O$3,IF(Gear!$Q25&lt;$AG$6,Gear!$A25,$AB$42),$AB$42)))</f>
        <v>------------</v>
      </c>
      <c r="P28" s="261" t="str">
        <f>IF(Gear!$C25="",$AB$42,IF(Gear!$P25=0,$AB$42,IF(VLOOKUP(Gear!$C25,$AB$3:$AC$38,2,FALSE)=P$3,IF(Gear!$Q25&lt;$AG$6,Gear!$A25,$AB$42),$AB$42)))</f>
        <v>------------</v>
      </c>
      <c r="Q28" s="254" t="str">
        <f>IF(Gear!$C25="",$AB$42,IF(Gear!$P25=0,$AB$42,IF(VLOOKUP(Gear!$C25,$AB$3:$AC$38,2,FALSE)=Q$3,IF(Gear!$Q25&lt;$AG$6,Gear!$A25,$AB$42),$AB$42)))</f>
        <v>------------</v>
      </c>
      <c r="R28" s="261" t="str">
        <f>IF(Gear!$C25="",$AB$42,IF(Gear!$P25=0,$AB$42,IF(VLOOKUP(Gear!$C25,$AB$3:$AC$38,2,FALSE)=R$3,IF(Gear!$Q25&lt;$AG$6,Gear!$A25,$AB$42),$AB$42)))</f>
        <v>------------</v>
      </c>
      <c r="S28" s="254" t="str">
        <f>IF(Gear!$C25="",$AB$42,IF(Gear!$P25=0,$AB$42,IF(VLOOKUP(Gear!$C25,$AB$3:$AC$38,2,FALSE)=S$3,IF(Gear!$Q25&lt;$AG$6,Gear!$A25,$AB$42),$AB$42)))</f>
        <v>------------</v>
      </c>
      <c r="T28" s="261" t="str">
        <f>IF(Gear!$C25="",$AB$42,IF(Gear!$P25=0,$AB$42,IF(VLOOKUP(Gear!$C25,$AB$3:$AC$38,2,FALSE)=T$3,IF(Gear!$Q25&lt;$AG$6,Gear!$A25,$AB$42),$AB$42)))</f>
        <v>------------</v>
      </c>
      <c r="U28" s="254" t="str">
        <f>IF(Gear!$C25="",$AB$42,IF(Gear!$P25=0,$AB$42,IF(VLOOKUP(Gear!$C25,$AB$3:$AC$38,2,FALSE)=U$3,IF(Gear!$Q25&lt;$AG$6,Gear!$A25,$AB$42),$AB$42)))</f>
        <v>------------</v>
      </c>
      <c r="V28" s="261" t="str">
        <f>IF(Gear!$C25="",$AB$42,IF(Gear!$P25=0,$AB$42,IF(VLOOKUP(Gear!$C25,$AB$3:$AC$38,2,FALSE)=V$3,IF(Gear!$Q25&lt;$AG$6,Gear!$A25,$AB$42),$AB$42)))</f>
        <v>------------</v>
      </c>
      <c r="W28" s="254" t="str">
        <f>IF(Gear!$C25="",$AB$42,IF(Gear!$P25=0,$AB$42,IF(VLOOKUP(Gear!$C25,$AB$3:$AC$38,2,FALSE)=W$3,IF(Gear!$Q25&lt;$AG$6,Gear!$A25,$AB$42),$AB$42)))</f>
        <v>------------</v>
      </c>
      <c r="X28" s="261" t="str">
        <f>IF(Gear!$C25="",$AB$42,IF(Gear!$P25=0,$AB$42,IF(VLOOKUP(Gear!$C25,$AB$3:$AC$38,2,FALSE)=X$3,IF(Gear!$Q25&lt;$AG$6,Gear!$A25,$AB$42),$AB$42)))</f>
        <v>------------</v>
      </c>
      <c r="Y28" s="255" t="str">
        <f>IF(Gear!$C25="",$AB$42,IF(Gear!$P25=0,$AB$42,IF(VLOOKUP(Gear!$C25,$AB$3:$AC$38,2,FALSE)=Y$3,IF(Gear!$Q25&lt;$AG$6,Gear!$A25,$AB$42),$AB$42)))</f>
        <v>------------</v>
      </c>
      <c r="Z28" t="s">
        <v>158</v>
      </c>
      <c r="AB28" s="242" t="str">
        <f>'Short &amp; Simple'!H57</f>
        <v>Monk - Mistweaver</v>
      </c>
      <c r="AC28" s="263" t="s">
        <v>134</v>
      </c>
    </row>
    <row r="29" spans="2:29" ht="15">
      <c r="B29" t="s">
        <v>154</v>
      </c>
      <c r="C29" s="318" t="s">
        <v>159</v>
      </c>
      <c r="D29" s="320" t="s">
        <v>156</v>
      </c>
      <c r="E29" s="323" t="s">
        <v>159</v>
      </c>
      <c r="F29" s="320" t="s">
        <v>156</v>
      </c>
      <c r="G29" s="323" t="s">
        <v>159</v>
      </c>
      <c r="H29" s="320" t="s">
        <v>156</v>
      </c>
      <c r="I29" s="264" t="s">
        <v>159</v>
      </c>
      <c r="J29" t="s">
        <v>156</v>
      </c>
      <c r="K29" s="253" t="str">
        <f>IF(Gear!$C26="",$AB$42,IF(Gear!$P26=0,$AB$42,IF(VLOOKUP(Gear!$C26,$AB$3:$AC$38,2,FALSE)=K$3,IF(Gear!$Q26&lt;$AG$6,Gear!$A26,$AB$42),$AB$42)))</f>
        <v>------------</v>
      </c>
      <c r="L29" s="261" t="str">
        <f>IF(Gear!$C26="",$AB$42,IF(Gear!$P26=0,$AB$42,IF(VLOOKUP(Gear!$C26,$AB$3:$AC$38,2,FALSE)=L$3,IF(Gear!$Q26&lt;$AG$6,Gear!$A26,$AB$42),$AB$42)))</f>
        <v>------------</v>
      </c>
      <c r="M29" s="254" t="str">
        <f>IF(Gear!$C26="",$AB$42,IF(Gear!$P26=0,$AB$42,IF(VLOOKUP(Gear!$C26,$AB$3:$AC$38,2,FALSE)=M$3,IF(Gear!$Q26&lt;$AG$6,Gear!$A26,$AB$42),$AB$42)))</f>
        <v>------------</v>
      </c>
      <c r="N29" s="261" t="str">
        <f>IF(Gear!$C26="",$AB$42,IF(Gear!$P26=0,$AB$42,IF(VLOOKUP(Gear!$C26,$AB$3:$AC$38,2,FALSE)=N$3,IF(Gear!$Q26&lt;$AG$6,Gear!$A26,$AB$42),$AB$42)))</f>
        <v>------------</v>
      </c>
      <c r="O29" s="254" t="str">
        <f>IF(Gear!$C26="",$AB$42,IF(Gear!$P26=0,$AB$42,IF(VLOOKUP(Gear!$C26,$AB$3:$AC$38,2,FALSE)=O$3,IF(Gear!$Q26&lt;$AG$6,Gear!$A26,$AB$42),$AB$42)))</f>
        <v>------------</v>
      </c>
      <c r="P29" s="261" t="str">
        <f>IF(Gear!$C26="",$AB$42,IF(Gear!$P26=0,$AB$42,IF(VLOOKUP(Gear!$C26,$AB$3:$AC$38,2,FALSE)=P$3,IF(Gear!$Q26&lt;$AG$6,Gear!$A26,$AB$42),$AB$42)))</f>
        <v>------------</v>
      </c>
      <c r="Q29" s="254" t="str">
        <f>IF(Gear!$C26="",$AB$42,IF(Gear!$P26=0,$AB$42,IF(VLOOKUP(Gear!$C26,$AB$3:$AC$38,2,FALSE)=Q$3,IF(Gear!$Q26&lt;$AG$6,Gear!$A26,$AB$42),$AB$42)))</f>
        <v>------------</v>
      </c>
      <c r="R29" s="261" t="str">
        <f>IF(Gear!$C26="",$AB$42,IF(Gear!$P26=0,$AB$42,IF(VLOOKUP(Gear!$C26,$AB$3:$AC$38,2,FALSE)=R$3,IF(Gear!$Q26&lt;$AG$6,Gear!$A26,$AB$42),$AB$42)))</f>
        <v>------------</v>
      </c>
      <c r="S29" s="254" t="str">
        <f>IF(Gear!$C26="",$AB$42,IF(Gear!$P26=0,$AB$42,IF(VLOOKUP(Gear!$C26,$AB$3:$AC$38,2,FALSE)=S$3,IF(Gear!$Q26&lt;$AG$6,Gear!$A26,$AB$42),$AB$42)))</f>
        <v>------------</v>
      </c>
      <c r="T29" s="261" t="str">
        <f>IF(Gear!$C26="",$AB$42,IF(Gear!$P26=0,$AB$42,IF(VLOOKUP(Gear!$C26,$AB$3:$AC$38,2,FALSE)=T$3,IF(Gear!$Q26&lt;$AG$6,Gear!$A26,$AB$42),$AB$42)))</f>
        <v>------------</v>
      </c>
      <c r="U29" s="254" t="str">
        <f>IF(Gear!$C26="",$AB$42,IF(Gear!$P26=0,$AB$42,IF(VLOOKUP(Gear!$C26,$AB$3:$AC$38,2,FALSE)=U$3,IF(Gear!$Q26&lt;$AG$6,Gear!$A26,$AB$42),$AB$42)))</f>
        <v>------------</v>
      </c>
      <c r="V29" s="261" t="str">
        <f>IF(Gear!$C26="",$AB$42,IF(Gear!$P26=0,$AB$42,IF(VLOOKUP(Gear!$C26,$AB$3:$AC$38,2,FALSE)=V$3,IF(Gear!$Q26&lt;$AG$6,Gear!$A26,$AB$42),$AB$42)))</f>
        <v>------------</v>
      </c>
      <c r="W29" s="254" t="str">
        <f>IF(Gear!$C26="",$AB$42,IF(Gear!$P26=0,$AB$42,IF(VLOOKUP(Gear!$C26,$AB$3:$AC$38,2,FALSE)=W$3,IF(Gear!$Q26&lt;$AG$6,Gear!$A26,$AB$42),$AB$42)))</f>
        <v>------------</v>
      </c>
      <c r="X29" s="261" t="str">
        <f>IF(Gear!$C26="",$AB$42,IF(Gear!$P26=0,$AB$42,IF(VLOOKUP(Gear!$C26,$AB$3:$AC$38,2,FALSE)=X$3,IF(Gear!$Q26&lt;$AG$6,Gear!$A26,$AB$42),$AB$42)))</f>
        <v>------------</v>
      </c>
      <c r="Y29" s="255" t="str">
        <f>IF(Gear!$C26="",$AB$42,IF(Gear!$P26=0,$AB$42,IF(VLOOKUP(Gear!$C26,$AB$3:$AC$38,2,FALSE)=Y$3,IF(Gear!$Q26&lt;$AG$6,Gear!$A26,$AB$42),$AB$42)))</f>
        <v>------------</v>
      </c>
      <c r="Z29" t="s">
        <v>158</v>
      </c>
      <c r="AB29" s="242" t="str">
        <f>'Short &amp; Simple'!H58</f>
        <v>Paladin - Holy</v>
      </c>
      <c r="AC29" s="263" t="s">
        <v>134</v>
      </c>
    </row>
    <row r="30" spans="2:29" ht="15">
      <c r="B30" t="s">
        <v>154</v>
      </c>
      <c r="C30" s="318" t="s">
        <v>159</v>
      </c>
      <c r="D30" s="320" t="s">
        <v>156</v>
      </c>
      <c r="E30" s="323" t="s">
        <v>159</v>
      </c>
      <c r="F30" s="320" t="s">
        <v>156</v>
      </c>
      <c r="G30" s="323" t="s">
        <v>159</v>
      </c>
      <c r="H30" s="320" t="s">
        <v>156</v>
      </c>
      <c r="I30" s="264" t="s">
        <v>159</v>
      </c>
      <c r="J30" t="s">
        <v>156</v>
      </c>
      <c r="K30" s="253" t="str">
        <f>IF(Gear!$C27="",$AB$42,IF(Gear!$P27=0,$AB$42,IF(VLOOKUP(Gear!$C27,$AB$3:$AC$38,2,FALSE)=K$3,IF(Gear!$Q27&lt;$AG$6,Gear!$A27,$AB$42),$AB$42)))</f>
        <v>------------</v>
      </c>
      <c r="L30" s="261" t="str">
        <f>IF(Gear!$C27="",$AB$42,IF(Gear!$P27=0,$AB$42,IF(VLOOKUP(Gear!$C27,$AB$3:$AC$38,2,FALSE)=L$3,IF(Gear!$Q27&lt;$AG$6,Gear!$A27,$AB$42),$AB$42)))</f>
        <v>------------</v>
      </c>
      <c r="M30" s="254" t="str">
        <f>IF(Gear!$C27="",$AB$42,IF(Gear!$P27=0,$AB$42,IF(VLOOKUP(Gear!$C27,$AB$3:$AC$38,2,FALSE)=M$3,IF(Gear!$Q27&lt;$AG$6,Gear!$A27,$AB$42),$AB$42)))</f>
        <v>------------</v>
      </c>
      <c r="N30" s="261" t="str">
        <f>IF(Gear!$C27="",$AB$42,IF(Gear!$P27=0,$AB$42,IF(VLOOKUP(Gear!$C27,$AB$3:$AC$38,2,FALSE)=N$3,IF(Gear!$Q27&lt;$AG$6,Gear!$A27,$AB$42),$AB$42)))</f>
        <v>------------</v>
      </c>
      <c r="O30" s="254" t="str">
        <f>IF(Gear!$C27="",$AB$42,IF(Gear!$P27=0,$AB$42,IF(VLOOKUP(Gear!$C27,$AB$3:$AC$38,2,FALSE)=O$3,IF(Gear!$Q27&lt;$AG$6,Gear!$A27,$AB$42),$AB$42)))</f>
        <v>------------</v>
      </c>
      <c r="P30" s="261" t="str">
        <f>IF(Gear!$C27="",$AB$42,IF(Gear!$P27=0,$AB$42,IF(VLOOKUP(Gear!$C27,$AB$3:$AC$38,2,FALSE)=P$3,IF(Gear!$Q27&lt;$AG$6,Gear!$A27,$AB$42),$AB$42)))</f>
        <v>------------</v>
      </c>
      <c r="Q30" s="254" t="str">
        <f>IF(Gear!$C27="",$AB$42,IF(Gear!$P27=0,$AB$42,IF(VLOOKUP(Gear!$C27,$AB$3:$AC$38,2,FALSE)=Q$3,IF(Gear!$Q27&lt;$AG$6,Gear!$A27,$AB$42),$AB$42)))</f>
        <v>------------</v>
      </c>
      <c r="R30" s="261" t="str">
        <f>IF(Gear!$C27="",$AB$42,IF(Gear!$P27=0,$AB$42,IF(VLOOKUP(Gear!$C27,$AB$3:$AC$38,2,FALSE)=R$3,IF(Gear!$Q27&lt;$AG$6,Gear!$A27,$AB$42),$AB$42)))</f>
        <v>------------</v>
      </c>
      <c r="S30" s="254" t="str">
        <f>IF(Gear!$C27="",$AB$42,IF(Gear!$P27=0,$AB$42,IF(VLOOKUP(Gear!$C27,$AB$3:$AC$38,2,FALSE)=S$3,IF(Gear!$Q27&lt;$AG$6,Gear!$A27,$AB$42),$AB$42)))</f>
        <v>------------</v>
      </c>
      <c r="T30" s="261" t="str">
        <f>IF(Gear!$C27="",$AB$42,IF(Gear!$P27=0,$AB$42,IF(VLOOKUP(Gear!$C27,$AB$3:$AC$38,2,FALSE)=T$3,IF(Gear!$Q27&lt;$AG$6,Gear!$A27,$AB$42),$AB$42)))</f>
        <v>------------</v>
      </c>
      <c r="U30" s="254" t="str">
        <f>IF(Gear!$C27="",$AB$42,IF(Gear!$P27=0,$AB$42,IF(VLOOKUP(Gear!$C27,$AB$3:$AC$38,2,FALSE)=U$3,IF(Gear!$Q27&lt;$AG$6,Gear!$A27,$AB$42),$AB$42)))</f>
        <v>------------</v>
      </c>
      <c r="V30" s="261" t="str">
        <f>IF(Gear!$C27="",$AB$42,IF(Gear!$P27=0,$AB$42,IF(VLOOKUP(Gear!$C27,$AB$3:$AC$38,2,FALSE)=V$3,IF(Gear!$Q27&lt;$AG$6,Gear!$A27,$AB$42),$AB$42)))</f>
        <v>------------</v>
      </c>
      <c r="W30" s="254" t="str">
        <f>IF(Gear!$C27="",$AB$42,IF(Gear!$P27=0,$AB$42,IF(VLOOKUP(Gear!$C27,$AB$3:$AC$38,2,FALSE)=W$3,IF(Gear!$Q27&lt;$AG$6,Gear!$A27,$AB$42),$AB$42)))</f>
        <v>------------</v>
      </c>
      <c r="X30" s="261" t="str">
        <f>IF(Gear!$C27="",$AB$42,IF(Gear!$P27=0,$AB$42,IF(VLOOKUP(Gear!$C27,$AB$3:$AC$38,2,FALSE)=X$3,IF(Gear!$Q27&lt;$AG$6,Gear!$A27,$AB$42),$AB$42)))</f>
        <v>------------</v>
      </c>
      <c r="Y30" s="255" t="str">
        <f>IF(Gear!$C27="",$AB$42,IF(Gear!$P27=0,$AB$42,IF(VLOOKUP(Gear!$C27,$AB$3:$AC$38,2,FALSE)=Y$3,IF(Gear!$Q27&lt;$AG$6,Gear!$A27,$AB$42),$AB$42)))</f>
        <v>------------</v>
      </c>
      <c r="Z30" t="s">
        <v>158</v>
      </c>
      <c r="AB30" s="242" t="str">
        <f>'Short &amp; Simple'!H59</f>
        <v>Priest - Discipline</v>
      </c>
      <c r="AC30" s="263" t="s">
        <v>134</v>
      </c>
    </row>
    <row r="31" spans="2:29" ht="15">
      <c r="B31" t="s">
        <v>154</v>
      </c>
      <c r="C31" s="318" t="s">
        <v>159</v>
      </c>
      <c r="D31" s="320" t="s">
        <v>156</v>
      </c>
      <c r="E31" s="323" t="s">
        <v>159</v>
      </c>
      <c r="F31" s="320" t="s">
        <v>156</v>
      </c>
      <c r="G31" s="323" t="s">
        <v>159</v>
      </c>
      <c r="H31" s="320" t="s">
        <v>156</v>
      </c>
      <c r="I31" s="264" t="s">
        <v>159</v>
      </c>
      <c r="J31" t="s">
        <v>156</v>
      </c>
      <c r="K31" s="253" t="str">
        <f>IF(Gear!$C28="",$AB$42,IF(Gear!$P28=0,$AB$42,IF(VLOOKUP(Gear!$C28,$AB$3:$AC$38,2,FALSE)=K$3,IF(Gear!$Q28&lt;$AG$6,Gear!$A28,$AB$42),$AB$42)))</f>
        <v>------------</v>
      </c>
      <c r="L31" s="261" t="str">
        <f>IF(Gear!$C28="",$AB$42,IF(Gear!$P28=0,$AB$42,IF(VLOOKUP(Gear!$C28,$AB$3:$AC$38,2,FALSE)=L$3,IF(Gear!$Q28&lt;$AG$6,Gear!$A28,$AB$42),$AB$42)))</f>
        <v>------------</v>
      </c>
      <c r="M31" s="254" t="str">
        <f>IF(Gear!$C28="",$AB$42,IF(Gear!$P28=0,$AB$42,IF(VLOOKUP(Gear!$C28,$AB$3:$AC$38,2,FALSE)=M$3,IF(Gear!$Q28&lt;$AG$6,Gear!$A28,$AB$42),$AB$42)))</f>
        <v>------------</v>
      </c>
      <c r="N31" s="261" t="str">
        <f>IF(Gear!$C28="",$AB$42,IF(Gear!$P28=0,$AB$42,IF(VLOOKUP(Gear!$C28,$AB$3:$AC$38,2,FALSE)=N$3,IF(Gear!$Q28&lt;$AG$6,Gear!$A28,$AB$42),$AB$42)))</f>
        <v>------------</v>
      </c>
      <c r="O31" s="254" t="str">
        <f>IF(Gear!$C28="",$AB$42,IF(Gear!$P28=0,$AB$42,IF(VLOOKUP(Gear!$C28,$AB$3:$AC$38,2,FALSE)=O$3,IF(Gear!$Q28&lt;$AG$6,Gear!$A28,$AB$42),$AB$42)))</f>
        <v>------------</v>
      </c>
      <c r="P31" s="261" t="str">
        <f>IF(Gear!$C28="",$AB$42,IF(Gear!$P28=0,$AB$42,IF(VLOOKUP(Gear!$C28,$AB$3:$AC$38,2,FALSE)=P$3,IF(Gear!$Q28&lt;$AG$6,Gear!$A28,$AB$42),$AB$42)))</f>
        <v>------------</v>
      </c>
      <c r="Q31" s="254" t="str">
        <f>IF(Gear!$C28="",$AB$42,IF(Gear!$P28=0,$AB$42,IF(VLOOKUP(Gear!$C28,$AB$3:$AC$38,2,FALSE)=Q$3,IF(Gear!$Q28&lt;$AG$6,Gear!$A28,$AB$42),$AB$42)))</f>
        <v>------------</v>
      </c>
      <c r="R31" s="261" t="str">
        <f>IF(Gear!$C28="",$AB$42,IF(Gear!$P28=0,$AB$42,IF(VLOOKUP(Gear!$C28,$AB$3:$AC$38,2,FALSE)=R$3,IF(Gear!$Q28&lt;$AG$6,Gear!$A28,$AB$42),$AB$42)))</f>
        <v>------------</v>
      </c>
      <c r="S31" s="254" t="str">
        <f>IF(Gear!$C28="",$AB$42,IF(Gear!$P28=0,$AB$42,IF(VLOOKUP(Gear!$C28,$AB$3:$AC$38,2,FALSE)=S$3,IF(Gear!$Q28&lt;$AG$6,Gear!$A28,$AB$42),$AB$42)))</f>
        <v>------------</v>
      </c>
      <c r="T31" s="261" t="str">
        <f>IF(Gear!$C28="",$AB$42,IF(Gear!$P28=0,$AB$42,IF(VLOOKUP(Gear!$C28,$AB$3:$AC$38,2,FALSE)=T$3,IF(Gear!$Q28&lt;$AG$6,Gear!$A28,$AB$42),$AB$42)))</f>
        <v>------------</v>
      </c>
      <c r="U31" s="254" t="str">
        <f>IF(Gear!$C28="",$AB$42,IF(Gear!$P28=0,$AB$42,IF(VLOOKUP(Gear!$C28,$AB$3:$AC$38,2,FALSE)=U$3,IF(Gear!$Q28&lt;$AG$6,Gear!$A28,$AB$42),$AB$42)))</f>
        <v>------------</v>
      </c>
      <c r="V31" s="261" t="str">
        <f>IF(Gear!$C28="",$AB$42,IF(Gear!$P28=0,$AB$42,IF(VLOOKUP(Gear!$C28,$AB$3:$AC$38,2,FALSE)=V$3,IF(Gear!$Q28&lt;$AG$6,Gear!$A28,$AB$42),$AB$42)))</f>
        <v>------------</v>
      </c>
      <c r="W31" s="254" t="str">
        <f>IF(Gear!$C28="",$AB$42,IF(Gear!$P28=0,$AB$42,IF(VLOOKUP(Gear!$C28,$AB$3:$AC$38,2,FALSE)=W$3,IF(Gear!$Q28&lt;$AG$6,Gear!$A28,$AB$42),$AB$42)))</f>
        <v>------------</v>
      </c>
      <c r="X31" s="261" t="str">
        <f>IF(Gear!$C28="",$AB$42,IF(Gear!$P28=0,$AB$42,IF(VLOOKUP(Gear!$C28,$AB$3:$AC$38,2,FALSE)=X$3,IF(Gear!$Q28&lt;$AG$6,Gear!$A28,$AB$42),$AB$42)))</f>
        <v>------------</v>
      </c>
      <c r="Y31" s="255" t="str">
        <f>IF(Gear!$C28="",$AB$42,IF(Gear!$P28=0,$AB$42,IF(VLOOKUP(Gear!$C28,$AB$3:$AC$38,2,FALSE)=Y$3,IF(Gear!$Q28&lt;$AG$6,Gear!$A28,$AB$42),$AB$42)))</f>
        <v>------------</v>
      </c>
      <c r="Z31" t="s">
        <v>158</v>
      </c>
      <c r="AB31" s="242" t="str">
        <f>'Short &amp; Simple'!H60</f>
        <v>Priest - Holy</v>
      </c>
      <c r="AC31" s="263" t="s">
        <v>134</v>
      </c>
    </row>
    <row r="32" spans="2:29" ht="15.75" thickBot="1">
      <c r="B32" t="s">
        <v>154</v>
      </c>
      <c r="C32" s="318" t="s">
        <v>159</v>
      </c>
      <c r="D32" s="320" t="s">
        <v>156</v>
      </c>
      <c r="E32" s="323" t="s">
        <v>159</v>
      </c>
      <c r="F32" s="320" t="s">
        <v>156</v>
      </c>
      <c r="G32" s="323" t="s">
        <v>159</v>
      </c>
      <c r="H32" s="320" t="s">
        <v>156</v>
      </c>
      <c r="I32" s="264" t="s">
        <v>159</v>
      </c>
      <c r="J32" t="s">
        <v>156</v>
      </c>
      <c r="K32" s="253" t="str">
        <f>IF(Gear!$C29="",$AB$42,IF(Gear!$P29=0,$AB$42,IF(VLOOKUP(Gear!$C29,$AB$3:$AC$38,2,FALSE)=K$3,IF(Gear!$Q29&lt;$AG$6,Gear!$A29,$AB$42),$AB$42)))</f>
        <v>------------</v>
      </c>
      <c r="L32" s="261" t="str">
        <f>IF(Gear!$C29="",$AB$42,IF(Gear!$P29=0,$AB$42,IF(VLOOKUP(Gear!$C29,$AB$3:$AC$38,2,FALSE)=L$3,IF(Gear!$Q29&lt;$AG$6,Gear!$A29,$AB$42),$AB$42)))</f>
        <v>------------</v>
      </c>
      <c r="M32" s="254" t="str">
        <f>IF(Gear!$C29="",$AB$42,IF(Gear!$P29=0,$AB$42,IF(VLOOKUP(Gear!$C29,$AB$3:$AC$38,2,FALSE)=M$3,IF(Gear!$Q29&lt;$AG$6,Gear!$A29,$AB$42),$AB$42)))</f>
        <v>------------</v>
      </c>
      <c r="N32" s="261" t="str">
        <f>IF(Gear!$C29="",$AB$42,IF(Gear!$P29=0,$AB$42,IF(VLOOKUP(Gear!$C29,$AB$3:$AC$38,2,FALSE)=N$3,IF(Gear!$Q29&lt;$AG$6,Gear!$A29,$AB$42),$AB$42)))</f>
        <v>------------</v>
      </c>
      <c r="O32" s="254" t="str">
        <f>IF(Gear!$C29="",$AB$42,IF(Gear!$P29=0,$AB$42,IF(VLOOKUP(Gear!$C29,$AB$3:$AC$38,2,FALSE)=O$3,IF(Gear!$Q29&lt;$AG$6,Gear!$A29,$AB$42),$AB$42)))</f>
        <v>------------</v>
      </c>
      <c r="P32" s="261" t="str">
        <f>IF(Gear!$C29="",$AB$42,IF(Gear!$P29=0,$AB$42,IF(VLOOKUP(Gear!$C29,$AB$3:$AC$38,2,FALSE)=P$3,IF(Gear!$Q29&lt;$AG$6,Gear!$A29,$AB$42),$AB$42)))</f>
        <v>------------</v>
      </c>
      <c r="Q32" s="254" t="str">
        <f>IF(Gear!$C29="",$AB$42,IF(Gear!$P29=0,$AB$42,IF(VLOOKUP(Gear!$C29,$AB$3:$AC$38,2,FALSE)=Q$3,IF(Gear!$Q29&lt;$AG$6,Gear!$A29,$AB$42),$AB$42)))</f>
        <v>------------</v>
      </c>
      <c r="R32" s="261" t="str">
        <f>IF(Gear!$C29="",$AB$42,IF(Gear!$P29=0,$AB$42,IF(VLOOKUP(Gear!$C29,$AB$3:$AC$38,2,FALSE)=R$3,IF(Gear!$Q29&lt;$AG$6,Gear!$A29,$AB$42),$AB$42)))</f>
        <v>------------</v>
      </c>
      <c r="S32" s="254" t="str">
        <f>IF(Gear!$C29="",$AB$42,IF(Gear!$P29=0,$AB$42,IF(VLOOKUP(Gear!$C29,$AB$3:$AC$38,2,FALSE)=S$3,IF(Gear!$Q29&lt;$AG$6,Gear!$A29,$AB$42),$AB$42)))</f>
        <v>------------</v>
      </c>
      <c r="T32" s="261" t="str">
        <f>IF(Gear!$C29="",$AB$42,IF(Gear!$P29=0,$AB$42,IF(VLOOKUP(Gear!$C29,$AB$3:$AC$38,2,FALSE)=T$3,IF(Gear!$Q29&lt;$AG$6,Gear!$A29,$AB$42),$AB$42)))</f>
        <v>------------</v>
      </c>
      <c r="U32" s="254" t="str">
        <f>IF(Gear!$C29="",$AB$42,IF(Gear!$P29=0,$AB$42,IF(VLOOKUP(Gear!$C29,$AB$3:$AC$38,2,FALSE)=U$3,IF(Gear!$Q29&lt;$AG$6,Gear!$A29,$AB$42),$AB$42)))</f>
        <v>------------</v>
      </c>
      <c r="V32" s="261" t="str">
        <f>IF(Gear!$C29="",$AB$42,IF(Gear!$P29=0,$AB$42,IF(VLOOKUP(Gear!$C29,$AB$3:$AC$38,2,FALSE)=V$3,IF(Gear!$Q29&lt;$AG$6,Gear!$A29,$AB$42),$AB$42)))</f>
        <v>------------</v>
      </c>
      <c r="W32" s="254" t="str">
        <f>IF(Gear!$C29="",$AB$42,IF(Gear!$P29=0,$AB$42,IF(VLOOKUP(Gear!$C29,$AB$3:$AC$38,2,FALSE)=W$3,IF(Gear!$Q29&lt;$AG$6,Gear!$A29,$AB$42),$AB$42)))</f>
        <v>------------</v>
      </c>
      <c r="X32" s="261" t="str">
        <f>IF(Gear!$C29="",$AB$42,IF(Gear!$P29=0,$AB$42,IF(VLOOKUP(Gear!$C29,$AB$3:$AC$38,2,FALSE)=X$3,IF(Gear!$Q29&lt;$AG$6,Gear!$A29,$AB$42),$AB$42)))</f>
        <v>------------</v>
      </c>
      <c r="Y32" s="255" t="str">
        <f>IF(Gear!$C29="",$AB$42,IF(Gear!$P29=0,$AB$42,IF(VLOOKUP(Gear!$C29,$AB$3:$AC$38,2,FALSE)=Y$3,IF(Gear!$Q29&lt;$AG$6,Gear!$A29,$AB$42),$AB$42)))</f>
        <v>------------</v>
      </c>
      <c r="Z32" t="s">
        <v>158</v>
      </c>
      <c r="AB32" s="242" t="str">
        <f>'Short &amp; Simple'!H61</f>
        <v>Shaman - Restoration</v>
      </c>
      <c r="AC32" s="263" t="s">
        <v>134</v>
      </c>
    </row>
    <row r="33" spans="2:29" ht="16.5" thickTop="1" thickBot="1">
      <c r="B33" t="s">
        <v>154</v>
      </c>
      <c r="C33" s="318" t="s">
        <v>161</v>
      </c>
      <c r="D33" s="320" t="s">
        <v>156</v>
      </c>
      <c r="E33" s="323" t="s">
        <v>161</v>
      </c>
      <c r="F33" s="320" t="s">
        <v>156</v>
      </c>
      <c r="G33" s="323" t="s">
        <v>161</v>
      </c>
      <c r="H33" s="320" t="s">
        <v>156</v>
      </c>
      <c r="I33" s="264" t="s">
        <v>161</v>
      </c>
      <c r="J33" t="s">
        <v>156</v>
      </c>
      <c r="K33" s="253" t="str">
        <f>IF(Gear!$C30="",$AB$42,IF(Gear!$P30=0,$AB$42,IF(VLOOKUP(Gear!$C30,$AB$3:$AC$38,2,FALSE)=K$3,IF(Gear!$Q30&lt;$AG$6,Gear!$A30,$AB$42),$AB$42)))</f>
        <v>------------</v>
      </c>
      <c r="L33" s="261" t="str">
        <f>IF(Gear!$C30="",$AB$42,IF(Gear!$P30=0,$AB$42,IF(VLOOKUP(Gear!$C30,$AB$3:$AC$38,2,FALSE)=L$3,IF(Gear!$Q30&lt;$AG$6,Gear!$A30,$AB$42),$AB$42)))</f>
        <v>------------</v>
      </c>
      <c r="M33" s="254" t="str">
        <f>IF(Gear!$C30="",$AB$42,IF(Gear!$P30=0,$AB$42,IF(VLOOKUP(Gear!$C30,$AB$3:$AC$38,2,FALSE)=M$3,IF(Gear!$Q30&lt;$AG$6,Gear!$A30,$AB$42),$AB$42)))</f>
        <v>------------</v>
      </c>
      <c r="N33" s="261" t="str">
        <f>IF(Gear!$C30="",$AB$42,IF(Gear!$P30=0,$AB$42,IF(VLOOKUP(Gear!$C30,$AB$3:$AC$38,2,FALSE)=N$3,IF(Gear!$Q30&lt;$AG$6,Gear!$A30,$AB$42),$AB$42)))</f>
        <v>------------</v>
      </c>
      <c r="O33" s="254" t="str">
        <f>IF(Gear!$C30="",$AB$42,IF(Gear!$P30=0,$AB$42,IF(VLOOKUP(Gear!$C30,$AB$3:$AC$38,2,FALSE)=O$3,IF(Gear!$Q30&lt;$AG$6,Gear!$A30,$AB$42),$AB$42)))</f>
        <v>------------</v>
      </c>
      <c r="P33" s="261" t="str">
        <f>IF(Gear!$C30="",$AB$42,IF(Gear!$P30=0,$AB$42,IF(VLOOKUP(Gear!$C30,$AB$3:$AC$38,2,FALSE)=P$3,IF(Gear!$Q30&lt;$AG$6,Gear!$A30,$AB$42),$AB$42)))</f>
        <v>------------</v>
      </c>
      <c r="Q33" s="254" t="str">
        <f>IF(Gear!$C30="",$AB$42,IF(Gear!$P30=0,$AB$42,IF(VLOOKUP(Gear!$C30,$AB$3:$AC$38,2,FALSE)=Q$3,IF(Gear!$Q30&lt;$AG$6,Gear!$A30,$AB$42),$AB$42)))</f>
        <v>------------</v>
      </c>
      <c r="R33" s="261" t="str">
        <f>IF(Gear!$C30="",$AB$42,IF(Gear!$P30=0,$AB$42,IF(VLOOKUP(Gear!$C30,$AB$3:$AC$38,2,FALSE)=R$3,IF(Gear!$Q30&lt;$AG$6,Gear!$A30,$AB$42),$AB$42)))</f>
        <v>------------</v>
      </c>
      <c r="S33" s="254" t="str">
        <f>IF(Gear!$C30="",$AB$42,IF(Gear!$P30=0,$AB$42,IF(VLOOKUP(Gear!$C30,$AB$3:$AC$38,2,FALSE)=S$3,IF(Gear!$Q30&lt;$AG$6,Gear!$A30,$AB$42),$AB$42)))</f>
        <v>------------</v>
      </c>
      <c r="T33" s="261" t="str">
        <f>IF(Gear!$C30="",$AB$42,IF(Gear!$P30=0,$AB$42,IF(VLOOKUP(Gear!$C30,$AB$3:$AC$38,2,FALSE)=T$3,IF(Gear!$Q30&lt;$AG$6,Gear!$A30,$AB$42),$AB$42)))</f>
        <v>------------</v>
      </c>
      <c r="U33" s="254" t="str">
        <f>IF(Gear!$C30="",$AB$42,IF(Gear!$P30=0,$AB$42,IF(VLOOKUP(Gear!$C30,$AB$3:$AC$38,2,FALSE)=U$3,IF(Gear!$Q30&lt;$AG$6,Gear!$A30,$AB$42),$AB$42)))</f>
        <v>------------</v>
      </c>
      <c r="V33" s="261" t="str">
        <f>IF(Gear!$C30="",$AB$42,IF(Gear!$P30=0,$AB$42,IF(VLOOKUP(Gear!$C30,$AB$3:$AC$38,2,FALSE)=V$3,IF(Gear!$Q30&lt;$AG$6,Gear!$A30,$AB$42),$AB$42)))</f>
        <v>------------</v>
      </c>
      <c r="W33" s="254" t="str">
        <f>IF(Gear!$C30="",$AB$42,IF(Gear!$P30=0,$AB$42,IF(VLOOKUP(Gear!$C30,$AB$3:$AC$38,2,FALSE)=W$3,IF(Gear!$Q30&lt;$AG$6,Gear!$A30,$AB$42),$AB$42)))</f>
        <v>------------</v>
      </c>
      <c r="X33" s="261" t="str">
        <f>IF(Gear!$C30="",$AB$42,IF(Gear!$P30=0,$AB$42,IF(VLOOKUP(Gear!$C30,$AB$3:$AC$38,2,FALSE)=X$3,IF(Gear!$Q30&lt;$AG$6,Gear!$A30,$AB$42),$AB$42)))</f>
        <v>------------</v>
      </c>
      <c r="Y33" s="255" t="str">
        <f>IF(Gear!$C30="",$AB$42,IF(Gear!$P30=0,$AB$42,IF(VLOOKUP(Gear!$C30,$AB$3:$AC$38,2,FALSE)=Y$3,IF(Gear!$Q30&lt;$AG$6,Gear!$A30,$AB$42),$AB$42)))</f>
        <v>------------</v>
      </c>
      <c r="Z33" t="s">
        <v>158</v>
      </c>
      <c r="AB33" s="495" t="str">
        <f>'Short &amp; Simple'!H62</f>
        <v>TANK DPS (Doesn't Matter)</v>
      </c>
      <c r="AC33" s="496"/>
    </row>
    <row r="34" spans="2:29" ht="15.75" thickTop="1">
      <c r="B34" t="s">
        <v>154</v>
      </c>
      <c r="C34" s="318" t="s">
        <v>159</v>
      </c>
      <c r="D34" s="320" t="s">
        <v>156</v>
      </c>
      <c r="E34" s="323" t="s">
        <v>159</v>
      </c>
      <c r="F34" s="320" t="s">
        <v>156</v>
      </c>
      <c r="G34" s="323" t="s">
        <v>159</v>
      </c>
      <c r="H34" s="320" t="s">
        <v>156</v>
      </c>
      <c r="I34" s="264" t="s">
        <v>159</v>
      </c>
      <c r="J34" t="s">
        <v>156</v>
      </c>
      <c r="K34" s="253" t="str">
        <f>IF(Gear!$C31="",$AB$42,IF(Gear!$P31=0,$AB$42,IF(VLOOKUP(Gear!$C31,$AB$3:$AC$38,2,FALSE)=K$3,IF(Gear!$Q31&lt;$AG$6,Gear!$A31,$AB$42),$AB$42)))</f>
        <v>------------</v>
      </c>
      <c r="L34" s="261" t="str">
        <f>IF(Gear!$C31="",$AB$42,IF(Gear!$P31=0,$AB$42,IF(VLOOKUP(Gear!$C31,$AB$3:$AC$38,2,FALSE)=L$3,IF(Gear!$Q31&lt;$AG$6,Gear!$A31,$AB$42),$AB$42)))</f>
        <v>------------</v>
      </c>
      <c r="M34" s="254" t="str">
        <f>IF(Gear!$C31="",$AB$42,IF(Gear!$P31=0,$AB$42,IF(VLOOKUP(Gear!$C31,$AB$3:$AC$38,2,FALSE)=M$3,IF(Gear!$Q31&lt;$AG$6,Gear!$A31,$AB$42),$AB$42)))</f>
        <v>------------</v>
      </c>
      <c r="N34" s="261" t="str">
        <f>IF(Gear!$C31="",$AB$42,IF(Gear!$P31=0,$AB$42,IF(VLOOKUP(Gear!$C31,$AB$3:$AC$38,2,FALSE)=N$3,IF(Gear!$Q31&lt;$AG$6,Gear!$A31,$AB$42),$AB$42)))</f>
        <v>------------</v>
      </c>
      <c r="O34" s="254" t="str">
        <f>IF(Gear!$C31="",$AB$42,IF(Gear!$P31=0,$AB$42,IF(VLOOKUP(Gear!$C31,$AB$3:$AC$38,2,FALSE)=O$3,IF(Gear!$Q31&lt;$AG$6,Gear!$A31,$AB$42),$AB$42)))</f>
        <v>------------</v>
      </c>
      <c r="P34" s="261" t="str">
        <f>IF(Gear!$C31="",$AB$42,IF(Gear!$P31=0,$AB$42,IF(VLOOKUP(Gear!$C31,$AB$3:$AC$38,2,FALSE)=P$3,IF(Gear!$Q31&lt;$AG$6,Gear!$A31,$AB$42),$AB$42)))</f>
        <v>------------</v>
      </c>
      <c r="Q34" s="254" t="str">
        <f>IF(Gear!$C31="",$AB$42,IF(Gear!$P31=0,$AB$42,IF(VLOOKUP(Gear!$C31,$AB$3:$AC$38,2,FALSE)=Q$3,IF(Gear!$Q31&lt;$AG$6,Gear!$A31,$AB$42),$AB$42)))</f>
        <v>------------</v>
      </c>
      <c r="R34" s="261" t="str">
        <f>IF(Gear!$C31="",$AB$42,IF(Gear!$P31=0,$AB$42,IF(VLOOKUP(Gear!$C31,$AB$3:$AC$38,2,FALSE)=R$3,IF(Gear!$Q31&lt;$AG$6,Gear!$A31,$AB$42),$AB$42)))</f>
        <v>------------</v>
      </c>
      <c r="S34" s="254" t="str">
        <f>IF(Gear!$C31="",$AB$42,IF(Gear!$P31=0,$AB$42,IF(VLOOKUP(Gear!$C31,$AB$3:$AC$38,2,FALSE)=S$3,IF(Gear!$Q31&lt;$AG$6,Gear!$A31,$AB$42),$AB$42)))</f>
        <v>------------</v>
      </c>
      <c r="T34" s="261" t="str">
        <f>IF(Gear!$C31="",$AB$42,IF(Gear!$P31=0,$AB$42,IF(VLOOKUP(Gear!$C31,$AB$3:$AC$38,2,FALSE)=T$3,IF(Gear!$Q31&lt;$AG$6,Gear!$A31,$AB$42),$AB$42)))</f>
        <v>------------</v>
      </c>
      <c r="U34" s="254" t="str">
        <f>IF(Gear!$C31="",$AB$42,IF(Gear!$P31=0,$AB$42,IF(VLOOKUP(Gear!$C31,$AB$3:$AC$38,2,FALSE)=U$3,IF(Gear!$Q31&lt;$AG$6,Gear!$A31,$AB$42),$AB$42)))</f>
        <v>------------</v>
      </c>
      <c r="V34" s="261" t="str">
        <f>IF(Gear!$C31="",$AB$42,IF(Gear!$P31=0,$AB$42,IF(VLOOKUP(Gear!$C31,$AB$3:$AC$38,2,FALSE)=V$3,IF(Gear!$Q31&lt;$AG$6,Gear!$A31,$AB$42),$AB$42)))</f>
        <v>------------</v>
      </c>
      <c r="W34" s="254" t="str">
        <f>IF(Gear!$C31="",$AB$42,IF(Gear!$P31=0,$AB$42,IF(VLOOKUP(Gear!$C31,$AB$3:$AC$38,2,FALSE)=W$3,IF(Gear!$Q31&lt;$AG$6,Gear!$A31,$AB$42),$AB$42)))</f>
        <v>------------</v>
      </c>
      <c r="X34" s="261" t="str">
        <f>IF(Gear!$C31="",$AB$42,IF(Gear!$P31=0,$AB$42,IF(VLOOKUP(Gear!$C31,$AB$3:$AC$38,2,FALSE)=X$3,IF(Gear!$Q31&lt;$AG$6,Gear!$A31,$AB$42),$AB$42)))</f>
        <v>------------</v>
      </c>
      <c r="Y34" s="255" t="str">
        <f>IF(Gear!$C31="",$AB$42,IF(Gear!$P31=0,$AB$42,IF(VLOOKUP(Gear!$C31,$AB$3:$AC$38,2,FALSE)=Y$3,IF(Gear!$Q31&lt;$AG$6,Gear!$A31,$AB$42),$AB$42)))</f>
        <v>------------</v>
      </c>
      <c r="Z34" t="s">
        <v>158</v>
      </c>
      <c r="AB34" s="242" t="str">
        <f>'Short &amp; Simple'!H63</f>
        <v>Death Knight - Blood</v>
      </c>
      <c r="AC34" s="263" t="s">
        <v>134</v>
      </c>
    </row>
    <row r="35" spans="2:29" ht="15">
      <c r="B35" t="s">
        <v>154</v>
      </c>
      <c r="C35" s="318" t="s">
        <v>159</v>
      </c>
      <c r="D35" s="320" t="s">
        <v>156</v>
      </c>
      <c r="E35" s="323" t="s">
        <v>159</v>
      </c>
      <c r="F35" s="320" t="s">
        <v>156</v>
      </c>
      <c r="G35" s="323" t="s">
        <v>159</v>
      </c>
      <c r="H35" s="320" t="s">
        <v>156</v>
      </c>
      <c r="I35" s="264" t="s">
        <v>159</v>
      </c>
      <c r="J35" t="s">
        <v>156</v>
      </c>
      <c r="K35" s="253" t="str">
        <f>IF(Gear!$C32="",$AB$42,IF(Gear!$P32=0,$AB$42,IF(VLOOKUP(Gear!$C32,$AB$3:$AC$38,2,FALSE)=K$3,IF(Gear!$Q32&lt;$AG$6,Gear!$A32,$AB$42),$AB$42)))</f>
        <v>------------</v>
      </c>
      <c r="L35" s="261" t="str">
        <f>IF(Gear!$C32="",$AB$42,IF(Gear!$P32=0,$AB$42,IF(VLOOKUP(Gear!$C32,$AB$3:$AC$38,2,FALSE)=L$3,IF(Gear!$Q32&lt;$AG$6,Gear!$A32,$AB$42),$AB$42)))</f>
        <v>------------</v>
      </c>
      <c r="M35" s="254" t="str">
        <f>IF(Gear!$C32="",$AB$42,IF(Gear!$P32=0,$AB$42,IF(VLOOKUP(Gear!$C32,$AB$3:$AC$38,2,FALSE)=M$3,IF(Gear!$Q32&lt;$AG$6,Gear!$A32,$AB$42),$AB$42)))</f>
        <v>------------</v>
      </c>
      <c r="N35" s="261" t="str">
        <f>IF(Gear!$C32="",$AB$42,IF(Gear!$P32=0,$AB$42,IF(VLOOKUP(Gear!$C32,$AB$3:$AC$38,2,FALSE)=N$3,IF(Gear!$Q32&lt;$AG$6,Gear!$A32,$AB$42),$AB$42)))</f>
        <v>------------</v>
      </c>
      <c r="O35" s="254" t="str">
        <f>IF(Gear!$C32="",$AB$42,IF(Gear!$P32=0,$AB$42,IF(VLOOKUP(Gear!$C32,$AB$3:$AC$38,2,FALSE)=O$3,IF(Gear!$Q32&lt;$AG$6,Gear!$A32,$AB$42),$AB$42)))</f>
        <v>------------</v>
      </c>
      <c r="P35" s="261" t="str">
        <f>IF(Gear!$C32="",$AB$42,IF(Gear!$P32=0,$AB$42,IF(VLOOKUP(Gear!$C32,$AB$3:$AC$38,2,FALSE)=P$3,IF(Gear!$Q32&lt;$AG$6,Gear!$A32,$AB$42),$AB$42)))</f>
        <v>------------</v>
      </c>
      <c r="Q35" s="254" t="str">
        <f>IF(Gear!$C32="",$AB$42,IF(Gear!$P32=0,$AB$42,IF(VLOOKUP(Gear!$C32,$AB$3:$AC$38,2,FALSE)=Q$3,IF(Gear!$Q32&lt;$AG$6,Gear!$A32,$AB$42),$AB$42)))</f>
        <v>------------</v>
      </c>
      <c r="R35" s="261" t="str">
        <f>IF(Gear!$C32="",$AB$42,IF(Gear!$P32=0,$AB$42,IF(VLOOKUP(Gear!$C32,$AB$3:$AC$38,2,FALSE)=R$3,IF(Gear!$Q32&lt;$AG$6,Gear!$A32,$AB$42),$AB$42)))</f>
        <v>------------</v>
      </c>
      <c r="S35" s="254" t="str">
        <f>IF(Gear!$C32="",$AB$42,IF(Gear!$P32=0,$AB$42,IF(VLOOKUP(Gear!$C32,$AB$3:$AC$38,2,FALSE)=S$3,IF(Gear!$Q32&lt;$AG$6,Gear!$A32,$AB$42),$AB$42)))</f>
        <v>------------</v>
      </c>
      <c r="T35" s="261" t="str">
        <f>IF(Gear!$C32="",$AB$42,IF(Gear!$P32=0,$AB$42,IF(VLOOKUP(Gear!$C32,$AB$3:$AC$38,2,FALSE)=T$3,IF(Gear!$Q32&lt;$AG$6,Gear!$A32,$AB$42),$AB$42)))</f>
        <v>------------</v>
      </c>
      <c r="U35" s="254" t="str">
        <f>IF(Gear!$C32="",$AB$42,IF(Gear!$P32=0,$AB$42,IF(VLOOKUP(Gear!$C32,$AB$3:$AC$38,2,FALSE)=U$3,IF(Gear!$Q32&lt;$AG$6,Gear!$A32,$AB$42),$AB$42)))</f>
        <v>------------</v>
      </c>
      <c r="V35" s="261" t="str">
        <f>IF(Gear!$C32="",$AB$42,IF(Gear!$P32=0,$AB$42,IF(VLOOKUP(Gear!$C32,$AB$3:$AC$38,2,FALSE)=V$3,IF(Gear!$Q32&lt;$AG$6,Gear!$A32,$AB$42),$AB$42)))</f>
        <v>------------</v>
      </c>
      <c r="W35" s="254" t="str">
        <f>IF(Gear!$C32="",$AB$42,IF(Gear!$P32=0,$AB$42,IF(VLOOKUP(Gear!$C32,$AB$3:$AC$38,2,FALSE)=W$3,IF(Gear!$Q32&lt;$AG$6,Gear!$A32,$AB$42),$AB$42)))</f>
        <v>------------</v>
      </c>
      <c r="X35" s="261" t="str">
        <f>IF(Gear!$C32="",$AB$42,IF(Gear!$P32=0,$AB$42,IF(VLOOKUP(Gear!$C32,$AB$3:$AC$38,2,FALSE)=X$3,IF(Gear!$Q32&lt;$AG$6,Gear!$A32,$AB$42),$AB$42)))</f>
        <v>------------</v>
      </c>
      <c r="Y35" s="255" t="str">
        <f>IF(Gear!$C32="",$AB$42,IF(Gear!$P32=0,$AB$42,IF(VLOOKUP(Gear!$C32,$AB$3:$AC$38,2,FALSE)=Y$3,IF(Gear!$Q32&lt;$AG$6,Gear!$A32,$AB$42),$AB$42)))</f>
        <v>------------</v>
      </c>
      <c r="Z35" t="s">
        <v>158</v>
      </c>
      <c r="AB35" s="242" t="str">
        <f>'Short &amp; Simple'!H64</f>
        <v>Druid - Guardian</v>
      </c>
      <c r="AC35" s="263" t="s">
        <v>134</v>
      </c>
    </row>
    <row r="36" spans="2:29" ht="15">
      <c r="B36" t="s">
        <v>154</v>
      </c>
      <c r="C36" s="318" t="s">
        <v>159</v>
      </c>
      <c r="D36" s="320" t="s">
        <v>156</v>
      </c>
      <c r="E36" s="323" t="s">
        <v>159</v>
      </c>
      <c r="F36" s="320" t="s">
        <v>156</v>
      </c>
      <c r="G36" s="323" t="s">
        <v>159</v>
      </c>
      <c r="H36" s="320" t="s">
        <v>156</v>
      </c>
      <c r="I36" s="264" t="s">
        <v>159</v>
      </c>
      <c r="J36" t="s">
        <v>156</v>
      </c>
      <c r="K36" s="253" t="str">
        <f>IF(Gear!$C33="",$AB$42,IF(Gear!$P33=0,$AB$42,IF(VLOOKUP(Gear!$C33,$AB$3:$AC$38,2,FALSE)=K$3,IF(Gear!$Q33&lt;$AG$6,Gear!$A33,$AB$42),$AB$42)))</f>
        <v>------------</v>
      </c>
      <c r="L36" s="261" t="str">
        <f>IF(Gear!$C33="",$AB$42,IF(Gear!$P33=0,$AB$42,IF(VLOOKUP(Gear!$C33,$AB$3:$AC$38,2,FALSE)=L$3,IF(Gear!$Q33&lt;$AG$6,Gear!$A33,$AB$42),$AB$42)))</f>
        <v>------------</v>
      </c>
      <c r="M36" s="254" t="str">
        <f>IF(Gear!$C33="",$AB$42,IF(Gear!$P33=0,$AB$42,IF(VLOOKUP(Gear!$C33,$AB$3:$AC$38,2,FALSE)=M$3,IF(Gear!$Q33&lt;$AG$6,Gear!$A33,$AB$42),$AB$42)))</f>
        <v>------------</v>
      </c>
      <c r="N36" s="261" t="str">
        <f>IF(Gear!$C33="",$AB$42,IF(Gear!$P33=0,$AB$42,IF(VLOOKUP(Gear!$C33,$AB$3:$AC$38,2,FALSE)=N$3,IF(Gear!$Q33&lt;$AG$6,Gear!$A33,$AB$42),$AB$42)))</f>
        <v>------------</v>
      </c>
      <c r="O36" s="254" t="str">
        <f>IF(Gear!$C33="",$AB$42,IF(Gear!$P33=0,$AB$42,IF(VLOOKUP(Gear!$C33,$AB$3:$AC$38,2,FALSE)=O$3,IF(Gear!$Q33&lt;$AG$6,Gear!$A33,$AB$42),$AB$42)))</f>
        <v>------------</v>
      </c>
      <c r="P36" s="261" t="str">
        <f>IF(Gear!$C33="",$AB$42,IF(Gear!$P33=0,$AB$42,IF(VLOOKUP(Gear!$C33,$AB$3:$AC$38,2,FALSE)=P$3,IF(Gear!$Q33&lt;$AG$6,Gear!$A33,$AB$42),$AB$42)))</f>
        <v>------------</v>
      </c>
      <c r="Q36" s="254" t="str">
        <f>IF(Gear!$C33="",$AB$42,IF(Gear!$P33=0,$AB$42,IF(VLOOKUP(Gear!$C33,$AB$3:$AC$38,2,FALSE)=Q$3,IF(Gear!$Q33&lt;$AG$6,Gear!$A33,$AB$42),$AB$42)))</f>
        <v>------------</v>
      </c>
      <c r="R36" s="261" t="str">
        <f>IF(Gear!$C33="",$AB$42,IF(Gear!$P33=0,$AB$42,IF(VLOOKUP(Gear!$C33,$AB$3:$AC$38,2,FALSE)=R$3,IF(Gear!$Q33&lt;$AG$6,Gear!$A33,$AB$42),$AB$42)))</f>
        <v>------------</v>
      </c>
      <c r="S36" s="254" t="str">
        <f>IF(Gear!$C33="",$AB$42,IF(Gear!$P33=0,$AB$42,IF(VLOOKUP(Gear!$C33,$AB$3:$AC$38,2,FALSE)=S$3,IF(Gear!$Q33&lt;$AG$6,Gear!$A33,$AB$42),$AB$42)))</f>
        <v>------------</v>
      </c>
      <c r="T36" s="261" t="str">
        <f>IF(Gear!$C33="",$AB$42,IF(Gear!$P33=0,$AB$42,IF(VLOOKUP(Gear!$C33,$AB$3:$AC$38,2,FALSE)=T$3,IF(Gear!$Q33&lt;$AG$6,Gear!$A33,$AB$42),$AB$42)))</f>
        <v>------------</v>
      </c>
      <c r="U36" s="254" t="str">
        <f>IF(Gear!$C33="",$AB$42,IF(Gear!$P33=0,$AB$42,IF(VLOOKUP(Gear!$C33,$AB$3:$AC$38,2,FALSE)=U$3,IF(Gear!$Q33&lt;$AG$6,Gear!$A33,$AB$42),$AB$42)))</f>
        <v>------------</v>
      </c>
      <c r="V36" s="261" t="str">
        <f>IF(Gear!$C33="",$AB$42,IF(Gear!$P33=0,$AB$42,IF(VLOOKUP(Gear!$C33,$AB$3:$AC$38,2,FALSE)=V$3,IF(Gear!$Q33&lt;$AG$6,Gear!$A33,$AB$42),$AB$42)))</f>
        <v>------------</v>
      </c>
      <c r="W36" s="254" t="str">
        <f>IF(Gear!$C33="",$AB$42,IF(Gear!$P33=0,$AB$42,IF(VLOOKUP(Gear!$C33,$AB$3:$AC$38,2,FALSE)=W$3,IF(Gear!$Q33&lt;$AG$6,Gear!$A33,$AB$42),$AB$42)))</f>
        <v>------------</v>
      </c>
      <c r="X36" s="261" t="str">
        <f>IF(Gear!$C33="",$AB$42,IF(Gear!$P33=0,$AB$42,IF(VLOOKUP(Gear!$C33,$AB$3:$AC$38,2,FALSE)=X$3,IF(Gear!$Q33&lt;$AG$6,Gear!$A33,$AB$42),$AB$42)))</f>
        <v>------------</v>
      </c>
      <c r="Y36" s="255" t="str">
        <f>IF(Gear!$C33="",$AB$42,IF(Gear!$P33=0,$AB$42,IF(VLOOKUP(Gear!$C33,$AB$3:$AC$38,2,FALSE)=Y$3,IF(Gear!$Q33&lt;$AG$6,Gear!$A33,$AB$42),$AB$42)))</f>
        <v>------------</v>
      </c>
      <c r="Z36" t="s">
        <v>158</v>
      </c>
      <c r="AB36" s="242" t="str">
        <f>'Short &amp; Simple'!H65</f>
        <v>Monk - Brewmaster</v>
      </c>
      <c r="AC36" s="263" t="s">
        <v>134</v>
      </c>
    </row>
    <row r="37" spans="2:29" ht="15">
      <c r="B37" t="s">
        <v>154</v>
      </c>
      <c r="C37" s="318" t="s">
        <v>159</v>
      </c>
      <c r="D37" s="320" t="s">
        <v>156</v>
      </c>
      <c r="E37" s="323" t="s">
        <v>159</v>
      </c>
      <c r="F37" s="320" t="s">
        <v>156</v>
      </c>
      <c r="G37" s="323" t="s">
        <v>159</v>
      </c>
      <c r="H37" s="320" t="s">
        <v>156</v>
      </c>
      <c r="I37" s="264" t="s">
        <v>159</v>
      </c>
      <c r="J37" t="s">
        <v>156</v>
      </c>
      <c r="K37" s="253" t="str">
        <f>IF(Gear!$C34="",$AB$42,IF(Gear!$P34=0,$AB$42,IF(VLOOKUP(Gear!$C34,$AB$3:$AC$38,2,FALSE)=K$3,IF(Gear!$Q34&lt;$AG$6,Gear!$A34,$AB$42),$AB$42)))</f>
        <v>------------</v>
      </c>
      <c r="L37" s="261" t="str">
        <f>IF(Gear!$C34="",$AB$42,IF(Gear!$P34=0,$AB$42,IF(VLOOKUP(Gear!$C34,$AB$3:$AC$38,2,FALSE)=L$3,IF(Gear!$Q34&lt;$AG$6,Gear!$A34,$AB$42),$AB$42)))</f>
        <v>------------</v>
      </c>
      <c r="M37" s="254" t="str">
        <f>IF(Gear!$C34="",$AB$42,IF(Gear!$P34=0,$AB$42,IF(VLOOKUP(Gear!$C34,$AB$3:$AC$38,2,FALSE)=M$3,IF(Gear!$Q34&lt;$AG$6,Gear!$A34,$AB$42),$AB$42)))</f>
        <v>------------</v>
      </c>
      <c r="N37" s="261" t="str">
        <f>IF(Gear!$C34="",$AB$42,IF(Gear!$P34=0,$AB$42,IF(VLOOKUP(Gear!$C34,$AB$3:$AC$38,2,FALSE)=N$3,IF(Gear!$Q34&lt;$AG$6,Gear!$A34,$AB$42),$AB$42)))</f>
        <v>------------</v>
      </c>
      <c r="O37" s="254" t="str">
        <f>IF(Gear!$C34="",$AB$42,IF(Gear!$P34=0,$AB$42,IF(VLOOKUP(Gear!$C34,$AB$3:$AC$38,2,FALSE)=O$3,IF(Gear!$Q34&lt;$AG$6,Gear!$A34,$AB$42),$AB$42)))</f>
        <v>------------</v>
      </c>
      <c r="P37" s="261" t="str">
        <f>IF(Gear!$C34="",$AB$42,IF(Gear!$P34=0,$AB$42,IF(VLOOKUP(Gear!$C34,$AB$3:$AC$38,2,FALSE)=P$3,IF(Gear!$Q34&lt;$AG$6,Gear!$A34,$AB$42),$AB$42)))</f>
        <v>------------</v>
      </c>
      <c r="Q37" s="254" t="str">
        <f>IF(Gear!$C34="",$AB$42,IF(Gear!$P34=0,$AB$42,IF(VLOOKUP(Gear!$C34,$AB$3:$AC$38,2,FALSE)=Q$3,IF(Gear!$Q34&lt;$AG$6,Gear!$A34,$AB$42),$AB$42)))</f>
        <v>------------</v>
      </c>
      <c r="R37" s="261" t="str">
        <f>IF(Gear!$C34="",$AB$42,IF(Gear!$P34=0,$AB$42,IF(VLOOKUP(Gear!$C34,$AB$3:$AC$38,2,FALSE)=R$3,IF(Gear!$Q34&lt;$AG$6,Gear!$A34,$AB$42),$AB$42)))</f>
        <v>------------</v>
      </c>
      <c r="S37" s="254" t="str">
        <f>IF(Gear!$C34="",$AB$42,IF(Gear!$P34=0,$AB$42,IF(VLOOKUP(Gear!$C34,$AB$3:$AC$38,2,FALSE)=S$3,IF(Gear!$Q34&lt;$AG$6,Gear!$A34,$AB$42),$AB$42)))</f>
        <v>------------</v>
      </c>
      <c r="T37" s="261" t="str">
        <f>IF(Gear!$C34="",$AB$42,IF(Gear!$P34=0,$AB$42,IF(VLOOKUP(Gear!$C34,$AB$3:$AC$38,2,FALSE)=T$3,IF(Gear!$Q34&lt;$AG$6,Gear!$A34,$AB$42),$AB$42)))</f>
        <v>------------</v>
      </c>
      <c r="U37" s="254" t="str">
        <f>IF(Gear!$C34="",$AB$42,IF(Gear!$P34=0,$AB$42,IF(VLOOKUP(Gear!$C34,$AB$3:$AC$38,2,FALSE)=U$3,IF(Gear!$Q34&lt;$AG$6,Gear!$A34,$AB$42),$AB$42)))</f>
        <v>------------</v>
      </c>
      <c r="V37" s="261" t="str">
        <f>IF(Gear!$C34="",$AB$42,IF(Gear!$P34=0,$AB$42,IF(VLOOKUP(Gear!$C34,$AB$3:$AC$38,2,FALSE)=V$3,IF(Gear!$Q34&lt;$AG$6,Gear!$A34,$AB$42),$AB$42)))</f>
        <v>------------</v>
      </c>
      <c r="W37" s="254" t="str">
        <f>IF(Gear!$C34="",$AB$42,IF(Gear!$P34=0,$AB$42,IF(VLOOKUP(Gear!$C34,$AB$3:$AC$38,2,FALSE)=W$3,IF(Gear!$Q34&lt;$AG$6,Gear!$A34,$AB$42),$AB$42)))</f>
        <v>------------</v>
      </c>
      <c r="X37" s="261" t="str">
        <f>IF(Gear!$C34="",$AB$42,IF(Gear!$P34=0,$AB$42,IF(VLOOKUP(Gear!$C34,$AB$3:$AC$38,2,FALSE)=X$3,IF(Gear!$Q34&lt;$AG$6,Gear!$A34,$AB$42),$AB$42)))</f>
        <v>------------</v>
      </c>
      <c r="Y37" s="255" t="str">
        <f>IF(Gear!$C34="",$AB$42,IF(Gear!$P34=0,$AB$42,IF(VLOOKUP(Gear!$C34,$AB$3:$AC$38,2,FALSE)=Y$3,IF(Gear!$Q34&lt;$AG$6,Gear!$A34,$AB$42),$AB$42)))</f>
        <v>------------</v>
      </c>
      <c r="Z37" t="s">
        <v>158</v>
      </c>
      <c r="AB37" s="242" t="str">
        <f>'Short &amp; Simple'!H66</f>
        <v>Paladin - Protection</v>
      </c>
      <c r="AC37" s="263" t="s">
        <v>134</v>
      </c>
    </row>
    <row r="38" spans="2:29" ht="15.75" thickBot="1">
      <c r="B38" t="s">
        <v>154</v>
      </c>
      <c r="C38" s="318" t="s">
        <v>159</v>
      </c>
      <c r="D38" s="320" t="s">
        <v>156</v>
      </c>
      <c r="E38" s="323" t="s">
        <v>159</v>
      </c>
      <c r="F38" s="320" t="s">
        <v>156</v>
      </c>
      <c r="G38" s="323" t="s">
        <v>159</v>
      </c>
      <c r="H38" s="320" t="s">
        <v>156</v>
      </c>
      <c r="I38" s="264" t="s">
        <v>159</v>
      </c>
      <c r="J38" t="s">
        <v>156</v>
      </c>
      <c r="K38" s="253" t="str">
        <f>IF(Gear!$C35="",$AB$42,IF(Gear!$P35=0,$AB$42,IF(VLOOKUP(Gear!$C35,$AB$3:$AC$38,2,FALSE)=K$3,IF(Gear!$Q35&lt;$AG$6,Gear!$A35,$AB$42),$AB$42)))</f>
        <v>------------</v>
      </c>
      <c r="L38" s="261" t="str">
        <f>IF(Gear!$C35="",$AB$42,IF(Gear!$P35=0,$AB$42,IF(VLOOKUP(Gear!$C35,$AB$3:$AC$38,2,FALSE)=L$3,IF(Gear!$Q35&lt;$AG$6,Gear!$A35,$AB$42),$AB$42)))</f>
        <v>------------</v>
      </c>
      <c r="M38" s="254" t="str">
        <f>IF(Gear!$C35="",$AB$42,IF(Gear!$P35=0,$AB$42,IF(VLOOKUP(Gear!$C35,$AB$3:$AC$38,2,FALSE)=M$3,IF(Gear!$Q35&lt;$AG$6,Gear!$A35,$AB$42),$AB$42)))</f>
        <v>------------</v>
      </c>
      <c r="N38" s="261" t="str">
        <f>IF(Gear!$C35="",$AB$42,IF(Gear!$P35=0,$AB$42,IF(VLOOKUP(Gear!$C35,$AB$3:$AC$38,2,FALSE)=N$3,IF(Gear!$Q35&lt;$AG$6,Gear!$A35,$AB$42),$AB$42)))</f>
        <v>------------</v>
      </c>
      <c r="O38" s="254" t="str">
        <f>IF(Gear!$C35="",$AB$42,IF(Gear!$P35=0,$AB$42,IF(VLOOKUP(Gear!$C35,$AB$3:$AC$38,2,FALSE)=O$3,IF(Gear!$Q35&lt;$AG$6,Gear!$A35,$AB$42),$AB$42)))</f>
        <v>------------</v>
      </c>
      <c r="P38" s="261" t="str">
        <f>IF(Gear!$C35="",$AB$42,IF(Gear!$P35=0,$AB$42,IF(VLOOKUP(Gear!$C35,$AB$3:$AC$38,2,FALSE)=P$3,IF(Gear!$Q35&lt;$AG$6,Gear!$A35,$AB$42),$AB$42)))</f>
        <v>------------</v>
      </c>
      <c r="Q38" s="254" t="str">
        <f>IF(Gear!$C35="",$AB$42,IF(Gear!$P35=0,$AB$42,IF(VLOOKUP(Gear!$C35,$AB$3:$AC$38,2,FALSE)=Q$3,IF(Gear!$Q35&lt;$AG$6,Gear!$A35,$AB$42),$AB$42)))</f>
        <v>------------</v>
      </c>
      <c r="R38" s="261" t="str">
        <f>IF(Gear!$C35="",$AB$42,IF(Gear!$P35=0,$AB$42,IF(VLOOKUP(Gear!$C35,$AB$3:$AC$38,2,FALSE)=R$3,IF(Gear!$Q35&lt;$AG$6,Gear!$A35,$AB$42),$AB$42)))</f>
        <v>------------</v>
      </c>
      <c r="S38" s="254" t="str">
        <f>IF(Gear!$C35="",$AB$42,IF(Gear!$P35=0,$AB$42,IF(VLOOKUP(Gear!$C35,$AB$3:$AC$38,2,FALSE)=S$3,IF(Gear!$Q35&lt;$AG$6,Gear!$A35,$AB$42),$AB$42)))</f>
        <v>------------</v>
      </c>
      <c r="T38" s="261" t="str">
        <f>IF(Gear!$C35="",$AB$42,IF(Gear!$P35=0,$AB$42,IF(VLOOKUP(Gear!$C35,$AB$3:$AC$38,2,FALSE)=T$3,IF(Gear!$Q35&lt;$AG$6,Gear!$A35,$AB$42),$AB$42)))</f>
        <v>------------</v>
      </c>
      <c r="U38" s="254" t="str">
        <f>IF(Gear!$C35="",$AB$42,IF(Gear!$P35=0,$AB$42,IF(VLOOKUP(Gear!$C35,$AB$3:$AC$38,2,FALSE)=U$3,IF(Gear!$Q35&lt;$AG$6,Gear!$A35,$AB$42),$AB$42)))</f>
        <v>------------</v>
      </c>
      <c r="V38" s="261" t="str">
        <f>IF(Gear!$C35="",$AB$42,IF(Gear!$P35=0,$AB$42,IF(VLOOKUP(Gear!$C35,$AB$3:$AC$38,2,FALSE)=V$3,IF(Gear!$Q35&lt;$AG$6,Gear!$A35,$AB$42),$AB$42)))</f>
        <v>------------</v>
      </c>
      <c r="W38" s="254" t="str">
        <f>IF(Gear!$C35="",$AB$42,IF(Gear!$P35=0,$AB$42,IF(VLOOKUP(Gear!$C35,$AB$3:$AC$38,2,FALSE)=W$3,IF(Gear!$Q35&lt;$AG$6,Gear!$A35,$AB$42),$AB$42)))</f>
        <v>------------</v>
      </c>
      <c r="X38" s="261" t="str">
        <f>IF(Gear!$C35="",$AB$42,IF(Gear!$P35=0,$AB$42,IF(VLOOKUP(Gear!$C35,$AB$3:$AC$38,2,FALSE)=X$3,IF(Gear!$Q35&lt;$AG$6,Gear!$A35,$AB$42),$AB$42)))</f>
        <v>------------</v>
      </c>
      <c r="Y38" s="255" t="str">
        <f>IF(Gear!$C35="",$AB$42,IF(Gear!$P35=0,$AB$42,IF(VLOOKUP(Gear!$C35,$AB$3:$AC$38,2,FALSE)=Y$3,IF(Gear!$Q35&lt;$AG$6,Gear!$A35,$AB$42),$AB$42)))</f>
        <v>------------</v>
      </c>
      <c r="Z38" t="s">
        <v>158</v>
      </c>
      <c r="AB38" s="244" t="str">
        <f>'Short &amp; Simple'!H67</f>
        <v>Warrior - Protection</v>
      </c>
      <c r="AC38" s="342" t="s">
        <v>134</v>
      </c>
    </row>
    <row r="39" spans="2:29" ht="15.75" thickTop="1">
      <c r="B39" t="s">
        <v>154</v>
      </c>
      <c r="C39" s="318" t="s">
        <v>159</v>
      </c>
      <c r="D39" s="320" t="s">
        <v>156</v>
      </c>
      <c r="E39" s="323" t="s">
        <v>159</v>
      </c>
      <c r="F39" s="320" t="s">
        <v>156</v>
      </c>
      <c r="G39" s="323" t="s">
        <v>159</v>
      </c>
      <c r="H39" s="320" t="s">
        <v>156</v>
      </c>
      <c r="I39" s="264" t="s">
        <v>159</v>
      </c>
      <c r="J39" t="s">
        <v>156</v>
      </c>
      <c r="K39" s="253" t="str">
        <f>IF(Gear!$C36="",$AB$42,IF(Gear!$P36=0,$AB$42,IF(VLOOKUP(Gear!$C36,$AB$3:$AC$38,2,FALSE)=K$3,IF(Gear!$Q36&lt;$AG$6,Gear!$A36,$AB$42),$AB$42)))</f>
        <v>------------</v>
      </c>
      <c r="L39" s="261" t="str">
        <f>IF(Gear!$C36="",$AB$42,IF(Gear!$P36=0,$AB$42,IF(VLOOKUP(Gear!$C36,$AB$3:$AC$38,2,FALSE)=L$3,IF(Gear!$Q36&lt;$AG$6,Gear!$A36,$AB$42),$AB$42)))</f>
        <v>------------</v>
      </c>
      <c r="M39" s="254" t="str">
        <f>IF(Gear!$C36="",$AB$42,IF(Gear!$P36=0,$AB$42,IF(VLOOKUP(Gear!$C36,$AB$3:$AC$38,2,FALSE)=M$3,IF(Gear!$Q36&lt;$AG$6,Gear!$A36,$AB$42),$AB$42)))</f>
        <v>------------</v>
      </c>
      <c r="N39" s="261" t="str">
        <f>IF(Gear!$C36="",$AB$42,IF(Gear!$P36=0,$AB$42,IF(VLOOKUP(Gear!$C36,$AB$3:$AC$38,2,FALSE)=N$3,IF(Gear!$Q36&lt;$AG$6,Gear!$A36,$AB$42),$AB$42)))</f>
        <v>------------</v>
      </c>
      <c r="O39" s="254" t="str">
        <f>IF(Gear!$C36="",$AB$42,IF(Gear!$P36=0,$AB$42,IF(VLOOKUP(Gear!$C36,$AB$3:$AC$38,2,FALSE)=O$3,IF(Gear!$Q36&lt;$AG$6,Gear!$A36,$AB$42),$AB$42)))</f>
        <v>------------</v>
      </c>
      <c r="P39" s="261" t="str">
        <f>IF(Gear!$C36="",$AB$42,IF(Gear!$P36=0,$AB$42,IF(VLOOKUP(Gear!$C36,$AB$3:$AC$38,2,FALSE)=P$3,IF(Gear!$Q36&lt;$AG$6,Gear!$A36,$AB$42),$AB$42)))</f>
        <v>------------</v>
      </c>
      <c r="Q39" s="254" t="str">
        <f>IF(Gear!$C36="",$AB$42,IF(Gear!$P36=0,$AB$42,IF(VLOOKUP(Gear!$C36,$AB$3:$AC$38,2,FALSE)=Q$3,IF(Gear!$Q36&lt;$AG$6,Gear!$A36,$AB$42),$AB$42)))</f>
        <v>------------</v>
      </c>
      <c r="R39" s="261" t="str">
        <f>IF(Gear!$C36="",$AB$42,IF(Gear!$P36=0,$AB$42,IF(VLOOKUP(Gear!$C36,$AB$3:$AC$38,2,FALSE)=R$3,IF(Gear!$Q36&lt;$AG$6,Gear!$A36,$AB$42),$AB$42)))</f>
        <v>------------</v>
      </c>
      <c r="S39" s="254" t="str">
        <f>IF(Gear!$C36="",$AB$42,IF(Gear!$P36=0,$AB$42,IF(VLOOKUP(Gear!$C36,$AB$3:$AC$38,2,FALSE)=S$3,IF(Gear!$Q36&lt;$AG$6,Gear!$A36,$AB$42),$AB$42)))</f>
        <v>------------</v>
      </c>
      <c r="T39" s="261" t="str">
        <f>IF(Gear!$C36="",$AB$42,IF(Gear!$P36=0,$AB$42,IF(VLOOKUP(Gear!$C36,$AB$3:$AC$38,2,FALSE)=T$3,IF(Gear!$Q36&lt;$AG$6,Gear!$A36,$AB$42),$AB$42)))</f>
        <v>------------</v>
      </c>
      <c r="U39" s="254" t="str">
        <f>IF(Gear!$C36="",$AB$42,IF(Gear!$P36=0,$AB$42,IF(VLOOKUP(Gear!$C36,$AB$3:$AC$38,2,FALSE)=U$3,IF(Gear!$Q36&lt;$AG$6,Gear!$A36,$AB$42),$AB$42)))</f>
        <v>------------</v>
      </c>
      <c r="V39" s="261" t="str">
        <f>IF(Gear!$C36="",$AB$42,IF(Gear!$P36=0,$AB$42,IF(VLOOKUP(Gear!$C36,$AB$3:$AC$38,2,FALSE)=V$3,IF(Gear!$Q36&lt;$AG$6,Gear!$A36,$AB$42),$AB$42)))</f>
        <v>------------</v>
      </c>
      <c r="W39" s="254" t="str">
        <f>IF(Gear!$C36="",$AB$42,IF(Gear!$P36=0,$AB$42,IF(VLOOKUP(Gear!$C36,$AB$3:$AC$38,2,FALSE)=W$3,IF(Gear!$Q36&lt;$AG$6,Gear!$A36,$AB$42),$AB$42)))</f>
        <v>------------</v>
      </c>
      <c r="X39" s="261" t="str">
        <f>IF(Gear!$C36="",$AB$42,IF(Gear!$P36=0,$AB$42,IF(VLOOKUP(Gear!$C36,$AB$3:$AC$38,2,FALSE)=X$3,IF(Gear!$Q36&lt;$AG$6,Gear!$A36,$AB$42),$AB$42)))</f>
        <v>------------</v>
      </c>
      <c r="Y39" s="255" t="str">
        <f>IF(Gear!$C36="",$AB$42,IF(Gear!$P36=0,$AB$42,IF(VLOOKUP(Gear!$C36,$AB$3:$AC$38,2,FALSE)=Y$3,IF(Gear!$Q36&lt;$AG$6,Gear!$A36,$AB$42),$AB$42)))</f>
        <v>------------</v>
      </c>
      <c r="Z39" t="s">
        <v>158</v>
      </c>
      <c r="AB39" s="242" t="s">
        <v>150</v>
      </c>
      <c r="AC39" s="243"/>
    </row>
    <row r="40" spans="2:29" ht="15">
      <c r="B40" t="s">
        <v>154</v>
      </c>
      <c r="C40" s="318" t="s">
        <v>159</v>
      </c>
      <c r="D40" s="320" t="s">
        <v>156</v>
      </c>
      <c r="E40" s="323" t="s">
        <v>159</v>
      </c>
      <c r="F40" s="320" t="s">
        <v>156</v>
      </c>
      <c r="G40" s="323" t="s">
        <v>159</v>
      </c>
      <c r="H40" s="320" t="s">
        <v>156</v>
      </c>
      <c r="I40" s="264" t="s">
        <v>159</v>
      </c>
      <c r="J40" t="s">
        <v>156</v>
      </c>
      <c r="K40" s="253" t="str">
        <f>IF(Gear!$C37="",$AB$42,IF(Gear!$P37=0,$AB$42,IF(VLOOKUP(Gear!$C37,$AB$3:$AC$38,2,FALSE)=K$3,IF(Gear!$Q37&lt;$AG$6,Gear!$A37,$AB$42),$AB$42)))</f>
        <v>------------</v>
      </c>
      <c r="L40" s="261" t="str">
        <f>IF(Gear!$C37="",$AB$42,IF(Gear!$P37=0,$AB$42,IF(VLOOKUP(Gear!$C37,$AB$3:$AC$38,2,FALSE)=L$3,IF(Gear!$Q37&lt;$AG$6,Gear!$A37,$AB$42),$AB$42)))</f>
        <v>------------</v>
      </c>
      <c r="M40" s="254" t="str">
        <f>IF(Gear!$C37="",$AB$42,IF(Gear!$P37=0,$AB$42,IF(VLOOKUP(Gear!$C37,$AB$3:$AC$38,2,FALSE)=M$3,IF(Gear!$Q37&lt;$AG$6,Gear!$A37,$AB$42),$AB$42)))</f>
        <v>------------</v>
      </c>
      <c r="N40" s="261" t="str">
        <f>IF(Gear!$C37="",$AB$42,IF(Gear!$P37=0,$AB$42,IF(VLOOKUP(Gear!$C37,$AB$3:$AC$38,2,FALSE)=N$3,IF(Gear!$Q37&lt;$AG$6,Gear!$A37,$AB$42),$AB$42)))</f>
        <v>------------</v>
      </c>
      <c r="O40" s="254" t="str">
        <f>IF(Gear!$C37="",$AB$42,IF(Gear!$P37=0,$AB$42,IF(VLOOKUP(Gear!$C37,$AB$3:$AC$38,2,FALSE)=O$3,IF(Gear!$Q37&lt;$AG$6,Gear!$A37,$AB$42),$AB$42)))</f>
        <v>------------</v>
      </c>
      <c r="P40" s="261" t="str">
        <f>IF(Gear!$C37="",$AB$42,IF(Gear!$P37=0,$AB$42,IF(VLOOKUP(Gear!$C37,$AB$3:$AC$38,2,FALSE)=P$3,IF(Gear!$Q37&lt;$AG$6,Gear!$A37,$AB$42),$AB$42)))</f>
        <v>------------</v>
      </c>
      <c r="Q40" s="254" t="str">
        <f>IF(Gear!$C37="",$AB$42,IF(Gear!$P37=0,$AB$42,IF(VLOOKUP(Gear!$C37,$AB$3:$AC$38,2,FALSE)=Q$3,IF(Gear!$Q37&lt;$AG$6,Gear!$A37,$AB$42),$AB$42)))</f>
        <v>------------</v>
      </c>
      <c r="R40" s="261" t="str">
        <f>IF(Gear!$C37="",$AB$42,IF(Gear!$P37=0,$AB$42,IF(VLOOKUP(Gear!$C37,$AB$3:$AC$38,2,FALSE)=R$3,IF(Gear!$Q37&lt;$AG$6,Gear!$A37,$AB$42),$AB$42)))</f>
        <v>------------</v>
      </c>
      <c r="S40" s="254" t="str">
        <f>IF(Gear!$C37="",$AB$42,IF(Gear!$P37=0,$AB$42,IF(VLOOKUP(Gear!$C37,$AB$3:$AC$38,2,FALSE)=S$3,IF(Gear!$Q37&lt;$AG$6,Gear!$A37,$AB$42),$AB$42)))</f>
        <v>------------</v>
      </c>
      <c r="T40" s="261" t="str">
        <f>IF(Gear!$C37="",$AB$42,IF(Gear!$P37=0,$AB$42,IF(VLOOKUP(Gear!$C37,$AB$3:$AC$38,2,FALSE)=T$3,IF(Gear!$Q37&lt;$AG$6,Gear!$A37,$AB$42),$AB$42)))</f>
        <v>------------</v>
      </c>
      <c r="U40" s="254" t="str">
        <f>IF(Gear!$C37="",$AB$42,IF(Gear!$P37=0,$AB$42,IF(VLOOKUP(Gear!$C37,$AB$3:$AC$38,2,FALSE)=U$3,IF(Gear!$Q37&lt;$AG$6,Gear!$A37,$AB$42),$AB$42)))</f>
        <v>------------</v>
      </c>
      <c r="V40" s="261" t="str">
        <f>IF(Gear!$C37="",$AB$42,IF(Gear!$P37=0,$AB$42,IF(VLOOKUP(Gear!$C37,$AB$3:$AC$38,2,FALSE)=V$3,IF(Gear!$Q37&lt;$AG$6,Gear!$A37,$AB$42),$AB$42)))</f>
        <v>------------</v>
      </c>
      <c r="W40" s="254" t="str">
        <f>IF(Gear!$C37="",$AB$42,IF(Gear!$P37=0,$AB$42,IF(VLOOKUP(Gear!$C37,$AB$3:$AC$38,2,FALSE)=W$3,IF(Gear!$Q37&lt;$AG$6,Gear!$A37,$AB$42),$AB$42)))</f>
        <v>------------</v>
      </c>
      <c r="X40" s="261" t="str">
        <f>IF(Gear!$C37="",$AB$42,IF(Gear!$P37=0,$AB$42,IF(VLOOKUP(Gear!$C37,$AB$3:$AC$38,2,FALSE)=X$3,IF(Gear!$Q37&lt;$AG$6,Gear!$A37,$AB$42),$AB$42)))</f>
        <v>------------</v>
      </c>
      <c r="Y40" s="255" t="str">
        <f>IF(Gear!$C37="",$AB$42,IF(Gear!$P37=0,$AB$42,IF(VLOOKUP(Gear!$C37,$AB$3:$AC$38,2,FALSE)=Y$3,IF(Gear!$Q37&lt;$AG$6,Gear!$A37,$AB$42),$AB$42)))</f>
        <v>------------</v>
      </c>
      <c r="Z40" t="s">
        <v>158</v>
      </c>
      <c r="AB40" s="242" t="s">
        <v>152</v>
      </c>
      <c r="AC40" s="243"/>
    </row>
    <row r="41" spans="2:29" ht="15">
      <c r="B41" t="s">
        <v>154</v>
      </c>
      <c r="C41" s="318" t="s">
        <v>159</v>
      </c>
      <c r="D41" s="320" t="s">
        <v>156</v>
      </c>
      <c r="E41" s="323" t="s">
        <v>159</v>
      </c>
      <c r="F41" s="320" t="s">
        <v>156</v>
      </c>
      <c r="G41" s="323" t="s">
        <v>159</v>
      </c>
      <c r="H41" s="320" t="s">
        <v>156</v>
      </c>
      <c r="I41" s="264" t="s">
        <v>159</v>
      </c>
      <c r="J41" t="s">
        <v>156</v>
      </c>
      <c r="K41" s="253" t="str">
        <f>IF(Gear!$C38="",$AB$42,IF(Gear!$P38=0,$AB$42,IF(VLOOKUP(Gear!$C38,$AB$3:$AC$38,2,FALSE)=K$3,IF(Gear!$Q38&lt;$AG$6,Gear!$A38,$AB$42),$AB$42)))</f>
        <v>------------</v>
      </c>
      <c r="L41" s="261" t="str">
        <f>IF(Gear!$C38="",$AB$42,IF(Gear!$P38=0,$AB$42,IF(VLOOKUP(Gear!$C38,$AB$3:$AC$38,2,FALSE)=L$3,IF(Gear!$Q38&lt;$AG$6,Gear!$A38,$AB$42),$AB$42)))</f>
        <v>------------</v>
      </c>
      <c r="M41" s="254" t="str">
        <f>IF(Gear!$C38="",$AB$42,IF(Gear!$P38=0,$AB$42,IF(VLOOKUP(Gear!$C38,$AB$3:$AC$38,2,FALSE)=M$3,IF(Gear!$Q38&lt;$AG$6,Gear!$A38,$AB$42),$AB$42)))</f>
        <v>------------</v>
      </c>
      <c r="N41" s="261" t="str">
        <f>IF(Gear!$C38="",$AB$42,IF(Gear!$P38=0,$AB$42,IF(VLOOKUP(Gear!$C38,$AB$3:$AC$38,2,FALSE)=N$3,IF(Gear!$Q38&lt;$AG$6,Gear!$A38,$AB$42),$AB$42)))</f>
        <v>------------</v>
      </c>
      <c r="O41" s="254" t="str">
        <f>IF(Gear!$C38="",$AB$42,IF(Gear!$P38=0,$AB$42,IF(VLOOKUP(Gear!$C38,$AB$3:$AC$38,2,FALSE)=O$3,IF(Gear!$Q38&lt;$AG$6,Gear!$A38,$AB$42),$AB$42)))</f>
        <v>------------</v>
      </c>
      <c r="P41" s="261" t="str">
        <f>IF(Gear!$C38="",$AB$42,IF(Gear!$P38=0,$AB$42,IF(VLOOKUP(Gear!$C38,$AB$3:$AC$38,2,FALSE)=P$3,IF(Gear!$Q38&lt;$AG$6,Gear!$A38,$AB$42),$AB$42)))</f>
        <v>------------</v>
      </c>
      <c r="Q41" s="254" t="str">
        <f>IF(Gear!$C38="",$AB$42,IF(Gear!$P38=0,$AB$42,IF(VLOOKUP(Gear!$C38,$AB$3:$AC$38,2,FALSE)=Q$3,IF(Gear!$Q38&lt;$AG$6,Gear!$A38,$AB$42),$AB$42)))</f>
        <v>------------</v>
      </c>
      <c r="R41" s="261" t="str">
        <f>IF(Gear!$C38="",$AB$42,IF(Gear!$P38=0,$AB$42,IF(VLOOKUP(Gear!$C38,$AB$3:$AC$38,2,FALSE)=R$3,IF(Gear!$Q38&lt;$AG$6,Gear!$A38,$AB$42),$AB$42)))</f>
        <v>------------</v>
      </c>
      <c r="S41" s="254" t="str">
        <f>IF(Gear!$C38="",$AB$42,IF(Gear!$P38=0,$AB$42,IF(VLOOKUP(Gear!$C38,$AB$3:$AC$38,2,FALSE)=S$3,IF(Gear!$Q38&lt;$AG$6,Gear!$A38,$AB$42),$AB$42)))</f>
        <v>------------</v>
      </c>
      <c r="T41" s="261" t="str">
        <f>IF(Gear!$C38="",$AB$42,IF(Gear!$P38=0,$AB$42,IF(VLOOKUP(Gear!$C38,$AB$3:$AC$38,2,FALSE)=T$3,IF(Gear!$Q38&lt;$AG$6,Gear!$A38,$AB$42),$AB$42)))</f>
        <v>------------</v>
      </c>
      <c r="U41" s="254" t="str">
        <f>IF(Gear!$C38="",$AB$42,IF(Gear!$P38=0,$AB$42,IF(VLOOKUP(Gear!$C38,$AB$3:$AC$38,2,FALSE)=U$3,IF(Gear!$Q38&lt;$AG$6,Gear!$A38,$AB$42),$AB$42)))</f>
        <v>------------</v>
      </c>
      <c r="V41" s="261" t="str">
        <f>IF(Gear!$C38="",$AB$42,IF(Gear!$P38=0,$AB$42,IF(VLOOKUP(Gear!$C38,$AB$3:$AC$38,2,FALSE)=V$3,IF(Gear!$Q38&lt;$AG$6,Gear!$A38,$AB$42),$AB$42)))</f>
        <v>------------</v>
      </c>
      <c r="W41" s="254" t="str">
        <f>IF(Gear!$C38="",$AB$42,IF(Gear!$P38=0,$AB$42,IF(VLOOKUP(Gear!$C38,$AB$3:$AC$38,2,FALSE)=W$3,IF(Gear!$Q38&lt;$AG$6,Gear!$A38,$AB$42),$AB$42)))</f>
        <v>------------</v>
      </c>
      <c r="X41" s="261" t="str">
        <f>IF(Gear!$C38="",$AB$42,IF(Gear!$P38=0,$AB$42,IF(VLOOKUP(Gear!$C38,$AB$3:$AC$38,2,FALSE)=X$3,IF(Gear!$Q38&lt;$AG$6,Gear!$A38,$AB$42),$AB$42)))</f>
        <v>------------</v>
      </c>
      <c r="Y41" s="255" t="str">
        <f>IF(Gear!$C38="",$AB$42,IF(Gear!$P38=0,$AB$42,IF(VLOOKUP(Gear!$C38,$AB$3:$AC$38,2,FALSE)=Y$3,IF(Gear!$Q38&lt;$AG$6,Gear!$A38,$AB$42),$AB$42)))</f>
        <v>------------</v>
      </c>
      <c r="Z41" t="s">
        <v>158</v>
      </c>
      <c r="AB41" s="242" t="s">
        <v>151</v>
      </c>
      <c r="AC41" s="243"/>
    </row>
    <row r="42" spans="2:29" ht="15.75" thickBot="1">
      <c r="B42" t="s">
        <v>154</v>
      </c>
      <c r="C42" s="318" t="s">
        <v>159</v>
      </c>
      <c r="D42" s="320" t="s">
        <v>156</v>
      </c>
      <c r="E42" s="323" t="s">
        <v>159</v>
      </c>
      <c r="F42" s="320" t="s">
        <v>156</v>
      </c>
      <c r="G42" s="323" t="s">
        <v>159</v>
      </c>
      <c r="H42" s="320" t="s">
        <v>156</v>
      </c>
      <c r="I42" s="264" t="s">
        <v>159</v>
      </c>
      <c r="J42" t="s">
        <v>156</v>
      </c>
      <c r="K42" s="253" t="str">
        <f>IF(Gear!$C39="",$AB$42,IF(Gear!$P39=0,$AB$42,IF(VLOOKUP(Gear!$C39,$AB$3:$AC$38,2,FALSE)=K$3,IF(Gear!$Q39&lt;$AG$6,Gear!$A39,$AB$42),$AB$42)))</f>
        <v>------------</v>
      </c>
      <c r="L42" s="261" t="str">
        <f>IF(Gear!$C39="",$AB$42,IF(Gear!$P39=0,$AB$42,IF(VLOOKUP(Gear!$C39,$AB$3:$AC$38,2,FALSE)=L$3,IF(Gear!$Q39&lt;$AG$6,Gear!$A39,$AB$42),$AB$42)))</f>
        <v>------------</v>
      </c>
      <c r="M42" s="254" t="str">
        <f>IF(Gear!$C39="",$AB$42,IF(Gear!$P39=0,$AB$42,IF(VLOOKUP(Gear!$C39,$AB$3:$AC$38,2,FALSE)=M$3,IF(Gear!$Q39&lt;$AG$6,Gear!$A39,$AB$42),$AB$42)))</f>
        <v>------------</v>
      </c>
      <c r="N42" s="261" t="str">
        <f>IF(Gear!$C39="",$AB$42,IF(Gear!$P39=0,$AB$42,IF(VLOOKUP(Gear!$C39,$AB$3:$AC$38,2,FALSE)=N$3,IF(Gear!$Q39&lt;$AG$6,Gear!$A39,$AB$42),$AB$42)))</f>
        <v>------------</v>
      </c>
      <c r="O42" s="254" t="str">
        <f>IF(Gear!$C39="",$AB$42,IF(Gear!$P39=0,$AB$42,IF(VLOOKUP(Gear!$C39,$AB$3:$AC$38,2,FALSE)=O$3,IF(Gear!$Q39&lt;$AG$6,Gear!$A39,$AB$42),$AB$42)))</f>
        <v>------------</v>
      </c>
      <c r="P42" s="261" t="str">
        <f>IF(Gear!$C39="",$AB$42,IF(Gear!$P39=0,$AB$42,IF(VLOOKUP(Gear!$C39,$AB$3:$AC$38,2,FALSE)=P$3,IF(Gear!$Q39&lt;$AG$6,Gear!$A39,$AB$42),$AB$42)))</f>
        <v>------------</v>
      </c>
      <c r="Q42" s="254" t="str">
        <f>IF(Gear!$C39="",$AB$42,IF(Gear!$P39=0,$AB$42,IF(VLOOKUP(Gear!$C39,$AB$3:$AC$38,2,FALSE)=Q$3,IF(Gear!$Q39&lt;$AG$6,Gear!$A39,$AB$42),$AB$42)))</f>
        <v>------------</v>
      </c>
      <c r="R42" s="261" t="str">
        <f>IF(Gear!$C39="",$AB$42,IF(Gear!$P39=0,$AB$42,IF(VLOOKUP(Gear!$C39,$AB$3:$AC$38,2,FALSE)=R$3,IF(Gear!$Q39&lt;$AG$6,Gear!$A39,$AB$42),$AB$42)))</f>
        <v>------------</v>
      </c>
      <c r="S42" s="254" t="str">
        <f>IF(Gear!$C39="",$AB$42,IF(Gear!$P39=0,$AB$42,IF(VLOOKUP(Gear!$C39,$AB$3:$AC$38,2,FALSE)=S$3,IF(Gear!$Q39&lt;$AG$6,Gear!$A39,$AB$42),$AB$42)))</f>
        <v>------------</v>
      </c>
      <c r="T42" s="261" t="str">
        <f>IF(Gear!$C39="",$AB$42,IF(Gear!$P39=0,$AB$42,IF(VLOOKUP(Gear!$C39,$AB$3:$AC$38,2,FALSE)=T$3,IF(Gear!$Q39&lt;$AG$6,Gear!$A39,$AB$42),$AB$42)))</f>
        <v>------------</v>
      </c>
      <c r="U42" s="254" t="str">
        <f>IF(Gear!$C39="",$AB$42,IF(Gear!$P39=0,$AB$42,IF(VLOOKUP(Gear!$C39,$AB$3:$AC$38,2,FALSE)=U$3,IF(Gear!$Q39&lt;$AG$6,Gear!$A39,$AB$42),$AB$42)))</f>
        <v>------------</v>
      </c>
      <c r="V42" s="261" t="str">
        <f>IF(Gear!$C39="",$AB$42,IF(Gear!$P39=0,$AB$42,IF(VLOOKUP(Gear!$C39,$AB$3:$AC$38,2,FALSE)=V$3,IF(Gear!$Q39&lt;$AG$6,Gear!$A39,$AB$42),$AB$42)))</f>
        <v>------------</v>
      </c>
      <c r="W42" s="254" t="str">
        <f>IF(Gear!$C39="",$AB$42,IF(Gear!$P39=0,$AB$42,IF(VLOOKUP(Gear!$C39,$AB$3:$AC$38,2,FALSE)=W$3,IF(Gear!$Q39&lt;$AG$6,Gear!$A39,$AB$42),$AB$42)))</f>
        <v>------------</v>
      </c>
      <c r="X42" s="261" t="str">
        <f>IF(Gear!$C39="",$AB$42,IF(Gear!$P39=0,$AB$42,IF(VLOOKUP(Gear!$C39,$AB$3:$AC$38,2,FALSE)=X$3,IF(Gear!$Q39&lt;$AG$6,Gear!$A39,$AB$42),$AB$42)))</f>
        <v>------------</v>
      </c>
      <c r="Y42" s="255" t="str">
        <f>IF(Gear!$C39="",$AB$42,IF(Gear!$P39=0,$AB$42,IF(VLOOKUP(Gear!$C39,$AB$3:$AC$38,2,FALSE)=Y$3,IF(Gear!$Q39&lt;$AG$6,Gear!$A39,$AB$42),$AB$42)))</f>
        <v>------------</v>
      </c>
      <c r="Z42" t="s">
        <v>158</v>
      </c>
      <c r="AB42" s="248" t="s">
        <v>161</v>
      </c>
      <c r="AC42" s="240"/>
    </row>
    <row r="43" spans="2:29" ht="15.75" thickTop="1">
      <c r="B43" t="s">
        <v>154</v>
      </c>
      <c r="C43" s="318" t="s">
        <v>159</v>
      </c>
      <c r="D43" s="320" t="s">
        <v>156</v>
      </c>
      <c r="E43" s="323" t="s">
        <v>159</v>
      </c>
      <c r="F43" s="320" t="s">
        <v>156</v>
      </c>
      <c r="G43" s="323" t="s">
        <v>159</v>
      </c>
      <c r="H43" s="320" t="s">
        <v>156</v>
      </c>
      <c r="I43" s="264" t="s">
        <v>159</v>
      </c>
      <c r="J43" t="s">
        <v>156</v>
      </c>
      <c r="K43" s="253" t="str">
        <f>IF(Gear!$C40="",$AB$42,IF(Gear!$P40=0,$AB$42,IF(VLOOKUP(Gear!$C40,$AB$3:$AC$38,2,FALSE)=K$3,IF(Gear!$Q40&lt;$AG$6,Gear!$A40,$AB$42),$AB$42)))</f>
        <v>------------</v>
      </c>
      <c r="L43" s="261" t="str">
        <f>IF(Gear!$C40="",$AB$42,IF(Gear!$P40=0,$AB$42,IF(VLOOKUP(Gear!$C40,$AB$3:$AC$38,2,FALSE)=L$3,IF(Gear!$Q40&lt;$AG$6,Gear!$A40,$AB$42),$AB$42)))</f>
        <v>------------</v>
      </c>
      <c r="M43" s="254" t="str">
        <f>IF(Gear!$C40="",$AB$42,IF(Gear!$P40=0,$AB$42,IF(VLOOKUP(Gear!$C40,$AB$3:$AC$38,2,FALSE)=M$3,IF(Gear!$Q40&lt;$AG$6,Gear!$A40,$AB$42),$AB$42)))</f>
        <v>------------</v>
      </c>
      <c r="N43" s="261" t="str">
        <f>IF(Gear!$C40="",$AB$42,IF(Gear!$P40=0,$AB$42,IF(VLOOKUP(Gear!$C40,$AB$3:$AC$38,2,FALSE)=N$3,IF(Gear!$Q40&lt;$AG$6,Gear!$A40,$AB$42),$AB$42)))</f>
        <v>------------</v>
      </c>
      <c r="O43" s="254" t="str">
        <f>IF(Gear!$C40="",$AB$42,IF(Gear!$P40=0,$AB$42,IF(VLOOKUP(Gear!$C40,$AB$3:$AC$38,2,FALSE)=O$3,IF(Gear!$Q40&lt;$AG$6,Gear!$A40,$AB$42),$AB$42)))</f>
        <v>------------</v>
      </c>
      <c r="P43" s="261" t="str">
        <f>IF(Gear!$C40="",$AB$42,IF(Gear!$P40=0,$AB$42,IF(VLOOKUP(Gear!$C40,$AB$3:$AC$38,2,FALSE)=P$3,IF(Gear!$Q40&lt;$AG$6,Gear!$A40,$AB$42),$AB$42)))</f>
        <v>------------</v>
      </c>
      <c r="Q43" s="254" t="str">
        <f>IF(Gear!$C40="",$AB$42,IF(Gear!$P40=0,$AB$42,IF(VLOOKUP(Gear!$C40,$AB$3:$AC$38,2,FALSE)=Q$3,IF(Gear!$Q40&lt;$AG$6,Gear!$A40,$AB$42),$AB$42)))</f>
        <v>------------</v>
      </c>
      <c r="R43" s="261" t="str">
        <f>IF(Gear!$C40="",$AB$42,IF(Gear!$P40=0,$AB$42,IF(VLOOKUP(Gear!$C40,$AB$3:$AC$38,2,FALSE)=R$3,IF(Gear!$Q40&lt;$AG$6,Gear!$A40,$AB$42),$AB$42)))</f>
        <v>------------</v>
      </c>
      <c r="S43" s="254" t="str">
        <f>IF(Gear!$C40="",$AB$42,IF(Gear!$P40=0,$AB$42,IF(VLOOKUP(Gear!$C40,$AB$3:$AC$38,2,FALSE)=S$3,IF(Gear!$Q40&lt;$AG$6,Gear!$A40,$AB$42),$AB$42)))</f>
        <v>------------</v>
      </c>
      <c r="T43" s="261" t="str">
        <f>IF(Gear!$C40="",$AB$42,IF(Gear!$P40=0,$AB$42,IF(VLOOKUP(Gear!$C40,$AB$3:$AC$38,2,FALSE)=T$3,IF(Gear!$Q40&lt;$AG$6,Gear!$A40,$AB$42),$AB$42)))</f>
        <v>------------</v>
      </c>
      <c r="U43" s="254" t="str">
        <f>IF(Gear!$C40="",$AB$42,IF(Gear!$P40=0,$AB$42,IF(VLOOKUP(Gear!$C40,$AB$3:$AC$38,2,FALSE)=U$3,IF(Gear!$Q40&lt;$AG$6,Gear!$A40,$AB$42),$AB$42)))</f>
        <v>------------</v>
      </c>
      <c r="V43" s="261" t="str">
        <f>IF(Gear!$C40="",$AB$42,IF(Gear!$P40=0,$AB$42,IF(VLOOKUP(Gear!$C40,$AB$3:$AC$38,2,FALSE)=V$3,IF(Gear!$Q40&lt;$AG$6,Gear!$A40,$AB$42),$AB$42)))</f>
        <v>------------</v>
      </c>
      <c r="W43" s="254" t="str">
        <f>IF(Gear!$C40="",$AB$42,IF(Gear!$P40=0,$AB$42,IF(VLOOKUP(Gear!$C40,$AB$3:$AC$38,2,FALSE)=W$3,IF(Gear!$Q40&lt;$AG$6,Gear!$A40,$AB$42),$AB$42)))</f>
        <v>------------</v>
      </c>
      <c r="X43" s="261" t="str">
        <f>IF(Gear!$C40="",$AB$42,IF(Gear!$P40=0,$AB$42,IF(VLOOKUP(Gear!$C40,$AB$3:$AC$38,2,FALSE)=X$3,IF(Gear!$Q40&lt;$AG$6,Gear!$A40,$AB$42),$AB$42)))</f>
        <v>------------</v>
      </c>
      <c r="Y43" s="255" t="str">
        <f>IF(Gear!$C40="",$AB$42,IF(Gear!$P40=0,$AB$42,IF(VLOOKUP(Gear!$C40,$AB$3:$AC$38,2,FALSE)=Y$3,IF(Gear!$Q40&lt;$AG$6,Gear!$A40,$AB$42),$AB$42)))</f>
        <v>------------</v>
      </c>
      <c r="Z43" t="s">
        <v>158</v>
      </c>
    </row>
    <row r="44" spans="2:29" ht="15">
      <c r="B44" t="s">
        <v>154</v>
      </c>
      <c r="C44" s="318" t="s">
        <v>159</v>
      </c>
      <c r="D44" s="320" t="s">
        <v>156</v>
      </c>
      <c r="E44" s="323" t="s">
        <v>159</v>
      </c>
      <c r="F44" s="320" t="s">
        <v>156</v>
      </c>
      <c r="G44" s="323" t="s">
        <v>159</v>
      </c>
      <c r="H44" s="320" t="s">
        <v>156</v>
      </c>
      <c r="I44" s="264" t="s">
        <v>159</v>
      </c>
      <c r="J44" t="s">
        <v>156</v>
      </c>
      <c r="K44" s="253" t="str">
        <f>IF(Gear!$C41="",$AB$42,IF(Gear!$P41=0,$AB$42,IF(VLOOKUP(Gear!$C41,$AB$3:$AC$38,2,FALSE)=K$3,IF(Gear!$Q41&lt;$AG$6,Gear!$A41,$AB$42),$AB$42)))</f>
        <v>------------</v>
      </c>
      <c r="L44" s="261" t="str">
        <f>IF(Gear!$C41="",$AB$42,IF(Gear!$P41=0,$AB$42,IF(VLOOKUP(Gear!$C41,$AB$3:$AC$38,2,FALSE)=L$3,IF(Gear!$Q41&lt;$AG$6,Gear!$A41,$AB$42),$AB$42)))</f>
        <v>------------</v>
      </c>
      <c r="M44" s="254" t="str">
        <f>IF(Gear!$C41="",$AB$42,IF(Gear!$P41=0,$AB$42,IF(VLOOKUP(Gear!$C41,$AB$3:$AC$38,2,FALSE)=M$3,IF(Gear!$Q41&lt;$AG$6,Gear!$A41,$AB$42),$AB$42)))</f>
        <v>------------</v>
      </c>
      <c r="N44" s="261" t="str">
        <f>IF(Gear!$C41="",$AB$42,IF(Gear!$P41=0,$AB$42,IF(VLOOKUP(Gear!$C41,$AB$3:$AC$38,2,FALSE)=N$3,IF(Gear!$Q41&lt;$AG$6,Gear!$A41,$AB$42),$AB$42)))</f>
        <v>------------</v>
      </c>
      <c r="O44" s="254" t="str">
        <f>IF(Gear!$C41="",$AB$42,IF(Gear!$P41=0,$AB$42,IF(VLOOKUP(Gear!$C41,$AB$3:$AC$38,2,FALSE)=O$3,IF(Gear!$Q41&lt;$AG$6,Gear!$A41,$AB$42),$AB$42)))</f>
        <v>------------</v>
      </c>
      <c r="P44" s="261" t="str">
        <f>IF(Gear!$C41="",$AB$42,IF(Gear!$P41=0,$AB$42,IF(VLOOKUP(Gear!$C41,$AB$3:$AC$38,2,FALSE)=P$3,IF(Gear!$Q41&lt;$AG$6,Gear!$A41,$AB$42),$AB$42)))</f>
        <v>------------</v>
      </c>
      <c r="Q44" s="254" t="str">
        <f>IF(Gear!$C41="",$AB$42,IF(Gear!$P41=0,$AB$42,IF(VLOOKUP(Gear!$C41,$AB$3:$AC$38,2,FALSE)=Q$3,IF(Gear!$Q41&lt;$AG$6,Gear!$A41,$AB$42),$AB$42)))</f>
        <v>------------</v>
      </c>
      <c r="R44" s="261" t="str">
        <f>IF(Gear!$C41="",$AB$42,IF(Gear!$P41=0,$AB$42,IF(VLOOKUP(Gear!$C41,$AB$3:$AC$38,2,FALSE)=R$3,IF(Gear!$Q41&lt;$AG$6,Gear!$A41,$AB$42),$AB$42)))</f>
        <v>------------</v>
      </c>
      <c r="S44" s="254" t="str">
        <f>IF(Gear!$C41="",$AB$42,IF(Gear!$P41=0,$AB$42,IF(VLOOKUP(Gear!$C41,$AB$3:$AC$38,2,FALSE)=S$3,IF(Gear!$Q41&lt;$AG$6,Gear!$A41,$AB$42),$AB$42)))</f>
        <v>------------</v>
      </c>
      <c r="T44" s="261" t="str">
        <f>IF(Gear!$C41="",$AB$42,IF(Gear!$P41=0,$AB$42,IF(VLOOKUP(Gear!$C41,$AB$3:$AC$38,2,FALSE)=T$3,IF(Gear!$Q41&lt;$AG$6,Gear!$A41,$AB$42),$AB$42)))</f>
        <v>------------</v>
      </c>
      <c r="U44" s="254" t="str">
        <f>IF(Gear!$C41="",$AB$42,IF(Gear!$P41=0,$AB$42,IF(VLOOKUP(Gear!$C41,$AB$3:$AC$38,2,FALSE)=U$3,IF(Gear!$Q41&lt;$AG$6,Gear!$A41,$AB$42),$AB$42)))</f>
        <v>------------</v>
      </c>
      <c r="V44" s="261" t="str">
        <f>IF(Gear!$C41="",$AB$42,IF(Gear!$P41=0,$AB$42,IF(VLOOKUP(Gear!$C41,$AB$3:$AC$38,2,FALSE)=V$3,IF(Gear!$Q41&lt;$AG$6,Gear!$A41,$AB$42),$AB$42)))</f>
        <v>------------</v>
      </c>
      <c r="W44" s="254" t="str">
        <f>IF(Gear!$C41="",$AB$42,IF(Gear!$P41=0,$AB$42,IF(VLOOKUP(Gear!$C41,$AB$3:$AC$38,2,FALSE)=W$3,IF(Gear!$Q41&lt;$AG$6,Gear!$A41,$AB$42),$AB$42)))</f>
        <v>------------</v>
      </c>
      <c r="X44" s="261" t="str">
        <f>IF(Gear!$C41="",$AB$42,IF(Gear!$P41=0,$AB$42,IF(VLOOKUP(Gear!$C41,$AB$3:$AC$38,2,FALSE)=X$3,IF(Gear!$Q41&lt;$AG$6,Gear!$A41,$AB$42),$AB$42)))</f>
        <v>------------</v>
      </c>
      <c r="Y44" s="255" t="str">
        <f>IF(Gear!$C41="",$AB$42,IF(Gear!$P41=0,$AB$42,IF(VLOOKUP(Gear!$C41,$AB$3:$AC$38,2,FALSE)=Y$3,IF(Gear!$Q41&lt;$AG$6,Gear!$A41,$AB$42),$AB$42)))</f>
        <v>------------</v>
      </c>
      <c r="Z44" t="s">
        <v>158</v>
      </c>
    </row>
    <row r="45" spans="2:29" ht="15">
      <c r="B45" t="s">
        <v>154</v>
      </c>
      <c r="C45" s="318" t="s">
        <v>159</v>
      </c>
      <c r="D45" s="320" t="s">
        <v>156</v>
      </c>
      <c r="E45" s="323" t="s">
        <v>159</v>
      </c>
      <c r="F45" s="320" t="s">
        <v>156</v>
      </c>
      <c r="G45" s="323" t="s">
        <v>159</v>
      </c>
      <c r="H45" s="320" t="s">
        <v>156</v>
      </c>
      <c r="I45" s="264" t="s">
        <v>159</v>
      </c>
      <c r="J45" t="s">
        <v>156</v>
      </c>
      <c r="K45" s="253" t="str">
        <f>IF(Gear!$C42="",$AB$42,IF(Gear!$P42=0,$AB$42,IF(VLOOKUP(Gear!$C42,$AB$3:$AC$38,2,FALSE)=K$3,IF(Gear!$Q42&lt;$AG$6,Gear!$A42,$AB$42),$AB$42)))</f>
        <v>------------</v>
      </c>
      <c r="L45" s="261" t="str">
        <f>IF(Gear!$C42="",$AB$42,IF(Gear!$P42=0,$AB$42,IF(VLOOKUP(Gear!$C42,$AB$3:$AC$38,2,FALSE)=L$3,IF(Gear!$Q42&lt;$AG$6,Gear!$A42,$AB$42),$AB$42)))</f>
        <v>------------</v>
      </c>
      <c r="M45" s="254" t="str">
        <f>IF(Gear!$C42="",$AB$42,IF(Gear!$P42=0,$AB$42,IF(VLOOKUP(Gear!$C42,$AB$3:$AC$38,2,FALSE)=M$3,IF(Gear!$Q42&lt;$AG$6,Gear!$A42,$AB$42),$AB$42)))</f>
        <v>------------</v>
      </c>
      <c r="N45" s="261" t="str">
        <f>IF(Gear!$C42="",$AB$42,IF(Gear!$P42=0,$AB$42,IF(VLOOKUP(Gear!$C42,$AB$3:$AC$38,2,FALSE)=N$3,IF(Gear!$Q42&lt;$AG$6,Gear!$A42,$AB$42),$AB$42)))</f>
        <v>------------</v>
      </c>
      <c r="O45" s="254" t="str">
        <f>IF(Gear!$C42="",$AB$42,IF(Gear!$P42=0,$AB$42,IF(VLOOKUP(Gear!$C42,$AB$3:$AC$38,2,FALSE)=O$3,IF(Gear!$Q42&lt;$AG$6,Gear!$A42,$AB$42),$AB$42)))</f>
        <v>------------</v>
      </c>
      <c r="P45" s="261" t="str">
        <f>IF(Gear!$C42="",$AB$42,IF(Gear!$P42=0,$AB$42,IF(VLOOKUP(Gear!$C42,$AB$3:$AC$38,2,FALSE)=P$3,IF(Gear!$Q42&lt;$AG$6,Gear!$A42,$AB$42),$AB$42)))</f>
        <v>------------</v>
      </c>
      <c r="Q45" s="254" t="str">
        <f>IF(Gear!$C42="",$AB$42,IF(Gear!$P42=0,$AB$42,IF(VLOOKUP(Gear!$C42,$AB$3:$AC$38,2,FALSE)=Q$3,IF(Gear!$Q42&lt;$AG$6,Gear!$A42,$AB$42),$AB$42)))</f>
        <v>------------</v>
      </c>
      <c r="R45" s="261" t="str">
        <f>IF(Gear!$C42="",$AB$42,IF(Gear!$P42=0,$AB$42,IF(VLOOKUP(Gear!$C42,$AB$3:$AC$38,2,FALSE)=R$3,IF(Gear!$Q42&lt;$AG$6,Gear!$A42,$AB$42),$AB$42)))</f>
        <v>------------</v>
      </c>
      <c r="S45" s="254" t="str">
        <f>IF(Gear!$C42="",$AB$42,IF(Gear!$P42=0,$AB$42,IF(VLOOKUP(Gear!$C42,$AB$3:$AC$38,2,FALSE)=S$3,IF(Gear!$Q42&lt;$AG$6,Gear!$A42,$AB$42),$AB$42)))</f>
        <v>------------</v>
      </c>
      <c r="T45" s="261" t="str">
        <f>IF(Gear!$C42="",$AB$42,IF(Gear!$P42=0,$AB$42,IF(VLOOKUP(Gear!$C42,$AB$3:$AC$38,2,FALSE)=T$3,IF(Gear!$Q42&lt;$AG$6,Gear!$A42,$AB$42),$AB$42)))</f>
        <v>------------</v>
      </c>
      <c r="U45" s="254" t="str">
        <f>IF(Gear!$C42="",$AB$42,IF(Gear!$P42=0,$AB$42,IF(VLOOKUP(Gear!$C42,$AB$3:$AC$38,2,FALSE)=U$3,IF(Gear!$Q42&lt;$AG$6,Gear!$A42,$AB$42),$AB$42)))</f>
        <v>------------</v>
      </c>
      <c r="V45" s="261" t="str">
        <f>IF(Gear!$C42="",$AB$42,IF(Gear!$P42=0,$AB$42,IF(VLOOKUP(Gear!$C42,$AB$3:$AC$38,2,FALSE)=V$3,IF(Gear!$Q42&lt;$AG$6,Gear!$A42,$AB$42),$AB$42)))</f>
        <v>------------</v>
      </c>
      <c r="W45" s="254" t="str">
        <f>IF(Gear!$C42="",$AB$42,IF(Gear!$P42=0,$AB$42,IF(VLOOKUP(Gear!$C42,$AB$3:$AC$38,2,FALSE)=W$3,IF(Gear!$Q42&lt;$AG$6,Gear!$A42,$AB$42),$AB$42)))</f>
        <v>------------</v>
      </c>
      <c r="X45" s="261" t="str">
        <f>IF(Gear!$C42="",$AB$42,IF(Gear!$P42=0,$AB$42,IF(VLOOKUP(Gear!$C42,$AB$3:$AC$38,2,FALSE)=X$3,IF(Gear!$Q42&lt;$AG$6,Gear!$A42,$AB$42),$AB$42)))</f>
        <v>------------</v>
      </c>
      <c r="Y45" s="255" t="str">
        <f>IF(Gear!$C42="",$AB$42,IF(Gear!$P42=0,$AB$42,IF(VLOOKUP(Gear!$C42,$AB$3:$AC$38,2,FALSE)=Y$3,IF(Gear!$Q42&lt;$AG$6,Gear!$A42,$AB$42),$AB$42)))</f>
        <v>------------</v>
      </c>
      <c r="Z45" t="s">
        <v>158</v>
      </c>
    </row>
    <row r="46" spans="2:29" ht="15">
      <c r="B46" t="s">
        <v>154</v>
      </c>
      <c r="C46" s="318" t="s">
        <v>159</v>
      </c>
      <c r="D46" s="320" t="s">
        <v>156</v>
      </c>
      <c r="E46" s="323" t="s">
        <v>159</v>
      </c>
      <c r="F46" s="320" t="s">
        <v>156</v>
      </c>
      <c r="G46" s="323" t="s">
        <v>159</v>
      </c>
      <c r="H46" s="320" t="s">
        <v>156</v>
      </c>
      <c r="I46" s="264" t="s">
        <v>159</v>
      </c>
      <c r="J46" t="s">
        <v>156</v>
      </c>
      <c r="K46" s="253" t="str">
        <f>IF(Gear!$C43="",$AB$42,IF(Gear!$P43=0,$AB$42,IF(VLOOKUP(Gear!$C43,$AB$3:$AC$38,2,FALSE)=K$3,IF(Gear!$Q43&lt;$AG$6,Gear!$A43,$AB$42),$AB$42)))</f>
        <v>------------</v>
      </c>
      <c r="L46" s="261" t="str">
        <f>IF(Gear!$C43="",$AB$42,IF(Gear!$P43=0,$AB$42,IF(VLOOKUP(Gear!$C43,$AB$3:$AC$38,2,FALSE)=L$3,IF(Gear!$Q43&lt;$AG$6,Gear!$A43,$AB$42),$AB$42)))</f>
        <v>------------</v>
      </c>
      <c r="M46" s="254" t="str">
        <f>IF(Gear!$C43="",$AB$42,IF(Gear!$P43=0,$AB$42,IF(VLOOKUP(Gear!$C43,$AB$3:$AC$38,2,FALSE)=M$3,IF(Gear!$Q43&lt;$AG$6,Gear!$A43,$AB$42),$AB$42)))</f>
        <v>------------</v>
      </c>
      <c r="N46" s="261" t="str">
        <f>IF(Gear!$C43="",$AB$42,IF(Gear!$P43=0,$AB$42,IF(VLOOKUP(Gear!$C43,$AB$3:$AC$38,2,FALSE)=N$3,IF(Gear!$Q43&lt;$AG$6,Gear!$A43,$AB$42),$AB$42)))</f>
        <v>------------</v>
      </c>
      <c r="O46" s="254" t="str">
        <f>IF(Gear!$C43="",$AB$42,IF(Gear!$P43=0,$AB$42,IF(VLOOKUP(Gear!$C43,$AB$3:$AC$38,2,FALSE)=O$3,IF(Gear!$Q43&lt;$AG$6,Gear!$A43,$AB$42),$AB$42)))</f>
        <v>------------</v>
      </c>
      <c r="P46" s="261" t="str">
        <f>IF(Gear!$C43="",$AB$42,IF(Gear!$P43=0,$AB$42,IF(VLOOKUP(Gear!$C43,$AB$3:$AC$38,2,FALSE)=P$3,IF(Gear!$Q43&lt;$AG$6,Gear!$A43,$AB$42),$AB$42)))</f>
        <v>------------</v>
      </c>
      <c r="Q46" s="254" t="str">
        <f>IF(Gear!$C43="",$AB$42,IF(Gear!$P43=0,$AB$42,IF(VLOOKUP(Gear!$C43,$AB$3:$AC$38,2,FALSE)=Q$3,IF(Gear!$Q43&lt;$AG$6,Gear!$A43,$AB$42),$AB$42)))</f>
        <v>------------</v>
      </c>
      <c r="R46" s="261" t="str">
        <f>IF(Gear!$C43="",$AB$42,IF(Gear!$P43=0,$AB$42,IF(VLOOKUP(Gear!$C43,$AB$3:$AC$38,2,FALSE)=R$3,IF(Gear!$Q43&lt;$AG$6,Gear!$A43,$AB$42),$AB$42)))</f>
        <v>------------</v>
      </c>
      <c r="S46" s="254" t="str">
        <f>IF(Gear!$C43="",$AB$42,IF(Gear!$P43=0,$AB$42,IF(VLOOKUP(Gear!$C43,$AB$3:$AC$38,2,FALSE)=S$3,IF(Gear!$Q43&lt;$AG$6,Gear!$A43,$AB$42),$AB$42)))</f>
        <v>------------</v>
      </c>
      <c r="T46" s="261" t="str">
        <f>IF(Gear!$C43="",$AB$42,IF(Gear!$P43=0,$AB$42,IF(VLOOKUP(Gear!$C43,$AB$3:$AC$38,2,FALSE)=T$3,IF(Gear!$Q43&lt;$AG$6,Gear!$A43,$AB$42),$AB$42)))</f>
        <v>------------</v>
      </c>
      <c r="U46" s="254" t="str">
        <f>IF(Gear!$C43="",$AB$42,IF(Gear!$P43=0,$AB$42,IF(VLOOKUP(Gear!$C43,$AB$3:$AC$38,2,FALSE)=U$3,IF(Gear!$Q43&lt;$AG$6,Gear!$A43,$AB$42),$AB$42)))</f>
        <v>------------</v>
      </c>
      <c r="V46" s="261" t="str">
        <f>IF(Gear!$C43="",$AB$42,IF(Gear!$P43=0,$AB$42,IF(VLOOKUP(Gear!$C43,$AB$3:$AC$38,2,FALSE)=V$3,IF(Gear!$Q43&lt;$AG$6,Gear!$A43,$AB$42),$AB$42)))</f>
        <v>------------</v>
      </c>
      <c r="W46" s="254" t="str">
        <f>IF(Gear!$C43="",$AB$42,IF(Gear!$P43=0,$AB$42,IF(VLOOKUP(Gear!$C43,$AB$3:$AC$38,2,FALSE)=W$3,IF(Gear!$Q43&lt;$AG$6,Gear!$A43,$AB$42),$AB$42)))</f>
        <v>------------</v>
      </c>
      <c r="X46" s="261" t="str">
        <f>IF(Gear!$C43="",$AB$42,IF(Gear!$P43=0,$AB$42,IF(VLOOKUP(Gear!$C43,$AB$3:$AC$38,2,FALSE)=X$3,IF(Gear!$Q43&lt;$AG$6,Gear!$A43,$AB$42),$AB$42)))</f>
        <v>------------</v>
      </c>
      <c r="Y46" s="255" t="str">
        <f>IF(Gear!$C43="",$AB$42,IF(Gear!$P43=0,$AB$42,IF(VLOOKUP(Gear!$C43,$AB$3:$AC$38,2,FALSE)=Y$3,IF(Gear!$Q43&lt;$AG$6,Gear!$A43,$AB$42),$AB$42)))</f>
        <v>------------</v>
      </c>
      <c r="Z46" t="s">
        <v>158</v>
      </c>
    </row>
    <row r="47" spans="2:29" ht="15">
      <c r="B47" t="s">
        <v>154</v>
      </c>
      <c r="C47" s="318" t="s">
        <v>159</v>
      </c>
      <c r="D47" s="320" t="s">
        <v>156</v>
      </c>
      <c r="E47" s="323" t="s">
        <v>159</v>
      </c>
      <c r="F47" s="320" t="s">
        <v>156</v>
      </c>
      <c r="G47" s="323" t="s">
        <v>159</v>
      </c>
      <c r="H47" s="320" t="s">
        <v>156</v>
      </c>
      <c r="I47" s="264" t="s">
        <v>159</v>
      </c>
      <c r="J47" t="s">
        <v>156</v>
      </c>
      <c r="K47" s="253" t="str">
        <f>IF(Gear!$C44="",$AB$42,IF(Gear!$P44=0,$AB$42,IF(VLOOKUP(Gear!$C44,$AB$3:$AC$38,2,FALSE)=K$3,IF(Gear!$Q44&lt;$AG$6,Gear!$A44,$AB$42),$AB$42)))</f>
        <v>------------</v>
      </c>
      <c r="L47" s="261" t="str">
        <f>IF(Gear!$C44="",$AB$42,IF(Gear!$P44=0,$AB$42,IF(VLOOKUP(Gear!$C44,$AB$3:$AC$38,2,FALSE)=L$3,IF(Gear!$Q44&lt;$AG$6,Gear!$A44,$AB$42),$AB$42)))</f>
        <v>------------</v>
      </c>
      <c r="M47" s="254" t="str">
        <f>IF(Gear!$C44="",$AB$42,IF(Gear!$P44=0,$AB$42,IF(VLOOKUP(Gear!$C44,$AB$3:$AC$38,2,FALSE)=M$3,IF(Gear!$Q44&lt;$AG$6,Gear!$A44,$AB$42),$AB$42)))</f>
        <v>------------</v>
      </c>
      <c r="N47" s="261" t="str">
        <f>IF(Gear!$C44="",$AB$42,IF(Gear!$P44=0,$AB$42,IF(VLOOKUP(Gear!$C44,$AB$3:$AC$38,2,FALSE)=N$3,IF(Gear!$Q44&lt;$AG$6,Gear!$A44,$AB$42),$AB$42)))</f>
        <v>------------</v>
      </c>
      <c r="O47" s="254" t="str">
        <f>IF(Gear!$C44="",$AB$42,IF(Gear!$P44=0,$AB$42,IF(VLOOKUP(Gear!$C44,$AB$3:$AC$38,2,FALSE)=O$3,IF(Gear!$Q44&lt;$AG$6,Gear!$A44,$AB$42),$AB$42)))</f>
        <v>------------</v>
      </c>
      <c r="P47" s="261" t="str">
        <f>IF(Gear!$C44="",$AB$42,IF(Gear!$P44=0,$AB$42,IF(VLOOKUP(Gear!$C44,$AB$3:$AC$38,2,FALSE)=P$3,IF(Gear!$Q44&lt;$AG$6,Gear!$A44,$AB$42),$AB$42)))</f>
        <v>------------</v>
      </c>
      <c r="Q47" s="254" t="str">
        <f>IF(Gear!$C44="",$AB$42,IF(Gear!$P44=0,$AB$42,IF(VLOOKUP(Gear!$C44,$AB$3:$AC$38,2,FALSE)=Q$3,IF(Gear!$Q44&lt;$AG$6,Gear!$A44,$AB$42),$AB$42)))</f>
        <v>------------</v>
      </c>
      <c r="R47" s="261" t="str">
        <f>IF(Gear!$C44="",$AB$42,IF(Gear!$P44=0,$AB$42,IF(VLOOKUP(Gear!$C44,$AB$3:$AC$38,2,FALSE)=R$3,IF(Gear!$Q44&lt;$AG$6,Gear!$A44,$AB$42),$AB$42)))</f>
        <v>------------</v>
      </c>
      <c r="S47" s="254" t="str">
        <f>IF(Gear!$C44="",$AB$42,IF(Gear!$P44=0,$AB$42,IF(VLOOKUP(Gear!$C44,$AB$3:$AC$38,2,FALSE)=S$3,IF(Gear!$Q44&lt;$AG$6,Gear!$A44,$AB$42),$AB$42)))</f>
        <v>------------</v>
      </c>
      <c r="T47" s="261" t="str">
        <f>IF(Gear!$C44="",$AB$42,IF(Gear!$P44=0,$AB$42,IF(VLOOKUP(Gear!$C44,$AB$3:$AC$38,2,FALSE)=T$3,IF(Gear!$Q44&lt;$AG$6,Gear!$A44,$AB$42),$AB$42)))</f>
        <v>------------</v>
      </c>
      <c r="U47" s="254" t="str">
        <f>IF(Gear!$C44="",$AB$42,IF(Gear!$P44=0,$AB$42,IF(VLOOKUP(Gear!$C44,$AB$3:$AC$38,2,FALSE)=U$3,IF(Gear!$Q44&lt;$AG$6,Gear!$A44,$AB$42),$AB$42)))</f>
        <v>------------</v>
      </c>
      <c r="V47" s="261" t="str">
        <f>IF(Gear!$C44="",$AB$42,IF(Gear!$P44=0,$AB$42,IF(VLOOKUP(Gear!$C44,$AB$3:$AC$38,2,FALSE)=V$3,IF(Gear!$Q44&lt;$AG$6,Gear!$A44,$AB$42),$AB$42)))</f>
        <v>------------</v>
      </c>
      <c r="W47" s="254" t="str">
        <f>IF(Gear!$C44="",$AB$42,IF(Gear!$P44=0,$AB$42,IF(VLOOKUP(Gear!$C44,$AB$3:$AC$38,2,FALSE)=W$3,IF(Gear!$Q44&lt;$AG$6,Gear!$A44,$AB$42),$AB$42)))</f>
        <v>------------</v>
      </c>
      <c r="X47" s="261" t="str">
        <f>IF(Gear!$C44="",$AB$42,IF(Gear!$P44=0,$AB$42,IF(VLOOKUP(Gear!$C44,$AB$3:$AC$38,2,FALSE)=X$3,IF(Gear!$Q44&lt;$AG$6,Gear!$A44,$AB$42),$AB$42)))</f>
        <v>------------</v>
      </c>
      <c r="Y47" s="255" t="str">
        <f>IF(Gear!$C44="",$AB$42,IF(Gear!$P44=0,$AB$42,IF(VLOOKUP(Gear!$C44,$AB$3:$AC$38,2,FALSE)=Y$3,IF(Gear!$Q44&lt;$AG$6,Gear!$A44,$AB$42),$AB$42)))</f>
        <v>------------</v>
      </c>
      <c r="Z47" t="s">
        <v>158</v>
      </c>
    </row>
    <row r="48" spans="2:29" ht="15">
      <c r="B48" t="s">
        <v>154</v>
      </c>
      <c r="C48" s="318" t="s">
        <v>159</v>
      </c>
      <c r="D48" s="320" t="s">
        <v>156</v>
      </c>
      <c r="E48" s="323" t="s">
        <v>159</v>
      </c>
      <c r="F48" s="320" t="s">
        <v>156</v>
      </c>
      <c r="G48" s="323" t="s">
        <v>159</v>
      </c>
      <c r="H48" s="320" t="s">
        <v>156</v>
      </c>
      <c r="I48" s="264" t="s">
        <v>159</v>
      </c>
      <c r="J48" t="s">
        <v>156</v>
      </c>
      <c r="K48" s="253" t="str">
        <f>IF(Gear!$C45="",$AB$42,IF(Gear!$P45=0,$AB$42,IF(VLOOKUP(Gear!$C45,$AB$3:$AC$38,2,FALSE)=K$3,IF(Gear!$Q45&lt;AG6,Gear!$A45,$AB$42),$AB$42)))</f>
        <v>------------</v>
      </c>
      <c r="L48" s="261" t="s">
        <v>156</v>
      </c>
      <c r="M48" s="254" t="str">
        <f>IF(Gear!$C45="",$AB$42,IF(Gear!$P45=0,$AB$42,IF(VLOOKUP(Gear!$C45,$AB$3:$AC$38,2,FALSE)=M$3,IF(Gear!$Q45&lt;AG6,Gear!$A45,$AB$42),$AB$42)))</f>
        <v>------------</v>
      </c>
      <c r="N48" s="261" t="s">
        <v>156</v>
      </c>
      <c r="O48" s="254" t="str">
        <f>IF(Gear!$C45="",$AB$42,IF(Gear!$P45=0,$AB$42,IF(VLOOKUP(Gear!$C45,$AB$3:$AC$38,2,FALSE)=O$3,IF(Gear!$Q45&lt;AG6,Gear!$A45,$AB$42),$AB$42)))</f>
        <v>------------</v>
      </c>
      <c r="P48" s="261" t="s">
        <v>156</v>
      </c>
      <c r="Q48" s="254" t="str">
        <f>IF(Gear!$C45="",$AB$42,IF(Gear!$P45=0,$AB$42,IF(VLOOKUP(Gear!$C45,$AB$3:$AC$38,2,FALSE)=Q$3,IF(Gear!$Q45&lt;AG6,Gear!$A45,$AB$42),$AB$42)))</f>
        <v>------------</v>
      </c>
      <c r="R48" s="261" t="s">
        <v>156</v>
      </c>
      <c r="S48" s="254" t="str">
        <f>IF(Gear!$C45="",$AB$42,IF(Gear!$P45=0,$AB$42,IF(VLOOKUP(Gear!$C45,$AB$3:$AC$38,2,FALSE)=S$3,IF(Gear!$Q45&lt;AG6,Gear!$A45,$AB$42),$AB$42)))</f>
        <v>------------</v>
      </c>
      <c r="T48" s="261" t="s">
        <v>156</v>
      </c>
      <c r="U48" s="254" t="str">
        <f>IF(Gear!$C45="",$AB$42,IF(Gear!$P45=0,$AB$42,IF(VLOOKUP(Gear!$C45,$AB$3:$AC$38,2,FALSE)=U$3,IF(Gear!$Q45&lt;AG6,Gear!$A45,$AB$42),$AB$42)))</f>
        <v>------------</v>
      </c>
      <c r="V48" s="261" t="s">
        <v>156</v>
      </c>
      <c r="W48" s="254" t="str">
        <f>IF(Gear!$C45="",$AB$42,IF(Gear!$P45=0,$AB$42,IF(VLOOKUP(Gear!$C45,$AB$3:$AC$38,2,FALSE)=W$3,IF(Gear!$Q45&lt;AG6,Gear!$A45,$AB$42),$AB$42)))</f>
        <v>------------</v>
      </c>
      <c r="X48" s="261" t="s">
        <v>156</v>
      </c>
      <c r="Y48" s="255" t="str">
        <f>IF(Gear!$C45="",$AB$42,IF(Gear!$P45=0,$AB$42,IF(VLOOKUP(Gear!$C45,$AB$3:$AC$38,2,FALSE)=Y$3,IF(Gear!$Q45&lt;AG6,Gear!$A45,$AB$42),$AB$42)))</f>
        <v>------------</v>
      </c>
      <c r="Z48" t="s">
        <v>158</v>
      </c>
    </row>
    <row r="49" spans="2:26" ht="15">
      <c r="B49" t="s">
        <v>154</v>
      </c>
      <c r="C49" s="318" t="s">
        <v>159</v>
      </c>
      <c r="D49" s="320" t="s">
        <v>156</v>
      </c>
      <c r="E49" s="323" t="s">
        <v>159</v>
      </c>
      <c r="F49" s="320" t="s">
        <v>156</v>
      </c>
      <c r="G49" s="323" t="s">
        <v>159</v>
      </c>
      <c r="H49" s="320" t="s">
        <v>156</v>
      </c>
      <c r="I49" s="264" t="s">
        <v>159</v>
      </c>
      <c r="J49" t="s">
        <v>156</v>
      </c>
      <c r="K49" s="253" t="str">
        <f>IF(Gear!$C46="",$AB$42,IF(Gear!$P46=0,$AB$42,IF(VLOOKUP(Gear!$C46,$AB$3:$AC$38,2,FALSE)=K$3,IF(Gear!$Q46&lt;AG6,Gear!$A46,$AB$42),$AB$42)))</f>
        <v>------------</v>
      </c>
      <c r="L49" s="261" t="s">
        <v>156</v>
      </c>
      <c r="M49" s="254" t="str">
        <f>IF(Gear!$C46="",$AB$42,IF(Gear!$P46=0,$AB$42,IF(VLOOKUP(Gear!$C46,$AB$3:$AC$38,2,FALSE)=M$3,IF(Gear!$Q46&lt;AG6,Gear!$A46,$AB$42),$AB$42)))</f>
        <v>------------</v>
      </c>
      <c r="N49" s="261" t="s">
        <v>156</v>
      </c>
      <c r="O49" s="254" t="str">
        <f>IF(Gear!$C46="",$AB$42,IF(Gear!$P46=0,$AB$42,IF(VLOOKUP(Gear!$C46,$AB$3:$AC$38,2,FALSE)=O$3,IF(Gear!$Q46&lt;AG6,Gear!$A46,$AB$42),$AB$42)))</f>
        <v>------------</v>
      </c>
      <c r="P49" s="261" t="s">
        <v>156</v>
      </c>
      <c r="Q49" s="254" t="str">
        <f>IF(Gear!$C46="",$AB$42,IF(Gear!$P46=0,$AB$42,IF(VLOOKUP(Gear!$C46,$AB$3:$AC$38,2,FALSE)=Q$3,IF(Gear!$Q46&lt;AG6,Gear!$A46,$AB$42),$AB$42)))</f>
        <v>------------</v>
      </c>
      <c r="R49" s="261" t="s">
        <v>156</v>
      </c>
      <c r="S49" s="254" t="str">
        <f>IF(Gear!$C46="",$AB$42,IF(Gear!$P46=0,$AB$42,IF(VLOOKUP(Gear!$C46,$AB$3:$AC$38,2,FALSE)=S$3,IF(Gear!$Q46&lt;AG6,Gear!$A46,$AB$42),$AB$42)))</f>
        <v>------------</v>
      </c>
      <c r="T49" s="261" t="s">
        <v>156</v>
      </c>
      <c r="U49" s="254" t="str">
        <f>IF(Gear!$C46="",$AB$42,IF(Gear!$P46=0,$AB$42,IF(VLOOKUP(Gear!$C46,$AB$3:$AC$38,2,FALSE)=U$3,IF(Gear!$Q46&lt;AG6,Gear!$A46,$AB$42),$AB$42)))</f>
        <v>------------</v>
      </c>
      <c r="V49" s="261" t="s">
        <v>156</v>
      </c>
      <c r="W49" s="254" t="str">
        <f>IF(Gear!$C46="",$AB$42,IF(Gear!$P46=0,$AB$42,IF(VLOOKUP(Gear!$C46,$AB$3:$AC$38,2,FALSE)=W$3,IF(Gear!$Q46&lt;AG6,Gear!$A46,$AB$42),$AB$42)))</f>
        <v>------------</v>
      </c>
      <c r="X49" s="261" t="s">
        <v>156</v>
      </c>
      <c r="Y49" s="255" t="str">
        <f>IF(Gear!$C46="",$AB$42,IF(Gear!$P46=0,$AB$42,IF(VLOOKUP(Gear!$C46,$AB$3:$AC$38,2,FALSE)=Y$3,IF(Gear!$Q46&lt;AG6,Gear!$A46,$AB$42),$AB$42)))</f>
        <v>------------</v>
      </c>
      <c r="Z49" t="s">
        <v>158</v>
      </c>
    </row>
    <row r="50" spans="2:26" ht="15">
      <c r="B50" t="s">
        <v>154</v>
      </c>
      <c r="C50" s="318" t="s">
        <v>159</v>
      </c>
      <c r="D50" s="320" t="s">
        <v>156</v>
      </c>
      <c r="E50" s="323" t="s">
        <v>159</v>
      </c>
      <c r="F50" s="320" t="s">
        <v>156</v>
      </c>
      <c r="G50" s="323" t="s">
        <v>159</v>
      </c>
      <c r="H50" s="320" t="s">
        <v>156</v>
      </c>
      <c r="I50" s="264" t="s">
        <v>159</v>
      </c>
      <c r="J50" t="s">
        <v>156</v>
      </c>
      <c r="K50" s="253" t="str">
        <f>IF(Gear!$C47="",$AB$42,IF(Gear!$P47=0,$AB$42,IF(VLOOKUP(Gear!$C47,$AB$3:$AC$38,2,FALSE)=K$3,IF(Gear!$Q47&lt;AG6,Gear!$A47,$AB$42),$AB$42)))</f>
        <v>------------</v>
      </c>
      <c r="L50" s="261" t="s">
        <v>156</v>
      </c>
      <c r="M50" s="254" t="str">
        <f>IF(Gear!$C47="",$AB$42,IF(Gear!$P47=0,$AB$42,IF(VLOOKUP(Gear!$C47,$AB$3:$AC$38,2,FALSE)=M$3,IF(Gear!$Q47&lt;AG6,Gear!$A47,$AB$42),$AB$42)))</f>
        <v>------------</v>
      </c>
      <c r="N50" s="261" t="s">
        <v>156</v>
      </c>
      <c r="O50" s="254" t="str">
        <f>IF(Gear!$C47="",$AB$42,IF(Gear!$P47=0,$AB$42,IF(VLOOKUP(Gear!$C47,$AB$3:$AC$38,2,FALSE)=O$3,IF(Gear!$Q47&lt;AG6,Gear!$A47,$AB$42),$AB$42)))</f>
        <v>------------</v>
      </c>
      <c r="P50" s="261" t="s">
        <v>156</v>
      </c>
      <c r="Q50" s="254" t="str">
        <f>IF(Gear!$C47="",$AB$42,IF(Gear!$P47=0,$AB$42,IF(VLOOKUP(Gear!$C47,$AB$3:$AC$38,2,FALSE)=Q$3,IF(Gear!$Q47&lt;AG6,Gear!$A47,$AB$42),$AB$42)))</f>
        <v>------------</v>
      </c>
      <c r="R50" s="261" t="s">
        <v>156</v>
      </c>
      <c r="S50" s="254" t="str">
        <f>IF(Gear!$C47="",$AB$42,IF(Gear!$P47=0,$AB$42,IF(VLOOKUP(Gear!$C47,$AB$3:$AC$38,2,FALSE)=S$3,IF(Gear!$Q47&lt;AG6,Gear!$A47,$AB$42),$AB$42)))</f>
        <v>------------</v>
      </c>
      <c r="T50" s="261" t="s">
        <v>156</v>
      </c>
      <c r="U50" s="254" t="str">
        <f>IF(Gear!$C47="",$AB$42,IF(Gear!$P47=0,$AB$42,IF(VLOOKUP(Gear!$C47,$AB$3:$AC$38,2,FALSE)=U$3,IF(Gear!$Q47&lt;AG6,Gear!$A47,$AB$42),$AB$42)))</f>
        <v>------------</v>
      </c>
      <c r="V50" s="261" t="s">
        <v>156</v>
      </c>
      <c r="W50" s="254" t="str">
        <f>IF(Gear!$C47="",$AB$42,IF(Gear!$P47=0,$AB$42,IF(VLOOKUP(Gear!$C47,$AB$3:$AC$38,2,FALSE)=W$3,IF(Gear!$Q47&lt;AG6,Gear!$A47,$AB$42),$AB$42)))</f>
        <v>------------</v>
      </c>
      <c r="X50" s="261" t="s">
        <v>156</v>
      </c>
      <c r="Y50" s="255" t="str">
        <f>IF(Gear!$C47="",$AB$42,IF(Gear!$P47=0,$AB$42,IF(VLOOKUP(Gear!$C47,$AB$3:$AC$38,2,FALSE)=Y$3,IF(Gear!$Q47&lt;AG6,Gear!$A47,$AB$42),$AB$42)))</f>
        <v>------------</v>
      </c>
      <c r="Z50" t="s">
        <v>158</v>
      </c>
    </row>
    <row r="51" spans="2:26" ht="15">
      <c r="B51" t="s">
        <v>154</v>
      </c>
      <c r="C51" s="318" t="s">
        <v>159</v>
      </c>
      <c r="D51" s="320" t="s">
        <v>156</v>
      </c>
      <c r="E51" s="323" t="s">
        <v>159</v>
      </c>
      <c r="F51" s="320" t="s">
        <v>156</v>
      </c>
      <c r="G51" s="323" t="s">
        <v>159</v>
      </c>
      <c r="H51" s="320" t="s">
        <v>156</v>
      </c>
      <c r="I51" s="264" t="s">
        <v>159</v>
      </c>
      <c r="J51" t="s">
        <v>156</v>
      </c>
      <c r="K51" s="253" t="str">
        <f>IF(Gear!$C48="",$AB$42,IF(Gear!$P48=0,$AB$42,IF(VLOOKUP(Gear!$C48,$AB$3:$AC$38,2,FALSE)=K$3,IF(Gear!$Q48&lt;AG6,Gear!$A48,$AB$42),$AB$42)))</f>
        <v>------------</v>
      </c>
      <c r="L51" s="261" t="s">
        <v>156</v>
      </c>
      <c r="M51" s="254" t="str">
        <f>IF(Gear!$C48="",$AB$42,IF(Gear!$P48=0,$AB$42,IF(VLOOKUP(Gear!$C48,$AB$3:$AC$38,2,FALSE)=M$3,IF(Gear!$Q48&lt;AG6,Gear!$A48,$AB$42),$AB$42)))</f>
        <v>------------</v>
      </c>
      <c r="N51" s="261" t="s">
        <v>156</v>
      </c>
      <c r="O51" s="254" t="str">
        <f>IF(Gear!$C48="",$AB$42,IF(Gear!$P48=0,$AB$42,IF(VLOOKUP(Gear!$C48,$AB$3:$AC$38,2,FALSE)=O$3,IF(Gear!$Q48&lt;AG6,Gear!$A48,$AB$42),$AB$42)))</f>
        <v>------------</v>
      </c>
      <c r="P51" s="261" t="s">
        <v>156</v>
      </c>
      <c r="Q51" s="254" t="str">
        <f>IF(Gear!$C48="",$AB$42,IF(Gear!$P48=0,$AB$42,IF(VLOOKUP(Gear!$C48,$AB$3:$AC$38,2,FALSE)=Q$3,IF(Gear!$Q48&lt;AG6,Gear!$A48,$AB$42),$AB$42)))</f>
        <v>------------</v>
      </c>
      <c r="R51" s="261" t="s">
        <v>156</v>
      </c>
      <c r="S51" s="254" t="str">
        <f>IF(Gear!$C48="",$AB$42,IF(Gear!$P48=0,$AB$42,IF(VLOOKUP(Gear!$C48,$AB$3:$AC$38,2,FALSE)=S$3,IF(Gear!$Q48&lt;AG6,Gear!$A48,$AB$42),$AB$42)))</f>
        <v>------------</v>
      </c>
      <c r="T51" s="261" t="s">
        <v>156</v>
      </c>
      <c r="U51" s="254" t="str">
        <f>IF(Gear!$C48="",$AB$42,IF(Gear!$P48=0,$AB$42,IF(VLOOKUP(Gear!$C48,$AB$3:$AC$38,2,FALSE)=U$3,IF(Gear!$Q48&lt;AG6,Gear!$A48,$AB$42),$AB$42)))</f>
        <v>------------</v>
      </c>
      <c r="V51" s="261" t="s">
        <v>156</v>
      </c>
      <c r="W51" s="254" t="str">
        <f>IF(Gear!$C48="",$AB$42,IF(Gear!$P48=0,$AB$42,IF(VLOOKUP(Gear!$C48,$AB$3:$AC$38,2,FALSE)=W$3,IF(Gear!$Q48&lt;AG6,Gear!$A48,$AB$42),$AB$42)))</f>
        <v>------------</v>
      </c>
      <c r="X51" s="261" t="s">
        <v>156</v>
      </c>
      <c r="Y51" s="255" t="str">
        <f>IF(Gear!$C48="",$AB$42,IF(Gear!$P48=0,$AB$42,IF(VLOOKUP(Gear!$C48,$AB$3:$AC$38,2,FALSE)=Y$3,IF(Gear!$Q48&lt;AG6,Gear!$A48,$AB$42),$AB$42)))</f>
        <v>------------</v>
      </c>
      <c r="Z51" t="s">
        <v>158</v>
      </c>
    </row>
    <row r="52" spans="2:26" ht="15">
      <c r="B52" t="s">
        <v>154</v>
      </c>
      <c r="C52" s="318" t="s">
        <v>159</v>
      </c>
      <c r="D52" s="320" t="s">
        <v>156</v>
      </c>
      <c r="E52" s="323" t="s">
        <v>159</v>
      </c>
      <c r="F52" s="320" t="s">
        <v>156</v>
      </c>
      <c r="G52" s="323" t="s">
        <v>159</v>
      </c>
      <c r="H52" s="320" t="s">
        <v>156</v>
      </c>
      <c r="I52" s="264" t="s">
        <v>159</v>
      </c>
      <c r="J52" t="s">
        <v>156</v>
      </c>
      <c r="K52" s="253" t="str">
        <f>IF(Gear!$C49="",$AB$42,IF(Gear!$P49=0,$AB$42,IF(VLOOKUP(Gear!$C49,$AB$3:$AC$38,2,FALSE)=K$3,IF(Gear!$Q49&lt;AG6,Gear!$A49,$AB$42),$AB$42)))</f>
        <v>------------</v>
      </c>
      <c r="L52" s="261" t="s">
        <v>156</v>
      </c>
      <c r="M52" s="254" t="str">
        <f>IF(Gear!$C49="",$AB$42,IF(Gear!$P49=0,$AB$42,IF(VLOOKUP(Gear!$C49,$AB$3:$AC$38,2,FALSE)=M$3,IF(Gear!$Q49&lt;AG6,Gear!$A49,$AB$42),$AB$42)))</f>
        <v>------------</v>
      </c>
      <c r="N52" s="261" t="s">
        <v>156</v>
      </c>
      <c r="O52" s="254" t="str">
        <f>IF(Gear!$C49="",$AB$42,IF(Gear!$P49=0,$AB$42,IF(VLOOKUP(Gear!$C49,$AB$3:$AC$38,2,FALSE)=O$3,IF(Gear!$Q49&lt;AG6,Gear!$A49,$AB$42),$AB$42)))</f>
        <v>------------</v>
      </c>
      <c r="P52" s="261" t="s">
        <v>156</v>
      </c>
      <c r="Q52" s="254" t="str">
        <f>IF(Gear!$C49="",$AB$42,IF(Gear!$P49=0,$AB$42,IF(VLOOKUP(Gear!$C49,$AB$3:$AC$38,2,FALSE)=Q$3,IF(Gear!$Q49&lt;AG6,Gear!$A49,$AB$42),$AB$42)))</f>
        <v>------------</v>
      </c>
      <c r="R52" s="261" t="s">
        <v>156</v>
      </c>
      <c r="S52" s="254" t="str">
        <f>IF(Gear!$C49="",$AB$42,IF(Gear!$P49=0,$AB$42,IF(VLOOKUP(Gear!$C49,$AB$3:$AC$38,2,FALSE)=S$3,IF(Gear!$Q49&lt;AG6,Gear!$A49,$AB$42),$AB$42)))</f>
        <v>------------</v>
      </c>
      <c r="T52" s="261" t="s">
        <v>156</v>
      </c>
      <c r="U52" s="254" t="str">
        <f>IF(Gear!$C49="",$AB$42,IF(Gear!$P49=0,$AB$42,IF(VLOOKUP(Gear!$C49,$AB$3:$AC$38,2,FALSE)=U$3,IF(Gear!$Q49&lt;AG6,Gear!$A49,$AB$42),$AB$42)))</f>
        <v>------------</v>
      </c>
      <c r="V52" s="261" t="s">
        <v>156</v>
      </c>
      <c r="W52" s="254" t="str">
        <f>IF(Gear!$C49="",$AB$42,IF(Gear!$P49=0,$AB$42,IF(VLOOKUP(Gear!$C49,$AB$3:$AC$38,2,FALSE)=W$3,IF(Gear!$Q49&lt;AG6,Gear!$A49,$AB$42),$AB$42)))</f>
        <v>------------</v>
      </c>
      <c r="X52" s="261" t="s">
        <v>156</v>
      </c>
      <c r="Y52" s="255" t="str">
        <f>IF(Gear!$C49="",$AB$42,IF(Gear!$P49=0,$AB$42,IF(VLOOKUP(Gear!$C49,$AB$3:$AC$38,2,FALSE)=Y$3,IF(Gear!$Q49&lt;AG6,Gear!$A49,$AB$42),$AB$42)))</f>
        <v>------------</v>
      </c>
      <c r="Z52" t="s">
        <v>158</v>
      </c>
    </row>
    <row r="53" spans="2:26" ht="15">
      <c r="B53" t="s">
        <v>154</v>
      </c>
      <c r="C53" s="318" t="s">
        <v>159</v>
      </c>
      <c r="D53" s="320" t="s">
        <v>156</v>
      </c>
      <c r="E53" s="323" t="s">
        <v>159</v>
      </c>
      <c r="F53" s="320" t="s">
        <v>156</v>
      </c>
      <c r="G53" s="323" t="s">
        <v>159</v>
      </c>
      <c r="H53" s="320" t="s">
        <v>156</v>
      </c>
      <c r="I53" s="264" t="s">
        <v>159</v>
      </c>
      <c r="J53" t="s">
        <v>156</v>
      </c>
      <c r="K53" s="253" t="str">
        <f>IF(Gear!$C50="",$AB$42,IF(Gear!$P50=0,$AB$42,IF(VLOOKUP(Gear!$C50,$AB$3:$AC$38,2,FALSE)=K$3,IF(Gear!$Q50&lt;AG6,Gear!$A50,$AB$42),$AB$42)))</f>
        <v>------------</v>
      </c>
      <c r="L53" s="261" t="s">
        <v>156</v>
      </c>
      <c r="M53" s="254" t="str">
        <f>IF(Gear!$C50="",$AB$42,IF(Gear!$P50=0,$AB$42,IF(VLOOKUP(Gear!$C50,$AB$3:$AC$38,2,FALSE)=M$3,IF(Gear!$Q50&lt;AG6,Gear!$A50,$AB$42),$AB$42)))</f>
        <v>------------</v>
      </c>
      <c r="N53" s="261" t="s">
        <v>156</v>
      </c>
      <c r="O53" s="254" t="str">
        <f>IF(Gear!$C50="",$AB$42,IF(Gear!$P50=0,$AB$42,IF(VLOOKUP(Gear!$C50,$AB$3:$AC$38,2,FALSE)=O$3,IF(Gear!$Q50&lt;AG6,Gear!$A50,$AB$42),$AB$42)))</f>
        <v>------------</v>
      </c>
      <c r="P53" s="261" t="s">
        <v>156</v>
      </c>
      <c r="Q53" s="254" t="str">
        <f>IF(Gear!$C50="",$AB$42,IF(Gear!$P50=0,$AB$42,IF(VLOOKUP(Gear!$C50,$AB$3:$AC$38,2,FALSE)=Q$3,IF(Gear!$Q50&lt;AG6,Gear!$A50,$AB$42),$AB$42)))</f>
        <v>------------</v>
      </c>
      <c r="R53" s="261" t="s">
        <v>156</v>
      </c>
      <c r="S53" s="254" t="str">
        <f>IF(Gear!$C50="",$AB$42,IF(Gear!$P50=0,$AB$42,IF(VLOOKUP(Gear!$C50,$AB$3:$AC$38,2,FALSE)=S$3,IF(Gear!$Q50&lt;AG6,Gear!$A50,$AB$42),$AB$42)))</f>
        <v>------------</v>
      </c>
      <c r="T53" s="261" t="s">
        <v>156</v>
      </c>
      <c r="U53" s="254" t="str">
        <f>IF(Gear!$C50="",$AB$42,IF(Gear!$P50=0,$AB$42,IF(VLOOKUP(Gear!$C50,$AB$3:$AC$38,2,FALSE)=U$3,IF(Gear!$Q50&lt;AG6,Gear!$A50,$AB$42),$AB$42)))</f>
        <v>------------</v>
      </c>
      <c r="V53" s="261" t="s">
        <v>156</v>
      </c>
      <c r="W53" s="254" t="str">
        <f>IF(Gear!$C50="",$AB$42,IF(Gear!$P50=0,$AB$42,IF(VLOOKUP(Gear!$C50,$AB$3:$AC$38,2,FALSE)=W$3,IF(Gear!$Q50&lt;AG6,Gear!$A50,$AB$42),$AB$42)))</f>
        <v>------------</v>
      </c>
      <c r="X53" s="261" t="s">
        <v>156</v>
      </c>
      <c r="Y53" s="255" t="str">
        <f>IF(Gear!$C50="",$AB$42,IF(Gear!$P50=0,$AB$42,IF(VLOOKUP(Gear!$C50,$AB$3:$AC$38,2,FALSE)=Y$3,IF(Gear!$Q50&lt;AG6,Gear!$A50,$AB$42),$AB$42)))</f>
        <v>------------</v>
      </c>
      <c r="Z53" t="s">
        <v>158</v>
      </c>
    </row>
    <row r="54" spans="2:26" ht="15">
      <c r="B54" t="s">
        <v>154</v>
      </c>
      <c r="C54" s="318" t="s">
        <v>159</v>
      </c>
      <c r="D54" s="320" t="s">
        <v>156</v>
      </c>
      <c r="E54" s="323" t="s">
        <v>159</v>
      </c>
      <c r="F54" s="320" t="s">
        <v>156</v>
      </c>
      <c r="G54" s="323" t="s">
        <v>159</v>
      </c>
      <c r="H54" s="320" t="s">
        <v>156</v>
      </c>
      <c r="I54" s="264" t="s">
        <v>159</v>
      </c>
      <c r="J54" t="s">
        <v>156</v>
      </c>
      <c r="K54" s="253" t="str">
        <f>IF(Gear!$C51="",$AB$42,IF(Gear!$P51=0,$AB$42,IF(VLOOKUP(Gear!$C51,$AB$3:$AC$38,2,FALSE)=K$3,IF(Gear!$Q51&lt;AG6,Gear!$A51,$AB$42),$AB$42)))</f>
        <v>------------</v>
      </c>
      <c r="L54" s="261" t="s">
        <v>156</v>
      </c>
      <c r="M54" s="254" t="str">
        <f>IF(Gear!$C51="",$AB$42,IF(Gear!$P51=0,$AB$42,IF(VLOOKUP(Gear!$C51,$AB$3:$AC$38,2,FALSE)=M$3,IF(Gear!$Q51&lt;AG6,Gear!$A51,$AB$42),$AB$42)))</f>
        <v>------------</v>
      </c>
      <c r="N54" s="261" t="s">
        <v>156</v>
      </c>
      <c r="O54" s="254" t="str">
        <f>IF(Gear!$C51="",$AB$42,IF(Gear!$P51=0,$AB$42,IF(VLOOKUP(Gear!$C51,$AB$3:$AC$38,2,FALSE)=O$3,IF(Gear!$Q51&lt;AG6,Gear!$A51,$AB$42),$AB$42)))</f>
        <v>------------</v>
      </c>
      <c r="P54" s="261" t="s">
        <v>156</v>
      </c>
      <c r="Q54" s="254" t="str">
        <f>IF(Gear!$C51="",$AB$42,IF(Gear!$P51=0,$AB$42,IF(VLOOKUP(Gear!$C51,$AB$3:$AC$38,2,FALSE)=Q$3,IF(Gear!$Q51&lt;AG6,Gear!$A51,$AB$42),$AB$42)))</f>
        <v>------------</v>
      </c>
      <c r="R54" s="261" t="s">
        <v>156</v>
      </c>
      <c r="S54" s="254" t="str">
        <f>IF(Gear!$C51="",$AB$42,IF(Gear!$P51=0,$AB$42,IF(VLOOKUP(Gear!$C51,$AB$3:$AC$38,2,FALSE)=S$3,IF(Gear!$Q51&lt;AG6,Gear!$A51,$AB$42),$AB$42)))</f>
        <v>------------</v>
      </c>
      <c r="T54" s="261" t="s">
        <v>156</v>
      </c>
      <c r="U54" s="254" t="str">
        <f>IF(Gear!$C51="",$AB$42,IF(Gear!$P51=0,$AB$42,IF(VLOOKUP(Gear!$C51,$AB$3:$AC$38,2,FALSE)=U$3,IF(Gear!$Q51&lt;AG6,Gear!$A51,$AB$42),$AB$42)))</f>
        <v>------------</v>
      </c>
      <c r="V54" s="261" t="s">
        <v>156</v>
      </c>
      <c r="W54" s="254" t="str">
        <f>IF(Gear!$C51="",$AB$42,IF(Gear!$P51=0,$AB$42,IF(VLOOKUP(Gear!$C51,$AB$3:$AC$38,2,FALSE)=W$3,IF(Gear!$Q51&lt;AG6,Gear!$A51,$AB$42),$AB$42)))</f>
        <v>------------</v>
      </c>
      <c r="X54" s="261" t="s">
        <v>156</v>
      </c>
      <c r="Y54" s="255" t="str">
        <f>IF(Gear!$C51="",$AB$42,IF(Gear!$P51=0,$AB$42,IF(VLOOKUP(Gear!$C51,$AB$3:$AC$38,2,FALSE)=Y$3,IF(Gear!$Q51&lt;AG6,Gear!$A51,$AB$42),$AB$42)))</f>
        <v>------------</v>
      </c>
      <c r="Z54" t="s">
        <v>158</v>
      </c>
    </row>
    <row r="55" spans="2:26" ht="15">
      <c r="B55" t="s">
        <v>154</v>
      </c>
      <c r="C55" s="318" t="s">
        <v>159</v>
      </c>
      <c r="D55" s="320" t="s">
        <v>156</v>
      </c>
      <c r="E55" s="323" t="s">
        <v>159</v>
      </c>
      <c r="F55" s="320" t="s">
        <v>156</v>
      </c>
      <c r="G55" s="323" t="s">
        <v>159</v>
      </c>
      <c r="H55" s="320" t="s">
        <v>156</v>
      </c>
      <c r="I55" s="264" t="s">
        <v>159</v>
      </c>
      <c r="J55" t="s">
        <v>156</v>
      </c>
      <c r="K55" s="253" t="str">
        <f>IF(Gear!$C52="",$AB$42,IF(Gear!$P52=0,$AB$42,IF(VLOOKUP(Gear!$C52,$AB$3:$AC$38,2,FALSE)=K$3,IF(Gear!$Q52&lt;AG6,Gear!$A52,$AB$42),$AB$42)))</f>
        <v>------------</v>
      </c>
      <c r="L55" s="261" t="s">
        <v>156</v>
      </c>
      <c r="M55" s="254" t="str">
        <f>IF(Gear!$C52="",$AB$42,IF(Gear!$P52=0,$AB$42,IF(VLOOKUP(Gear!$C52,$AB$3:$AC$38,2,FALSE)=M$3,IF(Gear!$Q52&lt;AG6,Gear!$A52,$AB$42),$AB$42)))</f>
        <v>------------</v>
      </c>
      <c r="N55" s="261" t="s">
        <v>156</v>
      </c>
      <c r="O55" s="254" t="str">
        <f>IF(Gear!$C52="",$AB$42,IF(Gear!$P52=0,$AB$42,IF(VLOOKUP(Gear!$C52,$AB$3:$AC$38,2,FALSE)=O$3,IF(Gear!$Q52&lt;AG6,Gear!$A52,$AB$42),$AB$42)))</f>
        <v>------------</v>
      </c>
      <c r="P55" s="261" t="s">
        <v>156</v>
      </c>
      <c r="Q55" s="254" t="str">
        <f>IF(Gear!$C52="",$AB$42,IF(Gear!$P52=0,$AB$42,IF(VLOOKUP(Gear!$C52,$AB$3:$AC$38,2,FALSE)=Q$3,IF(Gear!$Q52&lt;AG6,Gear!$A52,$AB$42),$AB$42)))</f>
        <v>------------</v>
      </c>
      <c r="R55" s="261" t="s">
        <v>156</v>
      </c>
      <c r="S55" s="254" t="str">
        <f>IF(Gear!$C52="",$AB$42,IF(Gear!$P52=0,$AB$42,IF(VLOOKUP(Gear!$C52,$AB$3:$AC$38,2,FALSE)=S$3,IF(Gear!$Q52&lt;AG6,Gear!$A52,$AB$42),$AB$42)))</f>
        <v>------------</v>
      </c>
      <c r="T55" s="261" t="s">
        <v>156</v>
      </c>
      <c r="U55" s="254" t="str">
        <f>IF(Gear!$C52="",$AB$42,IF(Gear!$P52=0,$AB$42,IF(VLOOKUP(Gear!$C52,$AB$3:$AC$38,2,FALSE)=U$3,IF(Gear!$Q52&lt;AG6,Gear!$A52,$AB$42),$AB$42)))</f>
        <v>------------</v>
      </c>
      <c r="V55" s="261" t="s">
        <v>156</v>
      </c>
      <c r="W55" s="254" t="str">
        <f>IF(Gear!$C52="",$AB$42,IF(Gear!$P52=0,$AB$42,IF(VLOOKUP(Gear!$C52,$AB$3:$AC$38,2,FALSE)=W$3,IF(Gear!$Q52&lt;AG6,Gear!$A52,$AB$42),$AB$42)))</f>
        <v>------------</v>
      </c>
      <c r="X55" s="261" t="s">
        <v>156</v>
      </c>
      <c r="Y55" s="255" t="str">
        <f>IF(Gear!$C52="",$AB$42,IF(Gear!$P52=0,$AB$42,IF(VLOOKUP(Gear!$C52,$AB$3:$AC$38,2,FALSE)=Y$3,IF(Gear!$Q52&lt;AG6,Gear!$A52,$AB$42),$AB$42)))</f>
        <v>------------</v>
      </c>
      <c r="Z55" t="s">
        <v>158</v>
      </c>
    </row>
    <row r="56" spans="2:26" ht="15">
      <c r="B56" t="s">
        <v>154</v>
      </c>
      <c r="C56" s="318" t="s">
        <v>159</v>
      </c>
      <c r="D56" s="320" t="s">
        <v>156</v>
      </c>
      <c r="E56" s="323" t="s">
        <v>159</v>
      </c>
      <c r="F56" s="320" t="s">
        <v>156</v>
      </c>
      <c r="G56" s="323" t="s">
        <v>159</v>
      </c>
      <c r="H56" s="320" t="s">
        <v>156</v>
      </c>
      <c r="I56" s="264" t="s">
        <v>159</v>
      </c>
      <c r="J56" t="s">
        <v>156</v>
      </c>
      <c r="K56" s="253" t="str">
        <f>IF(Gear!$C53="",$AB$42,IF(Gear!$P53=0,$AB$42,IF(VLOOKUP(Gear!$C53,$AB$3:$AC$38,2,FALSE)=K$3,IF(Gear!$Q53&lt;AG6,Gear!$A53,$AB$42),$AB$42)))</f>
        <v>------------</v>
      </c>
      <c r="L56" s="261" t="s">
        <v>156</v>
      </c>
      <c r="M56" s="254" t="str">
        <f>IF(Gear!$C53="",$AB$42,IF(Gear!$P53=0,$AB$42,IF(VLOOKUP(Gear!$C53,$AB$3:$AC$38,2,FALSE)=M$3,IF(Gear!$Q53&lt;AG6,Gear!$A53,$AB$42),$AB$42)))</f>
        <v>------------</v>
      </c>
      <c r="N56" s="261" t="s">
        <v>156</v>
      </c>
      <c r="O56" s="254" t="str">
        <f>IF(Gear!$C53="",$AB$42,IF(Gear!$P53=0,$AB$42,IF(VLOOKUP(Gear!$C53,$AB$3:$AC$38,2,FALSE)=O$3,IF(Gear!$Q53&lt;AG6,Gear!$A53,$AB$42),$AB$42)))</f>
        <v>------------</v>
      </c>
      <c r="P56" s="261" t="s">
        <v>156</v>
      </c>
      <c r="Q56" s="254" t="str">
        <f>IF(Gear!$C53="",$AB$42,IF(Gear!$P53=0,$AB$42,IF(VLOOKUP(Gear!$C53,$AB$3:$AC$38,2,FALSE)=Q$3,IF(Gear!$Q53&lt;AG6,Gear!$A53,$AB$42),$AB$42)))</f>
        <v>------------</v>
      </c>
      <c r="R56" s="261" t="s">
        <v>156</v>
      </c>
      <c r="S56" s="254" t="str">
        <f>IF(Gear!$C53="",$AB$42,IF(Gear!$P53=0,$AB$42,IF(VLOOKUP(Gear!$C53,$AB$3:$AC$38,2,FALSE)=S$3,IF(Gear!$Q53&lt;AG6,Gear!$A53,$AB$42),$AB$42)))</f>
        <v>------------</v>
      </c>
      <c r="T56" s="261" t="s">
        <v>156</v>
      </c>
      <c r="U56" s="254" t="str">
        <f>IF(Gear!$C53="",$AB$42,IF(Gear!$P53=0,$AB$42,IF(VLOOKUP(Gear!$C53,$AB$3:$AC$38,2,FALSE)=U$3,IF(Gear!$Q53&lt;AG6,Gear!$A53,$AB$42),$AB$42)))</f>
        <v>------------</v>
      </c>
      <c r="V56" s="261" t="s">
        <v>156</v>
      </c>
      <c r="W56" s="254" t="str">
        <f>IF(Gear!$C53="",$AB$42,IF(Gear!$P53=0,$AB$42,IF(VLOOKUP(Gear!$C53,$AB$3:$AC$38,2,FALSE)=W$3,IF(Gear!$Q53&lt;AG6,Gear!$A53,$AB$42),$AB$42)))</f>
        <v>------------</v>
      </c>
      <c r="X56" s="261" t="s">
        <v>156</v>
      </c>
      <c r="Y56" s="255" t="str">
        <f>IF(Gear!$C53="",$AB$42,IF(Gear!$P53=0,$AB$42,IF(VLOOKUP(Gear!$C53,$AB$3:$AC$38,2,FALSE)=Y$3,IF(Gear!$Q53&lt;AG6,Gear!$A53,$AB$42),$AB$42)))</f>
        <v>------------</v>
      </c>
      <c r="Z56" t="s">
        <v>158</v>
      </c>
    </row>
    <row r="57" spans="2:26" ht="15">
      <c r="B57" t="s">
        <v>154</v>
      </c>
      <c r="C57" s="318" t="s">
        <v>159</v>
      </c>
      <c r="D57" s="320" t="s">
        <v>156</v>
      </c>
      <c r="E57" s="323" t="s">
        <v>159</v>
      </c>
      <c r="F57" s="320" t="s">
        <v>156</v>
      </c>
      <c r="G57" s="323" t="s">
        <v>159</v>
      </c>
      <c r="H57" s="320" t="s">
        <v>156</v>
      </c>
      <c r="I57" s="264" t="s">
        <v>159</v>
      </c>
      <c r="J57" t="s">
        <v>156</v>
      </c>
      <c r="K57" s="253" t="str">
        <f>IF(Gear!$C54="",$AB$42,IF(Gear!$P54=0,$AB$42,IF(VLOOKUP(Gear!$C54,$AB$3:$AC$38,2,FALSE)=K$3,IF(Gear!$Q54&lt;AG6,Gear!$A54,$AB$42),$AB$42)))</f>
        <v>------------</v>
      </c>
      <c r="L57" s="261" t="s">
        <v>156</v>
      </c>
      <c r="M57" s="254" t="str">
        <f>IF(Gear!$C54="",$AB$42,IF(Gear!$P54=0,$AB$42,IF(VLOOKUP(Gear!$C54,$AB$3:$AC$38,2,FALSE)=M$3,IF(Gear!$Q54&lt;AG6,Gear!$A54,$AB$42),$AB$42)))</f>
        <v>------------</v>
      </c>
      <c r="N57" s="261" t="s">
        <v>156</v>
      </c>
      <c r="O57" s="254" t="str">
        <f>IF(Gear!$C54="",$AB$42,IF(Gear!$P54=0,$AB$42,IF(VLOOKUP(Gear!$C54,$AB$3:$AC$38,2,FALSE)=O$3,IF(Gear!$Q54&lt;AG6,Gear!$A54,$AB$42),$AB$42)))</f>
        <v>------------</v>
      </c>
      <c r="P57" s="261" t="s">
        <v>156</v>
      </c>
      <c r="Q57" s="254" t="str">
        <f>IF(Gear!$C54="",$AB$42,IF(Gear!$P54=0,$AB$42,IF(VLOOKUP(Gear!$C54,$AB$3:$AC$38,2,FALSE)=Q$3,IF(Gear!$Q54&lt;AG6,Gear!$A54,$AB$42),$AB$42)))</f>
        <v>------------</v>
      </c>
      <c r="R57" s="261" t="s">
        <v>156</v>
      </c>
      <c r="S57" s="254" t="str">
        <f>IF(Gear!$C54="",$AB$42,IF(Gear!$P54=0,$AB$42,IF(VLOOKUP(Gear!$C54,$AB$3:$AC$38,2,FALSE)=S$3,IF(Gear!$Q54&lt;AG6,Gear!$A54,$AB$42),$AB$42)))</f>
        <v>------------</v>
      </c>
      <c r="T57" s="261" t="s">
        <v>156</v>
      </c>
      <c r="U57" s="254" t="str">
        <f>IF(Gear!$C54="",$AB$42,IF(Gear!$P54=0,$AB$42,IF(VLOOKUP(Gear!$C54,$AB$3:$AC$38,2,FALSE)=U$3,IF(Gear!$Q54&lt;AG6,Gear!$A54,$AB$42),$AB$42)))</f>
        <v>------------</v>
      </c>
      <c r="V57" s="261" t="s">
        <v>156</v>
      </c>
      <c r="W57" s="254" t="str">
        <f>IF(Gear!$C54="",$AB$42,IF(Gear!$P54=0,$AB$42,IF(VLOOKUP(Gear!$C54,$AB$3:$AC$38,2,FALSE)=W$3,IF(Gear!$Q54&lt;AG6,Gear!$A54,$AB$42),$AB$42)))</f>
        <v>------------</v>
      </c>
      <c r="X57" s="261" t="s">
        <v>156</v>
      </c>
      <c r="Y57" s="255" t="str">
        <f>IF(Gear!$C54="",$AB$42,IF(Gear!$P54=0,$AB$42,IF(VLOOKUP(Gear!$C54,$AB$3:$AC$38,2,FALSE)=Y$3,IF(Gear!$Q54&lt;AG6,Gear!$A54,$AB$42),$AB$42)))</f>
        <v>------------</v>
      </c>
      <c r="Z57" t="s">
        <v>158</v>
      </c>
    </row>
    <row r="58" spans="2:26" ht="15">
      <c r="B58" t="s">
        <v>154</v>
      </c>
      <c r="C58" s="318" t="s">
        <v>159</v>
      </c>
      <c r="D58" s="320" t="s">
        <v>156</v>
      </c>
      <c r="E58" s="323" t="s">
        <v>159</v>
      </c>
      <c r="F58" s="320" t="s">
        <v>156</v>
      </c>
      <c r="G58" s="323" t="s">
        <v>159</v>
      </c>
      <c r="H58" s="320" t="s">
        <v>156</v>
      </c>
      <c r="I58" s="264" t="s">
        <v>159</v>
      </c>
      <c r="J58" t="s">
        <v>156</v>
      </c>
      <c r="K58" s="253" t="str">
        <f>IF(Gear!$C55="",$AB$42,IF(Gear!$P55=0,$AB$42,IF(VLOOKUP(Gear!$C55,$AB$3:$AC$38,2,FALSE)=K$3,IF(Gear!$Q55&lt;AG6,Gear!$A55,$AB$42),$AB$42)))</f>
        <v>------------</v>
      </c>
      <c r="L58" s="261" t="s">
        <v>156</v>
      </c>
      <c r="M58" s="254" t="str">
        <f>IF(Gear!$C55="",$AB$42,IF(Gear!$P55=0,$AB$42,IF(VLOOKUP(Gear!$C55,$AB$3:$AC$38,2,FALSE)=M$3,IF(Gear!$Q55&lt;AG6,Gear!$A55,$AB$42),$AB$42)))</f>
        <v>------------</v>
      </c>
      <c r="N58" s="261" t="s">
        <v>156</v>
      </c>
      <c r="O58" s="254" t="str">
        <f>IF(Gear!$C55="",$AB$42,IF(Gear!$P55=0,$AB$42,IF(VLOOKUP(Gear!$C55,$AB$3:$AC$38,2,FALSE)=O$3,IF(Gear!$Q55&lt;AG6,Gear!$A55,$AB$42),$AB$42)))</f>
        <v>------------</v>
      </c>
      <c r="P58" s="261" t="s">
        <v>156</v>
      </c>
      <c r="Q58" s="254" t="str">
        <f>IF(Gear!$C55="",$AB$42,IF(Gear!$P55=0,$AB$42,IF(VLOOKUP(Gear!$C55,$AB$3:$AC$38,2,FALSE)=Q$3,IF(Gear!$Q55&lt;AG6,Gear!$A55,$AB$42),$AB$42)))</f>
        <v>------------</v>
      </c>
      <c r="R58" s="261" t="s">
        <v>156</v>
      </c>
      <c r="S58" s="254" t="str">
        <f>IF(Gear!$C55="",$AB$42,IF(Gear!$P55=0,$AB$42,IF(VLOOKUP(Gear!$C55,$AB$3:$AC$38,2,FALSE)=S$3,IF(Gear!$Q55&lt;AG6,Gear!$A55,$AB$42),$AB$42)))</f>
        <v>------------</v>
      </c>
      <c r="T58" s="261" t="s">
        <v>156</v>
      </c>
      <c r="U58" s="254" t="str">
        <f>IF(Gear!$C55="",$AB$42,IF(Gear!$P55=0,$AB$42,IF(VLOOKUP(Gear!$C55,$AB$3:$AC$38,2,FALSE)=U$3,IF(Gear!$Q55&lt;AG6,Gear!$A55,$AB$42),$AB$42)))</f>
        <v>------------</v>
      </c>
      <c r="V58" s="261" t="s">
        <v>156</v>
      </c>
      <c r="W58" s="254" t="str">
        <f>IF(Gear!$C55="",$AB$42,IF(Gear!$P55=0,$AB$42,IF(VLOOKUP(Gear!$C55,$AB$3:$AC$38,2,FALSE)=W$3,IF(Gear!$Q55&lt;AG6,Gear!$A55,$AB$42),$AB$42)))</f>
        <v>------------</v>
      </c>
      <c r="X58" s="261" t="s">
        <v>156</v>
      </c>
      <c r="Y58" s="255" t="str">
        <f>IF(Gear!$C55="",$AB$42,IF(Gear!$P55=0,$AB$42,IF(VLOOKUP(Gear!$C55,$AB$3:$AC$38,2,FALSE)=Y$3,IF(Gear!$Q55&lt;AG6,Gear!$A55,$AB$42),$AB$42)))</f>
        <v>------------</v>
      </c>
      <c r="Z58" t="s">
        <v>158</v>
      </c>
    </row>
    <row r="59" spans="2:26" ht="15">
      <c r="B59" t="s">
        <v>154</v>
      </c>
      <c r="C59" s="318" t="s">
        <v>159</v>
      </c>
      <c r="D59" s="320" t="s">
        <v>156</v>
      </c>
      <c r="E59" s="323" t="s">
        <v>159</v>
      </c>
      <c r="F59" s="320" t="s">
        <v>156</v>
      </c>
      <c r="G59" s="323" t="s">
        <v>159</v>
      </c>
      <c r="H59" s="320" t="s">
        <v>156</v>
      </c>
      <c r="I59" s="264" t="s">
        <v>159</v>
      </c>
      <c r="J59" t="s">
        <v>156</v>
      </c>
      <c r="K59" s="253" t="str">
        <f>IF(Gear!$C56="",$AB$42,IF(Gear!$P56=0,$AB$42,IF(VLOOKUP(Gear!$C56,$AB$3:$AC$38,2,FALSE)=K$3,IF(Gear!$Q56&lt;AG6,Gear!$A56,$AB$42),$AB$42)))</f>
        <v>------------</v>
      </c>
      <c r="L59" s="261" t="s">
        <v>156</v>
      </c>
      <c r="M59" s="254" t="str">
        <f>IF(Gear!$C56="",$AB$42,IF(Gear!$P56=0,$AB$42,IF(VLOOKUP(Gear!$C56,$AB$3:$AC$38,2,FALSE)=M$3,IF(Gear!$Q56&lt;AG6,Gear!$A56,$AB$42),$AB$42)))</f>
        <v>------------</v>
      </c>
      <c r="N59" s="261" t="s">
        <v>156</v>
      </c>
      <c r="O59" s="254" t="str">
        <f>IF(Gear!$C56="",$AB$42,IF(Gear!$P56=0,$AB$42,IF(VLOOKUP(Gear!$C56,$AB$3:$AC$38,2,FALSE)=O$3,IF(Gear!$Q56&lt;AG6,Gear!$A56,$AB$42),$AB$42)))</f>
        <v>------------</v>
      </c>
      <c r="P59" s="261" t="s">
        <v>156</v>
      </c>
      <c r="Q59" s="254" t="str">
        <f>IF(Gear!$C56="",$AB$42,IF(Gear!$P56=0,$AB$42,IF(VLOOKUP(Gear!$C56,$AB$3:$AC$38,2,FALSE)=Q$3,IF(Gear!$Q56&lt;AG6,Gear!$A56,$AB$42),$AB$42)))</f>
        <v>------------</v>
      </c>
      <c r="R59" s="261" t="s">
        <v>156</v>
      </c>
      <c r="S59" s="254" t="str">
        <f>IF(Gear!$C56="",$AB$42,IF(Gear!$P56=0,$AB$42,IF(VLOOKUP(Gear!$C56,$AB$3:$AC$38,2,FALSE)=S$3,IF(Gear!$Q56&lt;AG6,Gear!$A56,$AB$42),$AB$42)))</f>
        <v>------------</v>
      </c>
      <c r="T59" s="261" t="s">
        <v>156</v>
      </c>
      <c r="U59" s="254" t="str">
        <f>IF(Gear!$C56="",$AB$42,IF(Gear!$P56=0,$AB$42,IF(VLOOKUP(Gear!$C56,$AB$3:$AC$38,2,FALSE)=U$3,IF(Gear!$Q56&lt;AG6,Gear!$A56,$AB$42),$AB$42)))</f>
        <v>------------</v>
      </c>
      <c r="V59" s="261" t="s">
        <v>156</v>
      </c>
      <c r="W59" s="254" t="str">
        <f>IF(Gear!$C56="",$AB$42,IF(Gear!$P56=0,$AB$42,IF(VLOOKUP(Gear!$C56,$AB$3:$AC$38,2,FALSE)=W$3,IF(Gear!$Q56&lt;AG6,Gear!$A56,$AB$42),$AB$42)))</f>
        <v>------------</v>
      </c>
      <c r="X59" s="261" t="s">
        <v>156</v>
      </c>
      <c r="Y59" s="255" t="str">
        <f>IF(Gear!$C56="",$AB$42,IF(Gear!$P56=0,$AB$42,IF(VLOOKUP(Gear!$C56,$AB$3:$AC$38,2,FALSE)=Y$3,IF(Gear!$Q56&lt;AG6,Gear!$A56,$AB$42),$AB$42)))</f>
        <v>------------</v>
      </c>
      <c r="Z59" t="s">
        <v>158</v>
      </c>
    </row>
    <row r="60" spans="2:26" ht="15">
      <c r="B60" t="s">
        <v>154</v>
      </c>
      <c r="C60" s="318" t="s">
        <v>159</v>
      </c>
      <c r="D60" s="320" t="s">
        <v>156</v>
      </c>
      <c r="E60" s="323" t="s">
        <v>159</v>
      </c>
      <c r="F60" s="320" t="s">
        <v>156</v>
      </c>
      <c r="G60" s="323" t="s">
        <v>159</v>
      </c>
      <c r="H60" s="320" t="s">
        <v>156</v>
      </c>
      <c r="I60" s="264" t="s">
        <v>159</v>
      </c>
      <c r="J60" t="s">
        <v>156</v>
      </c>
      <c r="K60" s="253" t="str">
        <f>IF(Gear!$C57="",$AB$42,IF(Gear!$P57=0,$AB$42,IF(VLOOKUP(Gear!$C57,$AB$3:$AC$38,2,FALSE)=K$3,IF(Gear!$Q57&lt;AG6,Gear!$A57,$AB$42),$AB$42)))</f>
        <v>------------</v>
      </c>
      <c r="L60" s="261" t="s">
        <v>156</v>
      </c>
      <c r="M60" s="254" t="str">
        <f>IF(Gear!$C57="",$AB$42,IF(Gear!$P57=0,$AB$42,IF(VLOOKUP(Gear!$C57,$AB$3:$AC$38,2,FALSE)=M$3,IF(Gear!$Q57&lt;AG6,Gear!$A57,$AB$42),$AB$42)))</f>
        <v>------------</v>
      </c>
      <c r="N60" s="261" t="s">
        <v>156</v>
      </c>
      <c r="O60" s="254" t="str">
        <f>IF(Gear!$C57="",$AB$42,IF(Gear!$P57=0,$AB$42,IF(VLOOKUP(Gear!$C57,$AB$3:$AC$38,2,FALSE)=O$3,IF(Gear!$Q57&lt;AG6,Gear!$A57,$AB$42),$AB$42)))</f>
        <v>------------</v>
      </c>
      <c r="P60" s="261" t="s">
        <v>156</v>
      </c>
      <c r="Q60" s="254" t="str">
        <f>IF(Gear!$C57="",$AB$42,IF(Gear!$P57=0,$AB$42,IF(VLOOKUP(Gear!$C57,$AB$3:$AC$38,2,FALSE)=Q$3,IF(Gear!$Q57&lt;AG6,Gear!$A57,$AB$42),$AB$42)))</f>
        <v>------------</v>
      </c>
      <c r="R60" s="261" t="s">
        <v>156</v>
      </c>
      <c r="S60" s="254" t="str">
        <f>IF(Gear!$C57="",$AB$42,IF(Gear!$P57=0,$AB$42,IF(VLOOKUP(Gear!$C57,$AB$3:$AC$38,2,FALSE)=S$3,IF(Gear!$Q57&lt;AG6,Gear!$A57,$AB$42),$AB$42)))</f>
        <v>------------</v>
      </c>
      <c r="T60" s="261" t="s">
        <v>156</v>
      </c>
      <c r="U60" s="254" t="str">
        <f>IF(Gear!$C57="",$AB$42,IF(Gear!$P57=0,$AB$42,IF(VLOOKUP(Gear!$C57,$AB$3:$AC$38,2,FALSE)=U$3,IF(Gear!$Q57&lt;AG6,Gear!$A57,$AB$42),$AB$42)))</f>
        <v>------------</v>
      </c>
      <c r="V60" s="261" t="s">
        <v>156</v>
      </c>
      <c r="W60" s="254" t="str">
        <f>IF(Gear!$C57="",$AB$42,IF(Gear!$P57=0,$AB$42,IF(VLOOKUP(Gear!$C57,$AB$3:$AC$38,2,FALSE)=W$3,IF(Gear!$Q57&lt;AG6,Gear!$A57,$AB$42),$AB$42)))</f>
        <v>------------</v>
      </c>
      <c r="X60" s="261" t="s">
        <v>156</v>
      </c>
      <c r="Y60" s="255" t="str">
        <f>IF(Gear!$C57="",$AB$42,IF(Gear!$P57=0,$AB$42,IF(VLOOKUP(Gear!$C57,$AB$3:$AC$38,2,FALSE)=Y$3,IF(Gear!$Q57&lt;AG6,Gear!$A57,$AB$42),$AB$42)))</f>
        <v>------------</v>
      </c>
      <c r="Z60" t="s">
        <v>158</v>
      </c>
    </row>
    <row r="61" spans="2:26" ht="15">
      <c r="B61" t="s">
        <v>154</v>
      </c>
      <c r="C61" s="318" t="s">
        <v>159</v>
      </c>
      <c r="D61" s="320" t="s">
        <v>156</v>
      </c>
      <c r="E61" s="323" t="s">
        <v>159</v>
      </c>
      <c r="F61" s="320" t="s">
        <v>156</v>
      </c>
      <c r="G61" s="323" t="s">
        <v>159</v>
      </c>
      <c r="H61" s="320" t="s">
        <v>156</v>
      </c>
      <c r="I61" s="264" t="s">
        <v>159</v>
      </c>
      <c r="J61" t="s">
        <v>156</v>
      </c>
      <c r="K61" s="253" t="str">
        <f>IF(Gear!$C58="",$AB$42,IF(Gear!$P58=0,$AB$42,IF(VLOOKUP(Gear!$C58,$AB$3:$AC$38,2,FALSE)=K$3,IF(Gear!$Q58&lt;AG6,Gear!$A58,$AB$42),$AB$42)))</f>
        <v>------------</v>
      </c>
      <c r="L61" s="261" t="s">
        <v>156</v>
      </c>
      <c r="M61" s="254" t="str">
        <f>IF(Gear!$C58="",$AB$42,IF(Gear!$P58=0,$AB$42,IF(VLOOKUP(Gear!$C58,$AB$3:$AC$38,2,FALSE)=M$3,IF(Gear!$Q58&lt;AG6,Gear!$A58,$AB$42),$AB$42)))</f>
        <v>------------</v>
      </c>
      <c r="N61" s="261" t="s">
        <v>156</v>
      </c>
      <c r="O61" s="254" t="str">
        <f>IF(Gear!$C58="",$AB$42,IF(Gear!$P58=0,$AB$42,IF(VLOOKUP(Gear!$C58,$AB$3:$AC$38,2,FALSE)=O$3,IF(Gear!$Q58&lt;AG6,Gear!$A58,$AB$42),$AB$42)))</f>
        <v>------------</v>
      </c>
      <c r="P61" s="261" t="s">
        <v>156</v>
      </c>
      <c r="Q61" s="254" t="str">
        <f>IF(Gear!$C58="",$AB$42,IF(Gear!$P58=0,$AB$42,IF(VLOOKUP(Gear!$C58,$AB$3:$AC$38,2,FALSE)=Q$3,IF(Gear!$Q58&lt;AG6,Gear!$A58,$AB$42),$AB$42)))</f>
        <v>------------</v>
      </c>
      <c r="R61" s="261" t="s">
        <v>156</v>
      </c>
      <c r="S61" s="254" t="str">
        <f>IF(Gear!$C58="",$AB$42,IF(Gear!$P58=0,$AB$42,IF(VLOOKUP(Gear!$C58,$AB$3:$AC$38,2,FALSE)=S$3,IF(Gear!$Q58&lt;AG6,Gear!$A58,$AB$42),$AB$42)))</f>
        <v>------------</v>
      </c>
      <c r="T61" s="261" t="s">
        <v>156</v>
      </c>
      <c r="U61" s="254" t="str">
        <f>IF(Gear!$C58="",$AB$42,IF(Gear!$P58=0,$AB$42,IF(VLOOKUP(Gear!$C58,$AB$3:$AC$38,2,FALSE)=U$3,IF(Gear!$Q58&lt;AG6,Gear!$A58,$AB$42),$AB$42)))</f>
        <v>------------</v>
      </c>
      <c r="V61" s="261" t="s">
        <v>156</v>
      </c>
      <c r="W61" s="254" t="str">
        <f>IF(Gear!$C58="",$AB$42,IF(Gear!$P58=0,$AB$42,IF(VLOOKUP(Gear!$C58,$AB$3:$AC$38,2,FALSE)=W$3,IF(Gear!$Q58&lt;AG6,Gear!$A58,$AB$42),$AB$42)))</f>
        <v>------------</v>
      </c>
      <c r="X61" s="261" t="s">
        <v>156</v>
      </c>
      <c r="Y61" s="255" t="str">
        <f>IF(Gear!$C58="",$AB$42,IF(Gear!$P58=0,$AB$42,IF(VLOOKUP(Gear!$C58,$AB$3:$AC$38,2,FALSE)=Y$3,IF(Gear!$Q58&lt;AG6,Gear!$A58,$AB$42),$AB$42)))</f>
        <v>------------</v>
      </c>
      <c r="Z61" t="s">
        <v>158</v>
      </c>
    </row>
    <row r="62" spans="2:26" ht="15">
      <c r="B62" t="s">
        <v>154</v>
      </c>
      <c r="C62" s="318" t="s">
        <v>159</v>
      </c>
      <c r="D62" s="320" t="s">
        <v>156</v>
      </c>
      <c r="E62" s="323" t="s">
        <v>159</v>
      </c>
      <c r="F62" s="320" t="s">
        <v>156</v>
      </c>
      <c r="G62" s="323" t="s">
        <v>159</v>
      </c>
      <c r="H62" s="320" t="s">
        <v>156</v>
      </c>
      <c r="I62" s="264" t="s">
        <v>159</v>
      </c>
      <c r="J62" t="s">
        <v>156</v>
      </c>
      <c r="K62" s="253" t="str">
        <f>IF(Gear!$C59="",$AB$42,IF(Gear!$P59=0,$AB$42,IF(VLOOKUP(Gear!$C59,$AB$3:$AC$38,2,FALSE)=K$3,IF(Gear!$Q59&lt;AG6,Gear!$A59,$AB$42),$AB$42)))</f>
        <v>------------</v>
      </c>
      <c r="L62" s="261" t="s">
        <v>156</v>
      </c>
      <c r="M62" s="254" t="str">
        <f>IF(Gear!$C59="",$AB$42,IF(Gear!$P59=0,$AB$42,IF(VLOOKUP(Gear!$C59,$AB$3:$AC$38,2,FALSE)=M$3,IF(Gear!$Q59&lt;AG6,Gear!$A59,$AB$42),$AB$42)))</f>
        <v>------------</v>
      </c>
      <c r="N62" s="261" t="s">
        <v>156</v>
      </c>
      <c r="O62" s="254" t="str">
        <f>IF(Gear!$C59="",$AB$42,IF(Gear!$P59=0,$AB$42,IF(VLOOKUP(Gear!$C59,$AB$3:$AC$38,2,FALSE)=O$3,IF(Gear!$Q59&lt;AG6,Gear!$A59,$AB$42),$AB$42)))</f>
        <v>------------</v>
      </c>
      <c r="P62" s="261" t="s">
        <v>156</v>
      </c>
      <c r="Q62" s="254" t="str">
        <f>IF(Gear!$C59="",$AB$42,IF(Gear!$P59=0,$AB$42,IF(VLOOKUP(Gear!$C59,$AB$3:$AC$38,2,FALSE)=Q$3,IF(Gear!$Q59&lt;AG6,Gear!$A59,$AB$42),$AB$42)))</f>
        <v>------------</v>
      </c>
      <c r="R62" s="261" t="s">
        <v>156</v>
      </c>
      <c r="S62" s="254" t="str">
        <f>IF(Gear!$C59="",$AB$42,IF(Gear!$P59=0,$AB$42,IF(VLOOKUP(Gear!$C59,$AB$3:$AC$38,2,FALSE)=S$3,IF(Gear!$Q59&lt;AG6,Gear!$A59,$AB$42),$AB$42)))</f>
        <v>------------</v>
      </c>
      <c r="T62" s="261" t="s">
        <v>156</v>
      </c>
      <c r="U62" s="254" t="str">
        <f>IF(Gear!$C59="",$AB$42,IF(Gear!$P59=0,$AB$42,IF(VLOOKUP(Gear!$C59,$AB$3:$AC$38,2,FALSE)=U$3,IF(Gear!$Q59&lt;AG6,Gear!$A59,$AB$42),$AB$42)))</f>
        <v>------------</v>
      </c>
      <c r="V62" s="261" t="s">
        <v>156</v>
      </c>
      <c r="W62" s="254" t="str">
        <f>IF(Gear!$C59="",$AB$42,IF(Gear!$P59=0,$AB$42,IF(VLOOKUP(Gear!$C59,$AB$3:$AC$38,2,FALSE)=W$3,IF(Gear!$Q59&lt;AG6,Gear!$A59,$AB$42),$AB$42)))</f>
        <v>------------</v>
      </c>
      <c r="X62" s="261" t="s">
        <v>156</v>
      </c>
      <c r="Y62" s="255" t="str">
        <f>IF(Gear!$C59="",$AB$42,IF(Gear!$P59=0,$AB$42,IF(VLOOKUP(Gear!$C59,$AB$3:$AC$38,2,FALSE)=Y$3,IF(Gear!$Q59&lt;AG6,Gear!$A59,$AB$42),$AB$42)))</f>
        <v>------------</v>
      </c>
      <c r="Z62" t="s">
        <v>158</v>
      </c>
    </row>
    <row r="63" spans="2:26" ht="15">
      <c r="B63" t="s">
        <v>154</v>
      </c>
      <c r="C63" s="318" t="s">
        <v>159</v>
      </c>
      <c r="D63" s="320" t="s">
        <v>156</v>
      </c>
      <c r="E63" s="323" t="s">
        <v>159</v>
      </c>
      <c r="F63" s="320" t="s">
        <v>156</v>
      </c>
      <c r="G63" s="323" t="s">
        <v>159</v>
      </c>
      <c r="H63" s="320" t="s">
        <v>156</v>
      </c>
      <c r="I63" s="264" t="s">
        <v>159</v>
      </c>
      <c r="J63" t="s">
        <v>156</v>
      </c>
      <c r="K63" s="253" t="str">
        <f>IF(Gear!$C60="",$AB$42,IF(Gear!$P60=0,$AB$42,IF(VLOOKUP(Gear!$C60,$AB$3:$AC$38,2,FALSE)=K$3,IF(Gear!$Q60&lt;AG6,Gear!$A60,$AB$42),$AB$42)))</f>
        <v>------------</v>
      </c>
      <c r="L63" s="261" t="s">
        <v>156</v>
      </c>
      <c r="M63" s="254" t="str">
        <f>IF(Gear!$C60="",$AB$42,IF(Gear!$P60=0,$AB$42,IF(VLOOKUP(Gear!$C60,$AB$3:$AC$38,2,FALSE)=M$3,IF(Gear!$Q60&lt;AG6,Gear!$A60,$AB$42),$AB$42)))</f>
        <v>------------</v>
      </c>
      <c r="N63" s="261" t="s">
        <v>156</v>
      </c>
      <c r="O63" s="254" t="str">
        <f>IF(Gear!$C60="",$AB$42,IF(Gear!$P60=0,$AB$42,IF(VLOOKUP(Gear!$C60,$AB$3:$AC$38,2,FALSE)=O$3,IF(Gear!$Q60&lt;AG6,Gear!$A60,$AB$42),$AB$42)))</f>
        <v>------------</v>
      </c>
      <c r="P63" s="261" t="s">
        <v>156</v>
      </c>
      <c r="Q63" s="254" t="str">
        <f>IF(Gear!$C60="",$AB$42,IF(Gear!$P60=0,$AB$42,IF(VLOOKUP(Gear!$C60,$AB$3:$AC$38,2,FALSE)=Q$3,IF(Gear!$Q60&lt;AG6,Gear!$A60,$AB$42),$AB$42)))</f>
        <v>------------</v>
      </c>
      <c r="R63" s="261" t="s">
        <v>156</v>
      </c>
      <c r="S63" s="254" t="str">
        <f>IF(Gear!$C60="",$AB$42,IF(Gear!$P60=0,$AB$42,IF(VLOOKUP(Gear!$C60,$AB$3:$AC$38,2,FALSE)=S$3,IF(Gear!$Q60&lt;AG6,Gear!$A60,$AB$42),$AB$42)))</f>
        <v>------------</v>
      </c>
      <c r="T63" s="261" t="s">
        <v>156</v>
      </c>
      <c r="U63" s="254" t="str">
        <f>IF(Gear!$C60="",$AB$42,IF(Gear!$P60=0,$AB$42,IF(VLOOKUP(Gear!$C60,$AB$3:$AC$38,2,FALSE)=U$3,IF(Gear!$Q60&lt;AG6,Gear!$A60,$AB$42),$AB$42)))</f>
        <v>------------</v>
      </c>
      <c r="V63" s="261" t="s">
        <v>156</v>
      </c>
      <c r="W63" s="254" t="str">
        <f>IF(Gear!$C60="",$AB$42,IF(Gear!$P60=0,$AB$42,IF(VLOOKUP(Gear!$C60,$AB$3:$AC$38,2,FALSE)=W$3,IF(Gear!$Q60&lt;AG6,Gear!$A60,$AB$42),$AB$42)))</f>
        <v>------------</v>
      </c>
      <c r="X63" s="261" t="s">
        <v>156</v>
      </c>
      <c r="Y63" s="255" t="str">
        <f>IF(Gear!$C60="",$AB$42,IF(Gear!$P60=0,$AB$42,IF(VLOOKUP(Gear!$C60,$AB$3:$AC$38,2,FALSE)=Y$3,IF(Gear!$Q60&lt;AG6,Gear!$A60,$AB$42),$AB$42)))</f>
        <v>------------</v>
      </c>
      <c r="Z63" t="s">
        <v>158</v>
      </c>
    </row>
    <row r="64" spans="2:26" ht="15.75" thickBot="1">
      <c r="B64" t="s">
        <v>154</v>
      </c>
      <c r="C64" s="324" t="s">
        <v>159</v>
      </c>
      <c r="D64" s="320" t="s">
        <v>156</v>
      </c>
      <c r="E64" s="325" t="s">
        <v>159</v>
      </c>
      <c r="F64" s="320" t="s">
        <v>156</v>
      </c>
      <c r="G64" s="325" t="s">
        <v>159</v>
      </c>
      <c r="H64" s="320" t="s">
        <v>156</v>
      </c>
      <c r="I64" s="326" t="s">
        <v>159</v>
      </c>
      <c r="J64" t="s">
        <v>156</v>
      </c>
      <c r="K64" s="256" t="str">
        <f>IF(Gear!$C61="",$AB$42,IF(Gear!$P61=0,$AB$42,IF(VLOOKUP(Gear!$C61,$AB$3:$AC$38,2,FALSE)=K$3,IF(Gear!$Q61&lt;AG6,Gear!$A61,$AB$42),$AB$42)))</f>
        <v>------------</v>
      </c>
      <c r="L64" s="261" t="s">
        <v>156</v>
      </c>
      <c r="M64" s="246" t="str">
        <f>IF(Gear!$C61="",$AB$42,IF(Gear!$P61=0,$AB$42,IF(VLOOKUP(Gear!$C61,$AB$3:$AC$38,2,FALSE)=M$3,IF(Gear!$Q61&lt;AG6,Gear!$A61,$AB$42),$AB$42)))</f>
        <v>------------</v>
      </c>
      <c r="N64" s="261" t="s">
        <v>156</v>
      </c>
      <c r="O64" s="246" t="str">
        <f>IF(Gear!$C61="",$AB$42,IF(Gear!$P61=0,$AB$42,IF(VLOOKUP(Gear!$C61,$AB$3:$AC$38,2,FALSE)=O$3,IF(Gear!$Q61&lt;AG6,Gear!$A61,$AB$42),$AB$42)))</f>
        <v>------------</v>
      </c>
      <c r="P64" s="261" t="s">
        <v>156</v>
      </c>
      <c r="Q64" s="246" t="str">
        <f>IF(Gear!$C61="",$AB$42,IF(Gear!$P61=0,$AB$42,IF(VLOOKUP(Gear!$C61,$AB$3:$AC$38,2,FALSE)=Q$3,IF(Gear!$Q61&lt;AG6,Gear!$A61,$AB$42),$AB$42)))</f>
        <v>------------</v>
      </c>
      <c r="R64" s="261" t="s">
        <v>156</v>
      </c>
      <c r="S64" s="246" t="str">
        <f>IF(Gear!$C61="",$AB$42,IF(Gear!$P61=0,$AB$42,IF(VLOOKUP(Gear!$C61,$AB$3:$AC$38,2,FALSE)=S$3,IF(Gear!$Q61&lt;AG6,Gear!$A61,$AB$42),$AB$42)))</f>
        <v>------------</v>
      </c>
      <c r="T64" s="261" t="s">
        <v>156</v>
      </c>
      <c r="U64" s="246" t="str">
        <f>IF(Gear!$C61="",$AB$42,IF(Gear!$P61=0,$AB$42,IF(VLOOKUP(Gear!$C61,$AB$3:$AC$38,2,FALSE)=U$3,IF(Gear!$Q61&lt;AG6,Gear!$A61,$AB$42),$AB$42)))</f>
        <v>------------</v>
      </c>
      <c r="V64" s="261" t="s">
        <v>156</v>
      </c>
      <c r="W64" s="246" t="str">
        <f>IF(Gear!$C61="",$AB$42,IF(Gear!$P61=0,$AB$42,IF(VLOOKUP(Gear!$C61,$AB$3:$AC$38,2,FALSE)=W$3,IF(Gear!$Q61&lt;AG6,Gear!$A61,$AB$42),$AB$42)))</f>
        <v>------------</v>
      </c>
      <c r="X64" s="261" t="s">
        <v>156</v>
      </c>
      <c r="Y64" s="257" t="str">
        <f>IF(Gear!$C61="",$AB$42,IF(Gear!$P61=0,$AB$42,IF(VLOOKUP(Gear!$C61,$AB$3:$AC$38,2,FALSE)=Y$3,IF(Gear!$Q61&lt;AG6,Gear!$A61,$AB$42),$AB$42)))</f>
        <v>------------</v>
      </c>
      <c r="Z64" t="s">
        <v>158</v>
      </c>
    </row>
    <row r="65" spans="2:2" ht="15.75" thickTop="1">
      <c r="B65" s="260" t="s">
        <v>160</v>
      </c>
    </row>
  </sheetData>
  <mergeCells count="3">
    <mergeCell ref="AB26:AC26"/>
    <mergeCell ref="AB33:AC33"/>
    <mergeCell ref="AB2:AC2"/>
  </mergeCells>
  <dataValidations count="2">
    <dataValidation type="list" allowBlank="1" showInputMessage="1" showErrorMessage="1" sqref="C5:C64 G5:G64 I5:I64 E5:E64">
      <formula1>$AB$39:$AB$42</formula1>
    </dataValidation>
    <dataValidation type="list" allowBlank="1" showInputMessage="1" showErrorMessage="1" sqref="AC3:AC25 AC27:AC32 AC34:AC38">
      <formula1>$AF$3:$AF$10</formula1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B1:Y1048574"/>
  <sheetViews>
    <sheetView workbookViewId="0">
      <selection activeCell="C2" sqref="C2"/>
    </sheetView>
  </sheetViews>
  <sheetFormatPr defaultRowHeight="12.75"/>
  <cols>
    <col min="1" max="1" width="1.5703125" customWidth="1"/>
    <col min="2" max="2" width="9.140625" hidden="1" customWidth="1"/>
    <col min="3" max="3" width="10.85546875" bestFit="1" customWidth="1"/>
    <col min="4" max="4" width="9.140625" hidden="1" customWidth="1"/>
    <col min="5" max="5" width="15.85546875" style="231" bestFit="1" customWidth="1"/>
    <col min="6" max="6" width="9.140625" hidden="1" customWidth="1"/>
    <col min="10" max="10" width="9.140625" hidden="1" customWidth="1"/>
    <col min="11" max="11" width="12.5703125" bestFit="1" customWidth="1"/>
    <col min="12" max="12" width="9.140625" hidden="1" customWidth="1"/>
    <col min="13" max="13" width="15.7109375" customWidth="1"/>
    <col min="14" max="14" width="9.140625" hidden="1" customWidth="1"/>
    <col min="18" max="18" width="9.140625" hidden="1" customWidth="1"/>
    <col min="19" max="19" width="10.85546875" bestFit="1" customWidth="1"/>
    <col min="20" max="20" width="9.140625" hidden="1" customWidth="1"/>
    <col min="21" max="21" width="10.140625" bestFit="1" customWidth="1"/>
    <col min="22" max="22" width="9.140625" hidden="1" customWidth="1"/>
    <col min="24" max="24" width="13.7109375" bestFit="1" customWidth="1"/>
  </cols>
  <sheetData>
    <row r="1" spans="2:25" ht="13.5" thickBot="1">
      <c r="C1" s="497" t="s">
        <v>177</v>
      </c>
      <c r="D1" s="497"/>
      <c r="E1" s="497"/>
      <c r="K1" s="497" t="s">
        <v>179</v>
      </c>
      <c r="L1" s="497"/>
      <c r="M1" s="497"/>
      <c r="S1" s="497" t="s">
        <v>180</v>
      </c>
      <c r="T1" s="497"/>
      <c r="U1" s="497"/>
    </row>
    <row r="2" spans="2:25" ht="14.25" thickTop="1" thickBot="1">
      <c r="B2" t="s">
        <v>153</v>
      </c>
      <c r="C2" s="349" t="s">
        <v>26</v>
      </c>
      <c r="D2" s="268" t="s">
        <v>155</v>
      </c>
      <c r="E2" s="349" t="s">
        <v>129</v>
      </c>
      <c r="F2" t="s">
        <v>157</v>
      </c>
      <c r="J2" t="s">
        <v>153</v>
      </c>
      <c r="K2" s="349" t="s">
        <v>26</v>
      </c>
      <c r="L2" s="268" t="s">
        <v>155</v>
      </c>
      <c r="M2" s="349" t="s">
        <v>178</v>
      </c>
      <c r="N2" t="s">
        <v>157</v>
      </c>
      <c r="R2" t="s">
        <v>153</v>
      </c>
      <c r="S2" s="349" t="s">
        <v>26</v>
      </c>
      <c r="T2" s="268" t="s">
        <v>155</v>
      </c>
      <c r="U2" s="349" t="s">
        <v>6</v>
      </c>
      <c r="V2" t="s">
        <v>157</v>
      </c>
      <c r="X2" s="348" t="s">
        <v>181</v>
      </c>
      <c r="Y2" s="348">
        <v>0.1</v>
      </c>
    </row>
    <row r="3" spans="2:25">
      <c r="B3" t="s">
        <v>154</v>
      </c>
      <c r="C3" s="346">
        <f>IF(DCC!B2&lt;4,DCC!A2,0)</f>
        <v>0</v>
      </c>
      <c r="D3" t="s">
        <v>156</v>
      </c>
      <c r="E3" s="350" t="str">
        <f>IF(C3=0,"",VLOOKUP(C3,DCC!A:B,2,FALSE))</f>
        <v/>
      </c>
      <c r="F3" t="s">
        <v>158</v>
      </c>
      <c r="J3" t="s">
        <v>154</v>
      </c>
      <c r="K3" s="346">
        <f>IF(DCC!G2&gt;0,DCC!A2,0)</f>
        <v>0</v>
      </c>
      <c r="L3" t="s">
        <v>156</v>
      </c>
      <c r="M3" s="350" t="str">
        <f>IF(K3=0,"",VLOOKUP(K3,DCC!A:G,7,FALSE))</f>
        <v/>
      </c>
      <c r="N3" t="s">
        <v>158</v>
      </c>
      <c r="R3" t="s">
        <v>154</v>
      </c>
      <c r="S3" s="346">
        <f>IF(Gear!J2&gt;=$Y$2,Gear!A2,0)</f>
        <v>0</v>
      </c>
      <c r="T3" t="s">
        <v>156</v>
      </c>
      <c r="U3" s="350" t="str">
        <f>IF(S3=0,"",VLOOKUP(S3,Gear!A:J,10,FALSE))</f>
        <v/>
      </c>
      <c r="V3" t="s">
        <v>158</v>
      </c>
    </row>
    <row r="4" spans="2:25">
      <c r="B4" t="s">
        <v>154</v>
      </c>
      <c r="C4" s="346">
        <f>IF(DCC!B3&lt;4,DCC!A3,0)</f>
        <v>0</v>
      </c>
      <c r="D4" s="320" t="s">
        <v>156</v>
      </c>
      <c r="E4" s="350" t="str">
        <f>IF(C4=0,"",VLOOKUP(C4,DCC!A:B,2,FALSE))</f>
        <v/>
      </c>
      <c r="F4" t="s">
        <v>158</v>
      </c>
      <c r="J4" t="s">
        <v>154</v>
      </c>
      <c r="K4" s="346">
        <f>IF(DCC!G3&gt;0,DCC!A3,0)</f>
        <v>0</v>
      </c>
      <c r="L4" s="320" t="s">
        <v>156</v>
      </c>
      <c r="M4" s="350" t="str">
        <f>IF(K4=0,"",VLOOKUP(K4,DCC!A:G,7,FALSE))</f>
        <v/>
      </c>
      <c r="N4" t="s">
        <v>158</v>
      </c>
      <c r="R4" t="s">
        <v>154</v>
      </c>
      <c r="S4" s="346">
        <f>IF(Gear!J3&gt;=$Y$2,Gear!A3,0)</f>
        <v>0</v>
      </c>
      <c r="T4" s="320" t="s">
        <v>156</v>
      </c>
      <c r="U4" s="350" t="str">
        <f>IF(S4=0,"",VLOOKUP(S4,Gear!A:J,10,FALSE))</f>
        <v/>
      </c>
      <c r="V4" t="s">
        <v>158</v>
      </c>
    </row>
    <row r="5" spans="2:25">
      <c r="B5" t="s">
        <v>154</v>
      </c>
      <c r="C5" s="346">
        <f>IF(DCC!B4&lt;4,DCC!A4,0)</f>
        <v>0</v>
      </c>
      <c r="D5" s="320" t="s">
        <v>156</v>
      </c>
      <c r="E5" s="350" t="str">
        <f>IF(C5=0,"",VLOOKUP(C5,DCC!A:B,2,FALSE))</f>
        <v/>
      </c>
      <c r="F5" t="s">
        <v>158</v>
      </c>
      <c r="J5" t="s">
        <v>154</v>
      </c>
      <c r="K5" s="346">
        <f>IF(DCC!G4&gt;0,DCC!A4,0)</f>
        <v>0</v>
      </c>
      <c r="L5" s="320" t="s">
        <v>156</v>
      </c>
      <c r="M5" s="350" t="str">
        <f>IF(K5=0,"",VLOOKUP(K5,DCC!A:G,7,FALSE))</f>
        <v/>
      </c>
      <c r="N5" t="s">
        <v>158</v>
      </c>
      <c r="R5" t="s">
        <v>154</v>
      </c>
      <c r="S5" s="346">
        <f>IF(Gear!J4&gt;=$Y$2,Gear!A4,0)</f>
        <v>0</v>
      </c>
      <c r="T5" s="320" t="s">
        <v>156</v>
      </c>
      <c r="U5" s="350" t="str">
        <f>IF(S5=0,"",VLOOKUP(S5,Gear!A:J,10,FALSE))</f>
        <v/>
      </c>
      <c r="V5" t="s">
        <v>158</v>
      </c>
    </row>
    <row r="6" spans="2:25">
      <c r="B6" t="s">
        <v>154</v>
      </c>
      <c r="C6" s="346">
        <f>IF(DCC!B5&lt;4,DCC!A5,0)</f>
        <v>0</v>
      </c>
      <c r="D6" s="320" t="s">
        <v>156</v>
      </c>
      <c r="E6" s="350" t="str">
        <f>IF(C6=0,"",VLOOKUP(C6,DCC!A:B,2,FALSE))</f>
        <v/>
      </c>
      <c r="F6" t="s">
        <v>158</v>
      </c>
      <c r="J6" t="s">
        <v>154</v>
      </c>
      <c r="K6" s="346">
        <f>IF(DCC!G5&gt;0,DCC!A5,0)</f>
        <v>0</v>
      </c>
      <c r="L6" s="320" t="s">
        <v>156</v>
      </c>
      <c r="M6" s="350" t="str">
        <f>IF(K6=0,"",VLOOKUP(K6,DCC!A:G,7,FALSE))</f>
        <v/>
      </c>
      <c r="N6" t="s">
        <v>158</v>
      </c>
      <c r="R6" t="s">
        <v>154</v>
      </c>
      <c r="S6" s="346">
        <f>IF(Gear!J5&gt;=$Y$2,Gear!A5,0)</f>
        <v>0</v>
      </c>
      <c r="T6" s="320" t="s">
        <v>156</v>
      </c>
      <c r="U6" s="350" t="str">
        <f>IF(S6=0,"",VLOOKUP(S6,Gear!A:J,10,FALSE))</f>
        <v/>
      </c>
      <c r="V6" t="s">
        <v>158</v>
      </c>
    </row>
    <row r="7" spans="2:25">
      <c r="B7" t="s">
        <v>154</v>
      </c>
      <c r="C7" s="346">
        <f>IF(DCC!B6&lt;4,DCC!A6,0)</f>
        <v>0</v>
      </c>
      <c r="D7" s="320" t="s">
        <v>156</v>
      </c>
      <c r="E7" s="350" t="str">
        <f>IF(C7=0,"",VLOOKUP(C7,DCC!A:B,2,FALSE))</f>
        <v/>
      </c>
      <c r="F7" t="s">
        <v>158</v>
      </c>
      <c r="J7" t="s">
        <v>154</v>
      </c>
      <c r="K7" s="346">
        <f>IF(DCC!G6&gt;0,DCC!A6,0)</f>
        <v>0</v>
      </c>
      <c r="L7" s="320" t="s">
        <v>156</v>
      </c>
      <c r="M7" s="350" t="str">
        <f>IF(K7=0,"",VLOOKUP(K7,DCC!A:G,7,FALSE))</f>
        <v/>
      </c>
      <c r="N7" t="s">
        <v>158</v>
      </c>
      <c r="R7" t="s">
        <v>154</v>
      </c>
      <c r="S7" s="346" t="str">
        <f>IF(Gear!J6&gt;=$Y$2,Gear!A6,0)</f>
        <v>Assap</v>
      </c>
      <c r="T7" s="320" t="s">
        <v>156</v>
      </c>
      <c r="U7" s="350">
        <f>IF(S7=0,"",VLOOKUP(S7,Gear!A:J,10,FALSE))</f>
        <v>0.4</v>
      </c>
      <c r="V7" t="s">
        <v>158</v>
      </c>
    </row>
    <row r="8" spans="2:25">
      <c r="B8" t="s">
        <v>154</v>
      </c>
      <c r="C8" s="346">
        <f>IF(DCC!B7&lt;4,DCC!A7,0)</f>
        <v>0</v>
      </c>
      <c r="D8" s="320" t="s">
        <v>156</v>
      </c>
      <c r="E8" s="350" t="str">
        <f>IF(C8=0,"",VLOOKUP(C8,DCC!A:B,2,FALSE))</f>
        <v/>
      </c>
      <c r="F8" t="s">
        <v>158</v>
      </c>
      <c r="J8" t="s">
        <v>154</v>
      </c>
      <c r="K8" s="346">
        <f>IF(DCC!G7&gt;0,DCC!A7,0)</f>
        <v>0</v>
      </c>
      <c r="L8" s="320" t="s">
        <v>156</v>
      </c>
      <c r="M8" s="350" t="str">
        <f>IF(K8=0,"",VLOOKUP(K8,DCC!A:G,7,FALSE))</f>
        <v/>
      </c>
      <c r="N8" t="s">
        <v>158</v>
      </c>
      <c r="R8" t="s">
        <v>154</v>
      </c>
      <c r="S8" s="346">
        <f>IF(Gear!J7&gt;=$Y$2,Gear!A7,0)</f>
        <v>0</v>
      </c>
      <c r="T8" s="320" t="s">
        <v>156</v>
      </c>
      <c r="U8" s="350" t="str">
        <f>IF(S8=0,"",VLOOKUP(S8,Gear!A:J,10,FALSE))</f>
        <v/>
      </c>
      <c r="V8" t="s">
        <v>158</v>
      </c>
    </row>
    <row r="9" spans="2:25">
      <c r="B9" t="s">
        <v>154</v>
      </c>
      <c r="C9" s="346">
        <f>IF(DCC!B8&lt;4,DCC!A8,0)</f>
        <v>0</v>
      </c>
      <c r="D9" s="320" t="s">
        <v>156</v>
      </c>
      <c r="E9" s="350" t="str">
        <f>IF(C9=0,"",VLOOKUP(C9,DCC!A:B,2,FALSE))</f>
        <v/>
      </c>
      <c r="F9" t="s">
        <v>158</v>
      </c>
      <c r="J9" t="s">
        <v>154</v>
      </c>
      <c r="K9" s="346">
        <f>IF(DCC!G8&gt;0,DCC!A8,0)</f>
        <v>0</v>
      </c>
      <c r="L9" s="320" t="s">
        <v>156</v>
      </c>
      <c r="M9" s="350" t="str">
        <f>IF(K9=0,"",VLOOKUP(K9,DCC!A:G,7,FALSE))</f>
        <v/>
      </c>
      <c r="N9" t="s">
        <v>158</v>
      </c>
      <c r="R9" t="s">
        <v>154</v>
      </c>
      <c r="S9" s="346">
        <f>IF(Gear!J8&gt;=$Y$2,Gear!A8,0)</f>
        <v>0</v>
      </c>
      <c r="T9" s="320" t="s">
        <v>156</v>
      </c>
      <c r="U9" s="350" t="str">
        <f>IF(S9=0,"",VLOOKUP(S9,Gear!A:J,10,FALSE))</f>
        <v/>
      </c>
      <c r="V9" t="s">
        <v>158</v>
      </c>
    </row>
    <row r="10" spans="2:25">
      <c r="B10" t="s">
        <v>154</v>
      </c>
      <c r="C10" s="346" t="str">
        <f>IF(DCC!B9&lt;4,DCC!A9,0)</f>
        <v>Catena</v>
      </c>
      <c r="D10" s="320" t="s">
        <v>156</v>
      </c>
      <c r="E10" s="350">
        <f>IF(C10=0,"",VLOOKUP(C10,DCC!A:B,2,FALSE))</f>
        <v>2</v>
      </c>
      <c r="F10" t="s">
        <v>158</v>
      </c>
      <c r="J10" t="s">
        <v>154</v>
      </c>
      <c r="K10" s="346">
        <f>IF(DCC!G9&gt;0,DCC!A9,0)</f>
        <v>0</v>
      </c>
      <c r="L10" s="320" t="s">
        <v>156</v>
      </c>
      <c r="M10" s="350" t="str">
        <f>IF(K10=0,"",VLOOKUP(K10,DCC!A:G,7,FALSE))</f>
        <v/>
      </c>
      <c r="N10" t="s">
        <v>158</v>
      </c>
      <c r="R10" t="s">
        <v>154</v>
      </c>
      <c r="S10" s="346">
        <f>IF(Gear!J9&gt;=$Y$2,Gear!A9,0)</f>
        <v>0</v>
      </c>
      <c r="T10" s="320" t="s">
        <v>156</v>
      </c>
      <c r="U10" s="350" t="str">
        <f>IF(S10=0,"",VLOOKUP(S10,Gear!A:J,10,FALSE))</f>
        <v/>
      </c>
      <c r="V10" t="s">
        <v>158</v>
      </c>
    </row>
    <row r="11" spans="2:25">
      <c r="B11" t="s">
        <v>154</v>
      </c>
      <c r="C11" s="346">
        <f>IF(DCC!B10&lt;4,DCC!A10,0)</f>
        <v>0</v>
      </c>
      <c r="D11" s="320" t="s">
        <v>156</v>
      </c>
      <c r="E11" s="350" t="str">
        <f>IF(C11=0,"",VLOOKUP(C11,DCC!A:B,2,FALSE))</f>
        <v/>
      </c>
      <c r="F11" t="s">
        <v>158</v>
      </c>
      <c r="J11" t="s">
        <v>154</v>
      </c>
      <c r="K11" s="346">
        <f>IF(DCC!G10&gt;0,DCC!A10,0)</f>
        <v>0</v>
      </c>
      <c r="L11" s="320" t="s">
        <v>156</v>
      </c>
      <c r="M11" s="350" t="str">
        <f>IF(K11=0,"",VLOOKUP(K11,DCC!A:G,7,FALSE))</f>
        <v/>
      </c>
      <c r="N11" t="s">
        <v>158</v>
      </c>
      <c r="R11" t="s">
        <v>154</v>
      </c>
      <c r="S11" s="346">
        <f>IF(Gear!J10&gt;=$Y$2,Gear!A10,0)</f>
        <v>0</v>
      </c>
      <c r="T11" s="320" t="s">
        <v>156</v>
      </c>
      <c r="U11" s="350" t="str">
        <f>IF(S11=0,"",VLOOKUP(S11,Gear!A:J,10,FALSE))</f>
        <v/>
      </c>
      <c r="V11" t="s">
        <v>158</v>
      </c>
    </row>
    <row r="12" spans="2:25">
      <c r="B12" t="s">
        <v>154</v>
      </c>
      <c r="C12" s="346">
        <f>IF(DCC!B11&lt;4,DCC!A11,0)</f>
        <v>0</v>
      </c>
      <c r="D12" s="320" t="s">
        <v>156</v>
      </c>
      <c r="E12" s="350" t="str">
        <f>IF(C12=0,"",VLOOKUP(C12,DCC!A:B,2,FALSE))</f>
        <v/>
      </c>
      <c r="F12" t="s">
        <v>158</v>
      </c>
      <c r="J12" t="s">
        <v>154</v>
      </c>
      <c r="K12" s="346">
        <f>IF(DCC!G11&gt;0,DCC!A11,0)</f>
        <v>0</v>
      </c>
      <c r="L12" s="320" t="s">
        <v>156</v>
      </c>
      <c r="M12" s="350" t="str">
        <f>IF(K12=0,"",VLOOKUP(K12,DCC!A:G,7,FALSE))</f>
        <v/>
      </c>
      <c r="N12" t="s">
        <v>158</v>
      </c>
      <c r="R12" t="s">
        <v>154</v>
      </c>
      <c r="S12" s="346">
        <f>IF(Gear!J11&gt;=$Y$2,Gear!A11,0)</f>
        <v>0</v>
      </c>
      <c r="T12" s="320" t="s">
        <v>156</v>
      </c>
      <c r="U12" s="350" t="str">
        <f>IF(S12=0,"",VLOOKUP(S12,Gear!A:J,10,FALSE))</f>
        <v/>
      </c>
      <c r="V12" t="s">
        <v>158</v>
      </c>
    </row>
    <row r="13" spans="2:25">
      <c r="B13" t="s">
        <v>154</v>
      </c>
      <c r="C13" s="346">
        <f>IF(DCC!B12&lt;4,DCC!A12,0)</f>
        <v>0</v>
      </c>
      <c r="D13" s="320" t="s">
        <v>156</v>
      </c>
      <c r="E13" s="350" t="str">
        <f>IF(C13=0,"",VLOOKUP(C13,DCC!A:B,2,FALSE))</f>
        <v/>
      </c>
      <c r="F13" t="s">
        <v>158</v>
      </c>
      <c r="J13" t="s">
        <v>154</v>
      </c>
      <c r="K13" s="346">
        <f>IF(DCC!G12&gt;0,DCC!A12,0)</f>
        <v>0</v>
      </c>
      <c r="L13" s="320" t="s">
        <v>156</v>
      </c>
      <c r="M13" s="350" t="str">
        <f>IF(K13=0,"",VLOOKUP(K13,DCC!A:G,7,FALSE))</f>
        <v/>
      </c>
      <c r="N13" t="s">
        <v>158</v>
      </c>
      <c r="R13" t="s">
        <v>154</v>
      </c>
      <c r="S13" s="346">
        <f>IF(Gear!J12&gt;=$Y$2,Gear!A12,0)</f>
        <v>0</v>
      </c>
      <c r="T13" s="320" t="s">
        <v>156</v>
      </c>
      <c r="U13" s="350" t="str">
        <f>IF(S13=0,"",VLOOKUP(S13,Gear!A:J,10,FALSE))</f>
        <v/>
      </c>
      <c r="V13" t="s">
        <v>158</v>
      </c>
    </row>
    <row r="14" spans="2:25">
      <c r="B14" t="s">
        <v>154</v>
      </c>
      <c r="C14" s="346">
        <f>IF(DCC!B13&lt;4,DCC!A13,0)</f>
        <v>0</v>
      </c>
      <c r="D14" s="320" t="s">
        <v>156</v>
      </c>
      <c r="E14" s="350" t="str">
        <f>IF(C14=0,"",VLOOKUP(C14,DCC!A:B,2,FALSE))</f>
        <v/>
      </c>
      <c r="F14" t="s">
        <v>158</v>
      </c>
      <c r="J14" t="s">
        <v>154</v>
      </c>
      <c r="K14" s="346">
        <f>IF(DCC!G13&gt;0,DCC!A13,0)</f>
        <v>0</v>
      </c>
      <c r="L14" s="320" t="s">
        <v>156</v>
      </c>
      <c r="M14" s="350" t="str">
        <f>IF(K14=0,"",VLOOKUP(K14,DCC!A:G,7,FALSE))</f>
        <v/>
      </c>
      <c r="N14" t="s">
        <v>158</v>
      </c>
      <c r="R14" t="s">
        <v>154</v>
      </c>
      <c r="S14" s="346">
        <f>IF(Gear!J13&gt;=$Y$2,Gear!A13,0)</f>
        <v>0</v>
      </c>
      <c r="T14" s="320" t="s">
        <v>156</v>
      </c>
      <c r="U14" s="350" t="str">
        <f>IF(S14=0,"",VLOOKUP(S14,Gear!A:J,10,FALSE))</f>
        <v/>
      </c>
      <c r="V14" t="s">
        <v>158</v>
      </c>
    </row>
    <row r="15" spans="2:25">
      <c r="B15" t="s">
        <v>154</v>
      </c>
      <c r="C15" s="346">
        <f>IF(DCC!B14&lt;4,DCC!A14,0)</f>
        <v>0</v>
      </c>
      <c r="D15" s="320" t="s">
        <v>156</v>
      </c>
      <c r="E15" s="350" t="str">
        <f>IF(C15=0,"",VLOOKUP(C15,DCC!A:B,2,FALSE))</f>
        <v/>
      </c>
      <c r="F15" t="s">
        <v>158</v>
      </c>
      <c r="J15" t="s">
        <v>154</v>
      </c>
      <c r="K15" s="346">
        <f>IF(DCC!G14&gt;0,DCC!A14,0)</f>
        <v>0</v>
      </c>
      <c r="L15" s="320" t="s">
        <v>156</v>
      </c>
      <c r="M15" s="350" t="str">
        <f>IF(K15=0,"",VLOOKUP(K15,DCC!A:G,7,FALSE))</f>
        <v/>
      </c>
      <c r="N15" t="s">
        <v>158</v>
      </c>
      <c r="R15" t="s">
        <v>154</v>
      </c>
      <c r="S15" s="346">
        <f>IF(Gear!J14&gt;=$Y$2,Gear!A14,0)</f>
        <v>0</v>
      </c>
      <c r="T15" s="320" t="s">
        <v>156</v>
      </c>
      <c r="U15" s="350" t="str">
        <f>IF(S15=0,"",VLOOKUP(S15,Gear!A:J,10,FALSE))</f>
        <v/>
      </c>
      <c r="V15" t="s">
        <v>158</v>
      </c>
    </row>
    <row r="16" spans="2:25">
      <c r="B16" t="s">
        <v>154</v>
      </c>
      <c r="C16" s="346">
        <f>IF(DCC!B15&lt;4,DCC!A15,0)</f>
        <v>0</v>
      </c>
      <c r="D16" s="320" t="s">
        <v>156</v>
      </c>
      <c r="E16" s="350" t="str">
        <f>IF(C16=0,"",VLOOKUP(C16,DCC!A:B,2,FALSE))</f>
        <v/>
      </c>
      <c r="F16" t="s">
        <v>158</v>
      </c>
      <c r="J16" t="s">
        <v>154</v>
      </c>
      <c r="K16" s="346">
        <f>IF(DCC!G15&gt;0,DCC!A15,0)</f>
        <v>0</v>
      </c>
      <c r="L16" s="320" t="s">
        <v>156</v>
      </c>
      <c r="M16" s="350" t="str">
        <f>IF(K16=0,"",VLOOKUP(K16,DCC!A:G,7,FALSE))</f>
        <v/>
      </c>
      <c r="N16" t="s">
        <v>158</v>
      </c>
      <c r="R16" t="s">
        <v>154</v>
      </c>
      <c r="S16" s="346">
        <f>IF(Gear!J15&gt;=$Y$2,Gear!A15,0)</f>
        <v>0</v>
      </c>
      <c r="T16" s="320" t="s">
        <v>156</v>
      </c>
      <c r="U16" s="350" t="str">
        <f>IF(S16=0,"",VLOOKUP(S16,Gear!A:J,10,FALSE))</f>
        <v/>
      </c>
      <c r="V16" t="s">
        <v>158</v>
      </c>
    </row>
    <row r="17" spans="2:22">
      <c r="B17" t="s">
        <v>154</v>
      </c>
      <c r="C17" s="346">
        <f>IF(DCC!B16&lt;4,DCC!A16,0)</f>
        <v>0</v>
      </c>
      <c r="D17" s="320" t="s">
        <v>156</v>
      </c>
      <c r="E17" s="350" t="str">
        <f>IF(C17=0,"",VLOOKUP(C17,DCC!A:B,2,FALSE))</f>
        <v/>
      </c>
      <c r="F17" t="s">
        <v>158</v>
      </c>
      <c r="J17" t="s">
        <v>154</v>
      </c>
      <c r="K17" s="346">
        <f>IF(DCC!G16&gt;0,DCC!A16,0)</f>
        <v>0</v>
      </c>
      <c r="L17" s="320" t="s">
        <v>156</v>
      </c>
      <c r="M17" s="350" t="str">
        <f>IF(K17=0,"",VLOOKUP(K17,DCC!A:G,7,FALSE))</f>
        <v/>
      </c>
      <c r="N17" t="s">
        <v>158</v>
      </c>
      <c r="R17" t="s">
        <v>154</v>
      </c>
      <c r="S17" s="346">
        <f>IF(Gear!J16&gt;=$Y$2,Gear!A16,0)</f>
        <v>0</v>
      </c>
      <c r="T17" s="320" t="s">
        <v>156</v>
      </c>
      <c r="U17" s="350" t="str">
        <f>IF(S17=0,"",VLOOKUP(S17,Gear!A:J,10,FALSE))</f>
        <v/>
      </c>
      <c r="V17" t="s">
        <v>158</v>
      </c>
    </row>
    <row r="18" spans="2:22">
      <c r="B18" t="s">
        <v>154</v>
      </c>
      <c r="C18" s="346" t="str">
        <f>IF(DCC!B17&lt;4,DCC!A17,0)</f>
        <v>Hyperïon</v>
      </c>
      <c r="D18" s="320" t="s">
        <v>156</v>
      </c>
      <c r="E18" s="350">
        <f>IF(C18=0,"",VLOOKUP(C18,DCC!A:B,2,FALSE))</f>
        <v>0</v>
      </c>
      <c r="F18" t="s">
        <v>158</v>
      </c>
      <c r="J18" t="s">
        <v>154</v>
      </c>
      <c r="K18" s="346">
        <f>IF(DCC!G17&gt;0,DCC!A17,0)</f>
        <v>0</v>
      </c>
      <c r="L18" s="320" t="s">
        <v>156</v>
      </c>
      <c r="M18" s="350" t="str">
        <f>IF(K18=0,"",VLOOKUP(K18,DCC!A:G,7,FALSE))</f>
        <v/>
      </c>
      <c r="N18" t="s">
        <v>158</v>
      </c>
      <c r="R18" t="s">
        <v>154</v>
      </c>
      <c r="S18" s="346">
        <f>IF(Gear!J17&gt;=$Y$2,Gear!A17,0)</f>
        <v>0</v>
      </c>
      <c r="T18" s="320" t="s">
        <v>156</v>
      </c>
      <c r="U18" s="350" t="str">
        <f>IF(S18=0,"",VLOOKUP(S18,Gear!A:J,10,FALSE))</f>
        <v/>
      </c>
      <c r="V18" t="s">
        <v>158</v>
      </c>
    </row>
    <row r="19" spans="2:22">
      <c r="B19" t="s">
        <v>154</v>
      </c>
      <c r="C19" s="346">
        <f>IF(DCC!B18&lt;4,DCC!A18,0)</f>
        <v>0</v>
      </c>
      <c r="D19" s="320" t="s">
        <v>156</v>
      </c>
      <c r="E19" s="350" t="str">
        <f>IF(C19=0,"",VLOOKUP(C19,DCC!A:B,2,FALSE))</f>
        <v/>
      </c>
      <c r="F19" t="s">
        <v>158</v>
      </c>
      <c r="J19" t="s">
        <v>154</v>
      </c>
      <c r="K19" s="346">
        <f>IF(DCC!G18&gt;0,DCC!A18,0)</f>
        <v>0</v>
      </c>
      <c r="L19" s="320" t="s">
        <v>156</v>
      </c>
      <c r="M19" s="350" t="str">
        <f>IF(K19=0,"",VLOOKUP(K19,DCC!A:G,7,FALSE))</f>
        <v/>
      </c>
      <c r="N19" t="s">
        <v>158</v>
      </c>
      <c r="R19" t="s">
        <v>154</v>
      </c>
      <c r="S19" s="346">
        <f>IF(Gear!J18&gt;=$Y$2,Gear!A18,0)</f>
        <v>0</v>
      </c>
      <c r="T19" s="320" t="s">
        <v>156</v>
      </c>
      <c r="U19" s="350" t="str">
        <f>IF(S19=0,"",VLOOKUP(S19,Gear!A:J,10,FALSE))</f>
        <v/>
      </c>
      <c r="V19" t="s">
        <v>158</v>
      </c>
    </row>
    <row r="20" spans="2:22">
      <c r="B20" t="s">
        <v>154</v>
      </c>
      <c r="C20" s="346">
        <f>IF(DCC!B19&lt;4,DCC!A19,0)</f>
        <v>0</v>
      </c>
      <c r="D20" s="320" t="s">
        <v>156</v>
      </c>
      <c r="E20" s="350" t="str">
        <f>IF(C20=0,"",VLOOKUP(C20,DCC!A:B,2,FALSE))</f>
        <v/>
      </c>
      <c r="F20" t="s">
        <v>158</v>
      </c>
      <c r="J20" t="s">
        <v>154</v>
      </c>
      <c r="K20" s="346">
        <f>IF(DCC!G19&gt;0,DCC!A19,0)</f>
        <v>0</v>
      </c>
      <c r="L20" s="320" t="s">
        <v>156</v>
      </c>
      <c r="M20" s="350" t="str">
        <f>IF(K20=0,"",VLOOKUP(K20,DCC!A:G,7,FALSE))</f>
        <v/>
      </c>
      <c r="N20" t="s">
        <v>158</v>
      </c>
      <c r="R20" t="s">
        <v>154</v>
      </c>
      <c r="S20" s="346">
        <f>IF(Gear!J19&gt;=$Y$2,Gear!A19,0)</f>
        <v>0</v>
      </c>
      <c r="T20" s="320" t="s">
        <v>156</v>
      </c>
      <c r="U20" s="350" t="str">
        <f>IF(S20=0,"",VLOOKUP(S20,Gear!A:J,10,FALSE))</f>
        <v/>
      </c>
      <c r="V20" t="s">
        <v>158</v>
      </c>
    </row>
    <row r="21" spans="2:22">
      <c r="B21" t="s">
        <v>154</v>
      </c>
      <c r="C21" s="346">
        <f>IF(DCC!B20&lt;4,DCC!A20,0)</f>
        <v>0</v>
      </c>
      <c r="D21" s="320" t="s">
        <v>156</v>
      </c>
      <c r="E21" s="350" t="str">
        <f>IF(C21=0,"",VLOOKUP(C21,DCC!A:B,2,FALSE))</f>
        <v/>
      </c>
      <c r="F21" t="s">
        <v>158</v>
      </c>
      <c r="J21" t="s">
        <v>154</v>
      </c>
      <c r="K21" s="346">
        <f>IF(DCC!G20&gt;0,DCC!A20,0)</f>
        <v>0</v>
      </c>
      <c r="L21" s="320" t="s">
        <v>156</v>
      </c>
      <c r="M21" s="350" t="str">
        <f>IF(K21=0,"",VLOOKUP(K21,DCC!A:G,7,FALSE))</f>
        <v/>
      </c>
      <c r="N21" t="s">
        <v>158</v>
      </c>
      <c r="R21" t="s">
        <v>154</v>
      </c>
      <c r="S21" s="346" t="str">
        <f>IF(Gear!J20&gt;=$Y$2,Gear!A20,0)</f>
        <v>Kátsumi</v>
      </c>
      <c r="T21" s="320" t="s">
        <v>156</v>
      </c>
      <c r="U21" s="350">
        <f>IF(S21=0,"",VLOOKUP(S21,Gear!A:J,10,FALSE))</f>
        <v>0.1</v>
      </c>
      <c r="V21" t="s">
        <v>158</v>
      </c>
    </row>
    <row r="22" spans="2:22">
      <c r="B22" t="s">
        <v>154</v>
      </c>
      <c r="C22" s="346">
        <f>IF(DCC!B21&lt;4,DCC!A21,0)</f>
        <v>0</v>
      </c>
      <c r="D22" s="320" t="s">
        <v>156</v>
      </c>
      <c r="E22" s="350" t="str">
        <f>IF(C22=0,"",VLOOKUP(C22,DCC!A:B,2,FALSE))</f>
        <v/>
      </c>
      <c r="F22" t="s">
        <v>158</v>
      </c>
      <c r="J22" t="s">
        <v>154</v>
      </c>
      <c r="K22" s="346">
        <f>IF(DCC!G21&gt;0,DCC!A21,0)</f>
        <v>0</v>
      </c>
      <c r="L22" s="320" t="s">
        <v>156</v>
      </c>
      <c r="M22" s="350" t="str">
        <f>IF(K22=0,"",VLOOKUP(K22,DCC!A:G,7,FALSE))</f>
        <v/>
      </c>
      <c r="N22" t="s">
        <v>158</v>
      </c>
      <c r="R22" t="s">
        <v>154</v>
      </c>
      <c r="S22" s="346">
        <f>IF(Gear!J21&gt;=$Y$2,Gear!A21,0)</f>
        <v>0</v>
      </c>
      <c r="T22" s="320" t="s">
        <v>156</v>
      </c>
      <c r="U22" s="350" t="str">
        <f>IF(S22=0,"",VLOOKUP(S22,Gear!A:J,10,FALSE))</f>
        <v/>
      </c>
      <c r="V22" t="s">
        <v>158</v>
      </c>
    </row>
    <row r="23" spans="2:22">
      <c r="B23" t="s">
        <v>154</v>
      </c>
      <c r="C23" s="346">
        <f>IF(DCC!B22&lt;4,DCC!A22,0)</f>
        <v>0</v>
      </c>
      <c r="D23" s="320" t="s">
        <v>156</v>
      </c>
      <c r="E23" s="350" t="str">
        <f>IF(C23=0,"",VLOOKUP(C23,DCC!A:B,2,FALSE))</f>
        <v/>
      </c>
      <c r="F23" t="s">
        <v>158</v>
      </c>
      <c r="J23" t="s">
        <v>154</v>
      </c>
      <c r="K23" s="346">
        <f>IF(DCC!G22&gt;0,DCC!A22,0)</f>
        <v>0</v>
      </c>
      <c r="L23" s="320" t="s">
        <v>156</v>
      </c>
      <c r="M23" s="350" t="str">
        <f>IF(K23=0,"",VLOOKUP(K23,DCC!A:G,7,FALSE))</f>
        <v/>
      </c>
      <c r="N23" t="s">
        <v>158</v>
      </c>
      <c r="R23" t="s">
        <v>154</v>
      </c>
      <c r="S23" s="346" t="str">
        <f>IF(Gear!J22&gt;=$Y$2,Gear!A22,0)</f>
        <v>Méych</v>
      </c>
      <c r="T23" s="320" t="s">
        <v>156</v>
      </c>
      <c r="U23" s="350">
        <f>IF(S23=0,"",VLOOKUP(S23,Gear!A:J,10,FALSE))</f>
        <v>0.4</v>
      </c>
      <c r="V23" t="s">
        <v>158</v>
      </c>
    </row>
    <row r="24" spans="2:22">
      <c r="B24" t="s">
        <v>154</v>
      </c>
      <c r="C24" s="346">
        <f>IF(DCC!B23&lt;4,DCC!A23,0)</f>
        <v>0</v>
      </c>
      <c r="D24" s="320" t="s">
        <v>156</v>
      </c>
      <c r="E24" s="350" t="str">
        <f>IF(C24=0,"",VLOOKUP(C24,DCC!A:B,2,FALSE))</f>
        <v/>
      </c>
      <c r="F24" t="s">
        <v>158</v>
      </c>
      <c r="J24" t="s">
        <v>154</v>
      </c>
      <c r="K24" s="346">
        <f>IF(DCC!G23&gt;0,DCC!A23,0)</f>
        <v>0</v>
      </c>
      <c r="L24" s="320" t="s">
        <v>156</v>
      </c>
      <c r="M24" s="350" t="str">
        <f>IF(K24=0,"",VLOOKUP(K24,DCC!A:G,7,FALSE))</f>
        <v/>
      </c>
      <c r="N24" t="s">
        <v>158</v>
      </c>
      <c r="R24" t="s">
        <v>154</v>
      </c>
      <c r="S24" s="346">
        <f>IF(Gear!J23&gt;=$Y$2,Gear!A23,0)</f>
        <v>0</v>
      </c>
      <c r="T24" s="320" t="s">
        <v>156</v>
      </c>
      <c r="U24" s="350" t="str">
        <f>IF(S24=0,"",VLOOKUP(S24,Gear!A:J,10,FALSE))</f>
        <v/>
      </c>
      <c r="V24" t="s">
        <v>158</v>
      </c>
    </row>
    <row r="25" spans="2:22">
      <c r="B25" t="s">
        <v>154</v>
      </c>
      <c r="C25" s="346">
        <f>IF(DCC!B24&lt;4,DCC!A24,0)</f>
        <v>0</v>
      </c>
      <c r="D25" s="320" t="s">
        <v>156</v>
      </c>
      <c r="E25" s="350" t="str">
        <f>IF(C25=0,"",VLOOKUP(C25,DCC!A:B,2,FALSE))</f>
        <v/>
      </c>
      <c r="F25" t="s">
        <v>158</v>
      </c>
      <c r="J25" t="s">
        <v>154</v>
      </c>
      <c r="K25" s="346">
        <f>IF(DCC!G24&gt;0,DCC!A24,0)</f>
        <v>0</v>
      </c>
      <c r="L25" s="320" t="s">
        <v>156</v>
      </c>
      <c r="M25" s="350" t="str">
        <f>IF(K25=0,"",VLOOKUP(K25,DCC!A:G,7,FALSE))</f>
        <v/>
      </c>
      <c r="N25" t="s">
        <v>158</v>
      </c>
      <c r="R25" t="s">
        <v>154</v>
      </c>
      <c r="S25" s="346">
        <f>IF(Gear!J24&gt;=$Y$2,Gear!A24,0)</f>
        <v>0</v>
      </c>
      <c r="T25" s="320" t="s">
        <v>156</v>
      </c>
      <c r="U25" s="350" t="str">
        <f>IF(S25=0,"",VLOOKUP(S25,Gear!A:J,10,FALSE))</f>
        <v/>
      </c>
      <c r="V25" t="s">
        <v>158</v>
      </c>
    </row>
    <row r="26" spans="2:22">
      <c r="B26" t="s">
        <v>154</v>
      </c>
      <c r="C26" s="346">
        <f>IF(DCC!B25&lt;4,DCC!A25,0)</f>
        <v>0</v>
      </c>
      <c r="D26" s="320" t="s">
        <v>156</v>
      </c>
      <c r="E26" s="350" t="str">
        <f>IF(C26=0,"",VLOOKUP(C26,DCC!A:B,2,FALSE))</f>
        <v/>
      </c>
      <c r="F26" t="s">
        <v>158</v>
      </c>
      <c r="J26" t="s">
        <v>154</v>
      </c>
      <c r="K26" s="346">
        <f>IF(DCC!G25&gt;0,DCC!A25,0)</f>
        <v>0</v>
      </c>
      <c r="L26" s="320" t="s">
        <v>156</v>
      </c>
      <c r="M26" s="350" t="str">
        <f>IF(K26=0,"",VLOOKUP(K26,DCC!A:G,7,FALSE))</f>
        <v/>
      </c>
      <c r="N26" t="s">
        <v>158</v>
      </c>
      <c r="R26" t="s">
        <v>154</v>
      </c>
      <c r="S26" s="346">
        <f>IF(Gear!J25&gt;=$Y$2,Gear!A25,0)</f>
        <v>0</v>
      </c>
      <c r="T26" s="320" t="s">
        <v>156</v>
      </c>
      <c r="U26" s="350" t="str">
        <f>IF(S26=0,"",VLOOKUP(S26,Gear!A:J,10,FALSE))</f>
        <v/>
      </c>
      <c r="V26" t="s">
        <v>158</v>
      </c>
    </row>
    <row r="27" spans="2:22">
      <c r="B27" t="s">
        <v>154</v>
      </c>
      <c r="C27" s="346">
        <f>IF(DCC!B26&lt;4,DCC!A26,0)</f>
        <v>0</v>
      </c>
      <c r="D27" s="320" t="s">
        <v>156</v>
      </c>
      <c r="E27" s="350" t="str">
        <f>IF(C27=0,"",VLOOKUP(C27,DCC!A:B,2,FALSE))</f>
        <v/>
      </c>
      <c r="F27" t="s">
        <v>158</v>
      </c>
      <c r="J27" t="s">
        <v>154</v>
      </c>
      <c r="K27" s="346">
        <f>IF(DCC!G26&gt;0,DCC!A26,0)</f>
        <v>0</v>
      </c>
      <c r="L27" s="320" t="s">
        <v>156</v>
      </c>
      <c r="M27" s="350" t="str">
        <f>IF(K27=0,"",VLOOKUP(K27,DCC!A:G,7,FALSE))</f>
        <v/>
      </c>
      <c r="N27" t="s">
        <v>158</v>
      </c>
      <c r="R27" t="s">
        <v>154</v>
      </c>
      <c r="S27" s="346">
        <f>IF(Gear!J26&gt;=$Y$2,Gear!A26,0)</f>
        <v>0</v>
      </c>
      <c r="T27" s="320" t="s">
        <v>156</v>
      </c>
      <c r="U27" s="350" t="str">
        <f>IF(S27=0,"",VLOOKUP(S27,Gear!A:J,10,FALSE))</f>
        <v/>
      </c>
      <c r="V27" t="s">
        <v>158</v>
      </c>
    </row>
    <row r="28" spans="2:22">
      <c r="B28" t="s">
        <v>154</v>
      </c>
      <c r="C28" s="346">
        <f>IF(DCC!B27&lt;4,DCC!A27,0)</f>
        <v>0</v>
      </c>
      <c r="D28" s="320" t="s">
        <v>156</v>
      </c>
      <c r="E28" s="350" t="str">
        <f>IF(C28=0,"",VLOOKUP(C28,DCC!A:B,2,FALSE))</f>
        <v/>
      </c>
      <c r="F28" t="s">
        <v>158</v>
      </c>
      <c r="J28" t="s">
        <v>154</v>
      </c>
      <c r="K28" s="346">
        <f>IF(DCC!G27&gt;0,DCC!A27,0)</f>
        <v>0</v>
      </c>
      <c r="L28" s="320" t="s">
        <v>156</v>
      </c>
      <c r="M28" s="350" t="str">
        <f>IF(K28=0,"",VLOOKUP(K28,DCC!A:G,7,FALSE))</f>
        <v/>
      </c>
      <c r="N28" t="s">
        <v>158</v>
      </c>
      <c r="R28" t="s">
        <v>154</v>
      </c>
      <c r="S28" s="346">
        <f>IF(Gear!J27&gt;=$Y$2,Gear!A27,0)</f>
        <v>0</v>
      </c>
      <c r="T28" s="320" t="s">
        <v>156</v>
      </c>
      <c r="U28" s="350" t="str">
        <f>IF(S28=0,"",VLOOKUP(S28,Gear!A:J,10,FALSE))</f>
        <v/>
      </c>
      <c r="V28" t="s">
        <v>158</v>
      </c>
    </row>
    <row r="29" spans="2:22">
      <c r="B29" t="s">
        <v>154</v>
      </c>
      <c r="C29" s="346">
        <f>IF(DCC!B28&lt;4,DCC!A28,0)</f>
        <v>0</v>
      </c>
      <c r="D29" s="320" t="s">
        <v>156</v>
      </c>
      <c r="E29" s="350" t="str">
        <f>IF(C29=0,"",VLOOKUP(C29,DCC!A:B,2,FALSE))</f>
        <v/>
      </c>
      <c r="F29" t="s">
        <v>158</v>
      </c>
      <c r="J29" t="s">
        <v>154</v>
      </c>
      <c r="K29" s="346">
        <f>IF(DCC!G28&gt;0,DCC!A28,0)</f>
        <v>0</v>
      </c>
      <c r="L29" s="320" t="s">
        <v>156</v>
      </c>
      <c r="M29" s="350" t="str">
        <f>IF(K29=0,"",VLOOKUP(K29,DCC!A:G,7,FALSE))</f>
        <v/>
      </c>
      <c r="N29" t="s">
        <v>158</v>
      </c>
      <c r="R29" t="s">
        <v>154</v>
      </c>
      <c r="S29" s="346">
        <f>IF(Gear!J28&gt;=$Y$2,Gear!A28,0)</f>
        <v>0</v>
      </c>
      <c r="T29" s="320" t="s">
        <v>156</v>
      </c>
      <c r="U29" s="350" t="str">
        <f>IF(S29=0,"",VLOOKUP(S29,Gear!A:J,10,FALSE))</f>
        <v/>
      </c>
      <c r="V29" t="s">
        <v>158</v>
      </c>
    </row>
    <row r="30" spans="2:22">
      <c r="B30" t="s">
        <v>154</v>
      </c>
      <c r="C30" s="346">
        <f>IF(DCC!B29&lt;4,DCC!A29,0)</f>
        <v>0</v>
      </c>
      <c r="D30" s="320" t="s">
        <v>156</v>
      </c>
      <c r="E30" s="350" t="str">
        <f>IF(C30=0,"",VLOOKUP(C30,DCC!A:B,2,FALSE))</f>
        <v/>
      </c>
      <c r="F30" t="s">
        <v>158</v>
      </c>
      <c r="J30" t="s">
        <v>154</v>
      </c>
      <c r="K30" s="346">
        <f>IF(DCC!G29&gt;0,DCC!A29,0)</f>
        <v>0</v>
      </c>
      <c r="L30" s="320" t="s">
        <v>156</v>
      </c>
      <c r="M30" s="350" t="str">
        <f>IF(K30=0,"",VLOOKUP(K30,DCC!A:G,7,FALSE))</f>
        <v/>
      </c>
      <c r="N30" t="s">
        <v>158</v>
      </c>
      <c r="R30" t="s">
        <v>154</v>
      </c>
      <c r="S30" s="346">
        <f>IF(Gear!J29&gt;=$Y$2,Gear!A29,0)</f>
        <v>0</v>
      </c>
      <c r="T30" s="320" t="s">
        <v>156</v>
      </c>
      <c r="U30" s="350" t="str">
        <f>IF(S30=0,"",VLOOKUP(S30,Gear!A:J,10,FALSE))</f>
        <v/>
      </c>
      <c r="V30" t="s">
        <v>158</v>
      </c>
    </row>
    <row r="31" spans="2:22">
      <c r="B31" t="s">
        <v>154</v>
      </c>
      <c r="C31" s="346" t="str">
        <f>IF(DCC!B30&lt;4,DCC!A30,0)</f>
        <v>Rokthrol</v>
      </c>
      <c r="D31" s="320" t="s">
        <v>156</v>
      </c>
      <c r="E31" s="350">
        <f>IF(C31=0,"",VLOOKUP(C31,DCC!A:B,2,FALSE))</f>
        <v>2</v>
      </c>
      <c r="F31" t="s">
        <v>158</v>
      </c>
      <c r="J31" t="s">
        <v>154</v>
      </c>
      <c r="K31" s="346">
        <f>IF(DCC!G30&gt;0,DCC!A30,0)</f>
        <v>0</v>
      </c>
      <c r="L31" s="320" t="s">
        <v>156</v>
      </c>
      <c r="M31" s="350" t="str">
        <f>IF(K31=0,"",VLOOKUP(K31,DCC!A:G,7,FALSE))</f>
        <v/>
      </c>
      <c r="N31" t="s">
        <v>158</v>
      </c>
      <c r="R31" t="s">
        <v>154</v>
      </c>
      <c r="S31" s="346">
        <f>IF(Gear!J30&gt;=$Y$2,Gear!A30,0)</f>
        <v>0</v>
      </c>
      <c r="T31" s="320" t="s">
        <v>156</v>
      </c>
      <c r="U31" s="350" t="str">
        <f>IF(S31=0,"",VLOOKUP(S31,Gear!A:J,10,FALSE))</f>
        <v/>
      </c>
      <c r="V31" t="s">
        <v>158</v>
      </c>
    </row>
    <row r="32" spans="2:22">
      <c r="B32" t="s">
        <v>154</v>
      </c>
      <c r="C32" s="346">
        <f>IF(DCC!B31&lt;4,DCC!A31,0)</f>
        <v>0</v>
      </c>
      <c r="D32" s="320" t="s">
        <v>156</v>
      </c>
      <c r="E32" s="350" t="str">
        <f>IF(C32=0,"",VLOOKUP(C32,DCC!A:B,2,FALSE))</f>
        <v/>
      </c>
      <c r="F32" t="s">
        <v>158</v>
      </c>
      <c r="J32" t="s">
        <v>154</v>
      </c>
      <c r="K32" s="346">
        <f>IF(DCC!G31&gt;0,DCC!A31,0)</f>
        <v>0</v>
      </c>
      <c r="L32" s="320" t="s">
        <v>156</v>
      </c>
      <c r="M32" s="350" t="str">
        <f>IF(K32=0,"",VLOOKUP(K32,DCC!A:G,7,FALSE))</f>
        <v/>
      </c>
      <c r="N32" t="s">
        <v>158</v>
      </c>
      <c r="R32" t="s">
        <v>154</v>
      </c>
      <c r="S32" s="346">
        <f>IF(Gear!J31&gt;=$Y$2,Gear!A31,0)</f>
        <v>0</v>
      </c>
      <c r="T32" s="320" t="s">
        <v>156</v>
      </c>
      <c r="U32" s="350" t="str">
        <f>IF(S32=0,"",VLOOKUP(S32,Gear!A:J,10,FALSE))</f>
        <v/>
      </c>
      <c r="V32" t="s">
        <v>158</v>
      </c>
    </row>
    <row r="33" spans="2:22">
      <c r="B33" t="s">
        <v>154</v>
      </c>
      <c r="C33" s="346">
        <f>IF(DCC!B32&lt;4,DCC!A32,0)</f>
        <v>0</v>
      </c>
      <c r="D33" s="320" t="s">
        <v>156</v>
      </c>
      <c r="E33" s="350" t="str">
        <f>IF(C33=0,"",VLOOKUP(C33,DCC!A:B,2,FALSE))</f>
        <v/>
      </c>
      <c r="F33" t="s">
        <v>158</v>
      </c>
      <c r="J33" t="s">
        <v>154</v>
      </c>
      <c r="K33" s="346">
        <f>IF(DCC!G32&gt;0,DCC!A32,0)</f>
        <v>0</v>
      </c>
      <c r="L33" s="320" t="s">
        <v>156</v>
      </c>
      <c r="M33" s="350" t="str">
        <f>IF(K33=0,"",VLOOKUP(K33,DCC!A:G,7,FALSE))</f>
        <v/>
      </c>
      <c r="N33" t="s">
        <v>158</v>
      </c>
      <c r="R33" t="s">
        <v>154</v>
      </c>
      <c r="S33" s="346">
        <f>IF(Gear!J32&gt;=$Y$2,Gear!A32,0)</f>
        <v>0</v>
      </c>
      <c r="T33" s="320" t="s">
        <v>156</v>
      </c>
      <c r="U33" s="350" t="str">
        <f>IF(S33=0,"",VLOOKUP(S33,Gear!A:J,10,FALSE))</f>
        <v/>
      </c>
      <c r="V33" t="s">
        <v>158</v>
      </c>
    </row>
    <row r="34" spans="2:22">
      <c r="B34" t="s">
        <v>154</v>
      </c>
      <c r="C34" s="346">
        <f>IF(DCC!B33&lt;4,DCC!A33,0)</f>
        <v>0</v>
      </c>
      <c r="D34" s="320" t="s">
        <v>156</v>
      </c>
      <c r="E34" s="350" t="str">
        <f>IF(C34=0,"",VLOOKUP(C34,DCC!A:B,2,FALSE))</f>
        <v/>
      </c>
      <c r="F34" t="s">
        <v>158</v>
      </c>
      <c r="J34" t="s">
        <v>154</v>
      </c>
      <c r="K34" s="346">
        <f>IF(DCC!G33&gt;0,DCC!A33,0)</f>
        <v>0</v>
      </c>
      <c r="L34" s="320" t="s">
        <v>156</v>
      </c>
      <c r="M34" s="350" t="str">
        <f>IF(K34=0,"",VLOOKUP(K34,DCC!A:G,7,FALSE))</f>
        <v/>
      </c>
      <c r="N34" t="s">
        <v>158</v>
      </c>
      <c r="R34" t="s">
        <v>154</v>
      </c>
      <c r="S34" s="346">
        <f>IF(Gear!J33&gt;=$Y$2,Gear!A33,0)</f>
        <v>0</v>
      </c>
      <c r="T34" s="320" t="s">
        <v>156</v>
      </c>
      <c r="U34" s="350" t="str">
        <f>IF(S34=0,"",VLOOKUP(S34,Gear!A:J,10,FALSE))</f>
        <v/>
      </c>
      <c r="V34" t="s">
        <v>158</v>
      </c>
    </row>
    <row r="35" spans="2:22">
      <c r="B35" t="s">
        <v>154</v>
      </c>
      <c r="C35" s="346">
        <f>IF(DCC!B34&lt;4,DCC!A34,0)</f>
        <v>0</v>
      </c>
      <c r="D35" s="320" t="s">
        <v>156</v>
      </c>
      <c r="E35" s="350" t="str">
        <f>IF(C35=0,"",VLOOKUP(C35,DCC!A:B,2,FALSE))</f>
        <v/>
      </c>
      <c r="F35" t="s">
        <v>158</v>
      </c>
      <c r="J35" t="s">
        <v>154</v>
      </c>
      <c r="K35" s="346">
        <f>IF(DCC!G34&gt;0,DCC!A34,0)</f>
        <v>0</v>
      </c>
      <c r="L35" s="320" t="s">
        <v>156</v>
      </c>
      <c r="M35" s="350" t="str">
        <f>IF(K35=0,"",VLOOKUP(K35,DCC!A:G,7,FALSE))</f>
        <v/>
      </c>
      <c r="N35" t="s">
        <v>158</v>
      </c>
      <c r="R35" t="s">
        <v>154</v>
      </c>
      <c r="S35" s="346">
        <f>IF(Gear!J34&gt;=$Y$2,Gear!A34,0)</f>
        <v>0</v>
      </c>
      <c r="T35" s="320" t="s">
        <v>156</v>
      </c>
      <c r="U35" s="350" t="str">
        <f>IF(S35=0,"",VLOOKUP(S35,Gear!A:J,10,FALSE))</f>
        <v/>
      </c>
      <c r="V35" t="s">
        <v>158</v>
      </c>
    </row>
    <row r="36" spans="2:22">
      <c r="B36" t="s">
        <v>154</v>
      </c>
      <c r="C36" s="346">
        <f>IF(DCC!B35&lt;4,DCC!A35,0)</f>
        <v>0</v>
      </c>
      <c r="D36" s="320" t="s">
        <v>156</v>
      </c>
      <c r="E36" s="350" t="str">
        <f>IF(C36=0,"",VLOOKUP(C36,DCC!A:B,2,FALSE))</f>
        <v/>
      </c>
      <c r="F36" t="s">
        <v>158</v>
      </c>
      <c r="J36" t="s">
        <v>154</v>
      </c>
      <c r="K36" s="346">
        <f>IF(DCC!G35&gt;0,DCC!A35,0)</f>
        <v>0</v>
      </c>
      <c r="L36" s="320" t="s">
        <v>156</v>
      </c>
      <c r="M36" s="350" t="str">
        <f>IF(K36=0,"",VLOOKUP(K36,DCC!A:G,7,FALSE))</f>
        <v/>
      </c>
      <c r="N36" t="s">
        <v>158</v>
      </c>
      <c r="R36" t="s">
        <v>154</v>
      </c>
      <c r="S36" s="346">
        <f>IF(Gear!J35&gt;=$Y$2,Gear!A35,0)</f>
        <v>0</v>
      </c>
      <c r="T36" s="320" t="s">
        <v>156</v>
      </c>
      <c r="U36" s="350" t="str">
        <f>IF(S36=0,"",VLOOKUP(S36,Gear!A:J,10,FALSE))</f>
        <v/>
      </c>
      <c r="V36" t="s">
        <v>158</v>
      </c>
    </row>
    <row r="37" spans="2:22">
      <c r="B37" t="s">
        <v>154</v>
      </c>
      <c r="C37" s="346">
        <f>IF(DCC!B36&lt;4,DCC!A36,0)</f>
        <v>0</v>
      </c>
      <c r="D37" s="320" t="s">
        <v>156</v>
      </c>
      <c r="E37" s="350" t="str">
        <f>IF(C37=0,"",VLOOKUP(C37,DCC!A:B,2,FALSE))</f>
        <v/>
      </c>
      <c r="F37" t="s">
        <v>158</v>
      </c>
      <c r="J37" t="s">
        <v>154</v>
      </c>
      <c r="K37" s="346">
        <f>IF(DCC!G36&gt;0,DCC!A36,0)</f>
        <v>0</v>
      </c>
      <c r="L37" s="320" t="s">
        <v>156</v>
      </c>
      <c r="M37" s="350" t="str">
        <f>IF(K37=0,"",VLOOKUP(K37,DCC!A:G,7,FALSE))</f>
        <v/>
      </c>
      <c r="N37" t="s">
        <v>158</v>
      </c>
      <c r="R37" t="s">
        <v>154</v>
      </c>
      <c r="S37" s="346">
        <f>IF(Gear!J36&gt;=$Y$2,Gear!A36,0)</f>
        <v>0</v>
      </c>
      <c r="T37" s="320" t="s">
        <v>156</v>
      </c>
      <c r="U37" s="350" t="str">
        <f>IF(S37=0,"",VLOOKUP(S37,Gear!A:J,10,FALSE))</f>
        <v/>
      </c>
      <c r="V37" t="s">
        <v>158</v>
      </c>
    </row>
    <row r="38" spans="2:22">
      <c r="B38" t="s">
        <v>154</v>
      </c>
      <c r="C38" s="346" t="str">
        <f>IF(DCC!B37&lt;4,DCC!A37,0)</f>
        <v>Volson</v>
      </c>
      <c r="D38" s="320" t="s">
        <v>156</v>
      </c>
      <c r="E38" s="350">
        <f>IF(C38=0,"",VLOOKUP(C38,DCC!A:B,2,FALSE))</f>
        <v>2</v>
      </c>
      <c r="F38" t="s">
        <v>158</v>
      </c>
      <c r="J38" t="s">
        <v>154</v>
      </c>
      <c r="K38" s="346">
        <f>IF(DCC!G37&gt;0,DCC!A37,0)</f>
        <v>0</v>
      </c>
      <c r="L38" s="320" t="s">
        <v>156</v>
      </c>
      <c r="M38" s="350" t="str">
        <f>IF(K38=0,"",VLOOKUP(K38,DCC!A:G,7,FALSE))</f>
        <v/>
      </c>
      <c r="N38" t="s">
        <v>158</v>
      </c>
      <c r="R38" t="s">
        <v>154</v>
      </c>
      <c r="S38" s="346">
        <f>IF(Gear!J37&gt;=$Y$2,Gear!A37,0)</f>
        <v>0</v>
      </c>
      <c r="T38" s="320" t="s">
        <v>156</v>
      </c>
      <c r="U38" s="350" t="str">
        <f>IF(S38=0,"",VLOOKUP(S38,Gear!A:J,10,FALSE))</f>
        <v/>
      </c>
      <c r="V38" t="s">
        <v>158</v>
      </c>
    </row>
    <row r="39" spans="2:22">
      <c r="B39" t="s">
        <v>154</v>
      </c>
      <c r="C39" s="346">
        <f>IF(DCC!B38&lt;4,DCC!A38,0)</f>
        <v>0</v>
      </c>
      <c r="D39" s="320" t="s">
        <v>156</v>
      </c>
      <c r="E39" s="350" t="str">
        <f>IF(C39=0,"",VLOOKUP(C39,DCC!A:B,2,FALSE))</f>
        <v/>
      </c>
      <c r="F39" t="s">
        <v>158</v>
      </c>
      <c r="J39" t="s">
        <v>154</v>
      </c>
      <c r="K39" s="346">
        <f>IF(DCC!G38&gt;0,DCC!A38,0)</f>
        <v>0</v>
      </c>
      <c r="L39" s="320" t="s">
        <v>156</v>
      </c>
      <c r="M39" s="350" t="str">
        <f>IF(K39=0,"",VLOOKUP(K39,DCC!A:G,7,FALSE))</f>
        <v/>
      </c>
      <c r="N39" t="s">
        <v>158</v>
      </c>
      <c r="R39" t="s">
        <v>154</v>
      </c>
      <c r="S39" s="346">
        <f>IF(Gear!J38&gt;=$Y$2,Gear!A38,0)</f>
        <v>0</v>
      </c>
      <c r="T39" s="320" t="s">
        <v>156</v>
      </c>
      <c r="U39" s="350" t="str">
        <f>IF(S39=0,"",VLOOKUP(S39,Gear!A:J,10,FALSE))</f>
        <v/>
      </c>
      <c r="V39" t="s">
        <v>158</v>
      </c>
    </row>
    <row r="40" spans="2:22">
      <c r="B40" t="s">
        <v>154</v>
      </c>
      <c r="C40" s="346">
        <f>IF(DCC!B39&lt;4,DCC!A39,0)</f>
        <v>0</v>
      </c>
      <c r="D40" s="320" t="s">
        <v>156</v>
      </c>
      <c r="E40" s="350" t="str">
        <f>IF(C40=0,"",VLOOKUP(C40,DCC!A:B,2,FALSE))</f>
        <v/>
      </c>
      <c r="F40" t="s">
        <v>158</v>
      </c>
      <c r="J40" t="s">
        <v>154</v>
      </c>
      <c r="K40" s="346">
        <f>IF(DCC!G39&gt;0,DCC!A39,0)</f>
        <v>0</v>
      </c>
      <c r="L40" s="320" t="s">
        <v>156</v>
      </c>
      <c r="M40" s="350" t="str">
        <f>IF(K40=0,"",VLOOKUP(K40,DCC!A:G,7,FALSE))</f>
        <v/>
      </c>
      <c r="N40" t="s">
        <v>158</v>
      </c>
      <c r="R40" t="s">
        <v>154</v>
      </c>
      <c r="S40" s="346">
        <f>IF(Gear!J39&gt;=$Y$2,Gear!A39,0)</f>
        <v>0</v>
      </c>
      <c r="T40" s="320" t="s">
        <v>156</v>
      </c>
      <c r="U40" s="350" t="str">
        <f>IF(S40=0,"",VLOOKUP(S40,Gear!A:J,10,FALSE))</f>
        <v/>
      </c>
      <c r="V40" t="s">
        <v>158</v>
      </c>
    </row>
    <row r="41" spans="2:22">
      <c r="B41" t="s">
        <v>154</v>
      </c>
      <c r="C41" s="346">
        <f>IF(DCC!B40&lt;4,DCC!A40,0)</f>
        <v>0</v>
      </c>
      <c r="D41" s="320" t="s">
        <v>156</v>
      </c>
      <c r="E41" s="350" t="str">
        <f>IF(C41=0,"",VLOOKUP(C41,DCC!A:B,2,FALSE))</f>
        <v/>
      </c>
      <c r="F41" t="s">
        <v>158</v>
      </c>
      <c r="J41" t="s">
        <v>154</v>
      </c>
      <c r="K41" s="346">
        <f>IF(DCC!G40&gt;0,DCC!A40,0)</f>
        <v>0</v>
      </c>
      <c r="L41" s="320" t="s">
        <v>156</v>
      </c>
      <c r="M41" s="350" t="str">
        <f>IF(K41=0,"",VLOOKUP(K41,DCC!A:G,7,FALSE))</f>
        <v/>
      </c>
      <c r="N41" t="s">
        <v>158</v>
      </c>
      <c r="R41" t="s">
        <v>154</v>
      </c>
      <c r="S41" s="346">
        <f>IF(Gear!J40&gt;=$Y$2,Gear!A40,0)</f>
        <v>0</v>
      </c>
      <c r="T41" s="320" t="s">
        <v>156</v>
      </c>
      <c r="U41" s="350" t="str">
        <f>IF(S41=0,"",VLOOKUP(S41,Gear!A:J,10,FALSE))</f>
        <v/>
      </c>
      <c r="V41" t="s">
        <v>158</v>
      </c>
    </row>
    <row r="42" spans="2:22">
      <c r="B42" t="s">
        <v>154</v>
      </c>
      <c r="C42" s="346">
        <f>IF(DCC!B41&lt;4,DCC!A41,0)</f>
        <v>0</v>
      </c>
      <c r="D42" s="320" t="s">
        <v>156</v>
      </c>
      <c r="E42" s="350" t="str">
        <f>IF(C42=0,"",VLOOKUP(C42,DCC!A:B,2,FALSE))</f>
        <v/>
      </c>
      <c r="F42" t="s">
        <v>158</v>
      </c>
      <c r="J42" t="s">
        <v>154</v>
      </c>
      <c r="K42" s="346">
        <f>IF(DCC!G41&gt;0,DCC!A41,0)</f>
        <v>0</v>
      </c>
      <c r="L42" s="320" t="s">
        <v>156</v>
      </c>
      <c r="M42" s="350" t="str">
        <f>IF(K42=0,"",VLOOKUP(K42,DCC!A:G,7,FALSE))</f>
        <v/>
      </c>
      <c r="N42" t="s">
        <v>158</v>
      </c>
      <c r="R42" t="s">
        <v>154</v>
      </c>
      <c r="S42" s="346">
        <f>IF(Gear!J41&gt;=$Y$2,Gear!A41,0)</f>
        <v>0</v>
      </c>
      <c r="T42" s="320" t="s">
        <v>156</v>
      </c>
      <c r="U42" s="350" t="str">
        <f>IF(S42=0,"",VLOOKUP(S42,Gear!A:J,10,FALSE))</f>
        <v/>
      </c>
      <c r="V42" t="s">
        <v>158</v>
      </c>
    </row>
    <row r="43" spans="2:22">
      <c r="B43" t="s">
        <v>154</v>
      </c>
      <c r="C43" s="346">
        <f>IF(DCC!B42&lt;4,DCC!A42,0)</f>
        <v>0</v>
      </c>
      <c r="D43" s="320" t="s">
        <v>156</v>
      </c>
      <c r="E43" s="350" t="str">
        <f>IF(C43=0,"",VLOOKUP(C43,DCC!A:B,2,FALSE))</f>
        <v/>
      </c>
      <c r="F43" t="s">
        <v>158</v>
      </c>
      <c r="J43" t="s">
        <v>154</v>
      </c>
      <c r="K43" s="346">
        <f>IF(DCC!G42&gt;0,DCC!A42,0)</f>
        <v>0</v>
      </c>
      <c r="L43" s="320" t="s">
        <v>156</v>
      </c>
      <c r="M43" s="350" t="str">
        <f>IF(K43=0,"",VLOOKUP(K43,DCC!A:G,7,FALSE))</f>
        <v/>
      </c>
      <c r="N43" t="s">
        <v>158</v>
      </c>
      <c r="R43" t="s">
        <v>154</v>
      </c>
      <c r="S43" s="346">
        <f>IF(Gear!J42&gt;=$Y$2,Gear!A42,0)</f>
        <v>0</v>
      </c>
      <c r="T43" s="320" t="s">
        <v>156</v>
      </c>
      <c r="U43" s="350" t="str">
        <f>IF(S43=0,"",VLOOKUP(S43,Gear!A:J,10,FALSE))</f>
        <v/>
      </c>
      <c r="V43" t="s">
        <v>158</v>
      </c>
    </row>
    <row r="44" spans="2:22">
      <c r="B44" t="s">
        <v>154</v>
      </c>
      <c r="C44" s="346">
        <f>IF(DCC!B43&lt;4,DCC!A43,0)</f>
        <v>0</v>
      </c>
      <c r="D44" s="320" t="s">
        <v>156</v>
      </c>
      <c r="E44" s="350" t="str">
        <f>IF(C44=0,"",VLOOKUP(C44,DCC!A:B,2,FALSE))</f>
        <v/>
      </c>
      <c r="F44" t="s">
        <v>158</v>
      </c>
      <c r="J44" t="s">
        <v>154</v>
      </c>
      <c r="K44" s="346">
        <f>IF(DCC!G43&gt;0,DCC!A43,0)</f>
        <v>0</v>
      </c>
      <c r="L44" s="320" t="s">
        <v>156</v>
      </c>
      <c r="M44" s="350" t="str">
        <f>IF(K44=0,"",VLOOKUP(K44,DCC!A:G,7,FALSE))</f>
        <v/>
      </c>
      <c r="N44" t="s">
        <v>158</v>
      </c>
      <c r="R44" t="s">
        <v>154</v>
      </c>
      <c r="S44" s="346">
        <f>IF(Gear!J43&gt;=$Y$2,Gear!A43,0)</f>
        <v>0</v>
      </c>
      <c r="T44" s="320" t="s">
        <v>156</v>
      </c>
      <c r="U44" s="350" t="str">
        <f>IF(S44=0,"",VLOOKUP(S44,Gear!A:J,10,FALSE))</f>
        <v/>
      </c>
      <c r="V44" t="s">
        <v>158</v>
      </c>
    </row>
    <row r="45" spans="2:22">
      <c r="B45" t="s">
        <v>154</v>
      </c>
      <c r="C45" s="346">
        <f>IF(DCC!B44&lt;4,DCC!A44,0)</f>
        <v>0</v>
      </c>
      <c r="D45" s="320" t="s">
        <v>156</v>
      </c>
      <c r="E45" s="350" t="str">
        <f>IF(C45=0,"",VLOOKUP(C45,DCC!A:B,2,FALSE))</f>
        <v/>
      </c>
      <c r="F45" t="s">
        <v>158</v>
      </c>
      <c r="J45" t="s">
        <v>154</v>
      </c>
      <c r="K45" s="346">
        <f>IF(DCC!G44&gt;0,DCC!A44,0)</f>
        <v>0</v>
      </c>
      <c r="L45" s="320" t="s">
        <v>156</v>
      </c>
      <c r="M45" s="350" t="str">
        <f>IF(K45=0,"",VLOOKUP(K45,DCC!A:G,7,FALSE))</f>
        <v/>
      </c>
      <c r="N45" t="s">
        <v>158</v>
      </c>
      <c r="R45" t="s">
        <v>154</v>
      </c>
      <c r="S45" s="346">
        <f>IF(Gear!J44&gt;=$Y$2,Gear!A44,0)</f>
        <v>0</v>
      </c>
      <c r="T45" s="320" t="s">
        <v>156</v>
      </c>
      <c r="U45" s="350" t="str">
        <f>IF(S45=0,"",VLOOKUP(S45,Gear!A:J,10,FALSE))</f>
        <v/>
      </c>
      <c r="V45" t="s">
        <v>158</v>
      </c>
    </row>
    <row r="46" spans="2:22">
      <c r="B46" t="s">
        <v>154</v>
      </c>
      <c r="C46" s="346">
        <f>IF(DCC!B45&lt;4,DCC!A45,0)</f>
        <v>0</v>
      </c>
      <c r="D46" s="320" t="s">
        <v>156</v>
      </c>
      <c r="E46" s="350" t="str">
        <f>IF(C46=0,"",VLOOKUP(C46,DCC!A:B,2,FALSE))</f>
        <v/>
      </c>
      <c r="F46" t="s">
        <v>158</v>
      </c>
      <c r="J46" t="s">
        <v>154</v>
      </c>
      <c r="K46" s="346">
        <f>IF(DCC!G45&gt;0,DCC!A45,0)</f>
        <v>0</v>
      </c>
      <c r="L46" s="320" t="s">
        <v>156</v>
      </c>
      <c r="M46" s="350" t="str">
        <f>IF(K46=0,"",VLOOKUP(K46,DCC!A:G,7,FALSE))</f>
        <v/>
      </c>
      <c r="N46" t="s">
        <v>158</v>
      </c>
      <c r="R46" t="s">
        <v>154</v>
      </c>
      <c r="S46" s="346">
        <f>IF(Gear!J45&gt;=$Y$2,Gear!A45,0)</f>
        <v>0</v>
      </c>
      <c r="T46" s="320" t="s">
        <v>156</v>
      </c>
      <c r="U46" s="350" t="str">
        <f>IF(S46=0,"",VLOOKUP(S46,Gear!A:J,10,FALSE))</f>
        <v/>
      </c>
      <c r="V46" t="s">
        <v>158</v>
      </c>
    </row>
    <row r="47" spans="2:22">
      <c r="B47" t="s">
        <v>154</v>
      </c>
      <c r="C47" s="346">
        <f>IF(DCC!B46&lt;4,DCC!A46,0)</f>
        <v>0</v>
      </c>
      <c r="D47" s="320" t="s">
        <v>156</v>
      </c>
      <c r="E47" s="350" t="str">
        <f>IF(C47=0,"",VLOOKUP(C47,DCC!A:B,2,FALSE))</f>
        <v/>
      </c>
      <c r="F47" t="s">
        <v>158</v>
      </c>
      <c r="J47" t="s">
        <v>154</v>
      </c>
      <c r="K47" s="346">
        <f>IF(DCC!G46&gt;0,DCC!A46,0)</f>
        <v>0</v>
      </c>
      <c r="L47" s="320" t="s">
        <v>156</v>
      </c>
      <c r="M47" s="350" t="str">
        <f>IF(K47=0,"",VLOOKUP(K47,DCC!A:G,7,FALSE))</f>
        <v/>
      </c>
      <c r="N47" t="s">
        <v>158</v>
      </c>
      <c r="R47" t="s">
        <v>154</v>
      </c>
      <c r="S47" s="346">
        <f>IF(Gear!J46&gt;=$Y$2,Gear!A46,0)</f>
        <v>0</v>
      </c>
      <c r="T47" s="320" t="s">
        <v>156</v>
      </c>
      <c r="U47" s="350" t="str">
        <f>IF(S47=0,"",VLOOKUP(S47,Gear!A:J,10,FALSE))</f>
        <v/>
      </c>
      <c r="V47" t="s">
        <v>158</v>
      </c>
    </row>
    <row r="48" spans="2:22">
      <c r="B48" t="s">
        <v>154</v>
      </c>
      <c r="C48" s="346">
        <f>IF(DCC!B47&lt;4,DCC!A47,0)</f>
        <v>0</v>
      </c>
      <c r="D48" s="320" t="s">
        <v>156</v>
      </c>
      <c r="E48" s="350" t="str">
        <f>IF(C48=0,"",VLOOKUP(C48,DCC!A:B,2,FALSE))</f>
        <v/>
      </c>
      <c r="F48" t="s">
        <v>158</v>
      </c>
      <c r="J48" t="s">
        <v>154</v>
      </c>
      <c r="K48" s="346">
        <f>IF(DCC!G47&gt;0,DCC!A47,0)</f>
        <v>0</v>
      </c>
      <c r="L48" s="320" t="s">
        <v>156</v>
      </c>
      <c r="M48" s="350" t="str">
        <f>IF(K48=0,"",VLOOKUP(K48,DCC!A:G,7,FALSE))</f>
        <v/>
      </c>
      <c r="N48" t="s">
        <v>158</v>
      </c>
      <c r="R48" t="s">
        <v>154</v>
      </c>
      <c r="S48" s="346">
        <f>IF(Gear!J47&gt;=$Y$2,Gear!A47,0)</f>
        <v>0</v>
      </c>
      <c r="T48" s="320" t="s">
        <v>156</v>
      </c>
      <c r="U48" s="350" t="str">
        <f>IF(S48=0,"",VLOOKUP(S48,Gear!A:J,10,FALSE))</f>
        <v/>
      </c>
      <c r="V48" t="s">
        <v>158</v>
      </c>
    </row>
    <row r="49" spans="2:22">
      <c r="B49" t="s">
        <v>154</v>
      </c>
      <c r="C49" s="346">
        <f>IF(DCC!B48&lt;4,DCC!A48,0)</f>
        <v>0</v>
      </c>
      <c r="D49" s="320" t="s">
        <v>156</v>
      </c>
      <c r="E49" s="350" t="str">
        <f>IF(C49=0,"",VLOOKUP(C49,DCC!A:B,2,FALSE))</f>
        <v/>
      </c>
      <c r="F49" t="s">
        <v>158</v>
      </c>
      <c r="J49" t="s">
        <v>154</v>
      </c>
      <c r="K49" s="346">
        <f>IF(DCC!G48&gt;0,DCC!A48,0)</f>
        <v>0</v>
      </c>
      <c r="L49" s="320" t="s">
        <v>156</v>
      </c>
      <c r="M49" s="350" t="str">
        <f>IF(K49=0,"",VLOOKUP(K49,DCC!A:G,7,FALSE))</f>
        <v/>
      </c>
      <c r="N49" t="s">
        <v>158</v>
      </c>
      <c r="R49" t="s">
        <v>154</v>
      </c>
      <c r="S49" s="346">
        <f>IF(Gear!J48&gt;=$Y$2,Gear!A48,0)</f>
        <v>0</v>
      </c>
      <c r="T49" s="320" t="s">
        <v>156</v>
      </c>
      <c r="U49" s="350" t="str">
        <f>IF(S49=0,"",VLOOKUP(S49,Gear!A:J,10,FALSE))</f>
        <v/>
      </c>
      <c r="V49" t="s">
        <v>158</v>
      </c>
    </row>
    <row r="50" spans="2:22">
      <c r="B50" t="s">
        <v>154</v>
      </c>
      <c r="C50" s="346">
        <f>IF(DCC!B49&lt;4,DCC!A49,0)</f>
        <v>0</v>
      </c>
      <c r="D50" s="320" t="s">
        <v>156</v>
      </c>
      <c r="E50" s="350" t="str">
        <f>IF(C50=0,"",VLOOKUP(C50,DCC!A:B,2,FALSE))</f>
        <v/>
      </c>
      <c r="F50" t="s">
        <v>158</v>
      </c>
      <c r="J50" t="s">
        <v>154</v>
      </c>
      <c r="K50" s="346">
        <f>IF(DCC!G49&gt;0,DCC!A49,0)</f>
        <v>0</v>
      </c>
      <c r="L50" s="320" t="s">
        <v>156</v>
      </c>
      <c r="M50" s="350" t="str">
        <f>IF(K50=0,"",VLOOKUP(K50,DCC!A:G,7,FALSE))</f>
        <v/>
      </c>
      <c r="N50" t="s">
        <v>158</v>
      </c>
      <c r="R50" t="s">
        <v>154</v>
      </c>
      <c r="S50" s="346">
        <f>IF(Gear!J49&gt;=$Y$2,Gear!A49,0)</f>
        <v>0</v>
      </c>
      <c r="T50" s="320" t="s">
        <v>156</v>
      </c>
      <c r="U50" s="350" t="str">
        <f>IF(S50=0,"",VLOOKUP(S50,Gear!A:J,10,FALSE))</f>
        <v/>
      </c>
      <c r="V50" t="s">
        <v>158</v>
      </c>
    </row>
    <row r="51" spans="2:22">
      <c r="B51" t="s">
        <v>154</v>
      </c>
      <c r="C51" s="346">
        <f>IF(DCC!B50&lt;4,DCC!A50,0)</f>
        <v>0</v>
      </c>
      <c r="D51" s="320" t="s">
        <v>156</v>
      </c>
      <c r="E51" s="350" t="str">
        <f>IF(C51=0,"",VLOOKUP(C51,DCC!A:B,2,FALSE))</f>
        <v/>
      </c>
      <c r="F51" t="s">
        <v>158</v>
      </c>
      <c r="J51" t="s">
        <v>154</v>
      </c>
      <c r="K51" s="346">
        <f>IF(DCC!G50&gt;0,DCC!A50,0)</f>
        <v>0</v>
      </c>
      <c r="L51" s="320" t="s">
        <v>156</v>
      </c>
      <c r="M51" s="350" t="str">
        <f>IF(K51=0,"",VLOOKUP(K51,DCC!A:G,7,FALSE))</f>
        <v/>
      </c>
      <c r="N51" t="s">
        <v>158</v>
      </c>
      <c r="R51" t="s">
        <v>154</v>
      </c>
      <c r="S51" s="346">
        <f>IF(Gear!J50&gt;=$Y$2,Gear!A50,0)</f>
        <v>0</v>
      </c>
      <c r="T51" s="320" t="s">
        <v>156</v>
      </c>
      <c r="U51" s="350" t="str">
        <f>IF(S51=0,"",VLOOKUP(S51,Gear!A:J,10,FALSE))</f>
        <v/>
      </c>
      <c r="V51" t="s">
        <v>158</v>
      </c>
    </row>
    <row r="52" spans="2:22">
      <c r="B52" t="s">
        <v>154</v>
      </c>
      <c r="C52" s="346">
        <f>IF(DCC!B51&lt;4,DCC!A51,0)</f>
        <v>0</v>
      </c>
      <c r="D52" s="320" t="s">
        <v>156</v>
      </c>
      <c r="E52" s="350" t="str">
        <f>IF(C52=0,"",VLOOKUP(C52,DCC!A:B,2,FALSE))</f>
        <v/>
      </c>
      <c r="F52" t="s">
        <v>158</v>
      </c>
      <c r="J52" t="s">
        <v>154</v>
      </c>
      <c r="K52" s="346">
        <f>IF(DCC!G51&gt;0,DCC!A51,0)</f>
        <v>0</v>
      </c>
      <c r="L52" s="320" t="s">
        <v>156</v>
      </c>
      <c r="M52" s="350" t="str">
        <f>IF(K52=0,"",VLOOKUP(K52,DCC!A:G,7,FALSE))</f>
        <v/>
      </c>
      <c r="N52" t="s">
        <v>158</v>
      </c>
      <c r="R52" t="s">
        <v>154</v>
      </c>
      <c r="S52" s="346">
        <f>IF(Gear!J51&gt;=$Y$2,Gear!A51,0)</f>
        <v>0</v>
      </c>
      <c r="T52" s="320" t="s">
        <v>156</v>
      </c>
      <c r="U52" s="350" t="str">
        <f>IF(S52=0,"",VLOOKUP(S52,Gear!A:J,10,FALSE))</f>
        <v/>
      </c>
      <c r="V52" t="s">
        <v>158</v>
      </c>
    </row>
    <row r="53" spans="2:22">
      <c r="B53" t="s">
        <v>154</v>
      </c>
      <c r="C53" s="346">
        <f>IF(DCC!B52&lt;4,DCC!A52,0)</f>
        <v>0</v>
      </c>
      <c r="D53" s="320" t="s">
        <v>156</v>
      </c>
      <c r="E53" s="350" t="str">
        <f>IF(C53=0,"",VLOOKUP(C53,DCC!A:B,2,FALSE))</f>
        <v/>
      </c>
      <c r="F53" t="s">
        <v>158</v>
      </c>
      <c r="J53" t="s">
        <v>154</v>
      </c>
      <c r="K53" s="346">
        <f>IF(DCC!G52&gt;0,DCC!A52,0)</f>
        <v>0</v>
      </c>
      <c r="L53" s="320" t="s">
        <v>156</v>
      </c>
      <c r="M53" s="350" t="str">
        <f>IF(K53=0,"",VLOOKUP(K53,DCC!A:G,7,FALSE))</f>
        <v/>
      </c>
      <c r="N53" t="s">
        <v>158</v>
      </c>
      <c r="R53" t="s">
        <v>154</v>
      </c>
      <c r="S53" s="346">
        <f>IF(Gear!J52&gt;=$Y$2,Gear!A52,0)</f>
        <v>0</v>
      </c>
      <c r="T53" s="320" t="s">
        <v>156</v>
      </c>
      <c r="U53" s="350" t="str">
        <f>IF(S53=0,"",VLOOKUP(S53,Gear!A:J,10,FALSE))</f>
        <v/>
      </c>
      <c r="V53" t="s">
        <v>158</v>
      </c>
    </row>
    <row r="54" spans="2:22">
      <c r="B54" t="s">
        <v>154</v>
      </c>
      <c r="C54" s="346">
        <f>IF(DCC!B53&lt;4,DCC!A53,0)</f>
        <v>0</v>
      </c>
      <c r="D54" s="320" t="s">
        <v>156</v>
      </c>
      <c r="E54" s="350" t="str">
        <f>IF(C54=0,"",VLOOKUP(C54,DCC!A:B,2,FALSE))</f>
        <v/>
      </c>
      <c r="F54" t="s">
        <v>158</v>
      </c>
      <c r="J54" t="s">
        <v>154</v>
      </c>
      <c r="K54" s="346">
        <f>IF(DCC!G53&gt;0,DCC!A53,0)</f>
        <v>0</v>
      </c>
      <c r="L54" s="320" t="s">
        <v>156</v>
      </c>
      <c r="M54" s="350" t="str">
        <f>IF(K54=0,"",VLOOKUP(K54,DCC!A:G,7,FALSE))</f>
        <v/>
      </c>
      <c r="N54" t="s">
        <v>158</v>
      </c>
      <c r="R54" t="s">
        <v>154</v>
      </c>
      <c r="S54" s="346">
        <f>IF(Gear!J53&gt;=$Y$2,Gear!A53,0)</f>
        <v>0</v>
      </c>
      <c r="T54" s="320" t="s">
        <v>156</v>
      </c>
      <c r="U54" s="350" t="str">
        <f>IF(S54=0,"",VLOOKUP(S54,Gear!A:J,10,FALSE))</f>
        <v/>
      </c>
      <c r="V54" t="s">
        <v>158</v>
      </c>
    </row>
    <row r="55" spans="2:22">
      <c r="B55" t="s">
        <v>154</v>
      </c>
      <c r="C55" s="346">
        <f>IF(DCC!B54&lt;4,DCC!A54,0)</f>
        <v>0</v>
      </c>
      <c r="D55" s="320" t="s">
        <v>156</v>
      </c>
      <c r="E55" s="350" t="str">
        <f>IF(C55=0,"",VLOOKUP(C55,DCC!A:B,2,FALSE))</f>
        <v/>
      </c>
      <c r="F55" t="s">
        <v>158</v>
      </c>
      <c r="J55" t="s">
        <v>154</v>
      </c>
      <c r="K55" s="346">
        <f>IF(DCC!G54&gt;0,DCC!A54,0)</f>
        <v>0</v>
      </c>
      <c r="L55" s="320" t="s">
        <v>156</v>
      </c>
      <c r="M55" s="350" t="str">
        <f>IF(K55=0,"",VLOOKUP(K55,DCC!A:G,7,FALSE))</f>
        <v/>
      </c>
      <c r="N55" t="s">
        <v>158</v>
      </c>
      <c r="R55" t="s">
        <v>154</v>
      </c>
      <c r="S55" s="346">
        <f>IF(Gear!J54&gt;=$Y$2,Gear!A54,0)</f>
        <v>0</v>
      </c>
      <c r="T55" s="320" t="s">
        <v>156</v>
      </c>
      <c r="U55" s="350" t="str">
        <f>IF(S55=0,"",VLOOKUP(S55,Gear!A:J,10,FALSE))</f>
        <v/>
      </c>
      <c r="V55" t="s">
        <v>158</v>
      </c>
    </row>
    <row r="56" spans="2:22">
      <c r="B56" t="s">
        <v>154</v>
      </c>
      <c r="C56" s="346">
        <f>IF(DCC!B55&lt;4,DCC!A55,0)</f>
        <v>0</v>
      </c>
      <c r="D56" s="320" t="s">
        <v>156</v>
      </c>
      <c r="E56" s="350" t="str">
        <f>IF(C56=0,"",VLOOKUP(C56,DCC!A:B,2,FALSE))</f>
        <v/>
      </c>
      <c r="F56" t="s">
        <v>158</v>
      </c>
      <c r="J56" t="s">
        <v>154</v>
      </c>
      <c r="K56" s="346">
        <f>IF(DCC!G55&gt;0,DCC!A55,0)</f>
        <v>0</v>
      </c>
      <c r="L56" s="320" t="s">
        <v>156</v>
      </c>
      <c r="M56" s="350" t="str">
        <f>IF(K56=0,"",VLOOKUP(K56,DCC!A:G,7,FALSE))</f>
        <v/>
      </c>
      <c r="N56" t="s">
        <v>158</v>
      </c>
      <c r="R56" t="s">
        <v>154</v>
      </c>
      <c r="S56" s="346">
        <f>IF(Gear!J55&gt;=$Y$2,Gear!A55,0)</f>
        <v>0</v>
      </c>
      <c r="T56" s="320" t="s">
        <v>156</v>
      </c>
      <c r="U56" s="350" t="str">
        <f>IF(S56=0,"",VLOOKUP(S56,Gear!A:J,10,FALSE))</f>
        <v/>
      </c>
      <c r="V56" t="s">
        <v>158</v>
      </c>
    </row>
    <row r="57" spans="2:22">
      <c r="B57" t="s">
        <v>154</v>
      </c>
      <c r="C57" s="346">
        <f>IF(DCC!B56&lt;4,DCC!A56,0)</f>
        <v>0</v>
      </c>
      <c r="D57" s="320" t="s">
        <v>156</v>
      </c>
      <c r="E57" s="350" t="str">
        <f>IF(C57=0,"",VLOOKUP(C57,DCC!A:B,2,FALSE))</f>
        <v/>
      </c>
      <c r="F57" t="s">
        <v>158</v>
      </c>
      <c r="J57" t="s">
        <v>154</v>
      </c>
      <c r="K57" s="346">
        <f>IF(DCC!G56&gt;0,DCC!A56,0)</f>
        <v>0</v>
      </c>
      <c r="L57" s="320" t="s">
        <v>156</v>
      </c>
      <c r="M57" s="350" t="str">
        <f>IF(K57=0,"",VLOOKUP(K57,DCC!A:G,7,FALSE))</f>
        <v/>
      </c>
      <c r="N57" t="s">
        <v>158</v>
      </c>
      <c r="R57" t="s">
        <v>154</v>
      </c>
      <c r="S57" s="346">
        <f>IF(Gear!J56&gt;=$Y$2,Gear!A56,0)</f>
        <v>0</v>
      </c>
      <c r="T57" s="320" t="s">
        <v>156</v>
      </c>
      <c r="U57" s="350" t="str">
        <f>IF(S57=0,"",VLOOKUP(S57,Gear!A:J,10,FALSE))</f>
        <v/>
      </c>
      <c r="V57" t="s">
        <v>158</v>
      </c>
    </row>
    <row r="58" spans="2:22">
      <c r="B58" t="s">
        <v>154</v>
      </c>
      <c r="C58" s="346">
        <f>IF(DCC!B57&lt;4,DCC!A57,0)</f>
        <v>0</v>
      </c>
      <c r="D58" s="320" t="s">
        <v>156</v>
      </c>
      <c r="E58" s="350" t="str">
        <f>IF(C58=0,"",VLOOKUP(C58,DCC!A:B,2,FALSE))</f>
        <v/>
      </c>
      <c r="F58" t="s">
        <v>158</v>
      </c>
      <c r="J58" t="s">
        <v>154</v>
      </c>
      <c r="K58" s="346">
        <f>IF(DCC!G57&gt;0,DCC!A57,0)</f>
        <v>0</v>
      </c>
      <c r="L58" s="320" t="s">
        <v>156</v>
      </c>
      <c r="M58" s="350" t="str">
        <f>IF(K58=0,"",VLOOKUP(K58,DCC!A:G,7,FALSE))</f>
        <v/>
      </c>
      <c r="N58" t="s">
        <v>158</v>
      </c>
      <c r="R58" t="s">
        <v>154</v>
      </c>
      <c r="S58" s="346">
        <f>IF(Gear!J57&gt;=$Y$2,Gear!A57,0)</f>
        <v>0</v>
      </c>
      <c r="T58" s="320" t="s">
        <v>156</v>
      </c>
      <c r="U58" s="350" t="str">
        <f>IF(S58=0,"",VLOOKUP(S58,Gear!A:J,10,FALSE))</f>
        <v/>
      </c>
      <c r="V58" t="s">
        <v>158</v>
      </c>
    </row>
    <row r="59" spans="2:22">
      <c r="B59" t="s">
        <v>154</v>
      </c>
      <c r="C59" s="346">
        <f>IF(DCC!B58&lt;4,DCC!A58,0)</f>
        <v>0</v>
      </c>
      <c r="D59" s="320" t="s">
        <v>156</v>
      </c>
      <c r="E59" s="350" t="str">
        <f>IF(C59=0,"",VLOOKUP(C59,DCC!A:B,2,FALSE))</f>
        <v/>
      </c>
      <c r="F59" t="s">
        <v>158</v>
      </c>
      <c r="J59" t="s">
        <v>154</v>
      </c>
      <c r="K59" s="346">
        <f>IF(DCC!G58&gt;0,DCC!A58,0)</f>
        <v>0</v>
      </c>
      <c r="L59" s="320" t="s">
        <v>156</v>
      </c>
      <c r="M59" s="350" t="str">
        <f>IF(K59=0,"",VLOOKUP(K59,DCC!A:G,7,FALSE))</f>
        <v/>
      </c>
      <c r="N59" t="s">
        <v>158</v>
      </c>
      <c r="R59" t="s">
        <v>154</v>
      </c>
      <c r="S59" s="346">
        <f>IF(Gear!J58&gt;=$Y$2,Gear!A58,0)</f>
        <v>0</v>
      </c>
      <c r="T59" s="320" t="s">
        <v>156</v>
      </c>
      <c r="U59" s="350" t="str">
        <f>IF(S59=0,"",VLOOKUP(S59,Gear!A:J,10,FALSE))</f>
        <v/>
      </c>
      <c r="V59" t="s">
        <v>158</v>
      </c>
    </row>
    <row r="60" spans="2:22">
      <c r="B60" t="s">
        <v>154</v>
      </c>
      <c r="C60" s="346">
        <f>IF(DCC!B59&lt;4,DCC!A59,0)</f>
        <v>0</v>
      </c>
      <c r="D60" s="320" t="s">
        <v>156</v>
      </c>
      <c r="E60" s="350" t="str">
        <f>IF(C60=0,"",VLOOKUP(C60,DCC!A:B,2,FALSE))</f>
        <v/>
      </c>
      <c r="F60" t="s">
        <v>158</v>
      </c>
      <c r="J60" t="s">
        <v>154</v>
      </c>
      <c r="K60" s="346">
        <f>IF(DCC!G59&gt;0,DCC!A59,0)</f>
        <v>0</v>
      </c>
      <c r="L60" s="320" t="s">
        <v>156</v>
      </c>
      <c r="M60" s="350" t="str">
        <f>IF(K60=0,"",VLOOKUP(K60,DCC!A:G,7,FALSE))</f>
        <v/>
      </c>
      <c r="N60" t="s">
        <v>158</v>
      </c>
      <c r="R60" t="s">
        <v>154</v>
      </c>
      <c r="S60" s="346">
        <f>IF(Gear!J59&gt;=$Y$2,Gear!A59,0)</f>
        <v>0</v>
      </c>
      <c r="T60" s="320" t="s">
        <v>156</v>
      </c>
      <c r="U60" s="350" t="str">
        <f>IF(S60=0,"",VLOOKUP(S60,Gear!A:J,10,FALSE))</f>
        <v/>
      </c>
      <c r="V60" t="s">
        <v>158</v>
      </c>
    </row>
    <row r="61" spans="2:22">
      <c r="B61" t="s">
        <v>154</v>
      </c>
      <c r="C61" s="346">
        <f>IF(DCC!B60&lt;4,DCC!A60,0)</f>
        <v>0</v>
      </c>
      <c r="D61" s="320" t="s">
        <v>156</v>
      </c>
      <c r="E61" s="350" t="str">
        <f>IF(C61=0,"",VLOOKUP(C61,DCC!A:B,2,FALSE))</f>
        <v/>
      </c>
      <c r="F61" t="s">
        <v>158</v>
      </c>
      <c r="J61" t="s">
        <v>154</v>
      </c>
      <c r="K61" s="346">
        <f>IF(DCC!G60&gt;0,DCC!A60,0)</f>
        <v>0</v>
      </c>
      <c r="L61" s="320" t="s">
        <v>156</v>
      </c>
      <c r="M61" s="350" t="str">
        <f>IF(K61=0,"",VLOOKUP(K61,DCC!A:G,7,FALSE))</f>
        <v/>
      </c>
      <c r="N61" t="s">
        <v>158</v>
      </c>
      <c r="R61" t="s">
        <v>154</v>
      </c>
      <c r="S61" s="346">
        <f>IF(Gear!J60&gt;=$Y$2,Gear!A60,0)</f>
        <v>0</v>
      </c>
      <c r="T61" s="320" t="s">
        <v>156</v>
      </c>
      <c r="U61" s="350" t="str">
        <f>IF(S61=0,"",VLOOKUP(S61,Gear!A:J,10,FALSE))</f>
        <v/>
      </c>
      <c r="V61" t="s">
        <v>158</v>
      </c>
    </row>
    <row r="62" spans="2:22" ht="13.5" thickBot="1">
      <c r="B62" t="s">
        <v>154</v>
      </c>
      <c r="C62" s="347">
        <f>IF(DCC!B61&lt;4,DCC!A61,0)</f>
        <v>0</v>
      </c>
      <c r="D62" s="352" t="s">
        <v>156</v>
      </c>
      <c r="E62" s="351" t="str">
        <f>IF(C62=0,"",VLOOKUP(C62,DCC!A:B,2,FALSE))</f>
        <v/>
      </c>
      <c r="F62" t="s">
        <v>158</v>
      </c>
      <c r="J62" t="s">
        <v>154</v>
      </c>
      <c r="K62" s="347">
        <f>IF(DCC!G61&gt;0,DCC!A61,0)</f>
        <v>0</v>
      </c>
      <c r="L62" s="352" t="s">
        <v>156</v>
      </c>
      <c r="M62" s="351" t="str">
        <f>IF(K62=0,"",VLOOKUP(K62,DCC!A:G,7,FALSE))</f>
        <v/>
      </c>
      <c r="N62" t="s">
        <v>158</v>
      </c>
      <c r="R62" t="s">
        <v>154</v>
      </c>
      <c r="S62" s="347">
        <f>IF(Gear!J61&gt;=$Y$2,Gear!A61,0)</f>
        <v>0</v>
      </c>
      <c r="T62" s="352" t="s">
        <v>156</v>
      </c>
      <c r="U62" s="351" t="str">
        <f>IF(S62=0,"",VLOOKUP(S62,Gear!A:J,10,FALSE))</f>
        <v/>
      </c>
      <c r="V62" t="s">
        <v>158</v>
      </c>
    </row>
    <row r="63" spans="2:22" ht="15">
      <c r="B63" s="260" t="s">
        <v>160</v>
      </c>
      <c r="C63" s="353"/>
      <c r="E63" s="354"/>
      <c r="J63" s="260" t="s">
        <v>160</v>
      </c>
      <c r="K63" s="353"/>
      <c r="M63" s="354"/>
      <c r="R63" s="260" t="s">
        <v>160</v>
      </c>
      <c r="S63" s="353"/>
      <c r="U63" s="354"/>
    </row>
    <row r="1048574" spans="5:5">
      <c r="E1048574" s="231" t="str">
        <f>IF(C1048574="","",VLOOKUP(C1048574,DCC!A:B,2,FALSE))</f>
        <v/>
      </c>
    </row>
  </sheetData>
  <autoFilter ref="C2:U63"/>
  <mergeCells count="3">
    <mergeCell ref="C1:E1"/>
    <mergeCell ref="K1:M1"/>
    <mergeCell ref="S1:U1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B1:J34"/>
  <sheetViews>
    <sheetView workbookViewId="0"/>
  </sheetViews>
  <sheetFormatPr defaultRowHeight="12.75"/>
  <cols>
    <col min="1" max="1" width="3.85546875" customWidth="1"/>
    <col min="2" max="2" width="0" hidden="1" customWidth="1"/>
    <col min="3" max="3" width="20.140625" style="231" bestFit="1" customWidth="1"/>
    <col min="4" max="4" width="11" hidden="1" customWidth="1"/>
    <col min="5" max="5" width="9.140625" style="231"/>
    <col min="6" max="6" width="0" hidden="1" customWidth="1"/>
    <col min="7" max="7" width="18" style="231" bestFit="1" customWidth="1"/>
    <col min="8" max="8" width="0" hidden="1" customWidth="1"/>
  </cols>
  <sheetData>
    <row r="1" spans="2:10" ht="13.5" thickBot="1"/>
    <row r="2" spans="2:10">
      <c r="B2" t="s">
        <v>153</v>
      </c>
      <c r="C2" s="370" t="str">
        <f>RA!$AB$42</f>
        <v>------------</v>
      </c>
      <c r="D2" s="371" t="s">
        <v>155</v>
      </c>
      <c r="E2" s="372" t="s">
        <v>165</v>
      </c>
      <c r="F2" s="371" t="s">
        <v>155</v>
      </c>
      <c r="G2" s="372" t="s">
        <v>187</v>
      </c>
      <c r="H2" t="s">
        <v>157</v>
      </c>
      <c r="I2" s="356" t="s">
        <v>183</v>
      </c>
      <c r="J2" s="357" t="s">
        <v>186</v>
      </c>
    </row>
    <row r="3" spans="2:10">
      <c r="B3" t="s">
        <v>188</v>
      </c>
      <c r="C3" s="365" t="s">
        <v>4</v>
      </c>
      <c r="D3" s="367" t="s">
        <v>155</v>
      </c>
      <c r="E3" s="362">
        <f>I3</f>
        <v>25</v>
      </c>
      <c r="F3" s="367" t="s">
        <v>155</v>
      </c>
      <c r="G3" s="362" t="str">
        <f>RA!$AB$42</f>
        <v>------------</v>
      </c>
      <c r="H3" t="s">
        <v>157</v>
      </c>
      <c r="I3" s="358">
        <f>SUM(I4:I16)</f>
        <v>25</v>
      </c>
      <c r="J3" s="359">
        <f>SUM(J4:J16)</f>
        <v>150</v>
      </c>
    </row>
    <row r="4" spans="2:10">
      <c r="B4" t="s">
        <v>154</v>
      </c>
      <c r="C4" s="362" t="s">
        <v>15</v>
      </c>
      <c r="D4" s="368" t="s">
        <v>156</v>
      </c>
      <c r="E4" s="287" t="s">
        <v>77</v>
      </c>
      <c r="F4" s="368" t="s">
        <v>156</v>
      </c>
      <c r="G4" s="287">
        <f>(IF(J4&lt;16,1,0)*IF(I4&gt;2,0,1))+(IF(I4&lt;2,1,0)*IF(J4&lt;8,1,0))</f>
        <v>1</v>
      </c>
      <c r="H4" t="s">
        <v>158</v>
      </c>
      <c r="I4" s="358">
        <f>COUNTIFS('Members Data'!$C$2:$C$61,Rec!C4,'Members Data'!$D$2:$D$61,Rec!E4)</f>
        <v>2</v>
      </c>
      <c r="J4" s="359">
        <f>Sign!B10</f>
        <v>10</v>
      </c>
    </row>
    <row r="5" spans="2:10">
      <c r="B5" t="s">
        <v>154</v>
      </c>
      <c r="C5" s="362" t="s">
        <v>16</v>
      </c>
      <c r="D5" s="369" t="s">
        <v>156</v>
      </c>
      <c r="E5" s="287" t="s">
        <v>76</v>
      </c>
      <c r="F5" s="369" t="s">
        <v>156</v>
      </c>
      <c r="G5" s="287">
        <f t="shared" ref="G5:G16" si="0">(IF(J5&lt;16,1,0)*IF(I5&gt;2,0,1))+(IF(I5&lt;2,1,0)*IF(J5&lt;8,1,0))</f>
        <v>1</v>
      </c>
      <c r="H5" t="s">
        <v>158</v>
      </c>
      <c r="I5" s="358">
        <f>COUNTIFS('Members Data'!$C$2:$C$61,Rec!C5,'Members Data'!$D$2:$D$61,Rec!E5)</f>
        <v>2</v>
      </c>
      <c r="J5" s="359">
        <f>Sign!B14</f>
        <v>9</v>
      </c>
    </row>
    <row r="6" spans="2:10">
      <c r="B6" t="s">
        <v>154</v>
      </c>
      <c r="C6" s="362" t="s">
        <v>16</v>
      </c>
      <c r="D6" s="369" t="s">
        <v>156</v>
      </c>
      <c r="E6" s="287" t="s">
        <v>77</v>
      </c>
      <c r="F6" s="369" t="s">
        <v>156</v>
      </c>
      <c r="G6" s="287">
        <f t="shared" si="0"/>
        <v>2</v>
      </c>
      <c r="H6" t="s">
        <v>158</v>
      </c>
      <c r="I6" s="358">
        <f>COUNTIFS('Members Data'!$C$2:$C$61,Rec!C6,'Members Data'!$D$2:$D$61,Rec!E6)</f>
        <v>0</v>
      </c>
      <c r="J6" s="359">
        <f>Sign!B15</f>
        <v>0</v>
      </c>
    </row>
    <row r="7" spans="2:10">
      <c r="B7" t="s">
        <v>154</v>
      </c>
      <c r="C7" s="362" t="s">
        <v>17</v>
      </c>
      <c r="D7" s="369" t="s">
        <v>156</v>
      </c>
      <c r="E7" s="287" t="s">
        <v>76</v>
      </c>
      <c r="F7" s="369" t="s">
        <v>156</v>
      </c>
      <c r="G7" s="287">
        <f t="shared" si="0"/>
        <v>1</v>
      </c>
      <c r="H7" t="s">
        <v>158</v>
      </c>
      <c r="I7" s="358">
        <f>COUNTIFS('Members Data'!$C$2:$C$61,Rec!C7,'Members Data'!$D$2:$D$61,Rec!E7)</f>
        <v>2</v>
      </c>
      <c r="J7" s="359">
        <f>Sign!B19</f>
        <v>13</v>
      </c>
    </row>
    <row r="8" spans="2:10">
      <c r="B8" t="s">
        <v>154</v>
      </c>
      <c r="C8" s="362" t="s">
        <v>18</v>
      </c>
      <c r="D8" s="369" t="s">
        <v>156</v>
      </c>
      <c r="E8" s="287" t="s">
        <v>76</v>
      </c>
      <c r="F8" s="369" t="s">
        <v>156</v>
      </c>
      <c r="G8" s="287">
        <f t="shared" si="0"/>
        <v>0</v>
      </c>
      <c r="H8" t="s">
        <v>158</v>
      </c>
      <c r="I8" s="358">
        <f>COUNTIFS('Members Data'!$C$2:$C$61,Rec!C8,'Members Data'!$D$2:$D$61,Rec!E8)</f>
        <v>3</v>
      </c>
      <c r="J8" s="359">
        <f>Sign!B22</f>
        <v>22</v>
      </c>
    </row>
    <row r="9" spans="2:10">
      <c r="B9" t="s">
        <v>154</v>
      </c>
      <c r="C9" s="362" t="s">
        <v>182</v>
      </c>
      <c r="D9" s="369" t="s">
        <v>156</v>
      </c>
      <c r="E9" s="287" t="s">
        <v>77</v>
      </c>
      <c r="F9" s="369" t="s">
        <v>156</v>
      </c>
      <c r="G9" s="287">
        <f t="shared" si="0"/>
        <v>0</v>
      </c>
      <c r="H9" t="s">
        <v>158</v>
      </c>
      <c r="I9" s="358">
        <f>COUNTIFS('Members Data'!$C$2:$C$61,Rec!C9,'Members Data'!$D$2:$D$61,Rec!E9)</f>
        <v>2</v>
      </c>
      <c r="J9" s="359">
        <f>Sign!B26</f>
        <v>16</v>
      </c>
    </row>
    <row r="10" spans="2:10">
      <c r="B10" t="s">
        <v>154</v>
      </c>
      <c r="C10" s="362" t="s">
        <v>19</v>
      </c>
      <c r="D10" s="369" t="s">
        <v>156</v>
      </c>
      <c r="E10" s="287" t="s">
        <v>77</v>
      </c>
      <c r="F10" s="369" t="s">
        <v>156</v>
      </c>
      <c r="G10" s="287">
        <f t="shared" si="0"/>
        <v>0</v>
      </c>
      <c r="H10" t="s">
        <v>158</v>
      </c>
      <c r="I10" s="358">
        <f>COUNTIFS('Members Data'!$C$2:$C$61,Rec!C10,'Members Data'!$D$2:$D$61,Rec!E10)</f>
        <v>3</v>
      </c>
      <c r="J10" s="359">
        <f>Sign!B31</f>
        <v>9</v>
      </c>
    </row>
    <row r="11" spans="2:10">
      <c r="B11" t="s">
        <v>154</v>
      </c>
      <c r="C11" s="362" t="s">
        <v>20</v>
      </c>
      <c r="D11" s="369" t="s">
        <v>156</v>
      </c>
      <c r="E11" s="287" t="s">
        <v>76</v>
      </c>
      <c r="F11" s="369" t="s">
        <v>156</v>
      </c>
      <c r="G11" s="287">
        <f t="shared" si="0"/>
        <v>1</v>
      </c>
      <c r="H11" t="s">
        <v>158</v>
      </c>
      <c r="I11" s="358">
        <f>COUNTIFS('Members Data'!$C$2:$C$61,Rec!C11,'Members Data'!$D$2:$D$61,Rec!E11)</f>
        <v>2</v>
      </c>
      <c r="J11" s="359">
        <f>Sign!B35</f>
        <v>13</v>
      </c>
    </row>
    <row r="12" spans="2:10">
      <c r="B12" t="s">
        <v>154</v>
      </c>
      <c r="C12" s="362" t="s">
        <v>21</v>
      </c>
      <c r="D12" s="369" t="s">
        <v>156</v>
      </c>
      <c r="E12" s="287" t="s">
        <v>77</v>
      </c>
      <c r="F12" s="369" t="s">
        <v>156</v>
      </c>
      <c r="G12" s="287">
        <f t="shared" si="0"/>
        <v>1</v>
      </c>
      <c r="H12" t="s">
        <v>158</v>
      </c>
      <c r="I12" s="358">
        <f>COUNTIFS('Members Data'!$C$2:$C$61,Rec!C12,'Members Data'!$D$2:$D$61,Rec!E12)</f>
        <v>1</v>
      </c>
      <c r="J12" s="359">
        <f>Sign!B39</f>
        <v>8</v>
      </c>
    </row>
    <row r="13" spans="2:10">
      <c r="B13" t="s">
        <v>154</v>
      </c>
      <c r="C13" s="362" t="s">
        <v>22</v>
      </c>
      <c r="D13" s="369" t="s">
        <v>156</v>
      </c>
      <c r="E13" s="287" t="s">
        <v>76</v>
      </c>
      <c r="F13" s="369" t="s">
        <v>156</v>
      </c>
      <c r="G13" s="287">
        <f t="shared" si="0"/>
        <v>0</v>
      </c>
      <c r="H13" t="s">
        <v>158</v>
      </c>
      <c r="I13" s="358">
        <f>COUNTIFS('Members Data'!$C$2:$C$61,Rec!C13,'Members Data'!$D$2:$D$61,Rec!E13)</f>
        <v>3</v>
      </c>
      <c r="J13" s="359">
        <f>Sign!B42</f>
        <v>21</v>
      </c>
    </row>
    <row r="14" spans="2:10">
      <c r="B14" t="s">
        <v>154</v>
      </c>
      <c r="C14" s="362" t="s">
        <v>22</v>
      </c>
      <c r="D14" s="369" t="s">
        <v>156</v>
      </c>
      <c r="E14" s="287" t="s">
        <v>77</v>
      </c>
      <c r="F14" s="369" t="s">
        <v>156</v>
      </c>
      <c r="G14" s="287">
        <f t="shared" si="0"/>
        <v>2</v>
      </c>
      <c r="H14" t="s">
        <v>158</v>
      </c>
      <c r="I14" s="358">
        <f>COUNTIFS('Members Data'!$C$2:$C$61,Rec!C14,'Members Data'!$D$2:$D$61,Rec!E14)</f>
        <v>1</v>
      </c>
      <c r="J14" s="359">
        <f>Sign!B43</f>
        <v>4</v>
      </c>
    </row>
    <row r="15" spans="2:10">
      <c r="B15" t="s">
        <v>154</v>
      </c>
      <c r="C15" s="362" t="s">
        <v>30</v>
      </c>
      <c r="D15" s="369" t="s">
        <v>156</v>
      </c>
      <c r="E15" s="287" t="s">
        <v>76</v>
      </c>
      <c r="F15" s="369" t="s">
        <v>156</v>
      </c>
      <c r="G15" s="287">
        <f t="shared" si="0"/>
        <v>1</v>
      </c>
      <c r="H15" t="s">
        <v>158</v>
      </c>
      <c r="I15" s="358">
        <f>COUNTIFS('Members Data'!$C$2:$C$61,Rec!C15,'Members Data'!$D$2:$D$61,Rec!E15)</f>
        <v>2</v>
      </c>
      <c r="J15" s="359">
        <f>Sign!B47</f>
        <v>14</v>
      </c>
    </row>
    <row r="16" spans="2:10">
      <c r="B16" t="s">
        <v>154</v>
      </c>
      <c r="C16" s="362" t="s">
        <v>24</v>
      </c>
      <c r="D16" s="369" t="s">
        <v>156</v>
      </c>
      <c r="E16" s="287" t="s">
        <v>77</v>
      </c>
      <c r="F16" s="369" t="s">
        <v>156</v>
      </c>
      <c r="G16" s="287">
        <f t="shared" si="0"/>
        <v>1</v>
      </c>
      <c r="H16" t="s">
        <v>158</v>
      </c>
      <c r="I16" s="358">
        <f>COUNTIFS('Members Data'!$C$2:$C$61,Rec!C16,'Members Data'!$D$2:$D$61,Rec!E16)</f>
        <v>2</v>
      </c>
      <c r="J16" s="359">
        <f>Sign!B51</f>
        <v>11</v>
      </c>
    </row>
    <row r="17" spans="2:10">
      <c r="B17" t="s">
        <v>154</v>
      </c>
      <c r="C17" s="362" t="str">
        <f>RA!$AB$42</f>
        <v>------------</v>
      </c>
      <c r="D17" s="369" t="s">
        <v>156</v>
      </c>
      <c r="E17" s="362" t="str">
        <f>RA!$AB$42</f>
        <v>------------</v>
      </c>
      <c r="F17" s="369" t="s">
        <v>156</v>
      </c>
      <c r="G17" s="362" t="str">
        <f>RA!$AB$42</f>
        <v>------------</v>
      </c>
      <c r="H17" t="s">
        <v>158</v>
      </c>
      <c r="I17" s="358"/>
      <c r="J17" s="359"/>
    </row>
    <row r="18" spans="2:10">
      <c r="B18" t="s">
        <v>188</v>
      </c>
      <c r="C18" s="365" t="s">
        <v>184</v>
      </c>
      <c r="D18" s="367" t="s">
        <v>155</v>
      </c>
      <c r="E18" s="362">
        <f>I18</f>
        <v>9</v>
      </c>
      <c r="F18" s="367" t="s">
        <v>155</v>
      </c>
      <c r="G18" s="362" t="str">
        <f>RA!$AB$42</f>
        <v>------------</v>
      </c>
      <c r="H18" t="s">
        <v>157</v>
      </c>
      <c r="I18" s="358">
        <f>SUM(I19:I23)</f>
        <v>9</v>
      </c>
      <c r="J18" s="359">
        <f>SUM(J19:J23)</f>
        <v>53</v>
      </c>
    </row>
    <row r="19" spans="2:10">
      <c r="B19" t="s">
        <v>154</v>
      </c>
      <c r="C19" s="362" t="s">
        <v>16</v>
      </c>
      <c r="D19" s="369" t="s">
        <v>156</v>
      </c>
      <c r="E19" s="287" t="str">
        <f>$C$18</f>
        <v>HEALER</v>
      </c>
      <c r="F19" s="369" t="s">
        <v>156</v>
      </c>
      <c r="G19" s="287">
        <f t="shared" ref="G19:G23" si="1">(IF(J19&lt;16,1,0)*IF(I19&gt;2,0,1))+(IF(I19&lt;2,1,0)*IF(J19&lt;8,1,0))</f>
        <v>1</v>
      </c>
      <c r="H19" t="s">
        <v>158</v>
      </c>
      <c r="I19" s="358">
        <f>COUNTIFS('Members Data'!$C$2:$C$61,Rec!C19,'Members Data'!$D$2:$D$61,Rec!E19)</f>
        <v>2</v>
      </c>
      <c r="J19" s="359">
        <f>Sign!B16</f>
        <v>10</v>
      </c>
    </row>
    <row r="20" spans="2:10">
      <c r="B20" t="s">
        <v>154</v>
      </c>
      <c r="C20" s="362" t="s">
        <v>182</v>
      </c>
      <c r="D20" s="369" t="s">
        <v>156</v>
      </c>
      <c r="E20" s="287" t="str">
        <f t="shared" ref="E20:E23" si="2">$C$18</f>
        <v>HEALER</v>
      </c>
      <c r="F20" s="369" t="s">
        <v>156</v>
      </c>
      <c r="G20" s="287">
        <f t="shared" si="1"/>
        <v>1</v>
      </c>
      <c r="H20" t="s">
        <v>158</v>
      </c>
      <c r="I20" s="358">
        <f>COUNTIFS('Members Data'!$C$2:$C$61,Rec!C20,'Members Data'!$D$2:$D$61,Rec!E20)</f>
        <v>2</v>
      </c>
      <c r="J20" s="359">
        <f>Sign!B27</f>
        <v>15</v>
      </c>
    </row>
    <row r="21" spans="2:10">
      <c r="B21" t="s">
        <v>154</v>
      </c>
      <c r="C21" s="362" t="s">
        <v>19</v>
      </c>
      <c r="D21" s="369" t="s">
        <v>156</v>
      </c>
      <c r="E21" s="287" t="str">
        <f t="shared" si="2"/>
        <v>HEALER</v>
      </c>
      <c r="F21" s="369" t="s">
        <v>156</v>
      </c>
      <c r="G21" s="287">
        <f t="shared" si="1"/>
        <v>1</v>
      </c>
      <c r="H21" t="s">
        <v>158</v>
      </c>
      <c r="I21" s="358">
        <f>COUNTIFS('Members Data'!$C$2:$C$61,Rec!C21,'Members Data'!$D$2:$D$61,Rec!E21)</f>
        <v>1</v>
      </c>
      <c r="J21" s="359">
        <f>Sign!B32</f>
        <v>8</v>
      </c>
    </row>
    <row r="22" spans="2:10">
      <c r="B22" t="s">
        <v>154</v>
      </c>
      <c r="C22" s="362" t="s">
        <v>20</v>
      </c>
      <c r="D22" s="369" t="s">
        <v>156</v>
      </c>
      <c r="E22" s="287" t="str">
        <f t="shared" si="2"/>
        <v>HEALER</v>
      </c>
      <c r="F22" s="369" t="s">
        <v>156</v>
      </c>
      <c r="G22" s="287">
        <f t="shared" si="1"/>
        <v>0</v>
      </c>
      <c r="H22" t="s">
        <v>158</v>
      </c>
      <c r="I22" s="358">
        <f>COUNTIFS('Members Data'!$C$2:$C$61,Rec!C22,'Members Data'!$D$2:$D$61,Rec!E22)</f>
        <v>3</v>
      </c>
      <c r="J22" s="359">
        <f>Sign!B36</f>
        <v>15</v>
      </c>
    </row>
    <row r="23" spans="2:10">
      <c r="B23" t="s">
        <v>154</v>
      </c>
      <c r="C23" s="362" t="s">
        <v>22</v>
      </c>
      <c r="D23" s="369" t="s">
        <v>156</v>
      </c>
      <c r="E23" s="287" t="str">
        <f t="shared" si="2"/>
        <v>HEALER</v>
      </c>
      <c r="F23" s="369" t="s">
        <v>156</v>
      </c>
      <c r="G23" s="287">
        <f t="shared" si="1"/>
        <v>2</v>
      </c>
      <c r="H23" t="s">
        <v>158</v>
      </c>
      <c r="I23" s="358">
        <f>COUNTIFS('Members Data'!$C$2:$C$61,Rec!C23,'Members Data'!$D$2:$D$61,Rec!E23)</f>
        <v>1</v>
      </c>
      <c r="J23" s="359">
        <f>Sign!B44</f>
        <v>5</v>
      </c>
    </row>
    <row r="24" spans="2:10">
      <c r="B24" t="s">
        <v>154</v>
      </c>
      <c r="C24" s="362" t="str">
        <f>RA!$AB$42</f>
        <v>------------</v>
      </c>
      <c r="D24" s="369" t="s">
        <v>156</v>
      </c>
      <c r="E24" s="362" t="str">
        <f>RA!$AB$42</f>
        <v>------------</v>
      </c>
      <c r="F24" s="369" t="s">
        <v>156</v>
      </c>
      <c r="G24" s="362" t="str">
        <f>RA!$AB$42</f>
        <v>------------</v>
      </c>
      <c r="H24" t="s">
        <v>158</v>
      </c>
      <c r="I24" s="358"/>
      <c r="J24" s="359"/>
    </row>
    <row r="25" spans="2:10">
      <c r="B25" t="s">
        <v>188</v>
      </c>
      <c r="C25" s="365" t="s">
        <v>185</v>
      </c>
      <c r="D25" s="367" t="s">
        <v>155</v>
      </c>
      <c r="E25" s="362">
        <f>I25</f>
        <v>2</v>
      </c>
      <c r="F25" s="367" t="s">
        <v>155</v>
      </c>
      <c r="G25" s="362" t="str">
        <f>RA!$AB$42</f>
        <v>------------</v>
      </c>
      <c r="H25" t="s">
        <v>157</v>
      </c>
      <c r="I25" s="358">
        <f>SUM(I26:I30)</f>
        <v>2</v>
      </c>
      <c r="J25" s="359">
        <f>SUM(J26:J30)</f>
        <v>15</v>
      </c>
    </row>
    <row r="26" spans="2:10">
      <c r="B26" t="s">
        <v>154</v>
      </c>
      <c r="C26" s="362" t="s">
        <v>15</v>
      </c>
      <c r="D26" s="369" t="s">
        <v>156</v>
      </c>
      <c r="E26" s="287" t="str">
        <f>$C$25</f>
        <v>TANK</v>
      </c>
      <c r="F26" s="369" t="s">
        <v>156</v>
      </c>
      <c r="G26" s="287">
        <f>((IF(J26&lt;16,1,0)*IF(I26&gt;2,0,1)))*IF($I$25&lt;6,1,0)</f>
        <v>1</v>
      </c>
      <c r="H26" t="s">
        <v>158</v>
      </c>
      <c r="I26" s="358">
        <f>COUNTIFS('Members Data'!$C$2:$C$61,Rec!C26,'Members Data'!$D$2:$D$61,Rec!E26)</f>
        <v>0</v>
      </c>
      <c r="J26" s="359">
        <f>Sign!B9</f>
        <v>0</v>
      </c>
    </row>
    <row r="27" spans="2:10">
      <c r="B27" t="s">
        <v>154</v>
      </c>
      <c r="C27" s="362" t="s">
        <v>16</v>
      </c>
      <c r="D27" s="320" t="s">
        <v>156</v>
      </c>
      <c r="E27" s="287" t="str">
        <f>$C$25</f>
        <v>TANK</v>
      </c>
      <c r="F27" s="320" t="s">
        <v>156</v>
      </c>
      <c r="G27" s="287">
        <f>((IF(J27&lt;16,1,0)*IF(I27&gt;2,0,1)))*IF($I$25&lt;6,1,0)</f>
        <v>1</v>
      </c>
      <c r="H27" t="s">
        <v>158</v>
      </c>
      <c r="I27" s="358">
        <f>COUNTIFS('Members Data'!$C$2:$C$61,Rec!C27,'Members Data'!$D$2:$D$61,Rec!E27)</f>
        <v>0</v>
      </c>
      <c r="J27" s="359">
        <f>Sign!B13</f>
        <v>0</v>
      </c>
    </row>
    <row r="28" spans="2:10">
      <c r="B28" t="s">
        <v>154</v>
      </c>
      <c r="C28" s="362" t="s">
        <v>182</v>
      </c>
      <c r="D28" s="320" t="s">
        <v>156</v>
      </c>
      <c r="E28" s="287" t="str">
        <f>$C$25</f>
        <v>TANK</v>
      </c>
      <c r="F28" s="320" t="s">
        <v>156</v>
      </c>
      <c r="G28" s="287">
        <f>((IF(J28&lt;16,1,0)*IF(I28&gt;2,0,1)))*IF($I$25&lt;6,1,0)</f>
        <v>1</v>
      </c>
      <c r="H28" t="s">
        <v>158</v>
      </c>
      <c r="I28" s="358">
        <f>COUNTIFS('Members Data'!$C$2:$C$61,Rec!C28,'Members Data'!$D$2:$D$61,Rec!E28)</f>
        <v>1</v>
      </c>
      <c r="J28" s="359">
        <f>Sign!B25</f>
        <v>8</v>
      </c>
    </row>
    <row r="29" spans="2:10">
      <c r="B29" t="s">
        <v>154</v>
      </c>
      <c r="C29" s="362" t="s">
        <v>19</v>
      </c>
      <c r="D29" s="320" t="s">
        <v>156</v>
      </c>
      <c r="E29" s="287" t="str">
        <f>$C$25</f>
        <v>TANK</v>
      </c>
      <c r="F29" s="320" t="s">
        <v>156</v>
      </c>
      <c r="G29" s="287">
        <f>((IF(J29&lt;16,1,0)*IF(I29&gt;2,0,1)))*IF($I$25&lt;6,1,0)</f>
        <v>1</v>
      </c>
      <c r="H29" t="s">
        <v>158</v>
      </c>
      <c r="I29" s="358">
        <f>COUNTIFS('Members Data'!$C$2:$C$61,Rec!C29,'Members Data'!$D$2:$D$61,Rec!E29)</f>
        <v>1</v>
      </c>
      <c r="J29" s="359">
        <f>Sign!B30</f>
        <v>7</v>
      </c>
    </row>
    <row r="30" spans="2:10" ht="13.5" thickBot="1">
      <c r="B30" t="s">
        <v>154</v>
      </c>
      <c r="C30" s="363" t="s">
        <v>24</v>
      </c>
      <c r="D30" s="320" t="s">
        <v>156</v>
      </c>
      <c r="E30" s="364" t="str">
        <f>$C$25</f>
        <v>TANK</v>
      </c>
      <c r="F30" s="320" t="s">
        <v>156</v>
      </c>
      <c r="G30" s="364">
        <f>((IF(J30&lt;16,1,0)*IF(I30&gt;2,0,1)))*IF($I$25&lt;6,1,0)</f>
        <v>1</v>
      </c>
      <c r="H30" t="s">
        <v>158</v>
      </c>
      <c r="I30" s="360">
        <f>COUNTIFS('Members Data'!$C$2:$C$61,Rec!C30,'Members Data'!$D$2:$D$61,Rec!E30)</f>
        <v>0</v>
      </c>
      <c r="J30" s="361">
        <f>Sign!B50</f>
        <v>0</v>
      </c>
    </row>
    <row r="31" spans="2:10" ht="15">
      <c r="B31" s="260" t="s">
        <v>160</v>
      </c>
    </row>
    <row r="33" spans="5:7">
      <c r="E33" s="231" t="s">
        <v>6</v>
      </c>
      <c r="F33" s="366"/>
      <c r="G33" s="231">
        <f>SUM(G4:G30)</f>
        <v>21</v>
      </c>
    </row>
    <row r="34" spans="5:7">
      <c r="E34" s="231" t="s">
        <v>189</v>
      </c>
      <c r="G34" s="231">
        <f>G33+E25+E18+E3</f>
        <v>57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sheetPr filterMode="1"/>
  <dimension ref="A1:AB163"/>
  <sheetViews>
    <sheetView workbookViewId="0">
      <pane xSplit="1" ySplit="1" topLeftCell="J2" activePane="bottomRight" state="frozen"/>
      <selection activeCell="F51" sqref="F47:F51"/>
      <selection pane="topRight" activeCell="F51" sqref="F47:F51"/>
      <selection pane="bottomLeft" activeCell="F51" sqref="F47:F51"/>
      <selection pane="bottomRight" activeCell="O19" sqref="O19"/>
    </sheetView>
  </sheetViews>
  <sheetFormatPr defaultColWidth="8.7109375" defaultRowHeight="15" customHeight="1"/>
  <cols>
    <col min="1" max="1" width="14.140625" style="1" customWidth="1"/>
    <col min="2" max="2" width="14.140625" style="1" hidden="1" customWidth="1"/>
    <col min="3" max="3" width="22.140625" style="156" customWidth="1"/>
    <col min="4" max="10" width="14.140625" style="1" customWidth="1"/>
    <col min="11" max="11" width="14.28515625" style="1" customWidth="1"/>
    <col min="12" max="12" width="10" style="1" customWidth="1"/>
    <col min="13" max="16" width="8.7109375" style="1" customWidth="1"/>
    <col min="17" max="17" width="13.7109375" style="1" customWidth="1"/>
    <col min="18" max="18" width="10.28515625" style="1" customWidth="1"/>
    <col min="19" max="21" width="8.7109375" style="1" hidden="1" customWidth="1"/>
    <col min="22" max="22" width="8.7109375" style="1" customWidth="1"/>
    <col min="23" max="23" width="14" style="1" bestFit="1" customWidth="1"/>
    <col min="24" max="24" width="8.7109375" style="1"/>
    <col min="25" max="26" width="8.7109375" style="1" customWidth="1"/>
    <col min="27" max="16384" width="8.7109375" style="1"/>
  </cols>
  <sheetData>
    <row r="1" spans="1:28" ht="31.5" customHeight="1" thickBot="1">
      <c r="A1" s="44" t="s">
        <v>26</v>
      </c>
      <c r="B1" s="79" t="s">
        <v>48</v>
      </c>
      <c r="C1" s="459" t="s">
        <v>124</v>
      </c>
      <c r="D1" s="467" t="s">
        <v>54</v>
      </c>
      <c r="E1" s="466" t="s">
        <v>55</v>
      </c>
      <c r="F1" s="466" t="s">
        <v>56</v>
      </c>
      <c r="G1" s="80" t="s">
        <v>57</v>
      </c>
      <c r="H1" s="466" t="s">
        <v>58</v>
      </c>
      <c r="I1" s="470" t="s">
        <v>59</v>
      </c>
      <c r="J1" s="35" t="s">
        <v>6</v>
      </c>
      <c r="K1" s="35" t="s">
        <v>114</v>
      </c>
      <c r="L1" s="35" t="s">
        <v>115</v>
      </c>
      <c r="M1" s="35" t="s">
        <v>116</v>
      </c>
      <c r="N1" s="35" t="s">
        <v>122</v>
      </c>
      <c r="O1" s="35" t="s">
        <v>123</v>
      </c>
      <c r="P1" s="35" t="s">
        <v>117</v>
      </c>
      <c r="Q1" s="35" t="s">
        <v>118</v>
      </c>
      <c r="R1" s="35" t="s">
        <v>125</v>
      </c>
    </row>
    <row r="2" spans="1:28" ht="15" customHeight="1" thickTop="1">
      <c r="A2" s="48" t="str">
        <f>'Members Data'!A2</f>
        <v>Adanya</v>
      </c>
      <c r="B2" s="221">
        <v>40774</v>
      </c>
      <c r="C2" s="460" t="s">
        <v>108</v>
      </c>
      <c r="D2" s="454" t="s">
        <v>60</v>
      </c>
      <c r="E2" s="457">
        <v>0</v>
      </c>
      <c r="F2" s="456">
        <v>0</v>
      </c>
      <c r="G2" s="454" t="s">
        <v>60</v>
      </c>
      <c r="H2" s="456">
        <v>0</v>
      </c>
      <c r="I2" s="455">
        <v>0</v>
      </c>
      <c r="J2" s="9">
        <f t="shared" ref="J2:J52" si="0">(IF(D2="no",TRUE)*0.1)+(E2*0.4)+(F2*0.1)+(IF(G2="no",TRUE)*0.2)+(H2*0.4)+(I2*0.1)</f>
        <v>0</v>
      </c>
      <c r="K2" s="9">
        <f>VLOOKUP(Gear!A2,'Look-up'!A:B,2,FALSE)</f>
        <v>8057</v>
      </c>
      <c r="L2" s="8">
        <f>IF(K2&lt;'Short &amp; Simple'!$E$49,0,VLOOKUP(K2,'Short &amp; Simple'!$E$49:$F$58,2))</f>
        <v>3</v>
      </c>
      <c r="M2" s="489">
        <v>107889.9</v>
      </c>
      <c r="N2" s="489">
        <v>101392.4</v>
      </c>
      <c r="O2" s="489"/>
      <c r="P2" s="157">
        <f>IF(SUM($M2:$O2)=0,0,SUM($M2:$O2)/COUNTIF($M2:$O2, "&gt;0"))</f>
        <v>104641.15</v>
      </c>
      <c r="Q2" s="164">
        <f>Gear!P2/VLOOKUP(C2,'Short &amp; Simple'!$H$32:$I$67,2,FALSE)</f>
        <v>0.62369744092552248</v>
      </c>
      <c r="R2" s="8" t="str">
        <f t="shared" ref="R2:R33" si="1">IF(Q2&gt;=$X$4,"Gladiator",IF(Q2&gt;=$X$3,"Venturer","Traveler"))</f>
        <v>Venturer</v>
      </c>
      <c r="T2" s="341" t="s">
        <v>83</v>
      </c>
      <c r="V2" s="271">
        <f>COUNTIF(R2:R61,"Traveler")</f>
        <v>5</v>
      </c>
      <c r="W2" s="272" t="s">
        <v>33</v>
      </c>
      <c r="X2" s="273">
        <f>'Short &amp; Simple'!F67/100</f>
        <v>0</v>
      </c>
    </row>
    <row r="3" spans="1:28" ht="15" customHeight="1">
      <c r="A3" s="48" t="str">
        <f>'Members Data'!A3</f>
        <v>Ambú</v>
      </c>
      <c r="B3" s="221">
        <v>40774</v>
      </c>
      <c r="C3" s="461" t="s">
        <v>97</v>
      </c>
      <c r="D3" s="454" t="s">
        <v>60</v>
      </c>
      <c r="E3" s="457">
        <v>0</v>
      </c>
      <c r="F3" s="456">
        <v>0</v>
      </c>
      <c r="G3" s="454" t="s">
        <v>60</v>
      </c>
      <c r="H3" s="456">
        <v>0</v>
      </c>
      <c r="I3" s="455">
        <v>0</v>
      </c>
      <c r="J3" s="9">
        <f t="shared" si="0"/>
        <v>0</v>
      </c>
      <c r="K3" s="9">
        <f>VLOOKUP(Gear!A3,'Look-up'!A:B,2,FALSE)</f>
        <v>7793</v>
      </c>
      <c r="L3" s="8">
        <f>IF(K3&lt;'Short &amp; Simple'!$E$49,0,VLOOKUP(K3,'Short &amp; Simple'!$E$49:$F$58,2))</f>
        <v>2</v>
      </c>
      <c r="M3" s="489">
        <v>222050.8</v>
      </c>
      <c r="N3" s="489">
        <v>176929.6</v>
      </c>
      <c r="O3" s="489"/>
      <c r="P3" s="157">
        <f t="shared" ref="P3:P66" si="2">IF(SUM($M3:$O3)=0,0,SUM($M3:$O3)/COUNTIF($M3:$O3, "&gt;0"))</f>
        <v>199490.2</v>
      </c>
      <c r="Q3" s="160">
        <f>Gear!P3/VLOOKUP(C3,'Short &amp; Simple'!$H$32:$I$67,2,FALSE)</f>
        <v>0.79019007084332682</v>
      </c>
      <c r="R3" s="8" t="str">
        <f t="shared" si="1"/>
        <v>Venturer</v>
      </c>
      <c r="T3" s="341" t="s">
        <v>84</v>
      </c>
      <c r="V3" s="274">
        <f>COUNTIF(R2:R61,"Venturer")</f>
        <v>22</v>
      </c>
      <c r="W3" s="275" t="s">
        <v>31</v>
      </c>
      <c r="X3" s="276">
        <f>'Short &amp; Simple'!F68/100</f>
        <v>0.5</v>
      </c>
    </row>
    <row r="4" spans="1:28" ht="15" customHeight="1">
      <c r="A4" s="48" t="str">
        <f>'Members Data'!A4</f>
        <v>Ashenhand</v>
      </c>
      <c r="B4" s="221">
        <v>40774</v>
      </c>
      <c r="C4" s="461" t="s">
        <v>170</v>
      </c>
      <c r="D4" s="454" t="s">
        <v>60</v>
      </c>
      <c r="E4" s="457">
        <v>0</v>
      </c>
      <c r="F4" s="456">
        <v>0</v>
      </c>
      <c r="G4" s="454" t="s">
        <v>60</v>
      </c>
      <c r="H4" s="456">
        <v>0</v>
      </c>
      <c r="I4" s="455">
        <v>0</v>
      </c>
      <c r="J4" s="9">
        <f t="shared" si="0"/>
        <v>0</v>
      </c>
      <c r="K4" s="9">
        <f>VLOOKUP(Gear!A4,'Look-up'!A:B,2,FALSE)</f>
        <v>8070</v>
      </c>
      <c r="L4" s="8">
        <f>IF(K4&lt;'Short &amp; Simple'!$E$49,0,VLOOKUP(K4,'Short &amp; Simple'!$E$49:$F$58,2))</f>
        <v>3</v>
      </c>
      <c r="M4" s="489">
        <v>500000</v>
      </c>
      <c r="N4" s="489">
        <v>500000</v>
      </c>
      <c r="O4" s="489">
        <v>500000</v>
      </c>
      <c r="P4" s="157">
        <f t="shared" si="2"/>
        <v>500000</v>
      </c>
      <c r="Q4" s="160">
        <f>Gear!P4/VLOOKUP(C4,'Short &amp; Simple'!$H$32:$I$67,2,FALSE)</f>
        <v>2.5</v>
      </c>
      <c r="R4" s="8" t="str">
        <f t="shared" si="1"/>
        <v>Gladiator</v>
      </c>
      <c r="T4" s="341" t="s">
        <v>85</v>
      </c>
      <c r="V4" s="274">
        <f>COUNTIF(R2:R61,"Gladiator")</f>
        <v>9</v>
      </c>
      <c r="W4" s="275" t="s">
        <v>120</v>
      </c>
      <c r="X4" s="276">
        <f>'Short &amp; Simple'!F69/100</f>
        <v>0.8</v>
      </c>
      <c r="AB4" s="173"/>
    </row>
    <row r="5" spans="1:28" ht="15" customHeight="1">
      <c r="A5" s="48" t="str">
        <f>'Members Data'!A5</f>
        <v>Âspect</v>
      </c>
      <c r="B5" s="221">
        <v>40774</v>
      </c>
      <c r="C5" s="461" t="s">
        <v>88</v>
      </c>
      <c r="D5" s="454" t="s">
        <v>60</v>
      </c>
      <c r="E5" s="457">
        <v>0</v>
      </c>
      <c r="F5" s="456">
        <v>0</v>
      </c>
      <c r="G5" s="454" t="s">
        <v>60</v>
      </c>
      <c r="H5" s="456">
        <v>0</v>
      </c>
      <c r="I5" s="455">
        <v>0</v>
      </c>
      <c r="J5" s="9">
        <f t="shared" si="0"/>
        <v>0</v>
      </c>
      <c r="K5" s="9">
        <f>VLOOKUP(Gear!A5,'Look-up'!A:B,2,FALSE)</f>
        <v>7753</v>
      </c>
      <c r="L5" s="8">
        <f>IF(K5&lt;'Short &amp; Simple'!$E$49,0,VLOOKUP(K5,'Short &amp; Simple'!$E$49:$F$58,2))</f>
        <v>1</v>
      </c>
      <c r="M5" s="489">
        <v>234674</v>
      </c>
      <c r="N5" s="489"/>
      <c r="O5" s="489"/>
      <c r="P5" s="157">
        <f t="shared" si="2"/>
        <v>234674</v>
      </c>
      <c r="Q5" s="160">
        <f>Gear!P5/VLOOKUP(C5,'Short &amp; Simple'!$H$32:$I$67,2,FALSE)</f>
        <v>0.79055939874446468</v>
      </c>
      <c r="R5" s="8" t="str">
        <f t="shared" si="1"/>
        <v>Venturer</v>
      </c>
      <c r="T5" s="341" t="s">
        <v>86</v>
      </c>
      <c r="V5" s="274"/>
      <c r="W5" s="275"/>
      <c r="X5" s="277"/>
      <c r="AB5" s="173"/>
    </row>
    <row r="6" spans="1:28" ht="15" customHeight="1" thickBot="1">
      <c r="A6" s="48" t="str">
        <f>'Members Data'!A6</f>
        <v>Assap</v>
      </c>
      <c r="B6" s="221">
        <v>40774</v>
      </c>
      <c r="C6" s="461" t="s">
        <v>85</v>
      </c>
      <c r="D6" s="454" t="s">
        <v>60</v>
      </c>
      <c r="E6" s="457">
        <v>0</v>
      </c>
      <c r="F6" s="456">
        <v>0</v>
      </c>
      <c r="G6" s="454" t="s">
        <v>60</v>
      </c>
      <c r="H6" s="456">
        <v>1</v>
      </c>
      <c r="I6" s="455">
        <v>0</v>
      </c>
      <c r="J6" s="9">
        <f t="shared" si="0"/>
        <v>0.4</v>
      </c>
      <c r="K6" s="9">
        <f>VLOOKUP(Gear!A6,'Look-up'!A:B,2,FALSE)</f>
        <v>7765</v>
      </c>
      <c r="L6" s="8">
        <f>IF(K6&lt;'Short &amp; Simple'!$E$49,0,VLOOKUP(K6,'Short &amp; Simple'!$E$49:$F$58,2))</f>
        <v>1</v>
      </c>
      <c r="M6" s="489">
        <v>130691.7</v>
      </c>
      <c r="N6" s="489"/>
      <c r="O6" s="489"/>
      <c r="P6" s="157">
        <f t="shared" si="2"/>
        <v>130691.7</v>
      </c>
      <c r="Q6" s="160">
        <f>Gear!P6/VLOOKUP(C6,'Short &amp; Simple'!$H$32:$I$67,2,FALSE)</f>
        <v>0.48390264312042608</v>
      </c>
      <c r="R6" s="8" t="str">
        <f t="shared" si="1"/>
        <v>Traveler</v>
      </c>
      <c r="T6" s="341" t="s">
        <v>88</v>
      </c>
      <c r="V6" s="278">
        <f>(100/X6)*W6</f>
        <v>8.3333333333333321</v>
      </c>
      <c r="W6" s="279">
        <f>COUNTIF(J2:J61,"&gt;0")</f>
        <v>3</v>
      </c>
      <c r="X6" s="280">
        <f>60 -COUNTIF(A2:A61, "=0")</f>
        <v>36</v>
      </c>
      <c r="AB6" s="173"/>
    </row>
    <row r="7" spans="1:28" ht="15" customHeight="1" thickTop="1">
      <c r="A7" s="48" t="str">
        <f>'Members Data'!A7</f>
        <v>Bonegasmic</v>
      </c>
      <c r="B7" s="221">
        <v>40774</v>
      </c>
      <c r="C7" s="461" t="s">
        <v>101</v>
      </c>
      <c r="D7" s="454" t="s">
        <v>60</v>
      </c>
      <c r="E7" s="457">
        <v>0</v>
      </c>
      <c r="F7" s="456">
        <v>0</v>
      </c>
      <c r="G7" s="454" t="s">
        <v>60</v>
      </c>
      <c r="H7" s="456">
        <v>0</v>
      </c>
      <c r="I7" s="455">
        <v>0</v>
      </c>
      <c r="J7" s="9">
        <f t="shared" si="0"/>
        <v>0</v>
      </c>
      <c r="K7" s="9">
        <f>VLOOKUP(Gear!A7,'Look-up'!A:B,2,FALSE)</f>
        <v>8106</v>
      </c>
      <c r="L7" s="8">
        <f>IF(K7&lt;'Short &amp; Simple'!$E$49,0,VLOOKUP(K7,'Short &amp; Simple'!$E$49:$F$58,2))</f>
        <v>4</v>
      </c>
      <c r="M7" s="489">
        <v>223571.9</v>
      </c>
      <c r="N7" s="489"/>
      <c r="O7" s="489"/>
      <c r="P7" s="157">
        <f t="shared" si="2"/>
        <v>223571.9</v>
      </c>
      <c r="Q7" s="160">
        <f>Gear!P7/VLOOKUP(C7,'Short &amp; Simple'!$H$32:$I$67,2,FALSE)</f>
        <v>0.75057374407455646</v>
      </c>
      <c r="R7" s="8" t="str">
        <f t="shared" si="1"/>
        <v>Venturer</v>
      </c>
      <c r="T7" s="341" t="s">
        <v>87</v>
      </c>
      <c r="V7" s="231"/>
    </row>
    <row r="8" spans="1:28" ht="15" customHeight="1">
      <c r="A8" s="48" t="str">
        <f>'Members Data'!A8</f>
        <v>Brákspak</v>
      </c>
      <c r="B8" s="221">
        <v>40774</v>
      </c>
      <c r="C8" s="461" t="s">
        <v>98</v>
      </c>
      <c r="D8" s="454" t="s">
        <v>60</v>
      </c>
      <c r="E8" s="457">
        <v>0</v>
      </c>
      <c r="F8" s="456">
        <v>0</v>
      </c>
      <c r="G8" s="454" t="s">
        <v>60</v>
      </c>
      <c r="H8" s="456">
        <v>0</v>
      </c>
      <c r="I8" s="455">
        <v>0</v>
      </c>
      <c r="J8" s="9">
        <f t="shared" si="0"/>
        <v>0</v>
      </c>
      <c r="K8" s="9">
        <f>VLOOKUP(Gear!A8,'Look-up'!A:B,2,FALSE)</f>
        <v>7644</v>
      </c>
      <c r="L8" s="8">
        <f>IF(K8&lt;'Short &amp; Simple'!$E$49,0,VLOOKUP(K8,'Short &amp; Simple'!$E$49:$F$58,2))</f>
        <v>0</v>
      </c>
      <c r="M8" s="489">
        <v>114078.2</v>
      </c>
      <c r="N8" s="489">
        <v>87085.6</v>
      </c>
      <c r="O8" s="489"/>
      <c r="P8" s="157">
        <f t="shared" si="2"/>
        <v>100581.9</v>
      </c>
      <c r="Q8" s="160">
        <f>Gear!P8/VLOOKUP(C8,'Short &amp; Simple'!$H$32:$I$67,2,FALSE)</f>
        <v>0.39727191757691616</v>
      </c>
      <c r="R8" s="8" t="str">
        <f t="shared" si="1"/>
        <v>Traveler</v>
      </c>
      <c r="T8" s="341" t="s">
        <v>89</v>
      </c>
      <c r="V8" s="438">
        <f>COUNTIF(L2:L61,"6")</f>
        <v>0</v>
      </c>
      <c r="W8" s="275" t="s">
        <v>204</v>
      </c>
    </row>
    <row r="9" spans="1:28" ht="15" customHeight="1">
      <c r="A9" s="48" t="str">
        <f>'Members Data'!A9</f>
        <v>Catena</v>
      </c>
      <c r="B9" s="221">
        <v>40774</v>
      </c>
      <c r="C9" s="461" t="s">
        <v>107</v>
      </c>
      <c r="D9" s="454" t="s">
        <v>60</v>
      </c>
      <c r="E9" s="457">
        <v>0</v>
      </c>
      <c r="F9" s="456">
        <v>0</v>
      </c>
      <c r="G9" s="454" t="s">
        <v>60</v>
      </c>
      <c r="H9" s="456">
        <v>0</v>
      </c>
      <c r="I9" s="455">
        <v>0</v>
      </c>
      <c r="J9" s="9">
        <f t="shared" si="0"/>
        <v>0</v>
      </c>
      <c r="K9" s="9">
        <f>VLOOKUP(Gear!A9,'Look-up'!A:B,2,FALSE)</f>
        <v>7990</v>
      </c>
      <c r="L9" s="8">
        <f>IF(K9&lt;'Short &amp; Simple'!$E$49,0,VLOOKUP(K9,'Short &amp; Simple'!$E$49:$F$58,2))</f>
        <v>3</v>
      </c>
      <c r="M9" s="489">
        <v>100494.6</v>
      </c>
      <c r="N9" s="489"/>
      <c r="O9" s="489"/>
      <c r="P9" s="157">
        <f t="shared" si="2"/>
        <v>100494.6</v>
      </c>
      <c r="Q9" s="160">
        <f>Gear!P9/VLOOKUP(C9,'Short &amp; Simple'!$H$32:$I$67,2,FALSE)</f>
        <v>0.51255364888953492</v>
      </c>
      <c r="R9" s="8" t="str">
        <f t="shared" si="1"/>
        <v>Venturer</v>
      </c>
      <c r="T9" s="341" t="s">
        <v>91</v>
      </c>
      <c r="V9" s="438">
        <f>COUNTIF(L2:L61,"5")</f>
        <v>0</v>
      </c>
      <c r="W9" s="275" t="s">
        <v>205</v>
      </c>
    </row>
    <row r="10" spans="1:28" ht="15" customHeight="1">
      <c r="A10" s="48" t="str">
        <f>'Members Data'!A10</f>
        <v>Céléstine</v>
      </c>
      <c r="B10" s="221">
        <v>40774</v>
      </c>
      <c r="C10" s="461" t="s">
        <v>111</v>
      </c>
      <c r="D10" s="454" t="s">
        <v>60</v>
      </c>
      <c r="E10" s="457">
        <v>0</v>
      </c>
      <c r="F10" s="456">
        <v>0</v>
      </c>
      <c r="G10" s="454" t="s">
        <v>60</v>
      </c>
      <c r="H10" s="456">
        <v>0</v>
      </c>
      <c r="I10" s="455">
        <v>0</v>
      </c>
      <c r="J10" s="9">
        <f t="shared" si="0"/>
        <v>0</v>
      </c>
      <c r="K10" s="9">
        <f>VLOOKUP(Gear!A10,'Look-up'!A:B,2,FALSE)</f>
        <v>7757</v>
      </c>
      <c r="L10" s="8">
        <f>IF(K10&lt;'Short &amp; Simple'!$E$49,0,VLOOKUP(K10,'Short &amp; Simple'!$E$49:$F$58,2))</f>
        <v>1</v>
      </c>
      <c r="M10" s="489">
        <v>500000</v>
      </c>
      <c r="N10" s="489">
        <v>500000</v>
      </c>
      <c r="O10" s="489">
        <v>500000</v>
      </c>
      <c r="P10" s="157">
        <f t="shared" si="2"/>
        <v>500000</v>
      </c>
      <c r="Q10" s="160">
        <f>Gear!P10/VLOOKUP(C10,'Short &amp; Simple'!$H$32:$I$67,2,FALSE)</f>
        <v>2.5</v>
      </c>
      <c r="R10" s="8" t="str">
        <f t="shared" si="1"/>
        <v>Gladiator</v>
      </c>
      <c r="T10" s="341" t="s">
        <v>90</v>
      </c>
      <c r="V10" s="438">
        <f>COUNTIF(L2:L61,"4")</f>
        <v>2</v>
      </c>
      <c r="W10" s="275" t="s">
        <v>206</v>
      </c>
    </row>
    <row r="11" spans="1:28" ht="15" customHeight="1">
      <c r="A11" s="48" t="str">
        <f>'Members Data'!A11</f>
        <v>Cottman</v>
      </c>
      <c r="B11" s="221">
        <v>40774</v>
      </c>
      <c r="C11" s="461" t="s">
        <v>98</v>
      </c>
      <c r="D11" s="454" t="s">
        <v>60</v>
      </c>
      <c r="E11" s="457">
        <v>0</v>
      </c>
      <c r="F11" s="456">
        <v>0</v>
      </c>
      <c r="G11" s="454" t="s">
        <v>60</v>
      </c>
      <c r="H11" s="456">
        <v>0</v>
      </c>
      <c r="I11" s="455">
        <v>0</v>
      </c>
      <c r="J11" s="9">
        <f t="shared" si="0"/>
        <v>0</v>
      </c>
      <c r="K11" s="9">
        <f>VLOOKUP(Gear!A11,'Look-up'!A:B,2,FALSE)</f>
        <v>7834</v>
      </c>
      <c r="L11" s="8">
        <f>IF(K11&lt;'Short &amp; Simple'!$E$49,0,VLOOKUP(K11,'Short &amp; Simple'!$E$49:$F$58,2))</f>
        <v>2</v>
      </c>
      <c r="M11" s="489">
        <v>171163.4</v>
      </c>
      <c r="N11" s="489">
        <v>154268.9</v>
      </c>
      <c r="O11" s="489"/>
      <c r="P11" s="157">
        <f t="shared" si="2"/>
        <v>162716.15</v>
      </c>
      <c r="Q11" s="160">
        <f>Gear!P11/VLOOKUP(C11,'Short &amp; Simple'!$H$32:$I$67,2,FALSE)</f>
        <v>0.64268578075412297</v>
      </c>
      <c r="R11" s="8" t="str">
        <f t="shared" si="1"/>
        <v>Venturer</v>
      </c>
      <c r="T11" s="341" t="s">
        <v>92</v>
      </c>
      <c r="V11" s="438">
        <f>COUNTIF(L2:L61,"3")</f>
        <v>14</v>
      </c>
      <c r="W11" s="275" t="s">
        <v>207</v>
      </c>
    </row>
    <row r="12" spans="1:28" ht="15" customHeight="1">
      <c r="A12" s="48" t="str">
        <f>'Members Data'!A12</f>
        <v>Craving</v>
      </c>
      <c r="B12" s="221">
        <v>40774</v>
      </c>
      <c r="C12" s="461" t="s">
        <v>173</v>
      </c>
      <c r="D12" s="454" t="s">
        <v>60</v>
      </c>
      <c r="E12" s="457">
        <v>0</v>
      </c>
      <c r="F12" s="456">
        <v>0</v>
      </c>
      <c r="G12" s="454" t="s">
        <v>60</v>
      </c>
      <c r="H12" s="456">
        <v>0</v>
      </c>
      <c r="I12" s="455">
        <v>0</v>
      </c>
      <c r="J12" s="9">
        <f t="shared" si="0"/>
        <v>0</v>
      </c>
      <c r="K12" s="9">
        <f>VLOOKUP(Gear!A12,'Look-up'!A:B,2,FALSE)</f>
        <v>8058</v>
      </c>
      <c r="L12" s="8">
        <f>IF(K12&lt;'Short &amp; Simple'!$E$49,0,VLOOKUP(K12,'Short &amp; Simple'!$E$49:$F$58,2))</f>
        <v>3</v>
      </c>
      <c r="M12" s="489">
        <v>230269.4</v>
      </c>
      <c r="N12" s="489">
        <v>236466.3</v>
      </c>
      <c r="O12" s="489"/>
      <c r="P12" s="157">
        <f t="shared" si="2"/>
        <v>233367.84999999998</v>
      </c>
      <c r="Q12" s="160">
        <f>Gear!P12/VLOOKUP(C12,'Short &amp; Simple'!$H$32:$I$67,2,FALSE)</f>
        <v>0.84855790732936498</v>
      </c>
      <c r="R12" s="8" t="str">
        <f t="shared" si="1"/>
        <v>Gladiator</v>
      </c>
      <c r="T12" s="341" t="s">
        <v>173</v>
      </c>
      <c r="V12" s="438">
        <f>COUNTIF(L2:L61,"2")</f>
        <v>8</v>
      </c>
      <c r="W12" s="275" t="s">
        <v>208</v>
      </c>
    </row>
    <row r="13" spans="1:28" ht="15" customHeight="1">
      <c r="A13" s="48" t="str">
        <f>'Members Data'!A13</f>
        <v>Darshei</v>
      </c>
      <c r="B13" s="221">
        <v>40774</v>
      </c>
      <c r="C13" s="461" t="s">
        <v>172</v>
      </c>
      <c r="D13" s="454" t="s">
        <v>60</v>
      </c>
      <c r="E13" s="457">
        <v>0</v>
      </c>
      <c r="F13" s="456">
        <v>0</v>
      </c>
      <c r="G13" s="454" t="s">
        <v>60</v>
      </c>
      <c r="H13" s="456">
        <v>0</v>
      </c>
      <c r="I13" s="455">
        <v>0</v>
      </c>
      <c r="J13" s="9">
        <f t="shared" si="0"/>
        <v>0</v>
      </c>
      <c r="K13" s="9">
        <f>VLOOKUP(Gear!A13,'Look-up'!A:B,2,FALSE)</f>
        <v>7655</v>
      </c>
      <c r="L13" s="8">
        <f>IF(K13&lt;'Short &amp; Simple'!$E$49,0,VLOOKUP(K13,'Short &amp; Simple'!$E$49:$F$58,2))</f>
        <v>1</v>
      </c>
      <c r="M13" s="489">
        <v>45031.6</v>
      </c>
      <c r="N13" s="489"/>
      <c r="O13" s="489"/>
      <c r="P13" s="157">
        <f t="shared" si="2"/>
        <v>45031.6</v>
      </c>
      <c r="Q13" s="160">
        <f>Gear!P13/VLOOKUP(C13,'Short &amp; Simple'!$H$32:$I$67,2,FALSE)</f>
        <v>0.27609640652111267</v>
      </c>
      <c r="R13" s="8" t="str">
        <f t="shared" si="1"/>
        <v>Traveler</v>
      </c>
      <c r="T13" s="341" t="s">
        <v>93</v>
      </c>
      <c r="V13" s="438">
        <f>COUNTIF(L2:L61,"1")</f>
        <v>9</v>
      </c>
      <c r="W13" s="275" t="s">
        <v>209</v>
      </c>
    </row>
    <row r="14" spans="1:28" ht="15" customHeight="1">
      <c r="A14" s="48" t="str">
        <f>'Members Data'!A14</f>
        <v>Difson</v>
      </c>
      <c r="B14" s="221">
        <v>40774</v>
      </c>
      <c r="C14" s="461" t="s">
        <v>89</v>
      </c>
      <c r="D14" s="454" t="s">
        <v>60</v>
      </c>
      <c r="E14" s="457">
        <v>0</v>
      </c>
      <c r="F14" s="456">
        <v>0</v>
      </c>
      <c r="G14" s="454" t="s">
        <v>60</v>
      </c>
      <c r="H14" s="456">
        <v>0</v>
      </c>
      <c r="I14" s="455">
        <v>0</v>
      </c>
      <c r="J14" s="9">
        <f t="shared" si="0"/>
        <v>0</v>
      </c>
      <c r="K14" s="9">
        <f>VLOOKUP(Gear!A14,'Look-up'!A:B,2,FALSE)</f>
        <v>8168</v>
      </c>
      <c r="L14" s="8">
        <f>IF(K14&lt;'Short &amp; Simple'!$E$49,0,VLOOKUP(K14,'Short &amp; Simple'!$E$49:$F$58,2))</f>
        <v>4</v>
      </c>
      <c r="M14" s="489">
        <v>230337.9</v>
      </c>
      <c r="N14" s="489">
        <v>220937.3</v>
      </c>
      <c r="O14" s="489"/>
      <c r="P14" s="157">
        <f t="shared" si="2"/>
        <v>225637.59999999998</v>
      </c>
      <c r="Q14" s="160">
        <f>Gear!P14/VLOOKUP(C14,'Short &amp; Simple'!$H$32:$I$67,2,FALSE)</f>
        <v>0.85957835869225663</v>
      </c>
      <c r="R14" s="8" t="str">
        <f t="shared" si="1"/>
        <v>Gladiator</v>
      </c>
      <c r="T14" s="341" t="s">
        <v>94</v>
      </c>
      <c r="V14" s="438">
        <f>COUNTIF(L2:L61,"0")</f>
        <v>27</v>
      </c>
      <c r="W14" s="275" t="s">
        <v>210</v>
      </c>
    </row>
    <row r="15" spans="1:28" ht="15" customHeight="1">
      <c r="A15" s="48" t="str">
        <f>'Members Data'!A15</f>
        <v>Grandhoof</v>
      </c>
      <c r="B15" s="221">
        <v>40774</v>
      </c>
      <c r="C15" s="461" t="s">
        <v>107</v>
      </c>
      <c r="D15" s="454" t="s">
        <v>60</v>
      </c>
      <c r="E15" s="457">
        <v>0</v>
      </c>
      <c r="F15" s="456">
        <v>0</v>
      </c>
      <c r="G15" s="454" t="s">
        <v>60</v>
      </c>
      <c r="H15" s="456">
        <v>0</v>
      </c>
      <c r="I15" s="455">
        <v>0</v>
      </c>
      <c r="J15" s="9">
        <f t="shared" si="0"/>
        <v>0</v>
      </c>
      <c r="K15" s="9">
        <f>VLOOKUP(Gear!A15,'Look-up'!A:B,2,FALSE)</f>
        <v>7987</v>
      </c>
      <c r="L15" s="8">
        <f>IF(K15&lt;'Short &amp; Simple'!$E$49,0,VLOOKUP(K15,'Short &amp; Simple'!$E$49:$F$58,2))</f>
        <v>3</v>
      </c>
      <c r="M15" s="489">
        <v>136448.70000000001</v>
      </c>
      <c r="N15" s="489">
        <v>81579.100000000006</v>
      </c>
      <c r="O15" s="489"/>
      <c r="P15" s="157">
        <f t="shared" si="2"/>
        <v>109013.90000000001</v>
      </c>
      <c r="Q15" s="160">
        <f>Gear!P15/VLOOKUP(C15,'Short &amp; Simple'!$H$32:$I$67,2,FALSE)</f>
        <v>0.55600472288738778</v>
      </c>
      <c r="R15" s="8" t="str">
        <f t="shared" si="1"/>
        <v>Venturer</v>
      </c>
      <c r="T15" s="341" t="s">
        <v>95</v>
      </c>
      <c r="V15" s="231"/>
    </row>
    <row r="16" spans="1:28" ht="15" customHeight="1">
      <c r="A16" s="48" t="str">
        <f>'Members Data'!A16</f>
        <v>Harkar</v>
      </c>
      <c r="B16" s="221">
        <v>40774</v>
      </c>
      <c r="C16" s="461" t="s">
        <v>101</v>
      </c>
      <c r="D16" s="454" t="s">
        <v>60</v>
      </c>
      <c r="E16" s="457">
        <v>0</v>
      </c>
      <c r="F16" s="456">
        <v>0</v>
      </c>
      <c r="G16" s="454" t="s">
        <v>60</v>
      </c>
      <c r="H16" s="456">
        <v>0</v>
      </c>
      <c r="I16" s="455">
        <v>0</v>
      </c>
      <c r="J16" s="9">
        <f t="shared" si="0"/>
        <v>0</v>
      </c>
      <c r="K16" s="9">
        <f>VLOOKUP(Gear!A16,'Look-up'!A:B,2,FALSE)</f>
        <v>8049</v>
      </c>
      <c r="L16" s="8">
        <f>IF(K16&lt;'Short &amp; Simple'!$E$49,0,VLOOKUP(K16,'Short &amp; Simple'!$E$49:$F$58,2))</f>
        <v>3</v>
      </c>
      <c r="M16" s="489">
        <v>185693.8</v>
      </c>
      <c r="N16" s="489">
        <v>182350.4</v>
      </c>
      <c r="O16" s="489"/>
      <c r="P16" s="157">
        <f t="shared" si="2"/>
        <v>184022.09999999998</v>
      </c>
      <c r="Q16" s="160">
        <f>Gear!P16/VLOOKUP(C16,'Short &amp; Simple'!$H$32:$I$67,2,FALSE)</f>
        <v>0.617797480763291</v>
      </c>
      <c r="R16" s="8" t="str">
        <f t="shared" si="1"/>
        <v>Venturer</v>
      </c>
      <c r="T16" s="341" t="s">
        <v>96</v>
      </c>
      <c r="V16" s="231"/>
    </row>
    <row r="17" spans="1:22" ht="15" customHeight="1">
      <c r="A17" s="48" t="str">
        <f>'Members Data'!A17</f>
        <v>Hyperïon</v>
      </c>
      <c r="B17" s="221">
        <v>40774</v>
      </c>
      <c r="C17" s="461" t="s">
        <v>93</v>
      </c>
      <c r="D17" s="454" t="s">
        <v>60</v>
      </c>
      <c r="E17" s="457">
        <v>0</v>
      </c>
      <c r="F17" s="456">
        <v>0</v>
      </c>
      <c r="G17" s="454" t="s">
        <v>60</v>
      </c>
      <c r="H17" s="456">
        <v>0</v>
      </c>
      <c r="I17" s="455">
        <v>0</v>
      </c>
      <c r="J17" s="9">
        <f t="shared" si="0"/>
        <v>0</v>
      </c>
      <c r="K17" s="9">
        <f>VLOOKUP(Gear!A17,'Look-up'!A:B,2,FALSE)</f>
        <v>8010</v>
      </c>
      <c r="L17" s="8">
        <f>IF(K17&lt;'Short &amp; Simple'!$E$49,0,VLOOKUP(K17,'Short &amp; Simple'!$E$49:$F$58,2))</f>
        <v>3</v>
      </c>
      <c r="M17" s="489">
        <v>500000</v>
      </c>
      <c r="N17" s="489"/>
      <c r="O17" s="489"/>
      <c r="P17" s="157">
        <f t="shared" si="2"/>
        <v>500000</v>
      </c>
      <c r="Q17" s="160">
        <f>Gear!P17/VLOOKUP(C17,'Short &amp; Simple'!$H$32:$I$67,2,FALSE)</f>
        <v>1.8229081217848457</v>
      </c>
      <c r="R17" s="8" t="str">
        <f t="shared" si="1"/>
        <v>Gladiator</v>
      </c>
      <c r="T17" s="341" t="s">
        <v>97</v>
      </c>
    </row>
    <row r="18" spans="1:22" ht="15" customHeight="1">
      <c r="A18" s="48" t="str">
        <f>'Members Data'!A18</f>
        <v>Illianá</v>
      </c>
      <c r="B18" s="221">
        <v>40774</v>
      </c>
      <c r="C18" s="461" t="s">
        <v>105</v>
      </c>
      <c r="D18" s="454" t="s">
        <v>60</v>
      </c>
      <c r="E18" s="457">
        <v>0</v>
      </c>
      <c r="F18" s="456">
        <v>0</v>
      </c>
      <c r="G18" s="454" t="s">
        <v>60</v>
      </c>
      <c r="H18" s="456">
        <v>0</v>
      </c>
      <c r="I18" s="455">
        <v>0</v>
      </c>
      <c r="J18" s="9">
        <f t="shared" si="0"/>
        <v>0</v>
      </c>
      <c r="K18" s="9">
        <f>VLOOKUP(Gear!A18,'Look-up'!A:B,2,FALSE)</f>
        <v>7991</v>
      </c>
      <c r="L18" s="8">
        <f>IF(K18&lt;'Short &amp; Simple'!$E$49,0,VLOOKUP(K18,'Short &amp; Simple'!$E$49:$F$58,2))</f>
        <v>3</v>
      </c>
      <c r="M18" s="489">
        <v>80865.100000000006</v>
      </c>
      <c r="N18" s="489"/>
      <c r="O18" s="489"/>
      <c r="P18" s="157">
        <f t="shared" si="2"/>
        <v>80865.100000000006</v>
      </c>
      <c r="Q18" s="160">
        <f>Gear!P18/VLOOKUP(C18,'Short &amp; Simple'!$H$32:$I$67,2,FALSE)</f>
        <v>0.4952450653160464</v>
      </c>
      <c r="R18" s="8" t="str">
        <f t="shared" si="1"/>
        <v>Traveler</v>
      </c>
      <c r="T18" s="341" t="s">
        <v>98</v>
      </c>
    </row>
    <row r="19" spans="1:22" ht="15" customHeight="1">
      <c r="A19" s="48" t="str">
        <f>'Members Data'!A19</f>
        <v>Izzabelle</v>
      </c>
      <c r="B19" s="221">
        <v>40774</v>
      </c>
      <c r="C19" s="461" t="s">
        <v>105</v>
      </c>
      <c r="D19" s="454" t="s">
        <v>60</v>
      </c>
      <c r="E19" s="457">
        <v>0</v>
      </c>
      <c r="F19" s="456">
        <v>0</v>
      </c>
      <c r="G19" s="454" t="s">
        <v>60</v>
      </c>
      <c r="H19" s="456">
        <v>0</v>
      </c>
      <c r="I19" s="455">
        <v>0</v>
      </c>
      <c r="J19" s="9">
        <f t="shared" si="0"/>
        <v>0</v>
      </c>
      <c r="K19" s="9">
        <f>VLOOKUP(Gear!A19,'Look-up'!A:B,2,FALSE)</f>
        <v>8003</v>
      </c>
      <c r="L19" s="8">
        <f>IF(K19&lt;'Short &amp; Simple'!$E$49,0,VLOOKUP(K19,'Short &amp; Simple'!$E$49:$F$58,2))</f>
        <v>3</v>
      </c>
      <c r="M19" s="489">
        <v>129181.8</v>
      </c>
      <c r="N19" s="489">
        <v>102278.2</v>
      </c>
      <c r="O19" s="489"/>
      <c r="P19" s="157">
        <f t="shared" si="2"/>
        <v>115730</v>
      </c>
      <c r="Q19" s="160">
        <f>Gear!P19/VLOOKUP(C19,'Short &amp; Simple'!$H$32:$I$67,2,FALSE)</f>
        <v>0.70876943711225293</v>
      </c>
      <c r="R19" s="8" t="str">
        <f t="shared" si="1"/>
        <v>Venturer</v>
      </c>
      <c r="T19" s="341" t="s">
        <v>99</v>
      </c>
    </row>
    <row r="20" spans="1:22" ht="15" customHeight="1">
      <c r="A20" s="48" t="str">
        <f>'Members Data'!A20</f>
        <v>Kátsumi</v>
      </c>
      <c r="B20" s="221">
        <v>40774</v>
      </c>
      <c r="C20" s="461" t="s">
        <v>99</v>
      </c>
      <c r="D20" s="454" t="s">
        <v>60</v>
      </c>
      <c r="E20" s="457">
        <v>0</v>
      </c>
      <c r="F20" s="456">
        <v>0</v>
      </c>
      <c r="G20" s="454" t="s">
        <v>60</v>
      </c>
      <c r="H20" s="456">
        <v>0</v>
      </c>
      <c r="I20" s="455">
        <v>1</v>
      </c>
      <c r="J20" s="9">
        <f t="shared" si="0"/>
        <v>0.1</v>
      </c>
      <c r="K20" s="9">
        <f>VLOOKUP(Gear!A20,'Look-up'!A:B,2,FALSE)</f>
        <v>7665</v>
      </c>
      <c r="L20" s="8">
        <f>IF(K20&lt;'Short &amp; Simple'!$E$49,0,VLOOKUP(K20,'Short &amp; Simple'!$E$49:$F$58,2))</f>
        <v>1</v>
      </c>
      <c r="M20" s="489">
        <v>500000</v>
      </c>
      <c r="N20" s="489"/>
      <c r="O20" s="489"/>
      <c r="P20" s="157">
        <f t="shared" si="2"/>
        <v>500000</v>
      </c>
      <c r="Q20" s="160">
        <f>Gear!P20/VLOOKUP(C20,'Short &amp; Simple'!$H$32:$I$67,2,FALSE)</f>
        <v>1.8001508526414514</v>
      </c>
      <c r="R20" s="8" t="str">
        <f t="shared" si="1"/>
        <v>Gladiator</v>
      </c>
      <c r="T20" s="341" t="s">
        <v>101</v>
      </c>
    </row>
    <row r="21" spans="1:22" ht="15" customHeight="1">
      <c r="A21" s="48" t="str">
        <f>'Members Data'!A21</f>
        <v>Lychi</v>
      </c>
      <c r="B21" s="221">
        <v>40774</v>
      </c>
      <c r="C21" s="461" t="s">
        <v>172</v>
      </c>
      <c r="D21" s="454" t="s">
        <v>60</v>
      </c>
      <c r="E21" s="457">
        <v>0</v>
      </c>
      <c r="F21" s="456">
        <v>0</v>
      </c>
      <c r="G21" s="454" t="s">
        <v>60</v>
      </c>
      <c r="H21" s="456">
        <v>0</v>
      </c>
      <c r="I21" s="455">
        <v>0</v>
      </c>
      <c r="J21" s="9">
        <f t="shared" si="0"/>
        <v>0</v>
      </c>
      <c r="K21" s="9">
        <f>VLOOKUP(Gear!A21,'Look-up'!A:B,2,FALSE)</f>
        <v>7968</v>
      </c>
      <c r="L21" s="8">
        <f>IF(K21&lt;'Short &amp; Simple'!$E$49,0,VLOOKUP(K21,'Short &amp; Simple'!$E$49:$F$58,2))</f>
        <v>3</v>
      </c>
      <c r="M21" s="489">
        <v>76652.800000000003</v>
      </c>
      <c r="N21" s="489"/>
      <c r="O21" s="489"/>
      <c r="P21" s="157">
        <f t="shared" si="2"/>
        <v>76652.800000000003</v>
      </c>
      <c r="Q21" s="160">
        <f>Gear!P21/VLOOKUP(C21,'Short &amp; Simple'!$H$32:$I$67,2,FALSE)</f>
        <v>0.46997136743490231</v>
      </c>
      <c r="R21" s="8" t="str">
        <f t="shared" si="1"/>
        <v>Traveler</v>
      </c>
      <c r="T21" s="341" t="s">
        <v>102</v>
      </c>
    </row>
    <row r="22" spans="1:22" ht="15" customHeight="1">
      <c r="A22" s="48" t="str">
        <f>'Members Data'!A22</f>
        <v>Méych</v>
      </c>
      <c r="B22" s="221">
        <v>40774</v>
      </c>
      <c r="C22" s="461" t="s">
        <v>92</v>
      </c>
      <c r="D22" s="454" t="s">
        <v>60</v>
      </c>
      <c r="E22" s="457">
        <v>0</v>
      </c>
      <c r="F22" s="456">
        <v>0</v>
      </c>
      <c r="G22" s="454" t="s">
        <v>60</v>
      </c>
      <c r="H22" s="456">
        <v>1</v>
      </c>
      <c r="I22" s="455">
        <v>0</v>
      </c>
      <c r="J22" s="9">
        <f t="shared" si="0"/>
        <v>0.4</v>
      </c>
      <c r="K22" s="9">
        <f>VLOOKUP(Gear!A22,'Look-up'!A:B,2,FALSE)</f>
        <v>7706</v>
      </c>
      <c r="L22" s="8">
        <f>IF(K22&lt;'Short &amp; Simple'!$E$49,0,VLOOKUP(K22,'Short &amp; Simple'!$E$49:$F$58,2))</f>
        <v>1</v>
      </c>
      <c r="M22" s="489">
        <v>500000</v>
      </c>
      <c r="N22" s="489"/>
      <c r="O22" s="489"/>
      <c r="P22" s="157">
        <f t="shared" si="2"/>
        <v>500000</v>
      </c>
      <c r="Q22" s="160">
        <f>Gear!P22/VLOOKUP(C22,'Short &amp; Simple'!$H$32:$I$67,2,FALSE)</f>
        <v>2.0965327541312178</v>
      </c>
      <c r="R22" s="8" t="str">
        <f t="shared" si="1"/>
        <v>Gladiator</v>
      </c>
      <c r="T22" s="341" t="s">
        <v>100</v>
      </c>
    </row>
    <row r="23" spans="1:22" ht="15" customHeight="1">
      <c r="A23" s="48" t="str">
        <f>'Members Data'!A23</f>
        <v>Muckyfloor</v>
      </c>
      <c r="B23" s="221">
        <v>40774</v>
      </c>
      <c r="C23" s="461" t="s">
        <v>83</v>
      </c>
      <c r="D23" s="454" t="s">
        <v>60</v>
      </c>
      <c r="E23" s="457">
        <v>0</v>
      </c>
      <c r="F23" s="456">
        <v>0</v>
      </c>
      <c r="G23" s="454" t="s">
        <v>60</v>
      </c>
      <c r="H23" s="456">
        <v>0</v>
      </c>
      <c r="I23" s="455">
        <v>0</v>
      </c>
      <c r="J23" s="9">
        <f t="shared" si="0"/>
        <v>0</v>
      </c>
      <c r="K23" s="9">
        <f>VLOOKUP(Gear!A23,'Look-up'!A:B,2,FALSE)</f>
        <v>8021</v>
      </c>
      <c r="L23" s="8">
        <f>IF(K23&lt;'Short &amp; Simple'!$E$49,0,VLOOKUP(K23,'Short &amp; Simple'!$E$49:$F$58,2))</f>
        <v>3</v>
      </c>
      <c r="M23" s="489">
        <v>205168</v>
      </c>
      <c r="N23" s="489">
        <v>192416.7</v>
      </c>
      <c r="O23" s="489"/>
      <c r="P23" s="157">
        <f t="shared" si="2"/>
        <v>198792.35</v>
      </c>
      <c r="Q23" s="160">
        <f>Gear!P23/VLOOKUP(C23,'Short &amp; Simple'!$H$32:$I$67,2,FALSE)</f>
        <v>0.7330317634738488</v>
      </c>
      <c r="R23" s="8" t="str">
        <f t="shared" si="1"/>
        <v>Venturer</v>
      </c>
      <c r="T23" s="341" t="s">
        <v>103</v>
      </c>
    </row>
    <row r="24" spans="1:22" ht="15" customHeight="1">
      <c r="A24" s="48" t="str">
        <f>'Members Data'!A24</f>
        <v>Müfti</v>
      </c>
      <c r="B24" s="221">
        <v>40774</v>
      </c>
      <c r="C24" s="461" t="s">
        <v>98</v>
      </c>
      <c r="D24" s="454" t="s">
        <v>60</v>
      </c>
      <c r="E24" s="457">
        <v>0</v>
      </c>
      <c r="F24" s="456">
        <v>0</v>
      </c>
      <c r="G24" s="454" t="s">
        <v>60</v>
      </c>
      <c r="H24" s="456">
        <v>0</v>
      </c>
      <c r="I24" s="455">
        <v>0</v>
      </c>
      <c r="J24" s="9">
        <f t="shared" si="0"/>
        <v>0</v>
      </c>
      <c r="K24" s="9">
        <f>VLOOKUP(Gear!A24,'Look-up'!A:B,2,FALSE)</f>
        <v>7876</v>
      </c>
      <c r="L24" s="8">
        <f>IF(K24&lt;'Short &amp; Simple'!$E$49,0,VLOOKUP(K24,'Short &amp; Simple'!$E$49:$F$58,2))</f>
        <v>2</v>
      </c>
      <c r="M24" s="489">
        <v>145017.4</v>
      </c>
      <c r="N24" s="489"/>
      <c r="O24" s="489"/>
      <c r="P24" s="157">
        <f t="shared" si="2"/>
        <v>145017.4</v>
      </c>
      <c r="Q24" s="160">
        <f>Gear!P24/VLOOKUP(C24,'Short &amp; Simple'!$H$32:$I$67,2,FALSE)</f>
        <v>0.57278039667195269</v>
      </c>
      <c r="R24" s="8" t="str">
        <f t="shared" si="1"/>
        <v>Venturer</v>
      </c>
      <c r="T24" s="341" t="s">
        <v>104</v>
      </c>
    </row>
    <row r="25" spans="1:22" ht="15" customHeight="1">
      <c r="A25" s="48" t="str">
        <f>'Members Data'!A25</f>
        <v>Palorde</v>
      </c>
      <c r="B25" s="221">
        <v>40774</v>
      </c>
      <c r="C25" s="461" t="s">
        <v>93</v>
      </c>
      <c r="D25" s="454" t="s">
        <v>60</v>
      </c>
      <c r="E25" s="457">
        <v>0</v>
      </c>
      <c r="F25" s="456">
        <v>0</v>
      </c>
      <c r="G25" s="454" t="s">
        <v>60</v>
      </c>
      <c r="H25" s="456">
        <v>0</v>
      </c>
      <c r="I25" s="455">
        <v>0</v>
      </c>
      <c r="J25" s="9">
        <f t="shared" si="0"/>
        <v>0</v>
      </c>
      <c r="K25" s="9">
        <f>VLOOKUP(Gear!A25,'Look-up'!A:B,2,FALSE)</f>
        <v>7717</v>
      </c>
      <c r="L25" s="8">
        <f>IF(K25&lt;'Short &amp; Simple'!$E$49,0,VLOOKUP(K25,'Short &amp; Simple'!$E$49:$F$58,2))</f>
        <v>1</v>
      </c>
      <c r="M25" s="489">
        <v>187548.1</v>
      </c>
      <c r="N25" s="489"/>
      <c r="O25" s="489"/>
      <c r="P25" s="157">
        <f t="shared" si="2"/>
        <v>187548.1</v>
      </c>
      <c r="Q25" s="160">
        <f>Gear!P25/VLOOKUP(C25,'Short &amp; Simple'!$H$32:$I$67,2,FALSE)</f>
        <v>0.68376590943063287</v>
      </c>
      <c r="R25" s="8" t="str">
        <f t="shared" si="1"/>
        <v>Venturer</v>
      </c>
      <c r="T25" s="341"/>
    </row>
    <row r="26" spans="1:22" ht="15" customHeight="1">
      <c r="A26" s="48" t="str">
        <f>'Members Data'!A26</f>
        <v>Páula</v>
      </c>
      <c r="B26" s="221">
        <v>40774</v>
      </c>
      <c r="C26" s="461" t="s">
        <v>90</v>
      </c>
      <c r="D26" s="454" t="s">
        <v>60</v>
      </c>
      <c r="E26" s="457">
        <v>0</v>
      </c>
      <c r="F26" s="456">
        <v>0</v>
      </c>
      <c r="G26" s="454" t="s">
        <v>60</v>
      </c>
      <c r="H26" s="456">
        <v>0</v>
      </c>
      <c r="I26" s="455">
        <v>0</v>
      </c>
      <c r="J26" s="9">
        <f t="shared" si="0"/>
        <v>0</v>
      </c>
      <c r="K26" s="9">
        <f>VLOOKUP(Gear!A26,'Look-up'!A:B,2,FALSE)</f>
        <v>8072</v>
      </c>
      <c r="L26" s="8">
        <f>IF(K26&lt;'Short &amp; Simple'!$E$49,0,VLOOKUP(K26,'Short &amp; Simple'!$E$49:$F$58,2))</f>
        <v>3</v>
      </c>
      <c r="M26" s="489">
        <v>152133.5</v>
      </c>
      <c r="N26" s="489">
        <v>149606.1</v>
      </c>
      <c r="O26" s="489"/>
      <c r="P26" s="157">
        <f>IF(SUM($M26:$O26)=0,0,SUM($M26:$O26)/COUNTIF($M26:$O26, "&gt;0"))</f>
        <v>150869.79999999999</v>
      </c>
      <c r="Q26" s="160">
        <f>Gear!P26/VLOOKUP(C26,'Short &amp; Simple'!$H$32:$I$67,2,FALSE)</f>
        <v>0.5482894777487648</v>
      </c>
      <c r="R26" s="8" t="str">
        <f t="shared" si="1"/>
        <v>Venturer</v>
      </c>
      <c r="T26" s="341" t="s">
        <v>107</v>
      </c>
    </row>
    <row r="27" spans="1:22" ht="15" customHeight="1">
      <c r="A27" s="48" t="str">
        <f>'Members Data'!A27</f>
        <v>Quemzar</v>
      </c>
      <c r="B27" s="221">
        <v>40774</v>
      </c>
      <c r="C27" s="461" t="s">
        <v>94</v>
      </c>
      <c r="D27" s="454" t="s">
        <v>60</v>
      </c>
      <c r="E27" s="457">
        <v>0</v>
      </c>
      <c r="F27" s="456">
        <v>0</v>
      </c>
      <c r="G27" s="454" t="s">
        <v>60</v>
      </c>
      <c r="H27" s="456">
        <v>0</v>
      </c>
      <c r="I27" s="455">
        <v>0</v>
      </c>
      <c r="J27" s="9">
        <f t="shared" si="0"/>
        <v>0</v>
      </c>
      <c r="K27" s="9">
        <f>VLOOKUP(Gear!A27,'Look-up'!A:B,2,FALSE)</f>
        <v>7802</v>
      </c>
      <c r="L27" s="8">
        <f>IF(K27&lt;'Short &amp; Simple'!$E$49,0,VLOOKUP(K27,'Short &amp; Simple'!$E$49:$F$58,2))</f>
        <v>2</v>
      </c>
      <c r="M27" s="489">
        <v>168154.5</v>
      </c>
      <c r="N27" s="489"/>
      <c r="O27" s="489"/>
      <c r="P27" s="157">
        <f t="shared" si="2"/>
        <v>168154.5</v>
      </c>
      <c r="Q27" s="160">
        <f>Gear!P27/VLOOKUP(C27,'Short &amp; Simple'!$H$32:$I$67,2,FALSE)</f>
        <v>0.63278899507216757</v>
      </c>
      <c r="R27" s="8" t="str">
        <f t="shared" si="1"/>
        <v>Venturer</v>
      </c>
      <c r="T27" s="341" t="s">
        <v>172</v>
      </c>
    </row>
    <row r="28" spans="1:22" ht="15" customHeight="1">
      <c r="A28" s="48" t="str">
        <f>'Members Data'!A28</f>
        <v>Rahwin</v>
      </c>
      <c r="B28" s="221">
        <v>40774</v>
      </c>
      <c r="C28" s="461" t="s">
        <v>90</v>
      </c>
      <c r="D28" s="454" t="s">
        <v>60</v>
      </c>
      <c r="E28" s="457">
        <v>0</v>
      </c>
      <c r="F28" s="456">
        <v>0</v>
      </c>
      <c r="G28" s="454" t="s">
        <v>60</v>
      </c>
      <c r="H28" s="456">
        <v>0</v>
      </c>
      <c r="I28" s="455">
        <v>0</v>
      </c>
      <c r="J28" s="9">
        <f t="shared" si="0"/>
        <v>0</v>
      </c>
      <c r="K28" s="9">
        <f>VLOOKUP(Gear!A28,'Look-up'!A:B,2,FALSE)</f>
        <v>7732</v>
      </c>
      <c r="L28" s="8">
        <f>IF(K28&lt;'Short &amp; Simple'!$E$49,0,VLOOKUP(K28,'Short &amp; Simple'!$E$49:$F$58,2))</f>
        <v>1</v>
      </c>
      <c r="M28" s="489">
        <v>154115.4</v>
      </c>
      <c r="N28" s="489">
        <v>136745.70000000001</v>
      </c>
      <c r="O28" s="489"/>
      <c r="P28" s="157">
        <f t="shared" si="2"/>
        <v>145430.54999999999</v>
      </c>
      <c r="Q28" s="160">
        <f>Gear!P28/VLOOKUP(C28,'Short &amp; Simple'!$H$32:$I$67,2,FALSE)</f>
        <v>0.52852221125908316</v>
      </c>
      <c r="R28" s="8" t="str">
        <f t="shared" si="1"/>
        <v>Venturer</v>
      </c>
      <c r="T28" s="341" t="s">
        <v>108</v>
      </c>
    </row>
    <row r="29" spans="1:22" ht="15" customHeight="1">
      <c r="A29" s="48" t="str">
        <f>'Members Data'!A29</f>
        <v>Raiyn</v>
      </c>
      <c r="B29" s="221">
        <v>40774</v>
      </c>
      <c r="C29" s="461" t="s">
        <v>109</v>
      </c>
      <c r="D29" s="454" t="s">
        <v>60</v>
      </c>
      <c r="E29" s="457">
        <v>0</v>
      </c>
      <c r="F29" s="456">
        <v>0</v>
      </c>
      <c r="G29" s="454" t="s">
        <v>60</v>
      </c>
      <c r="H29" s="456">
        <v>0</v>
      </c>
      <c r="I29" s="455">
        <v>0</v>
      </c>
      <c r="J29" s="9">
        <f t="shared" si="0"/>
        <v>0</v>
      </c>
      <c r="K29" s="9">
        <f>VLOOKUP(Gear!A29,'Look-up'!A:B,2,FALSE)</f>
        <v>7599</v>
      </c>
      <c r="L29" s="8">
        <f>IF(K29&lt;'Short &amp; Simple'!$E$49,0,VLOOKUP(K29,'Short &amp; Simple'!$E$49:$F$58,2))</f>
        <v>0</v>
      </c>
      <c r="M29" s="489">
        <v>135650.4</v>
      </c>
      <c r="N29" s="489">
        <v>132593.5</v>
      </c>
      <c r="O29" s="489"/>
      <c r="P29" s="157">
        <f t="shared" si="2"/>
        <v>134121.95000000001</v>
      </c>
      <c r="Q29" s="160">
        <f>Gear!P29/VLOOKUP(C29,'Short &amp; Simple'!$H$32:$I$67,2,FALSE)</f>
        <v>0.64741763188191037</v>
      </c>
      <c r="R29" s="8" t="str">
        <f t="shared" si="1"/>
        <v>Venturer</v>
      </c>
      <c r="T29" s="341" t="s">
        <v>106</v>
      </c>
    </row>
    <row r="30" spans="1:22" ht="15" customHeight="1">
      <c r="A30" s="48" t="str">
        <f>'Members Data'!A30</f>
        <v>Rokthrol</v>
      </c>
      <c r="B30" s="221">
        <v>40774</v>
      </c>
      <c r="C30" s="461" t="s">
        <v>84</v>
      </c>
      <c r="D30" s="454" t="s">
        <v>60</v>
      </c>
      <c r="E30" s="457">
        <v>0</v>
      </c>
      <c r="F30" s="456">
        <v>0</v>
      </c>
      <c r="G30" s="454" t="s">
        <v>60</v>
      </c>
      <c r="H30" s="456">
        <v>0</v>
      </c>
      <c r="I30" s="455">
        <v>0</v>
      </c>
      <c r="J30" s="9">
        <f t="shared" si="0"/>
        <v>0</v>
      </c>
      <c r="K30" s="9">
        <f>VLOOKUP(Gear!A30,'Look-up'!A:B,2,FALSE)</f>
        <v>7808</v>
      </c>
      <c r="L30" s="8">
        <f>IF(K30&lt;'Short &amp; Simple'!$E$49,0,VLOOKUP(K30,'Short &amp; Simple'!$E$49:$F$58,2))</f>
        <v>2</v>
      </c>
      <c r="M30" s="489">
        <v>500000</v>
      </c>
      <c r="N30" s="489"/>
      <c r="O30" s="489"/>
      <c r="P30" s="157">
        <f t="shared" si="2"/>
        <v>500000</v>
      </c>
      <c r="Q30" s="160">
        <f>Gear!P30/VLOOKUP(C30,'Short &amp; Simple'!$H$32:$I$67,2,FALSE)</f>
        <v>1.8565206575053561</v>
      </c>
      <c r="R30" s="8" t="str">
        <f t="shared" si="1"/>
        <v>Gladiator</v>
      </c>
      <c r="T30" s="341" t="s">
        <v>105</v>
      </c>
      <c r="V30" s="231"/>
    </row>
    <row r="31" spans="1:22" ht="15" customHeight="1">
      <c r="A31" s="48" t="str">
        <f>'Members Data'!A31</f>
        <v>Sáik</v>
      </c>
      <c r="B31" s="221">
        <v>40774</v>
      </c>
      <c r="C31" s="461" t="s">
        <v>94</v>
      </c>
      <c r="D31" s="454" t="s">
        <v>60</v>
      </c>
      <c r="E31" s="457">
        <v>0</v>
      </c>
      <c r="F31" s="456">
        <v>0</v>
      </c>
      <c r="G31" s="454" t="s">
        <v>60</v>
      </c>
      <c r="H31" s="456">
        <v>0</v>
      </c>
      <c r="I31" s="455">
        <v>0</v>
      </c>
      <c r="J31" s="9">
        <f t="shared" si="0"/>
        <v>0</v>
      </c>
      <c r="K31" s="9">
        <f>VLOOKUP(Gear!A31,'Look-up'!A:B,2,FALSE)</f>
        <v>8068</v>
      </c>
      <c r="L31" s="8">
        <f>IF(K31&lt;'Short &amp; Simple'!$E$49,0,VLOOKUP(K31,'Short &amp; Simple'!$E$49:$F$58,2))</f>
        <v>3</v>
      </c>
      <c r="M31" s="489">
        <v>202674.9</v>
      </c>
      <c r="N31" s="489">
        <v>175944.2</v>
      </c>
      <c r="O31" s="489"/>
      <c r="P31" s="157">
        <f t="shared" si="2"/>
        <v>189309.55</v>
      </c>
      <c r="Q31" s="160">
        <f>Gear!P31/VLOOKUP(C31,'Short &amp; Simple'!$H$32:$I$67,2,FALSE)</f>
        <v>0.71239841872839715</v>
      </c>
      <c r="R31" s="8" t="str">
        <f t="shared" si="1"/>
        <v>Venturer</v>
      </c>
      <c r="T31" s="341" t="s">
        <v>109</v>
      </c>
      <c r="V31" s="231"/>
    </row>
    <row r="32" spans="1:22" ht="15" customHeight="1">
      <c r="A32" s="48" t="str">
        <f>'Members Data'!A32</f>
        <v>Seraphÿm</v>
      </c>
      <c r="B32" s="221">
        <v>40774</v>
      </c>
      <c r="C32" s="461" t="s">
        <v>106</v>
      </c>
      <c r="D32" s="454" t="s">
        <v>60</v>
      </c>
      <c r="E32" s="457">
        <v>0</v>
      </c>
      <c r="F32" s="456">
        <v>0</v>
      </c>
      <c r="G32" s="454" t="s">
        <v>60</v>
      </c>
      <c r="H32" s="456">
        <v>0</v>
      </c>
      <c r="I32" s="455">
        <v>0</v>
      </c>
      <c r="J32" s="9">
        <f t="shared" si="0"/>
        <v>0</v>
      </c>
      <c r="K32" s="9">
        <f>VLOOKUP(Gear!A32,'Look-up'!A:B,2,FALSE)</f>
        <v>7919</v>
      </c>
      <c r="L32" s="8">
        <f>IF(K32&lt;'Short &amp; Simple'!$E$49,0,VLOOKUP(K32,'Short &amp; Simple'!$E$49:$F$58,2))</f>
        <v>2</v>
      </c>
      <c r="M32" s="489">
        <v>131219.6</v>
      </c>
      <c r="N32" s="489"/>
      <c r="O32" s="489"/>
      <c r="P32" s="157">
        <f t="shared" si="2"/>
        <v>131219.6</v>
      </c>
      <c r="Q32" s="160">
        <f>Gear!P32/VLOOKUP(C32,'Short &amp; Simple'!$H$32:$I$67,2,FALSE)</f>
        <v>0.72432987414440275</v>
      </c>
      <c r="R32" s="8" t="str">
        <f t="shared" si="1"/>
        <v>Venturer</v>
      </c>
      <c r="T32" s="341"/>
      <c r="V32" s="231"/>
    </row>
    <row r="33" spans="1:22" ht="15" customHeight="1">
      <c r="A33" s="48" t="str">
        <f>'Members Data'!A33</f>
        <v>Shinkai</v>
      </c>
      <c r="B33" s="221">
        <v>40774</v>
      </c>
      <c r="C33" s="461" t="s">
        <v>104</v>
      </c>
      <c r="D33" s="454" t="s">
        <v>60</v>
      </c>
      <c r="E33" s="457">
        <v>0</v>
      </c>
      <c r="F33" s="456">
        <v>0</v>
      </c>
      <c r="G33" s="454" t="s">
        <v>60</v>
      </c>
      <c r="H33" s="456">
        <v>0</v>
      </c>
      <c r="I33" s="455">
        <v>0</v>
      </c>
      <c r="J33" s="9">
        <f t="shared" si="0"/>
        <v>0</v>
      </c>
      <c r="K33" s="9">
        <f>VLOOKUP(Gear!A33,'Look-up'!A:B,2,FALSE)</f>
        <v>7994</v>
      </c>
      <c r="L33" s="8">
        <f>IF(K33&lt;'Short &amp; Simple'!$E$49,0,VLOOKUP(K33,'Short &amp; Simple'!$E$49:$F$58,2))</f>
        <v>3</v>
      </c>
      <c r="M33" s="489">
        <v>149297.29999999999</v>
      </c>
      <c r="N33" s="489"/>
      <c r="O33" s="489"/>
      <c r="P33" s="157">
        <f t="shared" si="2"/>
        <v>149297.29999999999</v>
      </c>
      <c r="Q33" s="160">
        <f>Gear!P33/VLOOKUP(C33,'Short &amp; Simple'!$H$32:$I$67,2,FALSE)</f>
        <v>0.51954976179622003</v>
      </c>
      <c r="R33" s="8" t="str">
        <f t="shared" si="1"/>
        <v>Venturer</v>
      </c>
      <c r="T33" s="341" t="s">
        <v>110</v>
      </c>
      <c r="V33" s="231"/>
    </row>
    <row r="34" spans="1:22" ht="15" customHeight="1">
      <c r="A34" s="48" t="str">
        <f>'Members Data'!A34</f>
        <v>Yaodeng</v>
      </c>
      <c r="B34" s="221">
        <v>40774</v>
      </c>
      <c r="C34" s="461" t="s">
        <v>173</v>
      </c>
      <c r="D34" s="454" t="s">
        <v>60</v>
      </c>
      <c r="E34" s="457">
        <v>0</v>
      </c>
      <c r="F34" s="456">
        <v>0</v>
      </c>
      <c r="G34" s="454" t="s">
        <v>60</v>
      </c>
      <c r="H34" s="456">
        <v>0</v>
      </c>
      <c r="I34" s="455">
        <v>0</v>
      </c>
      <c r="J34" s="9">
        <f t="shared" si="0"/>
        <v>0</v>
      </c>
      <c r="K34" s="9">
        <f>VLOOKUP(Gear!A34,'Look-up'!A:B,2,FALSE)</f>
        <v>7817</v>
      </c>
      <c r="L34" s="8">
        <f>IF(K34&lt;'Short &amp; Simple'!$E$49,0,VLOOKUP(K34,'Short &amp; Simple'!$E$49:$F$58,2))</f>
        <v>2</v>
      </c>
      <c r="M34" s="489">
        <v>196427.9</v>
      </c>
      <c r="N34" s="489">
        <v>196427.9</v>
      </c>
      <c r="O34" s="489"/>
      <c r="P34" s="157">
        <f t="shared" si="2"/>
        <v>196427.9</v>
      </c>
      <c r="Q34" s="160">
        <f>Gear!P34/VLOOKUP(C34,'Short &amp; Simple'!$H$32:$I$67,2,FALSE)</f>
        <v>0.71423911976350551</v>
      </c>
      <c r="R34" s="8" t="str">
        <f t="shared" ref="R34:R65" si="3">IF(Q34&gt;=$X$4,"Gladiator",IF(Q34&gt;=$X$3,"Venturer","Traveler"))</f>
        <v>Venturer</v>
      </c>
      <c r="T34" s="341" t="s">
        <v>171</v>
      </c>
      <c r="V34" s="231"/>
    </row>
    <row r="35" spans="1:22" ht="15" customHeight="1">
      <c r="A35" s="48" t="str">
        <f>'Members Data'!A35</f>
        <v>Zerobabe</v>
      </c>
      <c r="B35" s="221">
        <v>40774</v>
      </c>
      <c r="C35" s="461" t="s">
        <v>93</v>
      </c>
      <c r="D35" s="454" t="s">
        <v>60</v>
      </c>
      <c r="E35" s="457">
        <v>0</v>
      </c>
      <c r="F35" s="456">
        <v>0</v>
      </c>
      <c r="G35" s="454" t="s">
        <v>60</v>
      </c>
      <c r="H35" s="456">
        <v>0</v>
      </c>
      <c r="I35" s="455">
        <v>0</v>
      </c>
      <c r="J35" s="9">
        <f t="shared" si="0"/>
        <v>0</v>
      </c>
      <c r="K35" s="9">
        <f>VLOOKUP(Gear!A35,'Look-up'!A:B,2,FALSE)</f>
        <v>7903</v>
      </c>
      <c r="L35" s="8">
        <f>IF(K35&lt;'Short &amp; Simple'!$E$49,0,VLOOKUP(K35,'Short &amp; Simple'!$E$49:$F$58,2))</f>
        <v>2</v>
      </c>
      <c r="M35" s="489">
        <v>500000</v>
      </c>
      <c r="N35" s="489"/>
      <c r="O35" s="489"/>
      <c r="P35" s="157">
        <f t="shared" si="2"/>
        <v>500000</v>
      </c>
      <c r="Q35" s="160">
        <f>Gear!P35/VLOOKUP(C35,'Short &amp; Simple'!$H$32:$I$67,2,FALSE)</f>
        <v>1.8229081217848457</v>
      </c>
      <c r="R35" s="8" t="str">
        <f t="shared" si="3"/>
        <v>Gladiator</v>
      </c>
      <c r="T35" s="341" t="s">
        <v>170</v>
      </c>
      <c r="V35" s="231"/>
    </row>
    <row r="36" spans="1:22" ht="15" customHeight="1">
      <c r="A36" s="48" t="str">
        <f>'Members Data'!A36</f>
        <v>Zorrg</v>
      </c>
      <c r="B36" s="221">
        <v>40774</v>
      </c>
      <c r="C36" s="461" t="s">
        <v>103</v>
      </c>
      <c r="D36" s="454" t="s">
        <v>60</v>
      </c>
      <c r="E36" s="457">
        <v>0</v>
      </c>
      <c r="F36" s="456">
        <v>0</v>
      </c>
      <c r="G36" s="454" t="s">
        <v>60</v>
      </c>
      <c r="H36" s="456">
        <v>0</v>
      </c>
      <c r="I36" s="455">
        <v>0</v>
      </c>
      <c r="J36" s="9">
        <f t="shared" si="0"/>
        <v>0</v>
      </c>
      <c r="K36" s="9">
        <f>VLOOKUP(Gear!A36,'Look-up'!A:B,2,FALSE)</f>
        <v>7764</v>
      </c>
      <c r="L36" s="8">
        <f>IF(K36&lt;'Short &amp; Simple'!$E$49,0,VLOOKUP(K36,'Short &amp; Simple'!$E$49:$F$58,2))</f>
        <v>1</v>
      </c>
      <c r="M36" s="489">
        <v>179533.8</v>
      </c>
      <c r="N36" s="489">
        <v>158119.4</v>
      </c>
      <c r="O36" s="489"/>
      <c r="P36" s="157">
        <f t="shared" si="2"/>
        <v>168826.59999999998</v>
      </c>
      <c r="Q36" s="160">
        <f>Gear!P36/VLOOKUP(C36,'Short &amp; Simple'!$H$32:$I$67,2,FALSE)</f>
        <v>0.67166597044021392</v>
      </c>
      <c r="R36" s="8" t="str">
        <f t="shared" si="3"/>
        <v>Venturer</v>
      </c>
      <c r="T36" s="341" t="s">
        <v>111</v>
      </c>
      <c r="V36" s="231"/>
    </row>
    <row r="37" spans="1:22" ht="15" customHeight="1">
      <c r="A37" s="48" t="str">
        <f>'Members Data'!A37</f>
        <v>Volson</v>
      </c>
      <c r="B37" s="221">
        <v>40774</v>
      </c>
      <c r="C37" s="461" t="s">
        <v>85</v>
      </c>
      <c r="D37" s="454" t="s">
        <v>60</v>
      </c>
      <c r="E37" s="457">
        <v>0</v>
      </c>
      <c r="F37" s="456">
        <v>0</v>
      </c>
      <c r="G37" s="454" t="s">
        <v>60</v>
      </c>
      <c r="H37" s="456">
        <v>0</v>
      </c>
      <c r="I37" s="455">
        <v>0</v>
      </c>
      <c r="J37" s="9">
        <f t="shared" si="0"/>
        <v>0</v>
      </c>
      <c r="K37" s="9">
        <f>VLOOKUP(Gear!A37,'Look-up'!A:B,2,FALSE)</f>
        <v>0</v>
      </c>
      <c r="L37" s="8">
        <f>IF(K37&lt;'Short &amp; Simple'!$E$49,0,VLOOKUP(K37,'Short &amp; Simple'!$E$49:$F$58,2))</f>
        <v>0</v>
      </c>
      <c r="M37" s="489">
        <v>204153.3</v>
      </c>
      <c r="N37" s="489"/>
      <c r="O37" s="489"/>
      <c r="P37" s="157">
        <f t="shared" si="2"/>
        <v>204153.3</v>
      </c>
      <c r="Q37" s="160">
        <f>Gear!P37/VLOOKUP(C37,'Short &amp; Simple'!$H$32:$I$67,2,FALSE)</f>
        <v>0.75590356137197146</v>
      </c>
      <c r="R37" s="8" t="str">
        <f t="shared" si="3"/>
        <v>Venturer</v>
      </c>
      <c r="T37" s="341" t="s">
        <v>112</v>
      </c>
      <c r="V37" s="231"/>
    </row>
    <row r="38" spans="1:22" ht="15" customHeight="1">
      <c r="A38" s="48">
        <f>'Members Data'!A38</f>
        <v>0</v>
      </c>
      <c r="B38" s="221">
        <v>40774</v>
      </c>
      <c r="C38" s="461"/>
      <c r="D38" s="454" t="s">
        <v>60</v>
      </c>
      <c r="E38" s="457">
        <v>0</v>
      </c>
      <c r="F38" s="456">
        <v>0</v>
      </c>
      <c r="G38" s="454" t="s">
        <v>60</v>
      </c>
      <c r="H38" s="456">
        <v>0</v>
      </c>
      <c r="I38" s="455">
        <v>0</v>
      </c>
      <c r="J38" s="9">
        <f t="shared" si="0"/>
        <v>0</v>
      </c>
      <c r="K38" s="9">
        <f>VLOOKUP(Gear!A38,'Look-up'!A:B,2,FALSE)</f>
        <v>0</v>
      </c>
      <c r="L38" s="8">
        <f>IF(K38&lt;'Short &amp; Simple'!$E$49,0,VLOOKUP(K38,'Short &amp; Simple'!$E$49:$F$58,2))</f>
        <v>0</v>
      </c>
      <c r="M38" s="489"/>
      <c r="N38" s="489"/>
      <c r="O38" s="489"/>
      <c r="P38" s="157">
        <f t="shared" si="2"/>
        <v>0</v>
      </c>
      <c r="Q38" s="160" t="e">
        <f>Gear!P38/VLOOKUP(C38,'Short &amp; Simple'!$H$32:$I$67,2,FALSE)</f>
        <v>#N/A</v>
      </c>
      <c r="R38" s="8" t="e">
        <f t="shared" si="3"/>
        <v>#N/A</v>
      </c>
      <c r="V38" s="231"/>
    </row>
    <row r="39" spans="1:22" ht="15" customHeight="1">
      <c r="A39" s="48">
        <f>'Members Data'!A39</f>
        <v>0</v>
      </c>
      <c r="B39" s="221"/>
      <c r="C39" s="461"/>
      <c r="D39" s="454" t="s">
        <v>60</v>
      </c>
      <c r="E39" s="457">
        <v>0</v>
      </c>
      <c r="F39" s="456">
        <v>0</v>
      </c>
      <c r="G39" s="454" t="s">
        <v>60</v>
      </c>
      <c r="H39" s="456">
        <v>0</v>
      </c>
      <c r="I39" s="455">
        <v>0</v>
      </c>
      <c r="J39" s="9">
        <f t="shared" si="0"/>
        <v>0</v>
      </c>
      <c r="K39" s="9">
        <f>VLOOKUP(Gear!A39,'Look-up'!A:B,2,FALSE)</f>
        <v>0</v>
      </c>
      <c r="L39" s="8">
        <f>IF(K39&lt;'Short &amp; Simple'!$E$49,0,VLOOKUP(K39,'Short &amp; Simple'!$E$49:$F$58,2))</f>
        <v>0</v>
      </c>
      <c r="M39" s="489"/>
      <c r="N39" s="489"/>
      <c r="O39" s="489"/>
      <c r="P39" s="157">
        <f t="shared" si="2"/>
        <v>0</v>
      </c>
      <c r="Q39" s="160" t="e">
        <f>Gear!P39/VLOOKUP(C39,'Short &amp; Simple'!$H$32:$I$67,2,FALSE)</f>
        <v>#N/A</v>
      </c>
      <c r="R39" s="8" t="e">
        <f t="shared" si="3"/>
        <v>#N/A</v>
      </c>
    </row>
    <row r="40" spans="1:22" ht="15" customHeight="1">
      <c r="A40" s="48">
        <f>'Members Data'!A40</f>
        <v>0</v>
      </c>
      <c r="B40" s="221"/>
      <c r="C40" s="461"/>
      <c r="D40" s="454" t="s">
        <v>60</v>
      </c>
      <c r="E40" s="457">
        <v>0</v>
      </c>
      <c r="F40" s="456">
        <v>0</v>
      </c>
      <c r="G40" s="454" t="s">
        <v>60</v>
      </c>
      <c r="H40" s="456">
        <v>0</v>
      </c>
      <c r="I40" s="455">
        <v>0</v>
      </c>
      <c r="J40" s="9">
        <f t="shared" si="0"/>
        <v>0</v>
      </c>
      <c r="K40" s="9">
        <f>VLOOKUP(Gear!A40,'Look-up'!A:B,2,FALSE)</f>
        <v>0</v>
      </c>
      <c r="L40" s="8">
        <f>IF(K40&lt;'Short &amp; Simple'!$E$49,0,VLOOKUP(K40,'Short &amp; Simple'!$E$49:$F$58,2))</f>
        <v>0</v>
      </c>
      <c r="M40" s="489"/>
      <c r="N40" s="489"/>
      <c r="O40" s="489"/>
      <c r="P40" s="157">
        <f t="shared" si="2"/>
        <v>0</v>
      </c>
      <c r="Q40" s="160" t="e">
        <f>Gear!P40/VLOOKUP(C40,'Short &amp; Simple'!$H$32:$I$67,2,FALSE)</f>
        <v>#N/A</v>
      </c>
      <c r="R40" s="8" t="e">
        <f t="shared" si="3"/>
        <v>#N/A</v>
      </c>
      <c r="V40" s="231"/>
    </row>
    <row r="41" spans="1:22" ht="15" customHeight="1">
      <c r="A41" s="48">
        <f>'Members Data'!A41</f>
        <v>0</v>
      </c>
      <c r="B41" s="221"/>
      <c r="C41" s="461"/>
      <c r="D41" s="454" t="s">
        <v>60</v>
      </c>
      <c r="E41" s="457">
        <v>0</v>
      </c>
      <c r="F41" s="456">
        <v>0</v>
      </c>
      <c r="G41" s="454" t="s">
        <v>60</v>
      </c>
      <c r="H41" s="456">
        <v>0</v>
      </c>
      <c r="I41" s="455">
        <v>0</v>
      </c>
      <c r="J41" s="9">
        <f t="shared" si="0"/>
        <v>0</v>
      </c>
      <c r="K41" s="9">
        <f>VLOOKUP(Gear!A41,'Look-up'!A:B,2,FALSE)</f>
        <v>0</v>
      </c>
      <c r="L41" s="8">
        <f>IF(K41&lt;'Short &amp; Simple'!$E$49,0,VLOOKUP(K41,'Short &amp; Simple'!$E$49:$F$58,2))</f>
        <v>0</v>
      </c>
      <c r="M41" s="489"/>
      <c r="N41" s="489"/>
      <c r="O41" s="489"/>
      <c r="P41" s="157">
        <f t="shared" si="2"/>
        <v>0</v>
      </c>
      <c r="Q41" s="160" t="e">
        <f>Gear!P41/VLOOKUP(C41,'Short &amp; Simple'!$H$32:$I$67,2,FALSE)</f>
        <v>#N/A</v>
      </c>
      <c r="R41" s="8" t="e">
        <f t="shared" si="3"/>
        <v>#N/A</v>
      </c>
      <c r="V41" s="231"/>
    </row>
    <row r="42" spans="1:22" ht="15" customHeight="1">
      <c r="A42" s="48">
        <f>'Members Data'!A42</f>
        <v>0</v>
      </c>
      <c r="B42" s="221"/>
      <c r="C42" s="461"/>
      <c r="D42" s="454" t="s">
        <v>60</v>
      </c>
      <c r="E42" s="457">
        <v>0</v>
      </c>
      <c r="F42" s="456">
        <v>0</v>
      </c>
      <c r="G42" s="454" t="s">
        <v>60</v>
      </c>
      <c r="H42" s="456">
        <v>0</v>
      </c>
      <c r="I42" s="455">
        <v>0</v>
      </c>
      <c r="J42" s="9">
        <f t="shared" si="0"/>
        <v>0</v>
      </c>
      <c r="K42" s="9">
        <f>VLOOKUP(Gear!A42,'Look-up'!A:B,2,FALSE)</f>
        <v>0</v>
      </c>
      <c r="L42" s="8">
        <f>IF(K42&lt;'Short &amp; Simple'!$E$49,0,VLOOKUP(K42,'Short &amp; Simple'!$E$49:$F$58,2))</f>
        <v>0</v>
      </c>
      <c r="M42" s="489"/>
      <c r="N42" s="489"/>
      <c r="O42" s="489"/>
      <c r="P42" s="157">
        <f t="shared" si="2"/>
        <v>0</v>
      </c>
      <c r="Q42" s="160" t="e">
        <f>Gear!P42/VLOOKUP(C42,'Short &amp; Simple'!$H$32:$I$67,2,FALSE)</f>
        <v>#N/A</v>
      </c>
      <c r="R42" s="8" t="e">
        <f t="shared" si="3"/>
        <v>#N/A</v>
      </c>
      <c r="V42" s="231"/>
    </row>
    <row r="43" spans="1:22" ht="15" customHeight="1">
      <c r="A43" s="48">
        <f>'Members Data'!A43</f>
        <v>0</v>
      </c>
      <c r="B43" s="221"/>
      <c r="C43" s="461"/>
      <c r="D43" s="454" t="s">
        <v>60</v>
      </c>
      <c r="E43" s="457">
        <v>0</v>
      </c>
      <c r="F43" s="456">
        <v>0</v>
      </c>
      <c r="G43" s="454" t="s">
        <v>60</v>
      </c>
      <c r="H43" s="456">
        <v>0</v>
      </c>
      <c r="I43" s="455">
        <v>0</v>
      </c>
      <c r="J43" s="9">
        <f t="shared" si="0"/>
        <v>0</v>
      </c>
      <c r="K43" s="9">
        <f>VLOOKUP(Gear!A43,'Look-up'!A:B,2,FALSE)</f>
        <v>0</v>
      </c>
      <c r="L43" s="8">
        <f>IF(K43&lt;'Short &amp; Simple'!$E$49,0,VLOOKUP(K43,'Short &amp; Simple'!$E$49:$F$58,2))</f>
        <v>0</v>
      </c>
      <c r="M43" s="489"/>
      <c r="N43" s="489"/>
      <c r="O43" s="489"/>
      <c r="P43" s="157">
        <f t="shared" si="2"/>
        <v>0</v>
      </c>
      <c r="Q43" s="160" t="e">
        <f>Gear!P43/VLOOKUP(C43,'Short &amp; Simple'!$H$32:$I$67,2,FALSE)</f>
        <v>#N/A</v>
      </c>
      <c r="R43" s="8" t="e">
        <f t="shared" si="3"/>
        <v>#N/A</v>
      </c>
      <c r="V43" s="231"/>
    </row>
    <row r="44" spans="1:22" ht="15" customHeight="1">
      <c r="A44" s="48">
        <f>'Members Data'!A44</f>
        <v>0</v>
      </c>
      <c r="B44" s="221"/>
      <c r="C44" s="461"/>
      <c r="D44" s="454" t="s">
        <v>60</v>
      </c>
      <c r="E44" s="457">
        <v>0</v>
      </c>
      <c r="F44" s="456">
        <v>0</v>
      </c>
      <c r="G44" s="454" t="s">
        <v>60</v>
      </c>
      <c r="H44" s="456">
        <v>0</v>
      </c>
      <c r="I44" s="455">
        <v>0</v>
      </c>
      <c r="J44" s="9">
        <f t="shared" si="0"/>
        <v>0</v>
      </c>
      <c r="K44" s="9">
        <f>VLOOKUP(Gear!A44,'Look-up'!A:B,2,FALSE)</f>
        <v>0</v>
      </c>
      <c r="L44" s="8">
        <f>IF(K44&lt;'Short &amp; Simple'!$E$49,0,VLOOKUP(K44,'Short &amp; Simple'!$E$49:$F$58,2))</f>
        <v>0</v>
      </c>
      <c r="M44" s="489"/>
      <c r="N44" s="489"/>
      <c r="O44" s="489"/>
      <c r="P44" s="157">
        <f t="shared" si="2"/>
        <v>0</v>
      </c>
      <c r="Q44" s="160" t="e">
        <f>Gear!P44/VLOOKUP(C44,'Short &amp; Simple'!$H$32:$I$67,2,FALSE)</f>
        <v>#N/A</v>
      </c>
      <c r="R44" s="8" t="e">
        <f t="shared" si="3"/>
        <v>#N/A</v>
      </c>
      <c r="V44" s="231"/>
    </row>
    <row r="45" spans="1:22" ht="15" customHeight="1">
      <c r="A45" s="48">
        <f>'Members Data'!A45</f>
        <v>0</v>
      </c>
      <c r="B45" s="221"/>
      <c r="C45" s="461"/>
      <c r="D45" s="454" t="s">
        <v>60</v>
      </c>
      <c r="E45" s="457">
        <v>0</v>
      </c>
      <c r="F45" s="456">
        <v>0</v>
      </c>
      <c r="G45" s="454" t="s">
        <v>60</v>
      </c>
      <c r="H45" s="456">
        <v>0</v>
      </c>
      <c r="I45" s="455">
        <v>0</v>
      </c>
      <c r="J45" s="9">
        <f t="shared" si="0"/>
        <v>0</v>
      </c>
      <c r="K45" s="9">
        <f>VLOOKUP(Gear!A45,'Look-up'!A:B,2,FALSE)</f>
        <v>0</v>
      </c>
      <c r="L45" s="8">
        <f>IF(K45&lt;'Short &amp; Simple'!$E$49,0,VLOOKUP(K45,'Short &amp; Simple'!$E$49:$F$58,2))</f>
        <v>0</v>
      </c>
      <c r="M45" s="489"/>
      <c r="N45" s="489"/>
      <c r="O45" s="489"/>
      <c r="P45" s="157">
        <f t="shared" si="2"/>
        <v>0</v>
      </c>
      <c r="Q45" s="160" t="e">
        <f>Gear!P45/VLOOKUP(C45,'Short &amp; Simple'!$H$32:$I$67,2,FALSE)</f>
        <v>#N/A</v>
      </c>
      <c r="R45" s="8" t="e">
        <f t="shared" si="3"/>
        <v>#N/A</v>
      </c>
      <c r="V45" s="231"/>
    </row>
    <row r="46" spans="1:22" ht="15" customHeight="1">
      <c r="A46" s="48">
        <f>'Members Data'!A46</f>
        <v>0</v>
      </c>
      <c r="B46" s="221"/>
      <c r="C46" s="461"/>
      <c r="D46" s="454" t="s">
        <v>60</v>
      </c>
      <c r="E46" s="457">
        <v>0</v>
      </c>
      <c r="F46" s="456">
        <v>0</v>
      </c>
      <c r="G46" s="454" t="s">
        <v>60</v>
      </c>
      <c r="H46" s="456">
        <v>0</v>
      </c>
      <c r="I46" s="455">
        <v>0</v>
      </c>
      <c r="J46" s="9">
        <f t="shared" si="0"/>
        <v>0</v>
      </c>
      <c r="K46" s="9">
        <f>VLOOKUP(Gear!A46,'Look-up'!A:B,2,FALSE)</f>
        <v>0</v>
      </c>
      <c r="L46" s="8">
        <f>IF(K46&lt;'Short &amp; Simple'!$E$49,0,VLOOKUP(K46,'Short &amp; Simple'!$E$49:$F$58,2))</f>
        <v>0</v>
      </c>
      <c r="M46" s="489"/>
      <c r="N46" s="489"/>
      <c r="O46" s="489"/>
      <c r="P46" s="157">
        <f t="shared" si="2"/>
        <v>0</v>
      </c>
      <c r="Q46" s="160" t="e">
        <f>Gear!P46/VLOOKUP(C46,'Short &amp; Simple'!$H$32:$I$67,2,FALSE)</f>
        <v>#N/A</v>
      </c>
      <c r="R46" s="8" t="e">
        <f t="shared" si="3"/>
        <v>#N/A</v>
      </c>
      <c r="V46" s="231"/>
    </row>
    <row r="47" spans="1:22" ht="15" customHeight="1">
      <c r="A47" s="48">
        <f>'Members Data'!A47</f>
        <v>0</v>
      </c>
      <c r="B47" s="221"/>
      <c r="C47" s="461"/>
      <c r="D47" s="454" t="s">
        <v>60</v>
      </c>
      <c r="E47" s="457">
        <v>0</v>
      </c>
      <c r="F47" s="456">
        <v>0</v>
      </c>
      <c r="G47" s="454" t="s">
        <v>60</v>
      </c>
      <c r="H47" s="456">
        <v>0</v>
      </c>
      <c r="I47" s="455">
        <v>0</v>
      </c>
      <c r="J47" s="9">
        <f t="shared" si="0"/>
        <v>0</v>
      </c>
      <c r="K47" s="9">
        <f>VLOOKUP(Gear!A47,'Look-up'!A:B,2,FALSE)</f>
        <v>0</v>
      </c>
      <c r="L47" s="8">
        <f>IF(K47&lt;'Short &amp; Simple'!$E$49,0,VLOOKUP(K47,'Short &amp; Simple'!$E$49:$F$58,2))</f>
        <v>0</v>
      </c>
      <c r="M47" s="489"/>
      <c r="N47" s="489"/>
      <c r="O47" s="489"/>
      <c r="P47" s="157">
        <f t="shared" si="2"/>
        <v>0</v>
      </c>
      <c r="Q47" s="160" t="e">
        <f>Gear!P47/VLOOKUP(C47,'Short &amp; Simple'!$H$32:$I$67,2,FALSE)</f>
        <v>#N/A</v>
      </c>
      <c r="R47" s="8" t="e">
        <f t="shared" si="3"/>
        <v>#N/A</v>
      </c>
      <c r="V47" s="231"/>
    </row>
    <row r="48" spans="1:22" ht="15" customHeight="1">
      <c r="A48" s="48">
        <f>'Members Data'!A48</f>
        <v>0</v>
      </c>
      <c r="B48" s="221"/>
      <c r="C48" s="461"/>
      <c r="D48" s="454" t="s">
        <v>60</v>
      </c>
      <c r="E48" s="457">
        <v>0</v>
      </c>
      <c r="F48" s="456">
        <v>0</v>
      </c>
      <c r="G48" s="454" t="s">
        <v>60</v>
      </c>
      <c r="H48" s="456">
        <v>0</v>
      </c>
      <c r="I48" s="455">
        <v>0</v>
      </c>
      <c r="J48" s="9">
        <f t="shared" si="0"/>
        <v>0</v>
      </c>
      <c r="K48" s="9">
        <f>VLOOKUP(Gear!A48,'Look-up'!A:B,2,FALSE)</f>
        <v>0</v>
      </c>
      <c r="L48" s="8">
        <f>IF(K48&lt;'Short &amp; Simple'!$E$49,0,VLOOKUP(K48,'Short &amp; Simple'!$E$49:$F$58,2))</f>
        <v>0</v>
      </c>
      <c r="M48" s="489"/>
      <c r="N48" s="489"/>
      <c r="O48" s="489"/>
      <c r="P48" s="157">
        <f t="shared" si="2"/>
        <v>0</v>
      </c>
      <c r="Q48" s="160" t="e">
        <f>Gear!P48/VLOOKUP(C48,'Short &amp; Simple'!$H$32:$I$67,2,FALSE)</f>
        <v>#N/A</v>
      </c>
      <c r="R48" s="8" t="e">
        <f t="shared" si="3"/>
        <v>#N/A</v>
      </c>
      <c r="V48" s="231"/>
    </row>
    <row r="49" spans="1:22" ht="15" customHeight="1">
      <c r="A49" s="48">
        <f>'Members Data'!A49</f>
        <v>0</v>
      </c>
      <c r="B49" s="221"/>
      <c r="C49" s="461"/>
      <c r="D49" s="454" t="s">
        <v>60</v>
      </c>
      <c r="E49" s="457">
        <v>0</v>
      </c>
      <c r="F49" s="456">
        <v>0</v>
      </c>
      <c r="G49" s="224" t="s">
        <v>60</v>
      </c>
      <c r="H49" s="456">
        <v>0</v>
      </c>
      <c r="I49" s="455">
        <v>0</v>
      </c>
      <c r="J49" s="9">
        <f t="shared" si="0"/>
        <v>0</v>
      </c>
      <c r="K49" s="9">
        <f>VLOOKUP(Gear!A49,'Look-up'!A:B,2,FALSE)</f>
        <v>0</v>
      </c>
      <c r="L49" s="8">
        <f>IF(K49&lt;'Short &amp; Simple'!$E$49,0,VLOOKUP(K49,'Short &amp; Simple'!$E$49:$F$58,2))</f>
        <v>0</v>
      </c>
      <c r="M49" s="489"/>
      <c r="N49" s="489"/>
      <c r="O49" s="489"/>
      <c r="P49" s="157">
        <f t="shared" si="2"/>
        <v>0</v>
      </c>
      <c r="Q49" s="160" t="e">
        <f>Gear!P49/VLOOKUP(C49,'Short &amp; Simple'!$H$32:$I$67,2,FALSE)</f>
        <v>#N/A</v>
      </c>
      <c r="R49" s="8" t="e">
        <f t="shared" si="3"/>
        <v>#N/A</v>
      </c>
      <c r="V49" s="231"/>
    </row>
    <row r="50" spans="1:22" ht="15" customHeight="1">
      <c r="A50" s="48">
        <f>'Members Data'!A50</f>
        <v>0</v>
      </c>
      <c r="B50" s="221"/>
      <c r="C50" s="461"/>
      <c r="D50" s="454" t="s">
        <v>60</v>
      </c>
      <c r="E50" s="457">
        <v>0</v>
      </c>
      <c r="F50" s="456">
        <v>0</v>
      </c>
      <c r="G50" s="224" t="s">
        <v>60</v>
      </c>
      <c r="H50" s="456">
        <v>0</v>
      </c>
      <c r="I50" s="455">
        <v>0</v>
      </c>
      <c r="J50" s="9">
        <f t="shared" si="0"/>
        <v>0</v>
      </c>
      <c r="K50" s="9">
        <f>VLOOKUP(Gear!A50,'Look-up'!A:B,2,FALSE)</f>
        <v>0</v>
      </c>
      <c r="L50" s="8">
        <f>IF(K50&lt;'Short &amp; Simple'!$E$49,0,VLOOKUP(K50,'Short &amp; Simple'!$E$49:$F$58,2))</f>
        <v>0</v>
      </c>
      <c r="M50" s="489"/>
      <c r="N50" s="489"/>
      <c r="O50" s="489"/>
      <c r="P50" s="157">
        <f t="shared" si="2"/>
        <v>0</v>
      </c>
      <c r="Q50" s="160" t="e">
        <f>Gear!P50/VLOOKUP(C50,'Short &amp; Simple'!$H$32:$I$67,2,FALSE)</f>
        <v>#N/A</v>
      </c>
      <c r="R50" s="8" t="e">
        <f t="shared" si="3"/>
        <v>#N/A</v>
      </c>
      <c r="V50" s="231"/>
    </row>
    <row r="51" spans="1:22" ht="15" customHeight="1">
      <c r="A51" s="48">
        <f>'Members Data'!A51</f>
        <v>0</v>
      </c>
      <c r="B51" s="222"/>
      <c r="C51" s="461"/>
      <c r="D51" s="454" t="s">
        <v>60</v>
      </c>
      <c r="E51" s="457">
        <v>0</v>
      </c>
      <c r="F51" s="456">
        <v>0</v>
      </c>
      <c r="G51" s="224" t="s">
        <v>60</v>
      </c>
      <c r="H51" s="456">
        <v>0</v>
      </c>
      <c r="I51" s="455">
        <v>0</v>
      </c>
      <c r="J51" s="9">
        <f t="shared" si="0"/>
        <v>0</v>
      </c>
      <c r="K51" s="9">
        <f>VLOOKUP(Gear!A51,'Look-up'!A:B,2,FALSE)</f>
        <v>0</v>
      </c>
      <c r="L51" s="8">
        <f>IF(K51&lt;'Short &amp; Simple'!$E$49,0,VLOOKUP(K51,'Short &amp; Simple'!$E$49:$F$58,2))</f>
        <v>0</v>
      </c>
      <c r="M51" s="489"/>
      <c r="N51" s="489"/>
      <c r="O51" s="489"/>
      <c r="P51" s="157">
        <f t="shared" si="2"/>
        <v>0</v>
      </c>
      <c r="Q51" s="160" t="e">
        <f>Gear!P51/VLOOKUP(C51,'Short &amp; Simple'!$H$32:$I$67,2,FALSE)</f>
        <v>#N/A</v>
      </c>
      <c r="R51" s="8" t="e">
        <f t="shared" si="3"/>
        <v>#N/A</v>
      </c>
      <c r="V51" s="231"/>
    </row>
    <row r="52" spans="1:22" ht="15" customHeight="1">
      <c r="A52" s="48">
        <f>'Members Data'!A52</f>
        <v>0</v>
      </c>
      <c r="B52" s="222"/>
      <c r="C52" s="461"/>
      <c r="D52" s="454" t="s">
        <v>60</v>
      </c>
      <c r="E52" s="457">
        <v>0</v>
      </c>
      <c r="F52" s="456">
        <v>0</v>
      </c>
      <c r="G52" s="224" t="s">
        <v>60</v>
      </c>
      <c r="H52" s="456">
        <v>0</v>
      </c>
      <c r="I52" s="455">
        <v>0</v>
      </c>
      <c r="J52" s="9">
        <f t="shared" si="0"/>
        <v>0</v>
      </c>
      <c r="K52" s="9">
        <f>VLOOKUP(Gear!A52,'Look-up'!A:B,2,FALSE)</f>
        <v>0</v>
      </c>
      <c r="L52" s="8">
        <f>IF(K52&lt;'Short &amp; Simple'!$E$49,0,VLOOKUP(K52,'Short &amp; Simple'!$E$49:$F$58,2))</f>
        <v>0</v>
      </c>
      <c r="M52" s="489"/>
      <c r="N52" s="489"/>
      <c r="O52" s="489"/>
      <c r="P52" s="157">
        <f t="shared" si="2"/>
        <v>0</v>
      </c>
      <c r="Q52" s="160" t="e">
        <f>Gear!P52/VLOOKUP(C52,'Short &amp; Simple'!$H$32:$I$67,2,FALSE)</f>
        <v>#N/A</v>
      </c>
      <c r="R52" s="8" t="e">
        <f t="shared" si="3"/>
        <v>#N/A</v>
      </c>
      <c r="V52" s="231"/>
    </row>
    <row r="53" spans="1:22" ht="15" customHeight="1">
      <c r="A53" s="48">
        <f>'Members Data'!A53</f>
        <v>0</v>
      </c>
      <c r="B53" s="222"/>
      <c r="C53" s="461"/>
      <c r="D53" s="454" t="s">
        <v>60</v>
      </c>
      <c r="E53" s="457">
        <v>0</v>
      </c>
      <c r="F53" s="456">
        <v>0</v>
      </c>
      <c r="G53" s="224" t="s">
        <v>60</v>
      </c>
      <c r="H53" s="456">
        <v>0</v>
      </c>
      <c r="I53" s="455">
        <v>0</v>
      </c>
      <c r="J53" s="9">
        <f t="shared" ref="J53:J65" si="4">(IF(D53="no",TRUE)*0.1)+(E53*0.4)+(F53*0.1)+(IF(G53="no",TRUE)*0.2)+(H53*0.4)+(I53*0.1)</f>
        <v>0</v>
      </c>
      <c r="K53" s="9">
        <f>VLOOKUP(Gear!A53,'Look-up'!A:B,2,FALSE)</f>
        <v>0</v>
      </c>
      <c r="L53" s="8">
        <f>IF(K53&lt;'Short &amp; Simple'!$E$49,0,VLOOKUP(K53,'Short &amp; Simple'!$E$49:$F$58,2))</f>
        <v>0</v>
      </c>
      <c r="M53" s="489"/>
      <c r="N53" s="489"/>
      <c r="O53" s="489"/>
      <c r="P53" s="157">
        <f t="shared" si="2"/>
        <v>0</v>
      </c>
      <c r="Q53" s="160" t="e">
        <f>Gear!P53/VLOOKUP(C53,'Short &amp; Simple'!$H$32:$I$67,2,FALSE)</f>
        <v>#N/A</v>
      </c>
      <c r="R53" s="8" t="e">
        <f t="shared" si="3"/>
        <v>#N/A</v>
      </c>
      <c r="V53" s="231"/>
    </row>
    <row r="54" spans="1:22" ht="15" customHeight="1">
      <c r="A54" s="48">
        <f>'Members Data'!A54</f>
        <v>0</v>
      </c>
      <c r="B54" s="222"/>
      <c r="C54" s="461"/>
      <c r="D54" s="454" t="s">
        <v>60</v>
      </c>
      <c r="E54" s="457">
        <v>0</v>
      </c>
      <c r="F54" s="456">
        <v>0</v>
      </c>
      <c r="G54" s="224" t="s">
        <v>60</v>
      </c>
      <c r="H54" s="456">
        <v>0</v>
      </c>
      <c r="I54" s="455">
        <v>0</v>
      </c>
      <c r="J54" s="9">
        <f t="shared" si="4"/>
        <v>0</v>
      </c>
      <c r="K54" s="9">
        <f>VLOOKUP(Gear!A54,'Look-up'!A:B,2,FALSE)</f>
        <v>0</v>
      </c>
      <c r="L54" s="8">
        <f>IF(K54&lt;'Short &amp; Simple'!$E$49,0,VLOOKUP(K54,'Short &amp; Simple'!$E$49:$F$58,2))</f>
        <v>0</v>
      </c>
      <c r="M54" s="489"/>
      <c r="N54" s="489"/>
      <c r="O54" s="489"/>
      <c r="P54" s="157">
        <f t="shared" si="2"/>
        <v>0</v>
      </c>
      <c r="Q54" s="160" t="e">
        <f>Gear!P54/VLOOKUP(C54,'Short &amp; Simple'!$H$32:$I$67,2,FALSE)</f>
        <v>#N/A</v>
      </c>
      <c r="R54" s="8" t="e">
        <f t="shared" si="3"/>
        <v>#N/A</v>
      </c>
      <c r="V54" s="231"/>
    </row>
    <row r="55" spans="1:22" ht="15" customHeight="1">
      <c r="A55" s="48">
        <f>'Members Data'!A55</f>
        <v>0</v>
      </c>
      <c r="B55" s="222"/>
      <c r="C55" s="461"/>
      <c r="D55" s="454" t="s">
        <v>60</v>
      </c>
      <c r="E55" s="457">
        <v>0</v>
      </c>
      <c r="F55" s="456">
        <v>0</v>
      </c>
      <c r="G55" s="224" t="s">
        <v>60</v>
      </c>
      <c r="H55" s="456">
        <v>0</v>
      </c>
      <c r="I55" s="455">
        <v>0</v>
      </c>
      <c r="J55" s="9">
        <f t="shared" si="4"/>
        <v>0</v>
      </c>
      <c r="K55" s="9">
        <f>VLOOKUP(Gear!A55,'Look-up'!A:B,2,FALSE)</f>
        <v>0</v>
      </c>
      <c r="L55" s="8">
        <f>IF(K55&lt;'Short &amp; Simple'!$E$49,0,VLOOKUP(K55,'Short &amp; Simple'!$E$49:$F$58,2))</f>
        <v>0</v>
      </c>
      <c r="M55" s="489"/>
      <c r="N55" s="489"/>
      <c r="O55" s="489"/>
      <c r="P55" s="157">
        <f t="shared" si="2"/>
        <v>0</v>
      </c>
      <c r="Q55" s="160" t="e">
        <f>Gear!P55/VLOOKUP(C55,'Short &amp; Simple'!$H$32:$I$67,2,FALSE)</f>
        <v>#N/A</v>
      </c>
      <c r="R55" s="8" t="e">
        <f t="shared" si="3"/>
        <v>#N/A</v>
      </c>
      <c r="V55" s="231"/>
    </row>
    <row r="56" spans="1:22" ht="15" customHeight="1">
      <c r="A56" s="48">
        <f>'Members Data'!A56</f>
        <v>0</v>
      </c>
      <c r="B56" s="222"/>
      <c r="C56" s="461"/>
      <c r="D56" s="454" t="s">
        <v>60</v>
      </c>
      <c r="E56" s="457">
        <v>0</v>
      </c>
      <c r="F56" s="456">
        <v>0</v>
      </c>
      <c r="G56" s="224" t="s">
        <v>60</v>
      </c>
      <c r="H56" s="456">
        <v>0</v>
      </c>
      <c r="I56" s="455">
        <v>0</v>
      </c>
      <c r="J56" s="9">
        <f t="shared" si="4"/>
        <v>0</v>
      </c>
      <c r="K56" s="9">
        <f>VLOOKUP(Gear!A56,'Look-up'!A:B,2,FALSE)</f>
        <v>0</v>
      </c>
      <c r="L56" s="8">
        <f>IF(K56&lt;'Short &amp; Simple'!$E$49,0,VLOOKUP(K56,'Short &amp; Simple'!$E$49:$F$58,2))</f>
        <v>0</v>
      </c>
      <c r="M56" s="489"/>
      <c r="N56" s="489"/>
      <c r="O56" s="489"/>
      <c r="P56" s="157">
        <f t="shared" si="2"/>
        <v>0</v>
      </c>
      <c r="Q56" s="160" t="e">
        <f>Gear!P56/VLOOKUP(C56,'Short &amp; Simple'!$H$32:$I$67,2,FALSE)</f>
        <v>#N/A</v>
      </c>
      <c r="R56" s="8" t="e">
        <f t="shared" si="3"/>
        <v>#N/A</v>
      </c>
      <c r="V56" s="231"/>
    </row>
    <row r="57" spans="1:22" ht="15" customHeight="1">
      <c r="A57" s="48">
        <f>'Members Data'!A57</f>
        <v>0</v>
      </c>
      <c r="B57" s="222"/>
      <c r="C57" s="461"/>
      <c r="D57" s="454" t="s">
        <v>60</v>
      </c>
      <c r="E57" s="457">
        <v>0</v>
      </c>
      <c r="F57" s="456">
        <v>0</v>
      </c>
      <c r="G57" s="224" t="s">
        <v>60</v>
      </c>
      <c r="H57" s="456">
        <v>0</v>
      </c>
      <c r="I57" s="455">
        <v>0</v>
      </c>
      <c r="J57" s="9">
        <f t="shared" si="4"/>
        <v>0</v>
      </c>
      <c r="K57" s="9">
        <f>VLOOKUP(Gear!A57,'Look-up'!A:B,2,FALSE)</f>
        <v>0</v>
      </c>
      <c r="L57" s="8">
        <f>IF(K57&lt;'Short &amp; Simple'!$E$49,0,VLOOKUP(K57,'Short &amp; Simple'!$E$49:$F$58,2))</f>
        <v>0</v>
      </c>
      <c r="M57" s="489"/>
      <c r="N57" s="489"/>
      <c r="O57" s="489"/>
      <c r="P57" s="157">
        <f t="shared" si="2"/>
        <v>0</v>
      </c>
      <c r="Q57" s="160" t="e">
        <f>Gear!P57/VLOOKUP(C57,'Short &amp; Simple'!$H$32:$I$67,2,FALSE)</f>
        <v>#N/A</v>
      </c>
      <c r="R57" s="8" t="e">
        <f t="shared" si="3"/>
        <v>#N/A</v>
      </c>
      <c r="V57" s="231"/>
    </row>
    <row r="58" spans="1:22" ht="15" customHeight="1">
      <c r="A58" s="48">
        <f>'Members Data'!A58</f>
        <v>0</v>
      </c>
      <c r="B58" s="222"/>
      <c r="C58" s="461"/>
      <c r="D58" s="454" t="s">
        <v>60</v>
      </c>
      <c r="E58" s="457">
        <v>0</v>
      </c>
      <c r="F58" s="456">
        <v>0</v>
      </c>
      <c r="G58" s="224" t="s">
        <v>60</v>
      </c>
      <c r="H58" s="456">
        <v>0</v>
      </c>
      <c r="I58" s="455">
        <v>0</v>
      </c>
      <c r="J58" s="9">
        <f t="shared" si="4"/>
        <v>0</v>
      </c>
      <c r="K58" s="9">
        <f>VLOOKUP(Gear!A58,'Look-up'!A:B,2,FALSE)</f>
        <v>0</v>
      </c>
      <c r="L58" s="8">
        <f>IF(K58&lt;'Short &amp; Simple'!$E$49,0,VLOOKUP(K58,'Short &amp; Simple'!$E$49:$F$58,2))</f>
        <v>0</v>
      </c>
      <c r="M58" s="489"/>
      <c r="N58" s="489"/>
      <c r="O58" s="489"/>
      <c r="P58" s="157">
        <f t="shared" si="2"/>
        <v>0</v>
      </c>
      <c r="Q58" s="160" t="e">
        <f>Gear!P58/VLOOKUP(C58,'Short &amp; Simple'!$H$32:$I$67,2,FALSE)</f>
        <v>#N/A</v>
      </c>
      <c r="R58" s="8" t="e">
        <f t="shared" si="3"/>
        <v>#N/A</v>
      </c>
      <c r="V58" s="231"/>
    </row>
    <row r="59" spans="1:22" ht="15" customHeight="1">
      <c r="A59" s="48">
        <f>'Members Data'!A59</f>
        <v>0</v>
      </c>
      <c r="B59" s="222"/>
      <c r="C59" s="461"/>
      <c r="D59" s="454" t="s">
        <v>60</v>
      </c>
      <c r="E59" s="457">
        <v>0</v>
      </c>
      <c r="F59" s="456">
        <v>0</v>
      </c>
      <c r="G59" s="224" t="s">
        <v>60</v>
      </c>
      <c r="H59" s="456">
        <v>0</v>
      </c>
      <c r="I59" s="455">
        <v>0</v>
      </c>
      <c r="J59" s="9">
        <f t="shared" si="4"/>
        <v>0</v>
      </c>
      <c r="K59" s="9">
        <f>VLOOKUP(Gear!A59,'Look-up'!A:B,2,FALSE)</f>
        <v>0</v>
      </c>
      <c r="L59" s="8">
        <f>IF(K59&lt;'Short &amp; Simple'!$E$49,0,VLOOKUP(K59,'Short &amp; Simple'!$E$49:$F$58,2))</f>
        <v>0</v>
      </c>
      <c r="M59" s="489"/>
      <c r="N59" s="489"/>
      <c r="O59" s="489"/>
      <c r="P59" s="157">
        <f t="shared" si="2"/>
        <v>0</v>
      </c>
      <c r="Q59" s="160" t="e">
        <f>Gear!P59/VLOOKUP(C59,'Short &amp; Simple'!$H$32:$I$67,2,FALSE)</f>
        <v>#N/A</v>
      </c>
      <c r="R59" s="8" t="e">
        <f t="shared" si="3"/>
        <v>#N/A</v>
      </c>
      <c r="V59" s="231"/>
    </row>
    <row r="60" spans="1:22" ht="15" customHeight="1">
      <c r="A60" s="48">
        <f>'Members Data'!A60</f>
        <v>0</v>
      </c>
      <c r="B60" s="222"/>
      <c r="C60" s="461"/>
      <c r="D60" s="454" t="s">
        <v>60</v>
      </c>
      <c r="E60" s="457">
        <v>0</v>
      </c>
      <c r="F60" s="456">
        <v>0</v>
      </c>
      <c r="G60" s="224" t="s">
        <v>60</v>
      </c>
      <c r="H60" s="456">
        <v>0</v>
      </c>
      <c r="I60" s="455">
        <v>0</v>
      </c>
      <c r="J60" s="9">
        <f t="shared" si="4"/>
        <v>0</v>
      </c>
      <c r="K60" s="9">
        <f>VLOOKUP(Gear!A60,'Look-up'!A:B,2,FALSE)</f>
        <v>0</v>
      </c>
      <c r="L60" s="8">
        <f>IF(K60&lt;'Short &amp; Simple'!$E$49,0,VLOOKUP(K60,'Short &amp; Simple'!$E$49:$F$58,2))</f>
        <v>0</v>
      </c>
      <c r="M60" s="489"/>
      <c r="N60" s="489"/>
      <c r="O60" s="489"/>
      <c r="P60" s="157">
        <f t="shared" si="2"/>
        <v>0</v>
      </c>
      <c r="Q60" s="160" t="e">
        <f>Gear!P60/VLOOKUP(C60,'Short &amp; Simple'!$H$32:$I$67,2,FALSE)</f>
        <v>#N/A</v>
      </c>
      <c r="R60" s="8" t="e">
        <f t="shared" si="3"/>
        <v>#N/A</v>
      </c>
      <c r="V60" s="231"/>
    </row>
    <row r="61" spans="1:22" ht="15" customHeight="1" thickBot="1">
      <c r="A61" s="472">
        <f>'Members Data'!A61</f>
        <v>0</v>
      </c>
      <c r="B61" s="223"/>
      <c r="C61" s="462"/>
      <c r="D61" s="469" t="s">
        <v>60</v>
      </c>
      <c r="E61" s="473">
        <v>0</v>
      </c>
      <c r="F61" s="468">
        <v>0</v>
      </c>
      <c r="G61" s="469" t="s">
        <v>60</v>
      </c>
      <c r="H61" s="468">
        <v>0</v>
      </c>
      <c r="I61" s="474">
        <v>0</v>
      </c>
      <c r="J61" s="475">
        <f t="shared" si="4"/>
        <v>0</v>
      </c>
      <c r="K61" s="475">
        <f>VLOOKUP(Gear!A61,'Look-up'!A:B,2,FALSE)</f>
        <v>0</v>
      </c>
      <c r="L61" s="390">
        <f>IF(K61&lt;'Short &amp; Simple'!$E$49,0,VLOOKUP(K61,'Short &amp; Simple'!$E$49:$F$58,2))</f>
        <v>0</v>
      </c>
      <c r="M61" s="489"/>
      <c r="N61" s="490"/>
      <c r="O61" s="490"/>
      <c r="P61" s="476">
        <f t="shared" si="2"/>
        <v>0</v>
      </c>
      <c r="Q61" s="477" t="e">
        <f>Gear!P61/VLOOKUP(C61,'Short &amp; Simple'!$H$32:$I$67,2,FALSE)</f>
        <v>#N/A</v>
      </c>
      <c r="R61" s="390" t="e">
        <f t="shared" si="3"/>
        <v>#N/A</v>
      </c>
      <c r="V61" s="231"/>
    </row>
    <row r="62" spans="1:22" ht="15" customHeight="1" thickTop="1">
      <c r="A62" s="478" t="str">
        <f>'Members Data'!A62</f>
        <v>Kristofix</v>
      </c>
      <c r="B62" s="221">
        <v>40774</v>
      </c>
      <c r="C62" s="479"/>
      <c r="D62" s="480" t="s">
        <v>60</v>
      </c>
      <c r="E62" s="481">
        <v>0</v>
      </c>
      <c r="F62" s="481">
        <v>0</v>
      </c>
      <c r="G62" s="480" t="s">
        <v>60</v>
      </c>
      <c r="H62" s="481">
        <v>0</v>
      </c>
      <c r="I62" s="482">
        <v>0</v>
      </c>
      <c r="J62" s="478">
        <f t="shared" si="4"/>
        <v>0</v>
      </c>
      <c r="K62" s="478" t="e">
        <f>VLOOKUP(Gear!A62,'Look-up'!A:B,2,FALSE)</f>
        <v>#N/A</v>
      </c>
      <c r="L62" s="153" t="e">
        <f>IF(K62&lt;'Short &amp; Simple'!$E$49,0,VLOOKUP(K62,'Short &amp; Simple'!$E$49:$F$58,2))</f>
        <v>#N/A</v>
      </c>
      <c r="M62" s="489"/>
      <c r="N62" s="491"/>
      <c r="O62" s="491"/>
      <c r="P62" s="159">
        <f t="shared" si="2"/>
        <v>0</v>
      </c>
      <c r="Q62" s="161" t="e">
        <f>Gear!P62/VLOOKUP(C62,'Short &amp; Simple'!$H$32:$I$67,2,FALSE)</f>
        <v>#N/A</v>
      </c>
      <c r="R62" s="153" t="e">
        <f t="shared" si="3"/>
        <v>#N/A</v>
      </c>
      <c r="V62" s="231"/>
    </row>
    <row r="63" spans="1:22" ht="15" customHeight="1">
      <c r="A63" s="48" t="str">
        <f>'Members Data'!A63</f>
        <v>Nazgol</v>
      </c>
      <c r="B63" s="221">
        <v>40774</v>
      </c>
      <c r="C63" s="461"/>
      <c r="D63" s="454" t="s">
        <v>60</v>
      </c>
      <c r="E63" s="457">
        <v>0</v>
      </c>
      <c r="F63" s="456">
        <v>0</v>
      </c>
      <c r="G63" s="224" t="s">
        <v>60</v>
      </c>
      <c r="H63" s="456">
        <v>0</v>
      </c>
      <c r="I63" s="455">
        <v>0</v>
      </c>
      <c r="J63" s="9">
        <f t="shared" si="4"/>
        <v>0</v>
      </c>
      <c r="K63" s="9" t="e">
        <f>VLOOKUP(Gear!A63,'Look-up'!A:B,2,FALSE)</f>
        <v>#N/A</v>
      </c>
      <c r="L63" s="8" t="e">
        <f>IF(K63&lt;'Short &amp; Simple'!$E$49,0,VLOOKUP(K63,'Short &amp; Simple'!$E$49:$F$58,2))</f>
        <v>#N/A</v>
      </c>
      <c r="M63" s="489"/>
      <c r="N63" s="489"/>
      <c r="O63" s="489"/>
      <c r="P63" s="157">
        <f t="shared" si="2"/>
        <v>0</v>
      </c>
      <c r="Q63" s="160" t="e">
        <f>Gear!P63/VLOOKUP(C63,'Short &amp; Simple'!$H$32:$I$67,2,FALSE)</f>
        <v>#N/A</v>
      </c>
      <c r="R63" s="8" t="e">
        <f t="shared" si="3"/>
        <v>#N/A</v>
      </c>
      <c r="V63" s="231"/>
    </row>
    <row r="64" spans="1:22" ht="15" customHeight="1">
      <c r="A64" s="48" t="str">
        <f>'Members Data'!A64</f>
        <v>Icewinde</v>
      </c>
      <c r="B64" s="221">
        <v>40774</v>
      </c>
      <c r="C64" s="461"/>
      <c r="D64" s="454" t="s">
        <v>60</v>
      </c>
      <c r="E64" s="457">
        <v>0</v>
      </c>
      <c r="F64" s="456">
        <v>0</v>
      </c>
      <c r="G64" s="224" t="s">
        <v>60</v>
      </c>
      <c r="H64" s="456">
        <v>0</v>
      </c>
      <c r="I64" s="455">
        <v>0</v>
      </c>
      <c r="J64" s="9">
        <f t="shared" si="4"/>
        <v>0</v>
      </c>
      <c r="K64" s="9" t="e">
        <f>VLOOKUP(Gear!A64,'Look-up'!A:B,2,FALSE)</f>
        <v>#N/A</v>
      </c>
      <c r="L64" s="8" t="e">
        <f>IF(K64&lt;'Short &amp; Simple'!$E$49,0,VLOOKUP(K64,'Short &amp; Simple'!$E$49:$F$58,2))</f>
        <v>#N/A</v>
      </c>
      <c r="M64" s="489"/>
      <c r="N64" s="489"/>
      <c r="O64" s="489"/>
      <c r="P64" s="157">
        <f t="shared" si="2"/>
        <v>0</v>
      </c>
      <c r="Q64" s="160" t="e">
        <f>Gear!P64/VLOOKUP(C64,'Short &amp; Simple'!$H$32:$I$67,2,FALSE)</f>
        <v>#N/A</v>
      </c>
      <c r="R64" s="8" t="e">
        <f t="shared" si="3"/>
        <v>#N/A</v>
      </c>
      <c r="V64" s="231"/>
    </row>
    <row r="65" spans="1:22" ht="15" customHeight="1">
      <c r="A65" s="48" t="str">
        <f>'Members Data'!A65</f>
        <v>Ambú</v>
      </c>
      <c r="B65" s="221">
        <v>40774</v>
      </c>
      <c r="C65" s="461"/>
      <c r="D65" s="454" t="s">
        <v>60</v>
      </c>
      <c r="E65" s="457">
        <v>0</v>
      </c>
      <c r="F65" s="456">
        <v>0</v>
      </c>
      <c r="G65" s="224" t="s">
        <v>60</v>
      </c>
      <c r="H65" s="456">
        <v>0</v>
      </c>
      <c r="I65" s="455">
        <v>0</v>
      </c>
      <c r="J65" s="9">
        <f t="shared" si="4"/>
        <v>0</v>
      </c>
      <c r="K65" s="9">
        <f>VLOOKUP(Gear!A65,'Look-up'!A:B,2,FALSE)</f>
        <v>7793</v>
      </c>
      <c r="L65" s="8">
        <f>IF(K65&lt;'Short &amp; Simple'!$E$49,0,VLOOKUP(K65,'Short &amp; Simple'!$E$49:$F$58,2))</f>
        <v>2</v>
      </c>
      <c r="M65" s="489"/>
      <c r="N65" s="489"/>
      <c r="O65" s="489"/>
      <c r="P65" s="157">
        <f t="shared" si="2"/>
        <v>0</v>
      </c>
      <c r="Q65" s="160" t="e">
        <f>Gear!P65/VLOOKUP(C65,'Short &amp; Simple'!$H$32:$I$67,2,FALSE)</f>
        <v>#N/A</v>
      </c>
      <c r="R65" s="8" t="e">
        <f t="shared" si="3"/>
        <v>#N/A</v>
      </c>
      <c r="V65" s="231"/>
    </row>
    <row r="66" spans="1:22" ht="15" customHeight="1">
      <c r="A66" s="48" t="str">
        <f>'Members Data'!A66</f>
        <v>Mortali</v>
      </c>
      <c r="B66" s="221">
        <v>40774</v>
      </c>
      <c r="C66" s="461"/>
      <c r="D66" s="454" t="s">
        <v>60</v>
      </c>
      <c r="E66" s="457">
        <v>0</v>
      </c>
      <c r="F66" s="456">
        <v>0</v>
      </c>
      <c r="G66" s="454" t="s">
        <v>60</v>
      </c>
      <c r="H66" s="456">
        <v>0</v>
      </c>
      <c r="I66" s="455">
        <v>0</v>
      </c>
      <c r="J66" s="9">
        <f t="shared" ref="J66:J71" si="5">(IF(D66="no",TRUE)*0.1)+(E66*0.4)+(F66*0.1)+(IF(G66="no",TRUE)*0.2)+(H66*0.4)+(I66*0.1)</f>
        <v>0</v>
      </c>
      <c r="K66" s="9" t="e">
        <f>VLOOKUP(Gear!A66,'Look-up'!A:B,2,FALSE)</f>
        <v>#N/A</v>
      </c>
      <c r="L66" s="8" t="e">
        <f>IF(K66&lt;'Short &amp; Simple'!$E$49,0,VLOOKUP(K66,'Short &amp; Simple'!$E$49:$F$58,2))</f>
        <v>#N/A</v>
      </c>
      <c r="M66" s="489"/>
      <c r="N66" s="489"/>
      <c r="O66" s="489"/>
      <c r="P66" s="157">
        <f t="shared" si="2"/>
        <v>0</v>
      </c>
      <c r="Q66" s="160" t="e">
        <f>Gear!P66/VLOOKUP(C66,'Short &amp; Simple'!$H$32:$I$67,2,FALSE)</f>
        <v>#N/A</v>
      </c>
      <c r="R66" s="8" t="e">
        <f t="shared" ref="R66:R97" si="6">IF(Q66&gt;=$X$4,"Gladiator",IF(Q66&gt;=$X$3,"Venturer","Traveler"))</f>
        <v>#N/A</v>
      </c>
      <c r="V66" s="231"/>
    </row>
    <row r="67" spans="1:22" ht="15" customHeight="1">
      <c r="A67" s="48" t="str">
        <f>'Members Data'!A67</f>
        <v>Andreah</v>
      </c>
      <c r="B67" s="221">
        <v>40774</v>
      </c>
      <c r="C67" s="461"/>
      <c r="D67" s="454" t="s">
        <v>60</v>
      </c>
      <c r="E67" s="457">
        <v>0</v>
      </c>
      <c r="F67" s="456">
        <v>0</v>
      </c>
      <c r="G67" s="454" t="s">
        <v>60</v>
      </c>
      <c r="H67" s="456">
        <v>0</v>
      </c>
      <c r="I67" s="455">
        <v>0</v>
      </c>
      <c r="J67" s="9">
        <f t="shared" si="5"/>
        <v>0</v>
      </c>
      <c r="K67" s="9" t="e">
        <f>VLOOKUP(Gear!A67,'Look-up'!A:B,2,FALSE)</f>
        <v>#N/A</v>
      </c>
      <c r="L67" s="8" t="e">
        <f>IF(K67&lt;'Short &amp; Simple'!$E$49,0,VLOOKUP(K67,'Short &amp; Simple'!$E$49:$F$58,2))</f>
        <v>#N/A</v>
      </c>
      <c r="M67" s="489"/>
      <c r="N67" s="489"/>
      <c r="O67" s="489"/>
      <c r="P67" s="157">
        <f t="shared" ref="P67:P100" si="7">IF(SUM($M67:$O67)=0,0,SUM($M67:$O67)/COUNTIF($M67:$O67, "&gt;0"))</f>
        <v>0</v>
      </c>
      <c r="Q67" s="160" t="e">
        <f>Gear!P67/VLOOKUP(C67,'Short &amp; Simple'!$H$32:$I$67,2,FALSE)</f>
        <v>#N/A</v>
      </c>
      <c r="R67" s="8" t="e">
        <f t="shared" si="6"/>
        <v>#N/A</v>
      </c>
      <c r="V67" s="231"/>
    </row>
    <row r="68" spans="1:22" ht="15" customHeight="1">
      <c r="A68" s="48" t="str">
        <f>'Members Data'!A68</f>
        <v>Yardk</v>
      </c>
      <c r="B68" s="221">
        <v>40774</v>
      </c>
      <c r="C68" s="461"/>
      <c r="D68" s="454" t="s">
        <v>60</v>
      </c>
      <c r="E68" s="457">
        <v>0</v>
      </c>
      <c r="F68" s="456">
        <v>0</v>
      </c>
      <c r="G68" s="224" t="s">
        <v>60</v>
      </c>
      <c r="H68" s="456">
        <v>0</v>
      </c>
      <c r="I68" s="455">
        <v>0</v>
      </c>
      <c r="J68" s="9">
        <f t="shared" si="5"/>
        <v>0</v>
      </c>
      <c r="K68" s="9" t="e">
        <f>VLOOKUP(Gear!A68,'Look-up'!A:B,2,FALSE)</f>
        <v>#N/A</v>
      </c>
      <c r="L68" s="8" t="e">
        <f>IF(K68&lt;'Short &amp; Simple'!$E$49,0,VLOOKUP(K68,'Short &amp; Simple'!$E$49:$F$58,2))</f>
        <v>#N/A</v>
      </c>
      <c r="M68" s="489"/>
      <c r="N68" s="489"/>
      <c r="O68" s="489"/>
      <c r="P68" s="157">
        <f t="shared" si="7"/>
        <v>0</v>
      </c>
      <c r="Q68" s="160" t="e">
        <f>Gear!P68/VLOOKUP(C68,'Short &amp; Simple'!$H$32:$I$67,2,FALSE)</f>
        <v>#N/A</v>
      </c>
      <c r="R68" s="8" t="e">
        <f t="shared" si="6"/>
        <v>#N/A</v>
      </c>
      <c r="V68" s="231"/>
    </row>
    <row r="69" spans="1:22" ht="15" customHeight="1">
      <c r="A69" s="48" t="str">
        <f>'Members Data'!A69</f>
        <v>Halfhorns</v>
      </c>
      <c r="B69" s="221">
        <v>40774</v>
      </c>
      <c r="C69" s="461"/>
      <c r="D69" s="454" t="s">
        <v>60</v>
      </c>
      <c r="E69" s="457">
        <v>0</v>
      </c>
      <c r="F69" s="456">
        <v>0</v>
      </c>
      <c r="G69" s="454" t="s">
        <v>60</v>
      </c>
      <c r="H69" s="456">
        <v>0</v>
      </c>
      <c r="I69" s="455">
        <v>0</v>
      </c>
      <c r="J69" s="9">
        <f t="shared" si="5"/>
        <v>0</v>
      </c>
      <c r="K69" s="9" t="e">
        <f>VLOOKUP(Gear!A69,'Look-up'!A:B,2,FALSE)</f>
        <v>#N/A</v>
      </c>
      <c r="L69" s="8" t="e">
        <f>IF(K69&lt;'Short &amp; Simple'!$E$49,0,VLOOKUP(K69,'Short &amp; Simple'!$E$49:$F$58,2))</f>
        <v>#N/A</v>
      </c>
      <c r="M69" s="489">
        <v>102770.3</v>
      </c>
      <c r="N69" s="489"/>
      <c r="O69" s="489"/>
      <c r="P69" s="157">
        <f t="shared" si="7"/>
        <v>102770.3</v>
      </c>
      <c r="Q69" s="160" t="e">
        <f>Gear!P69/VLOOKUP(C69,'Short &amp; Simple'!$H$32:$I$67,2,FALSE)</f>
        <v>#N/A</v>
      </c>
      <c r="R69" s="8" t="e">
        <f t="shared" si="6"/>
        <v>#N/A</v>
      </c>
      <c r="V69" s="231"/>
    </row>
    <row r="70" spans="1:22" ht="15" customHeight="1">
      <c r="A70" s="48" t="str">
        <f>'Members Data'!A70</f>
        <v>Ebullio</v>
      </c>
      <c r="B70" s="221">
        <v>40774</v>
      </c>
      <c r="C70" s="461"/>
      <c r="D70" s="454" t="s">
        <v>60</v>
      </c>
      <c r="E70" s="457">
        <v>0</v>
      </c>
      <c r="F70" s="456">
        <v>0</v>
      </c>
      <c r="G70" s="224" t="s">
        <v>60</v>
      </c>
      <c r="H70" s="456">
        <v>0</v>
      </c>
      <c r="I70" s="455">
        <v>0</v>
      </c>
      <c r="J70" s="9">
        <f t="shared" si="5"/>
        <v>0</v>
      </c>
      <c r="K70" s="9" t="e">
        <f>VLOOKUP(Gear!A70,'Look-up'!A:B,2,FALSE)</f>
        <v>#N/A</v>
      </c>
      <c r="L70" s="8" t="e">
        <f>IF(K70&lt;'Short &amp; Simple'!$E$49,0,VLOOKUP(K70,'Short &amp; Simple'!$E$49:$F$58,2))</f>
        <v>#N/A</v>
      </c>
      <c r="M70" s="489"/>
      <c r="N70" s="489"/>
      <c r="O70" s="489"/>
      <c r="P70" s="157">
        <f t="shared" si="7"/>
        <v>0</v>
      </c>
      <c r="Q70" s="160" t="e">
        <f>Gear!P70/VLOOKUP(C70,'Short &amp; Simple'!$H$32:$I$67,2,FALSE)</f>
        <v>#N/A</v>
      </c>
      <c r="R70" s="8" t="e">
        <f t="shared" si="6"/>
        <v>#N/A</v>
      </c>
      <c r="V70" s="231"/>
    </row>
    <row r="71" spans="1:22" ht="15" customHeight="1">
      <c r="A71" s="48" t="str">
        <f>'Members Data'!A71</f>
        <v>Fireaxe</v>
      </c>
      <c r="B71" s="221">
        <v>40774</v>
      </c>
      <c r="C71" s="461"/>
      <c r="D71" s="454" t="s">
        <v>60</v>
      </c>
      <c r="E71" s="457">
        <v>0</v>
      </c>
      <c r="F71" s="456">
        <v>0</v>
      </c>
      <c r="G71" s="224" t="s">
        <v>60</v>
      </c>
      <c r="H71" s="456">
        <v>0</v>
      </c>
      <c r="I71" s="455">
        <v>0</v>
      </c>
      <c r="J71" s="9">
        <f t="shared" si="5"/>
        <v>0</v>
      </c>
      <c r="K71" s="9" t="e">
        <f>VLOOKUP(Gear!A71,'Look-up'!A:B,2,FALSE)</f>
        <v>#N/A</v>
      </c>
      <c r="L71" s="8" t="e">
        <f>IF(K71&lt;'Short &amp; Simple'!$E$49,0,VLOOKUP(K71,'Short &amp; Simple'!$E$49:$F$58,2))</f>
        <v>#N/A</v>
      </c>
      <c r="M71" s="489"/>
      <c r="N71" s="489"/>
      <c r="O71" s="489"/>
      <c r="P71" s="157">
        <f t="shared" si="7"/>
        <v>0</v>
      </c>
      <c r="Q71" s="160" t="e">
        <f>Gear!P71/VLOOKUP(C71,'Short &amp; Simple'!$H$32:$I$67,2,FALSE)</f>
        <v>#N/A</v>
      </c>
      <c r="R71" s="8" t="e">
        <f t="shared" si="6"/>
        <v>#N/A</v>
      </c>
      <c r="V71" s="231"/>
    </row>
    <row r="72" spans="1:22" ht="15" customHeight="1">
      <c r="A72" s="48" t="str">
        <f>'Members Data'!A72</f>
        <v>Firefoxy</v>
      </c>
      <c r="B72" s="221">
        <v>40774</v>
      </c>
      <c r="C72" s="461"/>
      <c r="D72" s="454" t="s">
        <v>60</v>
      </c>
      <c r="E72" s="457">
        <v>0</v>
      </c>
      <c r="F72" s="456">
        <v>0</v>
      </c>
      <c r="G72" s="224" t="s">
        <v>60</v>
      </c>
      <c r="H72" s="456">
        <v>0</v>
      </c>
      <c r="I72" s="455">
        <v>0</v>
      </c>
      <c r="J72" s="9">
        <f t="shared" ref="J72:J100" si="8">(IF(D72="no",TRUE)*0.1)+(E72*0.4)+(F72*0.1)+(IF(G72="no",TRUE)*0.2)+(H72*0.4)+(I72*0.1)</f>
        <v>0</v>
      </c>
      <c r="K72" s="9" t="e">
        <f>VLOOKUP(Gear!A72,'Look-up'!A:B,2,FALSE)</f>
        <v>#N/A</v>
      </c>
      <c r="L72" s="8" t="e">
        <f>IF(K72&lt;'Short &amp; Simple'!$E$49,0,VLOOKUP(K72,'Short &amp; Simple'!$E$49:$F$58,2))</f>
        <v>#N/A</v>
      </c>
      <c r="M72" s="489"/>
      <c r="N72" s="489"/>
      <c r="O72" s="489"/>
      <c r="P72" s="157">
        <f t="shared" si="7"/>
        <v>0</v>
      </c>
      <c r="Q72" s="160" t="e">
        <f>Gear!P72/VLOOKUP(C72,'Short &amp; Simple'!$H$32:$I$67,2,FALSE)</f>
        <v>#N/A</v>
      </c>
      <c r="R72" s="8" t="e">
        <f t="shared" si="6"/>
        <v>#N/A</v>
      </c>
      <c r="V72" s="231"/>
    </row>
    <row r="73" spans="1:22" ht="15" customHeight="1">
      <c r="A73" s="48" t="str">
        <f>'Members Data'!A73</f>
        <v>Boeyah</v>
      </c>
      <c r="B73" s="221">
        <v>40774</v>
      </c>
      <c r="C73" s="461"/>
      <c r="D73" s="454" t="s">
        <v>60</v>
      </c>
      <c r="E73" s="457">
        <v>0</v>
      </c>
      <c r="F73" s="456">
        <v>0</v>
      </c>
      <c r="G73" s="224" t="s">
        <v>60</v>
      </c>
      <c r="H73" s="456">
        <v>0</v>
      </c>
      <c r="I73" s="455">
        <v>0</v>
      </c>
      <c r="J73" s="9">
        <f t="shared" si="8"/>
        <v>0</v>
      </c>
      <c r="K73" s="9" t="e">
        <f>VLOOKUP(Gear!A73,'Look-up'!A:B,2,FALSE)</f>
        <v>#N/A</v>
      </c>
      <c r="L73" s="8" t="e">
        <f>IF(K73&lt;'Short &amp; Simple'!$E$49,0,VLOOKUP(K73,'Short &amp; Simple'!$E$49:$F$58,2))</f>
        <v>#N/A</v>
      </c>
      <c r="M73" s="489"/>
      <c r="N73" s="489"/>
      <c r="O73" s="489"/>
      <c r="P73" s="157">
        <f t="shared" si="7"/>
        <v>0</v>
      </c>
      <c r="Q73" s="160" t="e">
        <f>Gear!P73/VLOOKUP(C73,'Short &amp; Simple'!$H$32:$I$67,2,FALSE)</f>
        <v>#N/A</v>
      </c>
      <c r="R73" s="8" t="e">
        <f t="shared" si="6"/>
        <v>#N/A</v>
      </c>
      <c r="V73" s="231"/>
    </row>
    <row r="74" spans="1:22" ht="15" customHeight="1">
      <c r="A74" s="48" t="str">
        <f>'Members Data'!A74</f>
        <v>Judgementz</v>
      </c>
      <c r="B74" s="221">
        <v>40774</v>
      </c>
      <c r="C74" s="461"/>
      <c r="D74" s="454" t="s">
        <v>60</v>
      </c>
      <c r="E74" s="457">
        <v>0</v>
      </c>
      <c r="F74" s="456">
        <v>0</v>
      </c>
      <c r="G74" s="224" t="s">
        <v>60</v>
      </c>
      <c r="H74" s="456">
        <v>0</v>
      </c>
      <c r="I74" s="455">
        <v>0</v>
      </c>
      <c r="J74" s="9">
        <f t="shared" si="8"/>
        <v>0</v>
      </c>
      <c r="K74" s="9" t="e">
        <f>VLOOKUP(Gear!A74,'Look-up'!A:B,2,FALSE)</f>
        <v>#N/A</v>
      </c>
      <c r="L74" s="8" t="e">
        <f>IF(K74&lt;'Short &amp; Simple'!$E$49,0,VLOOKUP(K74,'Short &amp; Simple'!$E$49:$F$58,2))</f>
        <v>#N/A</v>
      </c>
      <c r="M74" s="489"/>
      <c r="N74" s="489"/>
      <c r="O74" s="489"/>
      <c r="P74" s="157">
        <f t="shared" si="7"/>
        <v>0</v>
      </c>
      <c r="Q74" s="160" t="e">
        <f>Gear!P74/VLOOKUP(C74,'Short &amp; Simple'!$H$32:$I$67,2,FALSE)</f>
        <v>#N/A</v>
      </c>
      <c r="R74" s="8" t="e">
        <f t="shared" si="6"/>
        <v>#N/A</v>
      </c>
      <c r="V74" s="231"/>
    </row>
    <row r="75" spans="1:22" ht="15" customHeight="1">
      <c r="A75" s="48">
        <f>'Members Data'!A75</f>
        <v>0</v>
      </c>
      <c r="B75" s="221">
        <v>40774</v>
      </c>
      <c r="C75" s="461"/>
      <c r="D75" s="454" t="s">
        <v>60</v>
      </c>
      <c r="E75" s="457">
        <v>0</v>
      </c>
      <c r="F75" s="456">
        <v>0</v>
      </c>
      <c r="G75" s="224" t="s">
        <v>60</v>
      </c>
      <c r="H75" s="456">
        <v>0</v>
      </c>
      <c r="I75" s="455">
        <v>0</v>
      </c>
      <c r="J75" s="9">
        <f t="shared" si="8"/>
        <v>0</v>
      </c>
      <c r="K75" s="9">
        <f>VLOOKUP(Gear!A75,'Look-up'!A:B,2,FALSE)</f>
        <v>0</v>
      </c>
      <c r="L75" s="8">
        <f>IF(K75&lt;'Short &amp; Simple'!$E$49,0,VLOOKUP(K75,'Short &amp; Simple'!$E$49:$F$58,2))</f>
        <v>0</v>
      </c>
      <c r="M75" s="489"/>
      <c r="N75" s="489"/>
      <c r="O75" s="489"/>
      <c r="P75" s="157">
        <f t="shared" si="7"/>
        <v>0</v>
      </c>
      <c r="Q75" s="160" t="e">
        <f>Gear!P75/VLOOKUP(C75,'Short &amp; Simple'!$H$32:$I$67,2,FALSE)</f>
        <v>#N/A</v>
      </c>
      <c r="R75" s="8" t="e">
        <f t="shared" si="6"/>
        <v>#N/A</v>
      </c>
      <c r="V75" s="231"/>
    </row>
    <row r="76" spans="1:22" ht="15" customHeight="1">
      <c r="A76" s="48">
        <f>'Members Data'!A76</f>
        <v>0</v>
      </c>
      <c r="B76" s="221">
        <v>40774</v>
      </c>
      <c r="C76" s="461"/>
      <c r="D76" s="454" t="s">
        <v>60</v>
      </c>
      <c r="E76" s="457">
        <v>0</v>
      </c>
      <c r="F76" s="456">
        <v>0</v>
      </c>
      <c r="G76" s="224" t="s">
        <v>60</v>
      </c>
      <c r="H76" s="456">
        <v>0</v>
      </c>
      <c r="I76" s="455">
        <v>0</v>
      </c>
      <c r="J76" s="9">
        <f t="shared" si="8"/>
        <v>0</v>
      </c>
      <c r="K76" s="9">
        <f>VLOOKUP(Gear!A76,'Look-up'!A:B,2,FALSE)</f>
        <v>0</v>
      </c>
      <c r="L76" s="8">
        <f>IF(K76&lt;'Short &amp; Simple'!$E$49,0,VLOOKUP(K76,'Short &amp; Simple'!$E$49:$F$58,2))</f>
        <v>0</v>
      </c>
      <c r="M76" s="489"/>
      <c r="N76" s="489"/>
      <c r="O76" s="489"/>
      <c r="P76" s="157">
        <f t="shared" si="7"/>
        <v>0</v>
      </c>
      <c r="Q76" s="160" t="e">
        <f>Gear!P76/VLOOKUP(C76,'Short &amp; Simple'!$H$32:$I$67,2,FALSE)</f>
        <v>#N/A</v>
      </c>
      <c r="R76" s="8" t="e">
        <f t="shared" si="6"/>
        <v>#N/A</v>
      </c>
      <c r="V76" s="231"/>
    </row>
    <row r="77" spans="1:22" ht="15" customHeight="1">
      <c r="A77" s="48">
        <f>'Members Data'!A77</f>
        <v>0</v>
      </c>
      <c r="B77" s="221">
        <v>40774</v>
      </c>
      <c r="C77" s="461"/>
      <c r="D77" s="454" t="s">
        <v>60</v>
      </c>
      <c r="E77" s="457">
        <v>0</v>
      </c>
      <c r="F77" s="456">
        <v>0</v>
      </c>
      <c r="G77" s="224" t="s">
        <v>60</v>
      </c>
      <c r="H77" s="456">
        <v>0</v>
      </c>
      <c r="I77" s="455">
        <v>0</v>
      </c>
      <c r="J77" s="9">
        <f t="shared" si="8"/>
        <v>0</v>
      </c>
      <c r="K77" s="9">
        <f>VLOOKUP(Gear!A77,'Look-up'!A:B,2,FALSE)</f>
        <v>0</v>
      </c>
      <c r="L77" s="8">
        <f>IF(K77&lt;'Short &amp; Simple'!$E$49,0,VLOOKUP(K77,'Short &amp; Simple'!$E$49:$F$58,2))</f>
        <v>0</v>
      </c>
      <c r="M77" s="489"/>
      <c r="N77" s="489"/>
      <c r="O77" s="489"/>
      <c r="P77" s="157">
        <f t="shared" si="7"/>
        <v>0</v>
      </c>
      <c r="Q77" s="160" t="e">
        <f>Gear!P77/VLOOKUP(C77,'Short &amp; Simple'!$H$32:$I$67,2,FALSE)</f>
        <v>#N/A</v>
      </c>
      <c r="R77" s="8" t="e">
        <f t="shared" si="6"/>
        <v>#N/A</v>
      </c>
      <c r="V77" s="231"/>
    </row>
    <row r="78" spans="1:22" ht="15" customHeight="1">
      <c r="A78" s="48">
        <f>'Members Data'!A78</f>
        <v>0</v>
      </c>
      <c r="B78" s="221">
        <v>40774</v>
      </c>
      <c r="C78" s="461"/>
      <c r="D78" s="454" t="s">
        <v>60</v>
      </c>
      <c r="E78" s="457">
        <v>0</v>
      </c>
      <c r="F78" s="456">
        <v>0</v>
      </c>
      <c r="G78" s="224" t="s">
        <v>60</v>
      </c>
      <c r="H78" s="456">
        <v>0</v>
      </c>
      <c r="I78" s="455">
        <v>0</v>
      </c>
      <c r="J78" s="9">
        <f t="shared" si="8"/>
        <v>0</v>
      </c>
      <c r="K78" s="9">
        <f>VLOOKUP(Gear!A78,'Look-up'!A:B,2,FALSE)</f>
        <v>0</v>
      </c>
      <c r="L78" s="8">
        <f>IF(K78&lt;'Short &amp; Simple'!$E$49,0,VLOOKUP(K78,'Short &amp; Simple'!$E$49:$F$58,2))</f>
        <v>0</v>
      </c>
      <c r="M78" s="489"/>
      <c r="N78" s="489"/>
      <c r="O78" s="489"/>
      <c r="P78" s="157">
        <f t="shared" si="7"/>
        <v>0</v>
      </c>
      <c r="Q78" s="160" t="e">
        <f>Gear!P78/VLOOKUP(C78,'Short &amp; Simple'!$H$32:$I$67,2,FALSE)</f>
        <v>#N/A</v>
      </c>
      <c r="R78" s="8" t="e">
        <f t="shared" si="6"/>
        <v>#N/A</v>
      </c>
      <c r="V78" s="231"/>
    </row>
    <row r="79" spans="1:22" ht="15" customHeight="1">
      <c r="A79" s="48">
        <f>'Members Data'!A79</f>
        <v>0</v>
      </c>
      <c r="B79" s="221">
        <v>40774</v>
      </c>
      <c r="C79" s="461"/>
      <c r="D79" s="454" t="s">
        <v>60</v>
      </c>
      <c r="E79" s="457">
        <v>0</v>
      </c>
      <c r="F79" s="456">
        <v>0</v>
      </c>
      <c r="G79" s="224" t="s">
        <v>60</v>
      </c>
      <c r="H79" s="456">
        <v>0</v>
      </c>
      <c r="I79" s="455">
        <v>0</v>
      </c>
      <c r="J79" s="9">
        <f t="shared" si="8"/>
        <v>0</v>
      </c>
      <c r="K79" s="9">
        <f>VLOOKUP(Gear!A79,'Look-up'!A:B,2,FALSE)</f>
        <v>0</v>
      </c>
      <c r="L79" s="8">
        <f>IF(K79&lt;'Short &amp; Simple'!$E$49,0,VLOOKUP(K79,'Short &amp; Simple'!$E$49:$F$58,2))</f>
        <v>0</v>
      </c>
      <c r="M79" s="489"/>
      <c r="N79" s="489"/>
      <c r="O79" s="489"/>
      <c r="P79" s="157">
        <f t="shared" si="7"/>
        <v>0</v>
      </c>
      <c r="Q79" s="160" t="e">
        <f>Gear!P79/VLOOKUP(C79,'Short &amp; Simple'!$H$32:$I$67,2,FALSE)</f>
        <v>#N/A</v>
      </c>
      <c r="R79" s="8" t="e">
        <f t="shared" si="6"/>
        <v>#N/A</v>
      </c>
      <c r="V79" s="231"/>
    </row>
    <row r="80" spans="1:22" ht="15" customHeight="1">
      <c r="A80" s="48">
        <f>'Members Data'!A80</f>
        <v>0</v>
      </c>
      <c r="B80" s="221">
        <v>40774</v>
      </c>
      <c r="C80" s="461"/>
      <c r="D80" s="454" t="s">
        <v>60</v>
      </c>
      <c r="E80" s="457">
        <v>0</v>
      </c>
      <c r="F80" s="456">
        <v>0</v>
      </c>
      <c r="G80" s="224" t="s">
        <v>60</v>
      </c>
      <c r="H80" s="456">
        <v>0</v>
      </c>
      <c r="I80" s="455">
        <v>0</v>
      </c>
      <c r="J80" s="9">
        <f t="shared" si="8"/>
        <v>0</v>
      </c>
      <c r="K80" s="9">
        <f>VLOOKUP(Gear!A80,'Look-up'!A:B,2,FALSE)</f>
        <v>0</v>
      </c>
      <c r="L80" s="8">
        <f>IF(K80&lt;'Short &amp; Simple'!$E$49,0,VLOOKUP(K80,'Short &amp; Simple'!$E$49:$F$58,2))</f>
        <v>0</v>
      </c>
      <c r="M80" s="489"/>
      <c r="N80" s="489"/>
      <c r="O80" s="489"/>
      <c r="P80" s="157">
        <f t="shared" si="7"/>
        <v>0</v>
      </c>
      <c r="Q80" s="160" t="e">
        <f>Gear!P80/VLOOKUP(C80,'Short &amp; Simple'!$H$32:$I$67,2,FALSE)</f>
        <v>#N/A</v>
      </c>
      <c r="R80" s="8" t="e">
        <f t="shared" si="6"/>
        <v>#N/A</v>
      </c>
      <c r="V80" s="231"/>
    </row>
    <row r="81" spans="1:22" ht="15" customHeight="1">
      <c r="A81" s="48">
        <f>'Members Data'!A81</f>
        <v>0</v>
      </c>
      <c r="B81" s="221">
        <v>40774</v>
      </c>
      <c r="C81" s="461"/>
      <c r="D81" s="454" t="s">
        <v>60</v>
      </c>
      <c r="E81" s="457">
        <v>0</v>
      </c>
      <c r="F81" s="456">
        <v>0</v>
      </c>
      <c r="G81" s="224" t="s">
        <v>60</v>
      </c>
      <c r="H81" s="456">
        <v>0</v>
      </c>
      <c r="I81" s="455">
        <v>0</v>
      </c>
      <c r="J81" s="9">
        <f t="shared" si="8"/>
        <v>0</v>
      </c>
      <c r="K81" s="9">
        <f>VLOOKUP(Gear!A81,'Look-up'!A:B,2,FALSE)</f>
        <v>0</v>
      </c>
      <c r="L81" s="8">
        <f>IF(K81&lt;'Short &amp; Simple'!$E$49,0,VLOOKUP(K81,'Short &amp; Simple'!$E$49:$F$58,2))</f>
        <v>0</v>
      </c>
      <c r="M81" s="489"/>
      <c r="N81" s="489"/>
      <c r="O81" s="489"/>
      <c r="P81" s="157">
        <f t="shared" si="7"/>
        <v>0</v>
      </c>
      <c r="Q81" s="160" t="e">
        <f>Gear!P81/VLOOKUP(C81,'Short &amp; Simple'!$H$32:$I$67,2,FALSE)</f>
        <v>#N/A</v>
      </c>
      <c r="R81" s="8" t="e">
        <f t="shared" si="6"/>
        <v>#N/A</v>
      </c>
      <c r="V81" s="231"/>
    </row>
    <row r="82" spans="1:22" ht="15" customHeight="1">
      <c r="A82" s="48">
        <f>'Members Data'!A82</f>
        <v>0</v>
      </c>
      <c r="B82" s="221">
        <v>40774</v>
      </c>
      <c r="C82" s="461"/>
      <c r="D82" s="454" t="s">
        <v>60</v>
      </c>
      <c r="E82" s="457">
        <v>0</v>
      </c>
      <c r="F82" s="456">
        <v>0</v>
      </c>
      <c r="G82" s="224" t="s">
        <v>60</v>
      </c>
      <c r="H82" s="456">
        <v>0</v>
      </c>
      <c r="I82" s="455">
        <v>0</v>
      </c>
      <c r="J82" s="9">
        <f t="shared" si="8"/>
        <v>0</v>
      </c>
      <c r="K82" s="9">
        <f>VLOOKUP(Gear!A82,'Look-up'!A:B,2,FALSE)</f>
        <v>0</v>
      </c>
      <c r="L82" s="8">
        <f>IF(K82&lt;'Short &amp; Simple'!$E$49,0,VLOOKUP(K82,'Short &amp; Simple'!$E$49:$F$58,2))</f>
        <v>0</v>
      </c>
      <c r="M82" s="489"/>
      <c r="N82" s="489"/>
      <c r="O82" s="489"/>
      <c r="P82" s="157">
        <f t="shared" si="7"/>
        <v>0</v>
      </c>
      <c r="Q82" s="160" t="e">
        <f>Gear!P82/VLOOKUP(C82,'Short &amp; Simple'!$H$32:$I$67,2,FALSE)</f>
        <v>#N/A</v>
      </c>
      <c r="R82" s="8" t="e">
        <f t="shared" si="6"/>
        <v>#N/A</v>
      </c>
      <c r="V82" s="231"/>
    </row>
    <row r="83" spans="1:22" ht="15" customHeight="1">
      <c r="A83" s="48">
        <f>'Members Data'!A83</f>
        <v>0</v>
      </c>
      <c r="B83" s="221">
        <v>40774</v>
      </c>
      <c r="C83" s="461"/>
      <c r="D83" s="454" t="s">
        <v>60</v>
      </c>
      <c r="E83" s="457">
        <v>0</v>
      </c>
      <c r="F83" s="456">
        <v>0</v>
      </c>
      <c r="G83" s="224" t="s">
        <v>60</v>
      </c>
      <c r="H83" s="456">
        <v>0</v>
      </c>
      <c r="I83" s="455">
        <v>0</v>
      </c>
      <c r="J83" s="9">
        <f t="shared" si="8"/>
        <v>0</v>
      </c>
      <c r="K83" s="9">
        <f>VLOOKUP(Gear!A83,'Look-up'!A:B,2,FALSE)</f>
        <v>0</v>
      </c>
      <c r="L83" s="8">
        <f>IF(K83&lt;'Short &amp; Simple'!$E$49,0,VLOOKUP(K83,'Short &amp; Simple'!$E$49:$F$58,2))</f>
        <v>0</v>
      </c>
      <c r="M83" s="489"/>
      <c r="N83" s="489"/>
      <c r="O83" s="489"/>
      <c r="P83" s="157">
        <f t="shared" si="7"/>
        <v>0</v>
      </c>
      <c r="Q83" s="160" t="e">
        <f>Gear!P83/VLOOKUP(C83,'Short &amp; Simple'!$H$32:$I$67,2,FALSE)</f>
        <v>#N/A</v>
      </c>
      <c r="R83" s="8" t="e">
        <f t="shared" si="6"/>
        <v>#N/A</v>
      </c>
      <c r="V83" s="231"/>
    </row>
    <row r="84" spans="1:22" ht="15" customHeight="1">
      <c r="A84" s="48">
        <f>'Members Data'!A84</f>
        <v>0</v>
      </c>
      <c r="B84" s="221">
        <v>40774</v>
      </c>
      <c r="C84" s="461"/>
      <c r="D84" s="454" t="s">
        <v>60</v>
      </c>
      <c r="E84" s="457">
        <v>0</v>
      </c>
      <c r="F84" s="456">
        <v>0</v>
      </c>
      <c r="G84" s="224" t="s">
        <v>60</v>
      </c>
      <c r="H84" s="456">
        <v>0</v>
      </c>
      <c r="I84" s="455">
        <v>0</v>
      </c>
      <c r="J84" s="9">
        <f t="shared" si="8"/>
        <v>0</v>
      </c>
      <c r="K84" s="9">
        <f>VLOOKUP(Gear!A84,'Look-up'!A:B,2,FALSE)</f>
        <v>0</v>
      </c>
      <c r="L84" s="8">
        <f>IF(K84&lt;'Short &amp; Simple'!$E$49,0,VLOOKUP(K84,'Short &amp; Simple'!$E$49:$F$58,2))</f>
        <v>0</v>
      </c>
      <c r="M84" s="489"/>
      <c r="N84" s="489"/>
      <c r="O84" s="489"/>
      <c r="P84" s="157">
        <f t="shared" si="7"/>
        <v>0</v>
      </c>
      <c r="Q84" s="160" t="e">
        <f>Gear!P84/VLOOKUP(C84,'Short &amp; Simple'!$H$32:$I$67,2,FALSE)</f>
        <v>#N/A</v>
      </c>
      <c r="R84" s="8" t="e">
        <f t="shared" si="6"/>
        <v>#N/A</v>
      </c>
      <c r="V84" s="231"/>
    </row>
    <row r="85" spans="1:22" ht="15" customHeight="1">
      <c r="A85" s="48">
        <f>'Members Data'!A85</f>
        <v>0</v>
      </c>
      <c r="B85" s="221">
        <v>40774</v>
      </c>
      <c r="C85" s="461"/>
      <c r="D85" s="454" t="s">
        <v>60</v>
      </c>
      <c r="E85" s="457">
        <v>0</v>
      </c>
      <c r="F85" s="456">
        <v>0</v>
      </c>
      <c r="G85" s="224" t="s">
        <v>60</v>
      </c>
      <c r="H85" s="456">
        <v>0</v>
      </c>
      <c r="I85" s="455">
        <v>0</v>
      </c>
      <c r="J85" s="9">
        <f t="shared" si="8"/>
        <v>0</v>
      </c>
      <c r="K85" s="9">
        <f>VLOOKUP(Gear!A85,'Look-up'!A:B,2,FALSE)</f>
        <v>0</v>
      </c>
      <c r="L85" s="8">
        <f>IF(K85&lt;'Short &amp; Simple'!$E$49,0,VLOOKUP(K85,'Short &amp; Simple'!$E$49:$F$58,2))</f>
        <v>0</v>
      </c>
      <c r="M85" s="489"/>
      <c r="N85" s="489"/>
      <c r="O85" s="489"/>
      <c r="P85" s="157">
        <f t="shared" si="7"/>
        <v>0</v>
      </c>
      <c r="Q85" s="160" t="e">
        <f>Gear!P85/VLOOKUP(C85,'Short &amp; Simple'!$H$32:$I$67,2,FALSE)</f>
        <v>#N/A</v>
      </c>
      <c r="R85" s="8" t="e">
        <f t="shared" si="6"/>
        <v>#N/A</v>
      </c>
      <c r="V85" s="231"/>
    </row>
    <row r="86" spans="1:22" ht="15" customHeight="1">
      <c r="A86" s="48">
        <f>'Members Data'!A86</f>
        <v>0</v>
      </c>
      <c r="B86" s="221">
        <v>40774</v>
      </c>
      <c r="C86" s="461"/>
      <c r="D86" s="454" t="s">
        <v>60</v>
      </c>
      <c r="E86" s="457">
        <v>0</v>
      </c>
      <c r="F86" s="456">
        <v>0</v>
      </c>
      <c r="G86" s="224" t="s">
        <v>60</v>
      </c>
      <c r="H86" s="456">
        <v>0</v>
      </c>
      <c r="I86" s="455">
        <v>0</v>
      </c>
      <c r="J86" s="9">
        <f t="shared" si="8"/>
        <v>0</v>
      </c>
      <c r="K86" s="9">
        <f>VLOOKUP(Gear!A86,'Look-up'!A:B,2,FALSE)</f>
        <v>0</v>
      </c>
      <c r="L86" s="8">
        <f>IF(K86&lt;'Short &amp; Simple'!$E$49,0,VLOOKUP(K86,'Short &amp; Simple'!$E$49:$F$58,2))</f>
        <v>0</v>
      </c>
      <c r="M86" s="489"/>
      <c r="N86" s="489"/>
      <c r="O86" s="489"/>
      <c r="P86" s="157">
        <f t="shared" si="7"/>
        <v>0</v>
      </c>
      <c r="Q86" s="160" t="e">
        <f>Gear!P86/VLOOKUP(C86,'Short &amp; Simple'!$H$32:$I$67,2,FALSE)</f>
        <v>#N/A</v>
      </c>
      <c r="R86" s="8" t="e">
        <f t="shared" si="6"/>
        <v>#N/A</v>
      </c>
      <c r="V86" s="231"/>
    </row>
    <row r="87" spans="1:22" ht="15" customHeight="1">
      <c r="A87" s="48">
        <f>'Members Data'!A87</f>
        <v>0</v>
      </c>
      <c r="B87" s="221">
        <v>40774</v>
      </c>
      <c r="C87" s="461"/>
      <c r="D87" s="454" t="s">
        <v>60</v>
      </c>
      <c r="E87" s="457">
        <v>0</v>
      </c>
      <c r="F87" s="456">
        <v>0</v>
      </c>
      <c r="G87" s="224" t="s">
        <v>60</v>
      </c>
      <c r="H87" s="456">
        <v>0</v>
      </c>
      <c r="I87" s="455">
        <v>0</v>
      </c>
      <c r="J87" s="9">
        <f t="shared" si="8"/>
        <v>0</v>
      </c>
      <c r="K87" s="9">
        <f>VLOOKUP(Gear!A87,'Look-up'!A:B,2,FALSE)</f>
        <v>0</v>
      </c>
      <c r="L87" s="8">
        <f>IF(K87&lt;'Short &amp; Simple'!$E$49,0,VLOOKUP(K87,'Short &amp; Simple'!$E$49:$F$58,2))</f>
        <v>0</v>
      </c>
      <c r="M87" s="489"/>
      <c r="N87" s="489"/>
      <c r="O87" s="489"/>
      <c r="P87" s="157">
        <f t="shared" si="7"/>
        <v>0</v>
      </c>
      <c r="Q87" s="160" t="e">
        <f>Gear!P87/VLOOKUP(C87,'Short &amp; Simple'!$H$32:$I$67,2,FALSE)</f>
        <v>#N/A</v>
      </c>
      <c r="R87" s="8" t="e">
        <f t="shared" si="6"/>
        <v>#N/A</v>
      </c>
      <c r="V87" s="231"/>
    </row>
    <row r="88" spans="1:22" ht="15" customHeight="1">
      <c r="A88" s="48">
        <f>'Members Data'!A88</f>
        <v>0</v>
      </c>
      <c r="B88" s="221">
        <v>40774</v>
      </c>
      <c r="C88" s="461"/>
      <c r="D88" s="454" t="s">
        <v>60</v>
      </c>
      <c r="E88" s="457">
        <v>0</v>
      </c>
      <c r="F88" s="456">
        <v>0</v>
      </c>
      <c r="G88" s="224" t="s">
        <v>60</v>
      </c>
      <c r="H88" s="456">
        <v>0</v>
      </c>
      <c r="I88" s="455">
        <v>0</v>
      </c>
      <c r="J88" s="9">
        <f t="shared" si="8"/>
        <v>0</v>
      </c>
      <c r="K88" s="9">
        <f>VLOOKUP(Gear!A88,'Look-up'!A:B,2,FALSE)</f>
        <v>0</v>
      </c>
      <c r="L88" s="8">
        <f>IF(K88&lt;'Short &amp; Simple'!$E$49,0,VLOOKUP(K88,'Short &amp; Simple'!$E$49:$F$58,2))</f>
        <v>0</v>
      </c>
      <c r="M88" s="489"/>
      <c r="N88" s="489"/>
      <c r="O88" s="489"/>
      <c r="P88" s="157">
        <f t="shared" si="7"/>
        <v>0</v>
      </c>
      <c r="Q88" s="160" t="e">
        <f>Gear!P88/VLOOKUP(C88,'Short &amp; Simple'!$H$32:$I$67,2,FALSE)</f>
        <v>#N/A</v>
      </c>
      <c r="R88" s="8" t="e">
        <f t="shared" si="6"/>
        <v>#N/A</v>
      </c>
      <c r="V88" s="231"/>
    </row>
    <row r="89" spans="1:22" ht="15" customHeight="1">
      <c r="A89" s="48">
        <f>'Members Data'!A89</f>
        <v>0</v>
      </c>
      <c r="B89" s="221">
        <v>40774</v>
      </c>
      <c r="C89" s="462"/>
      <c r="D89" s="454" t="s">
        <v>60</v>
      </c>
      <c r="E89" s="457">
        <v>0</v>
      </c>
      <c r="F89" s="456">
        <v>0</v>
      </c>
      <c r="G89" s="224" t="s">
        <v>60</v>
      </c>
      <c r="H89" s="456">
        <v>0</v>
      </c>
      <c r="I89" s="455">
        <v>0</v>
      </c>
      <c r="J89" s="9">
        <f>(IF(D89="no",TRUE)*0.1)+(E89*0.4)+(F89*0.1)+(IF(G89="no",TRUE)*0.2)+(H89*0.4)+(I89*0.1)</f>
        <v>0</v>
      </c>
      <c r="K89" s="9">
        <f>VLOOKUP(Gear!A89,'Look-up'!A:B,2,FALSE)</f>
        <v>0</v>
      </c>
      <c r="L89" s="8">
        <f>IF(K89&lt;'Short &amp; Simple'!$E$49,0,VLOOKUP(K89,'Short &amp; Simple'!$E$49:$F$58,2))</f>
        <v>0</v>
      </c>
      <c r="M89" s="489"/>
      <c r="N89" s="489"/>
      <c r="O89" s="489"/>
      <c r="P89" s="157">
        <f t="shared" si="7"/>
        <v>0</v>
      </c>
      <c r="Q89" s="160" t="e">
        <f>Gear!P89/VLOOKUP(C89,'Short &amp; Simple'!$H$32:$I$67,2,FALSE)</f>
        <v>#N/A</v>
      </c>
      <c r="R89" s="8" t="e">
        <f t="shared" si="6"/>
        <v>#N/A</v>
      </c>
      <c r="V89" s="327"/>
    </row>
    <row r="90" spans="1:22" ht="15" customHeight="1">
      <c r="A90" s="48">
        <f>'Members Data'!A90</f>
        <v>0</v>
      </c>
      <c r="B90" s="221">
        <v>40774</v>
      </c>
      <c r="C90" s="463"/>
      <c r="D90" s="454" t="s">
        <v>60</v>
      </c>
      <c r="E90" s="457">
        <v>0</v>
      </c>
      <c r="F90" s="456">
        <v>0</v>
      </c>
      <c r="G90" s="224" t="s">
        <v>60</v>
      </c>
      <c r="H90" s="456">
        <v>0</v>
      </c>
      <c r="I90" s="455">
        <v>0</v>
      </c>
      <c r="J90" s="9">
        <f t="shared" si="8"/>
        <v>0</v>
      </c>
      <c r="K90" s="9">
        <f>VLOOKUP(Gear!A90,'Look-up'!A:B,2,FALSE)</f>
        <v>0</v>
      </c>
      <c r="L90" s="8">
        <f>IF(K90&lt;'Short &amp; Simple'!$E$49,0,VLOOKUP(K90,'Short &amp; Simple'!$E$49:$F$58,2))</f>
        <v>0</v>
      </c>
      <c r="M90" s="489"/>
      <c r="N90" s="489"/>
      <c r="O90" s="489"/>
      <c r="P90" s="157">
        <f t="shared" si="7"/>
        <v>0</v>
      </c>
      <c r="Q90" s="160" t="e">
        <f>Gear!P90/VLOOKUP(C90,'Short &amp; Simple'!$H$32:$I$67,2,FALSE)</f>
        <v>#N/A</v>
      </c>
      <c r="R90" s="8" t="e">
        <f t="shared" si="6"/>
        <v>#N/A</v>
      </c>
      <c r="V90" s="231"/>
    </row>
    <row r="91" spans="1:22" ht="15" customHeight="1">
      <c r="A91" s="48">
        <f>'Members Data'!A91</f>
        <v>0</v>
      </c>
      <c r="B91" s="221">
        <v>40774</v>
      </c>
      <c r="C91" s="464"/>
      <c r="D91" s="454" t="s">
        <v>60</v>
      </c>
      <c r="E91" s="457">
        <v>0</v>
      </c>
      <c r="F91" s="456">
        <v>0</v>
      </c>
      <c r="G91" s="224" t="s">
        <v>60</v>
      </c>
      <c r="H91" s="456">
        <v>0</v>
      </c>
      <c r="I91" s="455">
        <v>0</v>
      </c>
      <c r="J91" s="9">
        <f t="shared" si="8"/>
        <v>0</v>
      </c>
      <c r="K91" s="9">
        <f>VLOOKUP(Gear!A91,'Look-up'!A:B,2,FALSE)</f>
        <v>0</v>
      </c>
      <c r="L91" s="8">
        <f>IF(K91&lt;'Short &amp; Simple'!$E$49,0,VLOOKUP(K91,'Short &amp; Simple'!$E$49:$F$58,2))</f>
        <v>0</v>
      </c>
      <c r="M91" s="489"/>
      <c r="N91" s="489"/>
      <c r="O91" s="489"/>
      <c r="P91" s="157">
        <f t="shared" si="7"/>
        <v>0</v>
      </c>
      <c r="Q91" s="160" t="e">
        <f>Gear!P91/VLOOKUP(C91,'Short &amp; Simple'!$H$32:$I$67,2,FALSE)</f>
        <v>#N/A</v>
      </c>
      <c r="R91" s="8" t="e">
        <f t="shared" si="6"/>
        <v>#N/A</v>
      </c>
      <c r="V91" s="231"/>
    </row>
    <row r="92" spans="1:22" ht="15" customHeight="1">
      <c r="A92" s="48">
        <f>'Members Data'!A92</f>
        <v>0</v>
      </c>
      <c r="B92" s="221">
        <v>40774</v>
      </c>
      <c r="C92" s="461"/>
      <c r="D92" s="454" t="s">
        <v>60</v>
      </c>
      <c r="E92" s="457">
        <v>0</v>
      </c>
      <c r="F92" s="456">
        <v>0</v>
      </c>
      <c r="G92" s="224" t="s">
        <v>60</v>
      </c>
      <c r="H92" s="456">
        <v>0</v>
      </c>
      <c r="I92" s="455">
        <v>0</v>
      </c>
      <c r="J92" s="9">
        <f t="shared" si="8"/>
        <v>0</v>
      </c>
      <c r="K92" s="9">
        <f>VLOOKUP(Gear!A92,'Look-up'!A:B,2,FALSE)</f>
        <v>0</v>
      </c>
      <c r="L92" s="8">
        <f>IF(K92&lt;'Short &amp; Simple'!$E$49,0,VLOOKUP(K92,'Short &amp; Simple'!$E$49:$F$58,2))</f>
        <v>0</v>
      </c>
      <c r="M92" s="489"/>
      <c r="N92" s="489"/>
      <c r="O92" s="489"/>
      <c r="P92" s="157">
        <f t="shared" si="7"/>
        <v>0</v>
      </c>
      <c r="Q92" s="160" t="e">
        <f>Gear!P92/VLOOKUP(C92,'Short &amp; Simple'!$H$32:$I$67,2,FALSE)</f>
        <v>#N/A</v>
      </c>
      <c r="R92" s="8" t="e">
        <f t="shared" si="6"/>
        <v>#N/A</v>
      </c>
      <c r="V92" s="231"/>
    </row>
    <row r="93" spans="1:22" ht="15" customHeight="1">
      <c r="A93" s="48">
        <f>'Members Data'!A93</f>
        <v>0</v>
      </c>
      <c r="B93" s="221">
        <v>40774</v>
      </c>
      <c r="C93" s="461"/>
      <c r="D93" s="454" t="s">
        <v>60</v>
      </c>
      <c r="E93" s="457">
        <v>0</v>
      </c>
      <c r="F93" s="456">
        <v>0</v>
      </c>
      <c r="G93" s="224" t="s">
        <v>60</v>
      </c>
      <c r="H93" s="456">
        <v>0</v>
      </c>
      <c r="I93" s="455">
        <v>0</v>
      </c>
      <c r="J93" s="9">
        <f t="shared" si="8"/>
        <v>0</v>
      </c>
      <c r="K93" s="9">
        <f>VLOOKUP(Gear!A93,'Look-up'!A:B,2,FALSE)</f>
        <v>0</v>
      </c>
      <c r="L93" s="8">
        <f>IF(K93&lt;'Short &amp; Simple'!$E$49,0,VLOOKUP(K93,'Short &amp; Simple'!$E$49:$F$58,2))</f>
        <v>0</v>
      </c>
      <c r="M93" s="489"/>
      <c r="N93" s="489"/>
      <c r="O93" s="489"/>
      <c r="P93" s="157">
        <f t="shared" si="7"/>
        <v>0</v>
      </c>
      <c r="Q93" s="160" t="e">
        <f>Gear!P93/VLOOKUP(C93,'Short &amp; Simple'!$H$32:$I$67,2,FALSE)</f>
        <v>#N/A</v>
      </c>
      <c r="R93" s="8" t="e">
        <f t="shared" si="6"/>
        <v>#N/A</v>
      </c>
    </row>
    <row r="94" spans="1:22" ht="15" customHeight="1">
      <c r="A94" s="48">
        <f>'Members Data'!A94</f>
        <v>0</v>
      </c>
      <c r="B94" s="221">
        <v>40774</v>
      </c>
      <c r="C94" s="461"/>
      <c r="D94" s="454" t="s">
        <v>60</v>
      </c>
      <c r="E94" s="457">
        <v>0</v>
      </c>
      <c r="F94" s="456">
        <v>0</v>
      </c>
      <c r="G94" s="224" t="s">
        <v>60</v>
      </c>
      <c r="H94" s="456">
        <v>0</v>
      </c>
      <c r="I94" s="455">
        <v>0</v>
      </c>
      <c r="J94" s="9">
        <f t="shared" si="8"/>
        <v>0</v>
      </c>
      <c r="K94" s="9">
        <f>VLOOKUP(Gear!A94,'Look-up'!A:B,2,FALSE)</f>
        <v>0</v>
      </c>
      <c r="L94" s="8">
        <f>IF(K94&lt;'Short &amp; Simple'!$E$49,0,VLOOKUP(K94,'Short &amp; Simple'!$E$49:$F$58,2))</f>
        <v>0</v>
      </c>
      <c r="M94" s="489"/>
      <c r="N94" s="489"/>
      <c r="O94" s="489"/>
      <c r="P94" s="157">
        <f t="shared" si="7"/>
        <v>0</v>
      </c>
      <c r="Q94" s="160" t="e">
        <f>Gear!P94/VLOOKUP(C94,'Short &amp; Simple'!$H$32:$I$67,2,FALSE)</f>
        <v>#N/A</v>
      </c>
      <c r="R94" s="8" t="e">
        <f t="shared" si="6"/>
        <v>#N/A</v>
      </c>
    </row>
    <row r="95" spans="1:22" ht="15" customHeight="1">
      <c r="A95" s="48">
        <f>'Members Data'!A95</f>
        <v>0</v>
      </c>
      <c r="B95" s="221">
        <v>40774</v>
      </c>
      <c r="C95" s="461"/>
      <c r="D95" s="454" t="s">
        <v>60</v>
      </c>
      <c r="E95" s="457">
        <v>0</v>
      </c>
      <c r="F95" s="456">
        <v>0</v>
      </c>
      <c r="G95" s="224" t="s">
        <v>60</v>
      </c>
      <c r="H95" s="456">
        <v>0</v>
      </c>
      <c r="I95" s="455">
        <v>0</v>
      </c>
      <c r="J95" s="9">
        <f t="shared" si="8"/>
        <v>0</v>
      </c>
      <c r="K95" s="9">
        <f>VLOOKUP(Gear!A95,'Look-up'!A:B,2,FALSE)</f>
        <v>0</v>
      </c>
      <c r="L95" s="8">
        <f>IF(K95&lt;'Short &amp; Simple'!$E$49,0,VLOOKUP(K95,'Short &amp; Simple'!$E$49:$F$58,2))</f>
        <v>0</v>
      </c>
      <c r="M95" s="377"/>
      <c r="N95" s="377"/>
      <c r="O95" s="377"/>
      <c r="P95" s="157">
        <f t="shared" si="7"/>
        <v>0</v>
      </c>
      <c r="Q95" s="160" t="e">
        <f>Gear!P95/VLOOKUP(C95,'Short &amp; Simple'!$H$32:$I$67,2,FALSE)</f>
        <v>#N/A</v>
      </c>
      <c r="R95" s="8" t="e">
        <f t="shared" si="6"/>
        <v>#N/A</v>
      </c>
    </row>
    <row r="96" spans="1:22" ht="15" customHeight="1">
      <c r="A96" s="48">
        <f>'Members Data'!A96</f>
        <v>0</v>
      </c>
      <c r="B96" s="221">
        <v>40774</v>
      </c>
      <c r="C96" s="461"/>
      <c r="D96" s="454" t="s">
        <v>60</v>
      </c>
      <c r="E96" s="457">
        <v>0</v>
      </c>
      <c r="F96" s="456">
        <v>0</v>
      </c>
      <c r="G96" s="224" t="s">
        <v>60</v>
      </c>
      <c r="H96" s="456">
        <v>0</v>
      </c>
      <c r="I96" s="455">
        <v>0</v>
      </c>
      <c r="J96" s="9">
        <f t="shared" si="8"/>
        <v>0</v>
      </c>
      <c r="K96" s="9">
        <f>VLOOKUP(Gear!A96,'Look-up'!A:B,2,FALSE)</f>
        <v>0</v>
      </c>
      <c r="L96" s="8">
        <f>IF(K96&lt;'Short &amp; Simple'!$E$49,0,VLOOKUP(K96,'Short &amp; Simple'!$E$49:$F$58,2))</f>
        <v>0</v>
      </c>
      <c r="M96" s="377"/>
      <c r="N96" s="377"/>
      <c r="O96" s="377"/>
      <c r="P96" s="157">
        <f t="shared" si="7"/>
        <v>0</v>
      </c>
      <c r="Q96" s="160" t="e">
        <f>Gear!P96/VLOOKUP(C96,'Short &amp; Simple'!$H$32:$I$67,2,FALSE)</f>
        <v>#N/A</v>
      </c>
      <c r="R96" s="8" t="e">
        <f t="shared" si="6"/>
        <v>#N/A</v>
      </c>
    </row>
    <row r="97" spans="1:18" ht="15" customHeight="1">
      <c r="A97" s="48">
        <f>'Members Data'!A97</f>
        <v>0</v>
      </c>
      <c r="B97" s="222"/>
      <c r="C97" s="461"/>
      <c r="D97" s="454" t="s">
        <v>60</v>
      </c>
      <c r="E97" s="457">
        <v>0</v>
      </c>
      <c r="F97" s="456">
        <v>0</v>
      </c>
      <c r="G97" s="224" t="s">
        <v>60</v>
      </c>
      <c r="H97" s="456">
        <v>0</v>
      </c>
      <c r="I97" s="455">
        <v>0</v>
      </c>
      <c r="J97" s="9">
        <f t="shared" si="8"/>
        <v>0</v>
      </c>
      <c r="K97" s="9">
        <f>VLOOKUP(Gear!A97,'Look-up'!A:B,2,FALSE)</f>
        <v>0</v>
      </c>
      <c r="L97" s="8">
        <f>IF(K97&lt;'Short &amp; Simple'!$E$49,0,VLOOKUP(K97,'Short &amp; Simple'!$E$49:$F$58,2))</f>
        <v>0</v>
      </c>
      <c r="M97" s="377"/>
      <c r="N97" s="377"/>
      <c r="O97" s="377"/>
      <c r="P97" s="157">
        <f t="shared" si="7"/>
        <v>0</v>
      </c>
      <c r="Q97" s="160" t="e">
        <f>Gear!P97/VLOOKUP(C97,'Short &amp; Simple'!$H$32:$I$67,2,FALSE)</f>
        <v>#N/A</v>
      </c>
      <c r="R97" s="8" t="e">
        <f t="shared" si="6"/>
        <v>#N/A</v>
      </c>
    </row>
    <row r="98" spans="1:18" ht="15" customHeight="1">
      <c r="A98" s="48">
        <f>'Members Data'!A98</f>
        <v>0</v>
      </c>
      <c r="B98" s="222"/>
      <c r="C98" s="461"/>
      <c r="D98" s="454" t="s">
        <v>60</v>
      </c>
      <c r="E98" s="457">
        <v>0</v>
      </c>
      <c r="F98" s="456">
        <v>0</v>
      </c>
      <c r="G98" s="224" t="s">
        <v>60</v>
      </c>
      <c r="H98" s="456">
        <v>0</v>
      </c>
      <c r="I98" s="455">
        <v>0</v>
      </c>
      <c r="J98" s="9">
        <f t="shared" si="8"/>
        <v>0</v>
      </c>
      <c r="K98" s="9">
        <f>VLOOKUP(Gear!A98,'Look-up'!A:B,2,FALSE)</f>
        <v>0</v>
      </c>
      <c r="L98" s="8">
        <f>IF(K98&lt;'Short &amp; Simple'!$E$49,0,VLOOKUP(K98,'Short &amp; Simple'!$E$49:$F$58,2))</f>
        <v>0</v>
      </c>
      <c r="M98" s="377"/>
      <c r="N98" s="377"/>
      <c r="O98" s="377"/>
      <c r="P98" s="157">
        <f t="shared" si="7"/>
        <v>0</v>
      </c>
      <c r="Q98" s="160" t="e">
        <f>Gear!P98/VLOOKUP(C98,'Short &amp; Simple'!$H$32:$I$67,2,FALSE)</f>
        <v>#N/A</v>
      </c>
      <c r="R98" s="8" t="e">
        <f>IF(Q98&gt;=$X$4,"Gladiator",IF(Q98&gt;=$X$3,"Venturer","Traveler"))</f>
        <v>#N/A</v>
      </c>
    </row>
    <row r="99" spans="1:18" ht="15" customHeight="1">
      <c r="A99" s="48">
        <f>'Members Data'!A99</f>
        <v>0</v>
      </c>
      <c r="B99" s="222"/>
      <c r="C99" s="461"/>
      <c r="D99" s="454" t="s">
        <v>60</v>
      </c>
      <c r="E99" s="457">
        <v>0</v>
      </c>
      <c r="F99" s="456">
        <v>0</v>
      </c>
      <c r="G99" s="224" t="s">
        <v>60</v>
      </c>
      <c r="H99" s="468">
        <v>0</v>
      </c>
      <c r="I99" s="455">
        <v>0</v>
      </c>
      <c r="J99" s="9">
        <f t="shared" si="8"/>
        <v>0</v>
      </c>
      <c r="K99" s="9">
        <f>VLOOKUP(Gear!A99,'Look-up'!A:B,2,FALSE)</f>
        <v>0</v>
      </c>
      <c r="L99" s="8">
        <f>IF(K99&lt;'Short &amp; Simple'!$E$49,0,VLOOKUP(K99,'Short &amp; Simple'!$E$49:$F$58,2))</f>
        <v>0</v>
      </c>
      <c r="M99" s="377"/>
      <c r="N99" s="377"/>
      <c r="O99" s="377"/>
      <c r="P99" s="157">
        <f t="shared" si="7"/>
        <v>0</v>
      </c>
      <c r="Q99" s="160" t="e">
        <f>Gear!P99/VLOOKUP(C99,'Short &amp; Simple'!$H$32:$I$67,2,FALSE)</f>
        <v>#N/A</v>
      </c>
      <c r="R99" s="8" t="e">
        <f>IF(Q99&gt;=$X$4,"Gladiator",IF(Q99&gt;=$X$3,"Venturer","Traveler"))</f>
        <v>#N/A</v>
      </c>
    </row>
    <row r="100" spans="1:18" ht="15" customHeight="1" thickBot="1">
      <c r="A100" s="239">
        <f>'Members Data'!A100</f>
        <v>0</v>
      </c>
      <c r="B100" s="237"/>
      <c r="C100" s="465"/>
      <c r="D100" s="238"/>
      <c r="E100" s="458"/>
      <c r="F100" s="458"/>
      <c r="G100" s="238"/>
      <c r="H100" s="471"/>
      <c r="I100" s="184"/>
      <c r="J100" s="239">
        <f t="shared" si="8"/>
        <v>0</v>
      </c>
      <c r="K100" s="239">
        <f>VLOOKUP(Gear!A100,'Look-up'!A:B,2,FALSE)</f>
        <v>0</v>
      </c>
      <c r="L100" s="25">
        <f>IF(K100&lt;'Short &amp; Simple'!$E$49,0,VLOOKUP(K100,'Short &amp; Simple'!$E$49:$F$58,2))</f>
        <v>0</v>
      </c>
      <c r="M100" s="377"/>
      <c r="N100" s="377"/>
      <c r="O100" s="377"/>
      <c r="P100" s="158">
        <f t="shared" si="7"/>
        <v>0</v>
      </c>
      <c r="Q100" s="162" t="e">
        <f>Gear!P100/VLOOKUP(C100,'Short &amp; Simple'!$H$32:$I$67,2,FALSE)</f>
        <v>#N/A</v>
      </c>
      <c r="R100" s="25" t="e">
        <f>IF(Q100&gt;=$X$4,"Gladiator",IF(Q100&gt;=$X$3,"Venturer","Traveler"))</f>
        <v>#N/A</v>
      </c>
    </row>
    <row r="101" spans="1:18" ht="15" customHeight="1">
      <c r="J101" s="47"/>
      <c r="K101" s="47"/>
      <c r="L101" s="47"/>
      <c r="M101" s="47"/>
    </row>
    <row r="102" spans="1:18" ht="15" customHeight="1" thickBot="1">
      <c r="J102" s="47"/>
      <c r="K102" s="47"/>
      <c r="L102" s="47"/>
      <c r="M102" s="47"/>
    </row>
    <row r="103" spans="1:18" ht="15" customHeight="1" thickBot="1">
      <c r="A103" s="317" t="s">
        <v>26</v>
      </c>
      <c r="B103" s="315"/>
      <c r="C103" s="316" t="s">
        <v>168</v>
      </c>
      <c r="J103" s="47"/>
      <c r="K103" s="47"/>
      <c r="L103" s="47"/>
      <c r="M103" s="47"/>
    </row>
    <row r="104" spans="1:18" ht="15" hidden="1" customHeight="1">
      <c r="A104" s="312" t="str">
        <f t="shared" ref="A104:A135" si="9">A2</f>
        <v>Adanya</v>
      </c>
      <c r="B104" s="313"/>
      <c r="C104" s="314">
        <f t="shared" ref="C104:C135" si="10">J2</f>
        <v>0</v>
      </c>
    </row>
    <row r="105" spans="1:18" ht="15" hidden="1" customHeight="1">
      <c r="A105" s="306" t="str">
        <f t="shared" si="9"/>
        <v>Ambú</v>
      </c>
      <c r="B105" s="307"/>
      <c r="C105" s="308">
        <f t="shared" si="10"/>
        <v>0</v>
      </c>
    </row>
    <row r="106" spans="1:18" ht="15" hidden="1" customHeight="1">
      <c r="A106" s="306" t="str">
        <f t="shared" si="9"/>
        <v>Ashenhand</v>
      </c>
      <c r="B106" s="307"/>
      <c r="C106" s="308">
        <f t="shared" si="10"/>
        <v>0</v>
      </c>
    </row>
    <row r="107" spans="1:18" ht="15" customHeight="1">
      <c r="A107" s="306" t="str">
        <f t="shared" si="9"/>
        <v>Âspect</v>
      </c>
      <c r="B107" s="307"/>
      <c r="C107" s="308">
        <f t="shared" si="10"/>
        <v>0</v>
      </c>
    </row>
    <row r="108" spans="1:18" ht="15" hidden="1" customHeight="1">
      <c r="A108" s="306" t="str">
        <f t="shared" si="9"/>
        <v>Assap</v>
      </c>
      <c r="B108" s="307"/>
      <c r="C108" s="308">
        <f t="shared" si="10"/>
        <v>0.4</v>
      </c>
    </row>
    <row r="109" spans="1:18" ht="15" customHeight="1">
      <c r="A109" s="306" t="str">
        <f t="shared" si="9"/>
        <v>Bonegasmic</v>
      </c>
      <c r="B109" s="307"/>
      <c r="C109" s="308">
        <f t="shared" si="10"/>
        <v>0</v>
      </c>
    </row>
    <row r="110" spans="1:18" ht="15" hidden="1" customHeight="1">
      <c r="A110" s="306" t="str">
        <f t="shared" si="9"/>
        <v>Brákspak</v>
      </c>
      <c r="B110" s="307"/>
      <c r="C110" s="308">
        <f t="shared" si="10"/>
        <v>0</v>
      </c>
    </row>
    <row r="111" spans="1:18" ht="15" hidden="1" customHeight="1">
      <c r="A111" s="306" t="str">
        <f t="shared" si="9"/>
        <v>Catena</v>
      </c>
      <c r="B111" s="307"/>
      <c r="C111" s="308">
        <f t="shared" si="10"/>
        <v>0</v>
      </c>
    </row>
    <row r="112" spans="1:18" ht="15" customHeight="1">
      <c r="A112" s="306" t="str">
        <f t="shared" si="9"/>
        <v>Céléstine</v>
      </c>
      <c r="B112" s="307"/>
      <c r="C112" s="308">
        <f t="shared" si="10"/>
        <v>0</v>
      </c>
    </row>
    <row r="113" spans="1:3" ht="15" hidden="1" customHeight="1">
      <c r="A113" s="306" t="str">
        <f t="shared" si="9"/>
        <v>Cottman</v>
      </c>
      <c r="B113" s="307"/>
      <c r="C113" s="308">
        <f t="shared" si="10"/>
        <v>0</v>
      </c>
    </row>
    <row r="114" spans="1:3" ht="15" hidden="1" customHeight="1">
      <c r="A114" s="306" t="str">
        <f t="shared" si="9"/>
        <v>Craving</v>
      </c>
      <c r="B114" s="307"/>
      <c r="C114" s="308">
        <f t="shared" si="10"/>
        <v>0</v>
      </c>
    </row>
    <row r="115" spans="1:3" ht="15" hidden="1" customHeight="1">
      <c r="A115" s="306" t="str">
        <f t="shared" si="9"/>
        <v>Darshei</v>
      </c>
      <c r="B115" s="307"/>
      <c r="C115" s="308">
        <f t="shared" si="10"/>
        <v>0</v>
      </c>
    </row>
    <row r="116" spans="1:3" ht="15" customHeight="1">
      <c r="A116" s="306" t="str">
        <f t="shared" si="9"/>
        <v>Difson</v>
      </c>
      <c r="B116" s="307"/>
      <c r="C116" s="308">
        <f t="shared" si="10"/>
        <v>0</v>
      </c>
    </row>
    <row r="117" spans="1:3" ht="15" hidden="1" customHeight="1">
      <c r="A117" s="306" t="str">
        <f t="shared" si="9"/>
        <v>Grandhoof</v>
      </c>
      <c r="B117" s="307"/>
      <c r="C117" s="308">
        <f t="shared" si="10"/>
        <v>0</v>
      </c>
    </row>
    <row r="118" spans="1:3" ht="15" hidden="1" customHeight="1">
      <c r="A118" s="306" t="str">
        <f t="shared" si="9"/>
        <v>Harkar</v>
      </c>
      <c r="B118" s="307"/>
      <c r="C118" s="308">
        <f t="shared" si="10"/>
        <v>0</v>
      </c>
    </row>
    <row r="119" spans="1:3" ht="15" hidden="1" customHeight="1">
      <c r="A119" s="306" t="str">
        <f t="shared" si="9"/>
        <v>Hyperïon</v>
      </c>
      <c r="B119" s="307"/>
      <c r="C119" s="308">
        <f t="shared" si="10"/>
        <v>0</v>
      </c>
    </row>
    <row r="120" spans="1:3" ht="15" hidden="1" customHeight="1">
      <c r="A120" s="306" t="str">
        <f t="shared" si="9"/>
        <v>Illianá</v>
      </c>
      <c r="B120" s="307"/>
      <c r="C120" s="308">
        <f t="shared" si="10"/>
        <v>0</v>
      </c>
    </row>
    <row r="121" spans="1:3" ht="15" hidden="1" customHeight="1">
      <c r="A121" s="306" t="str">
        <f t="shared" si="9"/>
        <v>Izzabelle</v>
      </c>
      <c r="B121" s="307"/>
      <c r="C121" s="308">
        <f t="shared" si="10"/>
        <v>0</v>
      </c>
    </row>
    <row r="122" spans="1:3" ht="15" hidden="1" customHeight="1">
      <c r="A122" s="306" t="str">
        <f t="shared" si="9"/>
        <v>Kátsumi</v>
      </c>
      <c r="B122" s="307"/>
      <c r="C122" s="308">
        <f t="shared" si="10"/>
        <v>0.1</v>
      </c>
    </row>
    <row r="123" spans="1:3" ht="15" hidden="1" customHeight="1">
      <c r="A123" s="306" t="str">
        <f t="shared" si="9"/>
        <v>Lychi</v>
      </c>
      <c r="B123" s="307"/>
      <c r="C123" s="308">
        <f t="shared" si="10"/>
        <v>0</v>
      </c>
    </row>
    <row r="124" spans="1:3" ht="15" hidden="1" customHeight="1">
      <c r="A124" s="306" t="str">
        <f t="shared" si="9"/>
        <v>Méych</v>
      </c>
      <c r="B124" s="307"/>
      <c r="C124" s="308">
        <f t="shared" si="10"/>
        <v>0.4</v>
      </c>
    </row>
    <row r="125" spans="1:3" ht="15" hidden="1" customHeight="1">
      <c r="A125" s="306" t="str">
        <f t="shared" si="9"/>
        <v>Muckyfloor</v>
      </c>
      <c r="B125" s="307"/>
      <c r="C125" s="308">
        <f t="shared" si="10"/>
        <v>0</v>
      </c>
    </row>
    <row r="126" spans="1:3" ht="15" customHeight="1">
      <c r="A126" s="306" t="str">
        <f t="shared" si="9"/>
        <v>Müfti</v>
      </c>
      <c r="B126" s="307"/>
      <c r="C126" s="308">
        <f t="shared" si="10"/>
        <v>0</v>
      </c>
    </row>
    <row r="127" spans="1:3" ht="15" customHeight="1">
      <c r="A127" s="306" t="str">
        <f t="shared" si="9"/>
        <v>Palorde</v>
      </c>
      <c r="B127" s="307"/>
      <c r="C127" s="308">
        <f t="shared" si="10"/>
        <v>0</v>
      </c>
    </row>
    <row r="128" spans="1:3" ht="15" hidden="1" customHeight="1">
      <c r="A128" s="306" t="str">
        <f t="shared" si="9"/>
        <v>Páula</v>
      </c>
      <c r="B128" s="307"/>
      <c r="C128" s="308">
        <f t="shared" si="10"/>
        <v>0</v>
      </c>
    </row>
    <row r="129" spans="1:3" ht="15" customHeight="1">
      <c r="A129" s="306" t="str">
        <f t="shared" si="9"/>
        <v>Quemzar</v>
      </c>
      <c r="B129" s="307"/>
      <c r="C129" s="308">
        <f t="shared" si="10"/>
        <v>0</v>
      </c>
    </row>
    <row r="130" spans="1:3" ht="15" customHeight="1">
      <c r="A130" s="306" t="str">
        <f t="shared" si="9"/>
        <v>Rahwin</v>
      </c>
      <c r="B130" s="307"/>
      <c r="C130" s="308">
        <f t="shared" si="10"/>
        <v>0</v>
      </c>
    </row>
    <row r="131" spans="1:3" ht="15" hidden="1" customHeight="1">
      <c r="A131" s="306" t="str">
        <f t="shared" si="9"/>
        <v>Raiyn</v>
      </c>
      <c r="B131" s="307"/>
      <c r="C131" s="308">
        <f t="shared" si="10"/>
        <v>0</v>
      </c>
    </row>
    <row r="132" spans="1:3" ht="15" customHeight="1">
      <c r="A132" s="306" t="str">
        <f t="shared" si="9"/>
        <v>Rokthrol</v>
      </c>
      <c r="B132" s="307"/>
      <c r="C132" s="308">
        <f t="shared" si="10"/>
        <v>0</v>
      </c>
    </row>
    <row r="133" spans="1:3" ht="15" hidden="1" customHeight="1">
      <c r="A133" s="306" t="str">
        <f t="shared" si="9"/>
        <v>Sáik</v>
      </c>
      <c r="B133" s="307"/>
      <c r="C133" s="308">
        <f t="shared" si="10"/>
        <v>0</v>
      </c>
    </row>
    <row r="134" spans="1:3" ht="15" customHeight="1">
      <c r="A134" s="306" t="str">
        <f t="shared" si="9"/>
        <v>Seraphÿm</v>
      </c>
      <c r="B134" s="307"/>
      <c r="C134" s="308">
        <f t="shared" si="10"/>
        <v>0</v>
      </c>
    </row>
    <row r="135" spans="1:3" ht="15" customHeight="1">
      <c r="A135" s="306" t="str">
        <f t="shared" si="9"/>
        <v>Shinkai</v>
      </c>
      <c r="B135" s="307"/>
      <c r="C135" s="308">
        <f t="shared" si="10"/>
        <v>0</v>
      </c>
    </row>
    <row r="136" spans="1:3" ht="15" hidden="1" customHeight="1">
      <c r="A136" s="306" t="str">
        <f t="shared" ref="A136:A154" si="11">A34</f>
        <v>Yaodeng</v>
      </c>
      <c r="B136" s="307"/>
      <c r="C136" s="308">
        <f t="shared" ref="C136:C154" si="12">J34</f>
        <v>0</v>
      </c>
    </row>
    <row r="137" spans="1:3" ht="15" hidden="1" customHeight="1">
      <c r="A137" s="306" t="str">
        <f t="shared" si="11"/>
        <v>Zerobabe</v>
      </c>
      <c r="B137" s="307"/>
      <c r="C137" s="308">
        <f t="shared" si="12"/>
        <v>0</v>
      </c>
    </row>
    <row r="138" spans="1:3" ht="15" customHeight="1">
      <c r="A138" s="306" t="str">
        <f t="shared" si="11"/>
        <v>Zorrg</v>
      </c>
      <c r="B138" s="307"/>
      <c r="C138" s="308">
        <f t="shared" si="12"/>
        <v>0</v>
      </c>
    </row>
    <row r="139" spans="1:3" ht="15" hidden="1" customHeight="1">
      <c r="A139" s="306" t="str">
        <f t="shared" si="11"/>
        <v>Volson</v>
      </c>
      <c r="B139" s="307"/>
      <c r="C139" s="308">
        <f t="shared" si="12"/>
        <v>0</v>
      </c>
    </row>
    <row r="140" spans="1:3" ht="15" hidden="1" customHeight="1">
      <c r="A140" s="306">
        <f t="shared" si="11"/>
        <v>0</v>
      </c>
      <c r="B140" s="307"/>
      <c r="C140" s="308">
        <f t="shared" si="12"/>
        <v>0</v>
      </c>
    </row>
    <row r="141" spans="1:3" ht="15" hidden="1" customHeight="1">
      <c r="A141" s="306">
        <f t="shared" si="11"/>
        <v>0</v>
      </c>
      <c r="B141" s="307"/>
      <c r="C141" s="308">
        <f t="shared" si="12"/>
        <v>0</v>
      </c>
    </row>
    <row r="142" spans="1:3" ht="15" hidden="1" customHeight="1">
      <c r="A142" s="306">
        <f t="shared" si="11"/>
        <v>0</v>
      </c>
      <c r="B142" s="307"/>
      <c r="C142" s="308">
        <f t="shared" si="12"/>
        <v>0</v>
      </c>
    </row>
    <row r="143" spans="1:3" ht="15" hidden="1" customHeight="1">
      <c r="A143" s="306">
        <f t="shared" si="11"/>
        <v>0</v>
      </c>
      <c r="B143" s="307"/>
      <c r="C143" s="308">
        <f t="shared" si="12"/>
        <v>0</v>
      </c>
    </row>
    <row r="144" spans="1:3" ht="15" customHeight="1">
      <c r="A144" s="306">
        <f t="shared" si="11"/>
        <v>0</v>
      </c>
      <c r="B144" s="307"/>
      <c r="C144" s="308">
        <f t="shared" si="12"/>
        <v>0</v>
      </c>
    </row>
    <row r="145" spans="1:3" ht="15" hidden="1" customHeight="1">
      <c r="A145" s="306">
        <f t="shared" si="11"/>
        <v>0</v>
      </c>
      <c r="B145" s="307"/>
      <c r="C145" s="308">
        <f t="shared" si="12"/>
        <v>0</v>
      </c>
    </row>
    <row r="146" spans="1:3" ht="15" hidden="1" customHeight="1">
      <c r="A146" s="306">
        <f t="shared" si="11"/>
        <v>0</v>
      </c>
      <c r="B146" s="307"/>
      <c r="C146" s="308">
        <f t="shared" si="12"/>
        <v>0</v>
      </c>
    </row>
    <row r="147" spans="1:3" ht="15" hidden="1" customHeight="1">
      <c r="A147" s="306">
        <f t="shared" si="11"/>
        <v>0</v>
      </c>
      <c r="B147" s="307"/>
      <c r="C147" s="308">
        <f t="shared" si="12"/>
        <v>0</v>
      </c>
    </row>
    <row r="148" spans="1:3" ht="15" hidden="1" customHeight="1">
      <c r="A148" s="306">
        <f t="shared" si="11"/>
        <v>0</v>
      </c>
      <c r="B148" s="307"/>
      <c r="C148" s="308">
        <f t="shared" si="12"/>
        <v>0</v>
      </c>
    </row>
    <row r="149" spans="1:3" ht="15" hidden="1" customHeight="1">
      <c r="A149" s="306">
        <f t="shared" si="11"/>
        <v>0</v>
      </c>
      <c r="B149" s="307"/>
      <c r="C149" s="308">
        <f t="shared" si="12"/>
        <v>0</v>
      </c>
    </row>
    <row r="150" spans="1:3" ht="15" hidden="1" customHeight="1">
      <c r="A150" s="306">
        <f t="shared" si="11"/>
        <v>0</v>
      </c>
      <c r="B150" s="307"/>
      <c r="C150" s="308">
        <f t="shared" si="12"/>
        <v>0</v>
      </c>
    </row>
    <row r="151" spans="1:3" ht="15" hidden="1" customHeight="1">
      <c r="A151" s="306">
        <f t="shared" si="11"/>
        <v>0</v>
      </c>
      <c r="B151" s="307"/>
      <c r="C151" s="308">
        <f t="shared" si="12"/>
        <v>0</v>
      </c>
    </row>
    <row r="152" spans="1:3" ht="15" hidden="1" customHeight="1">
      <c r="A152" s="306">
        <f t="shared" si="11"/>
        <v>0</v>
      </c>
      <c r="B152" s="307"/>
      <c r="C152" s="308">
        <f t="shared" si="12"/>
        <v>0</v>
      </c>
    </row>
    <row r="153" spans="1:3" ht="15" hidden="1" customHeight="1">
      <c r="A153" s="306">
        <f t="shared" si="11"/>
        <v>0</v>
      </c>
      <c r="B153" s="307"/>
      <c r="C153" s="308">
        <f t="shared" si="12"/>
        <v>0</v>
      </c>
    </row>
    <row r="154" spans="1:3" ht="15" hidden="1" customHeight="1">
      <c r="A154" s="306">
        <f t="shared" si="11"/>
        <v>0</v>
      </c>
      <c r="B154" s="307"/>
      <c r="C154" s="308">
        <f t="shared" si="12"/>
        <v>0</v>
      </c>
    </row>
    <row r="155" spans="1:3" ht="15" hidden="1" customHeight="1">
      <c r="A155" s="306">
        <f t="shared" ref="A155:A163" si="13">A53</f>
        <v>0</v>
      </c>
      <c r="B155" s="307"/>
      <c r="C155" s="308">
        <f t="shared" ref="C155:C163" si="14">J53</f>
        <v>0</v>
      </c>
    </row>
    <row r="156" spans="1:3" ht="15" hidden="1" customHeight="1">
      <c r="A156" s="306">
        <f t="shared" si="13"/>
        <v>0</v>
      </c>
      <c r="B156" s="307"/>
      <c r="C156" s="308">
        <f t="shared" si="14"/>
        <v>0</v>
      </c>
    </row>
    <row r="157" spans="1:3" ht="15" hidden="1" customHeight="1">
      <c r="A157" s="306">
        <f t="shared" si="13"/>
        <v>0</v>
      </c>
      <c r="B157" s="307"/>
      <c r="C157" s="308">
        <f t="shared" si="14"/>
        <v>0</v>
      </c>
    </row>
    <row r="158" spans="1:3" ht="15" hidden="1" customHeight="1">
      <c r="A158" s="306">
        <f t="shared" si="13"/>
        <v>0</v>
      </c>
      <c r="B158" s="307"/>
      <c r="C158" s="308">
        <f t="shared" si="14"/>
        <v>0</v>
      </c>
    </row>
    <row r="159" spans="1:3" ht="15" hidden="1" customHeight="1">
      <c r="A159" s="306">
        <f t="shared" si="13"/>
        <v>0</v>
      </c>
      <c r="B159" s="307"/>
      <c r="C159" s="308">
        <f t="shared" si="14"/>
        <v>0</v>
      </c>
    </row>
    <row r="160" spans="1:3" ht="15" hidden="1" customHeight="1">
      <c r="A160" s="306">
        <f t="shared" si="13"/>
        <v>0</v>
      </c>
      <c r="B160" s="307"/>
      <c r="C160" s="308">
        <f t="shared" si="14"/>
        <v>0</v>
      </c>
    </row>
    <row r="161" spans="1:3" ht="15" hidden="1" customHeight="1">
      <c r="A161" s="306">
        <f t="shared" si="13"/>
        <v>0</v>
      </c>
      <c r="B161" s="307"/>
      <c r="C161" s="308">
        <f t="shared" si="14"/>
        <v>0</v>
      </c>
    </row>
    <row r="162" spans="1:3" ht="15" hidden="1" customHeight="1">
      <c r="A162" s="306">
        <f t="shared" si="13"/>
        <v>0</v>
      </c>
      <c r="B162" s="307"/>
      <c r="C162" s="308">
        <f t="shared" si="14"/>
        <v>0</v>
      </c>
    </row>
    <row r="163" spans="1:3" ht="15" hidden="1" customHeight="1" thickBot="1">
      <c r="A163" s="309">
        <f t="shared" si="13"/>
        <v>0</v>
      </c>
      <c r="B163" s="310"/>
      <c r="C163" s="311">
        <f t="shared" si="14"/>
        <v>0</v>
      </c>
    </row>
  </sheetData>
  <sheetProtection autoFilter="0"/>
  <autoFilter ref="A103:C163">
    <filterColumn colId="0">
      <filters>
        <filter val="Altrezza"/>
        <filter val="Ambú"/>
        <filter val="Andreah"/>
        <filter val="Atlanthia"/>
        <filter val="Axium"/>
        <filter val="Birdeeh"/>
        <filter val="Bishamonten"/>
        <filter val="Craving"/>
        <filter val="Darsid"/>
        <filter val="Droodcaster"/>
        <filter val="Gloríus"/>
        <filter val="Halfhorns"/>
        <filter val="Incharge"/>
        <filter val="Izzabelle"/>
        <filter val="Lychi"/>
        <filter val="Meltface"/>
        <filter val="Mortali"/>
        <filter val="Muckyfloor"/>
        <filter val="Müfti"/>
        <filter val="Niiwa"/>
        <filter val="Niklaus"/>
        <filter val="Onemanforest"/>
        <filter val="Rcane"/>
        <filter val="Revlash"/>
        <filter val="Sensés"/>
        <filter val="Seraphÿm"/>
        <filter val="Shalist"/>
        <filter val="Shinkai"/>
        <filter val="Spudsux"/>
        <filter val="Szion"/>
        <filter val="Torwen"/>
        <filter val="Vakama"/>
        <filter val="Wainesha"/>
        <filter val="Warriorxz"/>
        <filter val="Zerika"/>
      </filters>
    </filterColumn>
    <filterColumn colId="2">
      <filters>
        <filter val="0.1"/>
        <filter val="0.2"/>
        <filter val="0.4"/>
        <filter val="0.5"/>
        <filter val="0.8"/>
      </filters>
    </filterColumn>
    <sortState ref="A104:C154">
      <sortCondition ref="A103:A163"/>
    </sortState>
  </autoFilter>
  <sortState ref="A104:C151">
    <sortCondition ref="A104:A151"/>
  </sortState>
  <conditionalFormatting sqref="A2:A70">
    <cfRule type="expression" dxfId="34" priority="104" stopIfTrue="1">
      <formula>IF(J2&gt;1,TRUE)</formula>
    </cfRule>
    <cfRule type="expression" dxfId="33" priority="105" stopIfTrue="1">
      <formula>IF(J2=0,TRUE)</formula>
    </cfRule>
    <cfRule type="expression" dxfId="32" priority="106" stopIfTrue="1">
      <formula>IF(J2&lt;=1,TRUE)</formula>
    </cfRule>
  </conditionalFormatting>
  <conditionalFormatting sqref="D26:E26 D29:I32 E34 D2:D100 G2:G100">
    <cfRule type="cellIs" dxfId="31" priority="107" stopIfTrue="1" operator="equal">
      <formula>"No"</formula>
    </cfRule>
  </conditionalFormatting>
  <conditionalFormatting sqref="E2:F100 H2:I100">
    <cfRule type="expression" dxfId="30" priority="108" stopIfTrue="1">
      <formula>IF(E2&gt;0,TRUE)</formula>
    </cfRule>
  </conditionalFormatting>
  <conditionalFormatting sqref="A71">
    <cfRule type="expression" dxfId="29" priority="101" stopIfTrue="1">
      <formula>IF(J71&gt;1,TRUE)</formula>
    </cfRule>
    <cfRule type="expression" dxfId="28" priority="102" stopIfTrue="1">
      <formula>IF(J71=0,TRUE)</formula>
    </cfRule>
    <cfRule type="expression" dxfId="27" priority="103" stopIfTrue="1">
      <formula>IF(J71&lt;=1,TRUE)</formula>
    </cfRule>
  </conditionalFormatting>
  <conditionalFormatting sqref="A72:A78">
    <cfRule type="expression" dxfId="26" priority="96" stopIfTrue="1">
      <formula>IF(J72&gt;1,TRUE)</formula>
    </cfRule>
    <cfRule type="expression" dxfId="25" priority="97" stopIfTrue="1">
      <formula>IF(J72=0,TRUE)</formula>
    </cfRule>
    <cfRule type="expression" dxfId="24" priority="98" stopIfTrue="1">
      <formula>IF(J72&lt;=1,TRUE)</formula>
    </cfRule>
  </conditionalFormatting>
  <conditionalFormatting sqref="A79:A87">
    <cfRule type="expression" dxfId="23" priority="91" stopIfTrue="1">
      <formula>IF(J79&gt;1,TRUE)</formula>
    </cfRule>
    <cfRule type="expression" dxfId="22" priority="92" stopIfTrue="1">
      <formula>IF(J79=0,TRUE)</formula>
    </cfRule>
    <cfRule type="expression" dxfId="21" priority="93" stopIfTrue="1">
      <formula>IF(J79&lt;=1,TRUE)</formula>
    </cfRule>
  </conditionalFormatting>
  <conditionalFormatting sqref="A88:A100">
    <cfRule type="expression" dxfId="20" priority="86" stopIfTrue="1">
      <formula>IF(J88&gt;1,TRUE)</formula>
    </cfRule>
    <cfRule type="expression" dxfId="19" priority="87" stopIfTrue="1">
      <formula>IF(J88=0,TRUE)</formula>
    </cfRule>
    <cfRule type="expression" dxfId="18" priority="88" stopIfTrue="1">
      <formula>IF(J88&lt;=1,TRUE)</formula>
    </cfRule>
  </conditionalFormatting>
  <dataValidations count="4">
    <dataValidation type="list" operator="equal" allowBlank="1" sqref="G2:G100 D2:D100">
      <formula1>"No,Yes"</formula1>
      <formula2>0</formula2>
    </dataValidation>
    <dataValidation type="list" operator="equal" allowBlank="1" sqref="H2:I100 E2:F100">
      <formula1>"0,1,2,3,4,5,6,7,8,9,10,11,12,13,14,15,16,17,18,19,20,"</formula1>
      <formula2>0</formula2>
    </dataValidation>
    <dataValidation type="date" operator="greaterThan" allowBlank="1" showErrorMessage="1" sqref="B2:B50 B62:B96">
      <formula1>1/3/2010</formula1>
      <formula2>30/12/1899</formula2>
    </dataValidation>
    <dataValidation type="list" allowBlank="1" showInputMessage="1" showErrorMessage="1" sqref="C2:C100">
      <formula1>$T$2:$T$37</formula1>
    </dataValidation>
  </dataValidations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 r:id="rId1"/>
  <headerFooter alignWithMargins="0">
    <oddHeader>&amp;C&amp;"Times New Roman,Regular"&amp;12&amp;A</oddHeader>
    <oddFooter>&amp;C&amp;"Times New Roman,Regular"&amp;12Page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R108"/>
  <sheetViews>
    <sheetView zoomScale="101" zoomScaleNormal="101" workbookViewId="0">
      <pane xSplit="1" ySplit="9" topLeftCell="B10" activePane="bottomRight" state="frozen"/>
      <selection activeCell="F51" sqref="F47:F51"/>
      <selection pane="topRight" activeCell="F51" sqref="F47:F51"/>
      <selection pane="bottomLeft" activeCell="F51" sqref="F47:F51"/>
      <selection pane="bottomRight" activeCell="B3" sqref="B3"/>
    </sheetView>
  </sheetViews>
  <sheetFormatPr defaultColWidth="8.7109375" defaultRowHeight="15" customHeight="1"/>
  <cols>
    <col min="1" max="1" width="14" style="1" customWidth="1"/>
    <col min="2" max="8" width="11.140625" style="1" customWidth="1"/>
    <col min="9" max="15" width="10.28515625" style="1" customWidth="1"/>
    <col min="16" max="17" width="8.7109375" style="1"/>
    <col min="18" max="16384" width="8.7109375" style="53"/>
  </cols>
  <sheetData>
    <row r="1" spans="1:18" ht="33" customHeight="1" thickBot="1">
      <c r="A1" s="485" t="s">
        <v>26</v>
      </c>
      <c r="B1" s="55" t="s">
        <v>190</v>
      </c>
      <c r="C1" s="56" t="s">
        <v>191</v>
      </c>
      <c r="D1" s="56" t="s">
        <v>192</v>
      </c>
      <c r="E1" s="56" t="s">
        <v>193</v>
      </c>
      <c r="F1" s="56" t="s">
        <v>194</v>
      </c>
      <c r="G1" s="56" t="s">
        <v>197</v>
      </c>
      <c r="H1" s="57" t="s">
        <v>40</v>
      </c>
      <c r="I1" s="504" t="s">
        <v>41</v>
      </c>
      <c r="J1" s="498" t="s">
        <v>42</v>
      </c>
      <c r="K1" s="498" t="s">
        <v>43</v>
      </c>
      <c r="L1" s="498" t="s">
        <v>44</v>
      </c>
      <c r="M1" s="498" t="s">
        <v>45</v>
      </c>
      <c r="N1" s="498" t="s">
        <v>46</v>
      </c>
      <c r="O1" s="501" t="s">
        <v>47</v>
      </c>
    </row>
    <row r="2" spans="1:18" ht="15.75" customHeight="1" thickBot="1">
      <c r="A2" s="485" t="s">
        <v>48</v>
      </c>
      <c r="B2" s="59">
        <v>41514</v>
      </c>
      <c r="C2" s="211">
        <f>B2</f>
        <v>41514</v>
      </c>
      <c r="D2" s="211">
        <f t="shared" ref="D2:H2" si="0">C2+1</f>
        <v>41515</v>
      </c>
      <c r="E2" s="211">
        <f>D2</f>
        <v>41515</v>
      </c>
      <c r="F2" s="211">
        <f>E2+3</f>
        <v>41518</v>
      </c>
      <c r="G2" s="211">
        <f>F2</f>
        <v>41518</v>
      </c>
      <c r="H2" s="212">
        <f t="shared" si="0"/>
        <v>41519</v>
      </c>
      <c r="I2" s="505"/>
      <c r="J2" s="499"/>
      <c r="K2" s="499"/>
      <c r="L2" s="499"/>
      <c r="M2" s="499"/>
      <c r="N2" s="499"/>
      <c r="O2" s="502"/>
    </row>
    <row r="3" spans="1:18" ht="15.75" customHeight="1" thickBot="1">
      <c r="A3" s="485" t="s">
        <v>49</v>
      </c>
      <c r="B3" s="60"/>
      <c r="D3" s="61"/>
      <c r="E3" s="61"/>
      <c r="F3" s="61"/>
      <c r="G3" s="61"/>
      <c r="H3" s="62"/>
      <c r="I3" s="505"/>
      <c r="J3" s="499"/>
      <c r="K3" s="499"/>
      <c r="L3" s="499"/>
      <c r="M3" s="499"/>
      <c r="N3" s="499"/>
      <c r="O3" s="502"/>
    </row>
    <row r="4" spans="1:18" ht="15.75" customHeight="1" thickBot="1">
      <c r="A4" s="485" t="s">
        <v>50</v>
      </c>
      <c r="B4" s="213"/>
      <c r="C4" s="61"/>
      <c r="D4" s="61"/>
      <c r="E4" s="61"/>
      <c r="F4" s="61"/>
      <c r="G4" s="61"/>
      <c r="H4" s="62"/>
      <c r="I4" s="505"/>
      <c r="J4" s="499"/>
      <c r="K4" s="499"/>
      <c r="L4" s="499"/>
      <c r="M4" s="499"/>
      <c r="N4" s="499"/>
      <c r="O4" s="502"/>
    </row>
    <row r="5" spans="1:18" ht="30.75" customHeight="1" thickBot="1">
      <c r="A5" s="486" t="s">
        <v>51</v>
      </c>
      <c r="B5" s="64"/>
      <c r="C5" s="65"/>
      <c r="D5" s="65"/>
      <c r="E5" s="65"/>
      <c r="F5" s="64"/>
      <c r="G5" s="65"/>
      <c r="H5" s="66"/>
      <c r="I5" s="505"/>
      <c r="J5" s="499"/>
      <c r="K5" s="499"/>
      <c r="L5" s="499"/>
      <c r="M5" s="499"/>
      <c r="N5" s="499"/>
      <c r="O5" s="502"/>
      <c r="R5"/>
    </row>
    <row r="6" spans="1:18" ht="30.75" customHeight="1" thickBot="1">
      <c r="A6" s="373" t="s">
        <v>195</v>
      </c>
      <c r="B6" s="374"/>
      <c r="C6" s="374"/>
      <c r="D6" s="374"/>
      <c r="E6" s="374"/>
      <c r="F6" s="374"/>
      <c r="G6" s="374"/>
      <c r="H6" s="375"/>
      <c r="I6" s="505"/>
      <c r="J6" s="499"/>
      <c r="K6" s="499"/>
      <c r="L6" s="499"/>
      <c r="M6" s="499"/>
      <c r="N6" s="499"/>
      <c r="O6" s="502"/>
      <c r="R6"/>
    </row>
    <row r="7" spans="1:18">
      <c r="A7" s="54" t="s">
        <v>53</v>
      </c>
      <c r="B7" s="214">
        <f t="shared" ref="B7:H7" si="1">COUNTIF(B10:B69,"Confirmed")</f>
        <v>0</v>
      </c>
      <c r="C7" s="214">
        <f t="shared" si="1"/>
        <v>0</v>
      </c>
      <c r="D7" s="214">
        <f t="shared" si="1"/>
        <v>0</v>
      </c>
      <c r="E7" s="214">
        <f t="shared" si="1"/>
        <v>0</v>
      </c>
      <c r="F7" s="214">
        <f t="shared" si="1"/>
        <v>0</v>
      </c>
      <c r="G7" s="214">
        <f t="shared" si="1"/>
        <v>0</v>
      </c>
      <c r="H7" s="215">
        <f t="shared" si="1"/>
        <v>0</v>
      </c>
      <c r="I7" s="505"/>
      <c r="J7" s="499"/>
      <c r="K7" s="499"/>
      <c r="L7" s="499"/>
      <c r="M7" s="499"/>
      <c r="N7" s="499"/>
      <c r="O7" s="502"/>
      <c r="R7"/>
    </row>
    <row r="8" spans="1:18">
      <c r="A8" s="58" t="s">
        <v>52</v>
      </c>
      <c r="B8" s="216">
        <f t="shared" ref="B8:H8" si="2">COUNTIF(B10:B69,"Standby")</f>
        <v>0</v>
      </c>
      <c r="C8" s="216">
        <f t="shared" si="2"/>
        <v>0</v>
      </c>
      <c r="D8" s="216">
        <f t="shared" si="2"/>
        <v>0</v>
      </c>
      <c r="E8" s="216">
        <f t="shared" si="2"/>
        <v>0</v>
      </c>
      <c r="F8" s="216">
        <f t="shared" si="2"/>
        <v>0</v>
      </c>
      <c r="G8" s="216">
        <f t="shared" si="2"/>
        <v>0</v>
      </c>
      <c r="H8" s="217">
        <f t="shared" si="2"/>
        <v>0</v>
      </c>
      <c r="I8" s="505"/>
      <c r="J8" s="499"/>
      <c r="K8" s="499"/>
      <c r="L8" s="499"/>
      <c r="M8" s="499"/>
      <c r="N8" s="499"/>
      <c r="O8" s="502"/>
      <c r="R8"/>
    </row>
    <row r="9" spans="1:18" ht="15.75" thickBot="1">
      <c r="A9" s="63" t="s">
        <v>39</v>
      </c>
      <c r="B9" s="218">
        <f t="shared" ref="B9:H9" si="3">COUNTIF(B10:B69,"Out")</f>
        <v>0</v>
      </c>
      <c r="C9" s="218">
        <f t="shared" si="3"/>
        <v>0</v>
      </c>
      <c r="D9" s="218">
        <f t="shared" si="3"/>
        <v>0</v>
      </c>
      <c r="E9" s="218">
        <f t="shared" si="3"/>
        <v>0</v>
      </c>
      <c r="F9" s="218">
        <f t="shared" si="3"/>
        <v>0</v>
      </c>
      <c r="G9" s="218">
        <f t="shared" si="3"/>
        <v>0</v>
      </c>
      <c r="H9" s="219">
        <f t="shared" si="3"/>
        <v>0</v>
      </c>
      <c r="I9" s="506"/>
      <c r="J9" s="500"/>
      <c r="K9" s="500"/>
      <c r="L9" s="500"/>
      <c r="M9" s="500"/>
      <c r="N9" s="500"/>
      <c r="O9" s="503"/>
      <c r="R9"/>
    </row>
    <row r="10" spans="1:18" ht="15" customHeight="1">
      <c r="A10" s="5" t="str">
        <f>'Members Data'!A2</f>
        <v>Adanya</v>
      </c>
      <c r="B10" s="196"/>
      <c r="C10" s="200"/>
      <c r="D10" s="200"/>
      <c r="E10" s="197"/>
      <c r="F10" s="197"/>
      <c r="G10" s="197"/>
      <c r="H10" s="201"/>
      <c r="I10" s="67">
        <f t="array" ref="I10">SUM(($B10:$H10="confirmed")*($B$4:$H$4=25))</f>
        <v>0</v>
      </c>
      <c r="J10" s="68">
        <f t="array" ref="J10">SUM(($B10:$H10="standby")*($B$4:$H$4=25))</f>
        <v>0</v>
      </c>
      <c r="K10" s="68">
        <f t="array" ref="K10">SUM(($B10:$H10="confirmed")*($B$4:$H$4=10))</f>
        <v>0</v>
      </c>
      <c r="L10" s="68">
        <f t="array" ref="L10">SUM(($B10:$H10="standby")*($B$4:$H$4=10))</f>
        <v>0</v>
      </c>
      <c r="M10" s="68">
        <f t="shared" ref="M10:M41" si="4">COUNTIF(B10:H10,"confirmed")</f>
        <v>0</v>
      </c>
      <c r="N10" s="68">
        <f t="shared" ref="N10:N41" si="5">COUNTIF(B10:H10,"standby")</f>
        <v>0</v>
      </c>
      <c r="O10" s="69">
        <f t="shared" ref="O10:O41" si="6">COUNTIF(B10:H10,"out")</f>
        <v>0</v>
      </c>
      <c r="R10"/>
    </row>
    <row r="11" spans="1:18" ht="15" customHeight="1">
      <c r="A11" s="9" t="str">
        <f>'Members Data'!A3</f>
        <v>Ambú</v>
      </c>
      <c r="B11" s="199"/>
      <c r="C11" s="200"/>
      <c r="D11" s="200"/>
      <c r="E11" s="200"/>
      <c r="F11" s="200"/>
      <c r="G11" s="200"/>
      <c r="H11" s="201"/>
      <c r="I11" s="70">
        <f t="array" ref="I11">SUM(($B11:$H11="confirmed")*($B$4:$H$4=25))</f>
        <v>0</v>
      </c>
      <c r="J11" s="43">
        <f t="array" ref="J11">SUM(($B11:$H11="standby")*($B$4:$H$4=25))</f>
        <v>0</v>
      </c>
      <c r="K11" s="43">
        <f t="array" ref="K11">SUM(($B11:$H11="confirmed")*($B$4:$H$4=10))</f>
        <v>0</v>
      </c>
      <c r="L11" s="43">
        <f t="array" ref="L11">SUM(($B11:$H11="standby")*($B$4:$H$4=10))</f>
        <v>0</v>
      </c>
      <c r="M11" s="15">
        <f t="shared" si="4"/>
        <v>0</v>
      </c>
      <c r="N11" s="15">
        <f t="shared" si="5"/>
        <v>0</v>
      </c>
      <c r="O11" s="16">
        <f t="shared" si="6"/>
        <v>0</v>
      </c>
      <c r="Q11"/>
      <c r="R11"/>
    </row>
    <row r="12" spans="1:18" ht="15" customHeight="1">
      <c r="A12" s="9" t="str">
        <f>'Members Data'!A4</f>
        <v>Ashenhand</v>
      </c>
      <c r="B12" s="199"/>
      <c r="C12" s="200"/>
      <c r="D12" s="200"/>
      <c r="E12" s="200"/>
      <c r="F12" s="200"/>
      <c r="G12" s="200"/>
      <c r="H12" s="201"/>
      <c r="I12" s="70">
        <f t="array" ref="I12">SUM(($B12:$H12="confirmed")*($B$4:$H$4=25))</f>
        <v>0</v>
      </c>
      <c r="J12" s="43">
        <f t="array" ref="J12">SUM(($B12:$H12="standby")*($B$4:$H$4=25))</f>
        <v>0</v>
      </c>
      <c r="K12" s="43">
        <f t="array" ref="K12">SUM(($B12:$H12="confirmed")*($B$4:$H$4=10))</f>
        <v>0</v>
      </c>
      <c r="L12" s="43">
        <f t="array" ref="L12">SUM(($B12:$H12="standby")*($B$4:$H$4=10))</f>
        <v>0</v>
      </c>
      <c r="M12" s="15">
        <f t="shared" si="4"/>
        <v>0</v>
      </c>
      <c r="N12" s="15">
        <f t="shared" si="5"/>
        <v>0</v>
      </c>
      <c r="O12" s="16">
        <f t="shared" si="6"/>
        <v>0</v>
      </c>
      <c r="Q12"/>
      <c r="R12"/>
    </row>
    <row r="13" spans="1:18" ht="15" customHeight="1">
      <c r="A13" s="9" t="str">
        <f>'Members Data'!A5</f>
        <v>Âspect</v>
      </c>
      <c r="B13" s="199"/>
      <c r="C13" s="200"/>
      <c r="D13" s="200"/>
      <c r="E13" s="200"/>
      <c r="F13" s="200"/>
      <c r="G13" s="200"/>
      <c r="H13" s="201"/>
      <c r="I13" s="70">
        <f t="array" ref="I13">SUM(($B13:$H13="confirmed")*($B$4:$H$4=25))</f>
        <v>0</v>
      </c>
      <c r="J13" s="43">
        <f t="array" ref="J13">SUM(($B13:$H13="standby")*($B$4:$H$4=25))</f>
        <v>0</v>
      </c>
      <c r="K13" s="43">
        <f t="array" ref="K13">SUM(($B13:$H13="confirmed")*($B$4:$H$4=10))</f>
        <v>0</v>
      </c>
      <c r="L13" s="43">
        <f t="array" ref="L13">SUM(($B13:$H13="standby")*($B$4:$H$4=10))</f>
        <v>0</v>
      </c>
      <c r="M13" s="15">
        <f t="shared" si="4"/>
        <v>0</v>
      </c>
      <c r="N13" s="15">
        <f t="shared" si="5"/>
        <v>0</v>
      </c>
      <c r="O13" s="16">
        <f t="shared" si="6"/>
        <v>0</v>
      </c>
      <c r="Q13"/>
      <c r="R13"/>
    </row>
    <row r="14" spans="1:18" ht="15" customHeight="1">
      <c r="A14" s="9" t="str">
        <f>'Members Data'!A6</f>
        <v>Assap</v>
      </c>
      <c r="B14" s="199"/>
      <c r="C14" s="200"/>
      <c r="D14" s="200"/>
      <c r="E14" s="200"/>
      <c r="F14" s="200"/>
      <c r="G14" s="200"/>
      <c r="H14" s="201"/>
      <c r="I14" s="70">
        <f t="array" ref="I14">SUM(($B14:$H14="confirmed")*($B$4:$H$4=25))</f>
        <v>0</v>
      </c>
      <c r="J14" s="43">
        <f t="array" ref="J14">SUM(($B14:$H14="standby")*($B$4:$H$4=25))</f>
        <v>0</v>
      </c>
      <c r="K14" s="43">
        <f t="array" ref="K14">SUM(($B14:$H14="confirmed")*($B$4:$H$4=10))</f>
        <v>0</v>
      </c>
      <c r="L14" s="43">
        <f t="array" ref="L14">SUM(($B14:$H14="standby")*($B$4:$H$4=10))</f>
        <v>0</v>
      </c>
      <c r="M14" s="15">
        <f t="shared" si="4"/>
        <v>0</v>
      </c>
      <c r="N14" s="15">
        <f t="shared" si="5"/>
        <v>0</v>
      </c>
      <c r="O14" s="16">
        <f t="shared" si="6"/>
        <v>0</v>
      </c>
      <c r="Q14"/>
      <c r="R14"/>
    </row>
    <row r="15" spans="1:18" ht="15" customHeight="1">
      <c r="A15" s="9" t="str">
        <f>'Members Data'!A7</f>
        <v>Bonegasmic</v>
      </c>
      <c r="B15" s="199"/>
      <c r="C15" s="200"/>
      <c r="D15" s="200"/>
      <c r="E15" s="200"/>
      <c r="F15" s="200"/>
      <c r="G15" s="200"/>
      <c r="H15" s="201"/>
      <c r="I15" s="70">
        <f t="array" ref="I15">SUM(($B15:$H15="confirmed")*($B$4:$H$4=25))</f>
        <v>0</v>
      </c>
      <c r="J15" s="43">
        <f t="array" ref="J15">SUM(($B15:$H15="standby")*($B$4:$H$4=25))</f>
        <v>0</v>
      </c>
      <c r="K15" s="43">
        <f t="array" ref="K15">SUM(($B15:$H15="confirmed")*($B$4:$H$4=10))</f>
        <v>0</v>
      </c>
      <c r="L15" s="43">
        <f t="array" ref="L15">SUM(($B15:$H15="standby")*($B$4:$H$4=10))</f>
        <v>0</v>
      </c>
      <c r="M15" s="15">
        <f t="shared" si="4"/>
        <v>0</v>
      </c>
      <c r="N15" s="15">
        <f t="shared" si="5"/>
        <v>0</v>
      </c>
      <c r="O15" s="16">
        <f t="shared" si="6"/>
        <v>0</v>
      </c>
      <c r="Q15"/>
      <c r="R15"/>
    </row>
    <row r="16" spans="1:18" ht="15" customHeight="1">
      <c r="A16" s="9" t="str">
        <f>'Members Data'!A8</f>
        <v>Brákspak</v>
      </c>
      <c r="B16" s="199"/>
      <c r="C16" s="200"/>
      <c r="D16" s="200"/>
      <c r="E16" s="200"/>
      <c r="F16" s="200"/>
      <c r="G16" s="200"/>
      <c r="H16" s="201"/>
      <c r="I16" s="70">
        <f t="array" ref="I16">SUM(($B16:$H16="confirmed")*($B$4:$H$4=25))</f>
        <v>0</v>
      </c>
      <c r="J16" s="43">
        <f t="array" ref="J16">SUM(($B16:$H16="standby")*($B$4:$H$4=25))</f>
        <v>0</v>
      </c>
      <c r="K16" s="43">
        <f t="array" ref="K16">SUM(($B16:$H16="confirmed")*($B$4:$H$4=10))</f>
        <v>0</v>
      </c>
      <c r="L16" s="43">
        <f t="array" ref="L16">SUM(($B16:$H16="standby")*($B$4:$H$4=10))</f>
        <v>0</v>
      </c>
      <c r="M16" s="15">
        <f t="shared" si="4"/>
        <v>0</v>
      </c>
      <c r="N16" s="15">
        <f t="shared" si="5"/>
        <v>0</v>
      </c>
      <c r="O16" s="16">
        <f t="shared" si="6"/>
        <v>0</v>
      </c>
      <c r="Q16"/>
      <c r="R16"/>
    </row>
    <row r="17" spans="1:18" ht="15" customHeight="1">
      <c r="A17" s="9" t="str">
        <f>'Members Data'!A9</f>
        <v>Catena</v>
      </c>
      <c r="B17" s="199"/>
      <c r="C17" s="200"/>
      <c r="D17" s="200"/>
      <c r="E17" s="200"/>
      <c r="F17" s="200"/>
      <c r="G17" s="200"/>
      <c r="H17" s="201"/>
      <c r="I17" s="70">
        <f t="array" ref="I17">SUM(($B17:$H17="confirmed")*($B$4:$H$4=25))</f>
        <v>0</v>
      </c>
      <c r="J17" s="43">
        <f t="array" ref="J17">SUM(($B17:$H17="standby")*($B$4:$H$4=25))</f>
        <v>0</v>
      </c>
      <c r="K17" s="43">
        <f t="array" ref="K17">SUM(($B17:$H17="confirmed")*($B$4:$H$4=10))</f>
        <v>0</v>
      </c>
      <c r="L17" s="43">
        <f t="array" ref="L17">SUM(($B17:$H17="standby")*($B$4:$H$4=10))</f>
        <v>0</v>
      </c>
      <c r="M17" s="15">
        <f t="shared" si="4"/>
        <v>0</v>
      </c>
      <c r="N17" s="15">
        <f t="shared" si="5"/>
        <v>0</v>
      </c>
      <c r="O17" s="16">
        <f t="shared" si="6"/>
        <v>0</v>
      </c>
      <c r="Q17"/>
      <c r="R17"/>
    </row>
    <row r="18" spans="1:18" ht="15" customHeight="1">
      <c r="A18" s="9" t="str">
        <f>'Members Data'!A10</f>
        <v>Céléstine</v>
      </c>
      <c r="B18" s="199"/>
      <c r="C18" s="200"/>
      <c r="D18" s="200"/>
      <c r="E18" s="200"/>
      <c r="F18" s="202"/>
      <c r="G18" s="200"/>
      <c r="H18" s="201"/>
      <c r="I18" s="70">
        <f t="array" ref="I18">SUM(($B18:$H18="confirmed")*($B$4:$H$4=25))</f>
        <v>0</v>
      </c>
      <c r="J18" s="43">
        <f t="array" ref="J18">SUM(($B18:$H18="standby")*($B$4:$H$4=25))</f>
        <v>0</v>
      </c>
      <c r="K18" s="43">
        <f t="array" ref="K18">SUM(($B18:$H18="confirmed")*($B$4:$H$4=10))</f>
        <v>0</v>
      </c>
      <c r="L18" s="43">
        <f t="array" ref="L18">SUM(($B18:$H18="standby")*($B$4:$H$4=10))</f>
        <v>0</v>
      </c>
      <c r="M18" s="15">
        <f t="shared" si="4"/>
        <v>0</v>
      </c>
      <c r="N18" s="15">
        <f t="shared" si="5"/>
        <v>0</v>
      </c>
      <c r="O18" s="16">
        <f t="shared" si="6"/>
        <v>0</v>
      </c>
      <c r="Q18"/>
      <c r="R18"/>
    </row>
    <row r="19" spans="1:18" ht="15" customHeight="1">
      <c r="A19" s="9" t="str">
        <f>'Members Data'!A11</f>
        <v>Cottman</v>
      </c>
      <c r="B19" s="199"/>
      <c r="C19" s="200"/>
      <c r="D19" s="200"/>
      <c r="E19" s="200"/>
      <c r="F19" s="200"/>
      <c r="G19" s="200"/>
      <c r="H19" s="201"/>
      <c r="I19" s="70">
        <f t="array" ref="I19">SUM(($B19:$H19="confirmed")*($B$4:$H$4=25))</f>
        <v>0</v>
      </c>
      <c r="J19" s="43">
        <f t="array" ref="J19">SUM(($B19:$H19="standby")*($B$4:$H$4=25))</f>
        <v>0</v>
      </c>
      <c r="K19" s="43">
        <f t="array" ref="K19">SUM(($B19:$H19="confirmed")*($B$4:$H$4=10))</f>
        <v>0</v>
      </c>
      <c r="L19" s="43">
        <f t="array" ref="L19">SUM(($B19:$H19="standby")*($B$4:$H$4=10))</f>
        <v>0</v>
      </c>
      <c r="M19" s="15">
        <f t="shared" si="4"/>
        <v>0</v>
      </c>
      <c r="N19" s="15">
        <f t="shared" si="5"/>
        <v>0</v>
      </c>
      <c r="O19" s="16">
        <f t="shared" si="6"/>
        <v>0</v>
      </c>
      <c r="Q19"/>
      <c r="R19"/>
    </row>
    <row r="20" spans="1:18" ht="15" customHeight="1">
      <c r="A20" s="9" t="str">
        <f>'Members Data'!A12</f>
        <v>Craving</v>
      </c>
      <c r="B20" s="199"/>
      <c r="C20" s="200"/>
      <c r="D20" s="200"/>
      <c r="E20" s="200"/>
      <c r="F20" s="200"/>
      <c r="G20" s="200"/>
      <c r="H20" s="201"/>
      <c r="I20" s="70">
        <f t="array" ref="I20">SUM(($B20:$H20="confirmed")*($B$4:$H$4=25))</f>
        <v>0</v>
      </c>
      <c r="J20" s="43">
        <f t="array" ref="J20">SUM(($B20:$H20="standby")*($B$4:$H$4=25))</f>
        <v>0</v>
      </c>
      <c r="K20" s="43">
        <f t="array" ref="K20">SUM(($B20:$H20="confirmed")*($B$4:$H$4=10))</f>
        <v>0</v>
      </c>
      <c r="L20" s="43">
        <f t="array" ref="L20">SUM(($B20:$H20="standby")*($B$4:$H$4=10))</f>
        <v>0</v>
      </c>
      <c r="M20" s="15">
        <f t="shared" si="4"/>
        <v>0</v>
      </c>
      <c r="N20" s="15">
        <f t="shared" si="5"/>
        <v>0</v>
      </c>
      <c r="O20" s="16">
        <f t="shared" si="6"/>
        <v>0</v>
      </c>
      <c r="Q20"/>
      <c r="R20"/>
    </row>
    <row r="21" spans="1:18" ht="15" customHeight="1">
      <c r="A21" s="9" t="str">
        <f>'Members Data'!A13</f>
        <v>Darshei</v>
      </c>
      <c r="B21" s="199"/>
      <c r="C21" s="200"/>
      <c r="D21" s="200"/>
      <c r="E21" s="200"/>
      <c r="F21" s="200"/>
      <c r="G21" s="200"/>
      <c r="H21" s="201"/>
      <c r="I21" s="70">
        <f t="array" ref="I21">SUM(($B21:$H21="confirmed")*($B$4:$H$4=25))</f>
        <v>0</v>
      </c>
      <c r="J21" s="43">
        <f t="array" ref="J21">SUM(($B21:$H21="standby")*($B$4:$H$4=25))</f>
        <v>0</v>
      </c>
      <c r="K21" s="43">
        <f t="array" ref="K21">SUM(($B21:$H21="confirmed")*($B$4:$H$4=10))</f>
        <v>0</v>
      </c>
      <c r="L21" s="43">
        <f t="array" ref="L21">SUM(($B21:$H21="standby")*($B$4:$H$4=10))</f>
        <v>0</v>
      </c>
      <c r="M21" s="15">
        <f t="shared" si="4"/>
        <v>0</v>
      </c>
      <c r="N21" s="15">
        <f t="shared" si="5"/>
        <v>0</v>
      </c>
      <c r="O21" s="16">
        <f t="shared" si="6"/>
        <v>0</v>
      </c>
      <c r="Q21"/>
      <c r="R21"/>
    </row>
    <row r="22" spans="1:18" ht="15" customHeight="1">
      <c r="A22" s="9" t="str">
        <f>'Members Data'!A14</f>
        <v>Difson</v>
      </c>
      <c r="B22" s="199"/>
      <c r="C22" s="200"/>
      <c r="D22" s="200"/>
      <c r="E22" s="200"/>
      <c r="F22" s="200"/>
      <c r="G22" s="200"/>
      <c r="H22" s="201"/>
      <c r="I22" s="70">
        <f t="array" ref="I22">SUM(($B22:$H22="confirmed")*($B$4:$H$4=25))</f>
        <v>0</v>
      </c>
      <c r="J22" s="43">
        <f t="array" ref="J22">SUM(($B22:$H22="standby")*($B$4:$H$4=25))</f>
        <v>0</v>
      </c>
      <c r="K22" s="43">
        <f t="array" ref="K22">SUM(($B22:$H22="confirmed")*($B$4:$H$4=10))</f>
        <v>0</v>
      </c>
      <c r="L22" s="43">
        <f t="array" ref="L22">SUM(($B22:$H22="standby")*($B$4:$H$4=10))</f>
        <v>0</v>
      </c>
      <c r="M22" s="15">
        <f t="shared" si="4"/>
        <v>0</v>
      </c>
      <c r="N22" s="15">
        <f t="shared" si="5"/>
        <v>0</v>
      </c>
      <c r="O22" s="16">
        <f t="shared" si="6"/>
        <v>0</v>
      </c>
      <c r="Q22"/>
      <c r="R22"/>
    </row>
    <row r="23" spans="1:18" ht="15" customHeight="1">
      <c r="A23" s="9" t="str">
        <f>'Members Data'!A15</f>
        <v>Grandhoof</v>
      </c>
      <c r="B23" s="199"/>
      <c r="C23" s="200"/>
      <c r="D23" s="200"/>
      <c r="E23" s="200"/>
      <c r="F23" s="200"/>
      <c r="G23" s="200"/>
      <c r="H23" s="201"/>
      <c r="I23" s="70">
        <f t="array" ref="I23">SUM(($B23:$H23="confirmed")*($B$4:$H$4=25))</f>
        <v>0</v>
      </c>
      <c r="J23" s="43">
        <f t="array" ref="J23">SUM(($B23:$H23="standby")*($B$4:$H$4=25))</f>
        <v>0</v>
      </c>
      <c r="K23" s="43">
        <f t="array" ref="K23">SUM(($B23:$H23="confirmed")*($B$4:$H$4=10))</f>
        <v>0</v>
      </c>
      <c r="L23" s="43">
        <f t="array" ref="L23">SUM(($B23:$H23="standby")*($B$4:$H$4=10))</f>
        <v>0</v>
      </c>
      <c r="M23" s="15">
        <f t="shared" si="4"/>
        <v>0</v>
      </c>
      <c r="N23" s="15">
        <f t="shared" si="5"/>
        <v>0</v>
      </c>
      <c r="O23" s="16">
        <f t="shared" si="6"/>
        <v>0</v>
      </c>
      <c r="Q23"/>
      <c r="R23"/>
    </row>
    <row r="24" spans="1:18" ht="15" customHeight="1">
      <c r="A24" s="9" t="str">
        <f>'Members Data'!A16</f>
        <v>Harkar</v>
      </c>
      <c r="B24" s="199"/>
      <c r="C24" s="200"/>
      <c r="D24" s="200"/>
      <c r="E24" s="200"/>
      <c r="F24" s="200"/>
      <c r="G24" s="200"/>
      <c r="H24" s="201"/>
      <c r="I24" s="70">
        <f t="array" ref="I24">SUM(($B24:$H24="confirmed")*($B$4:$H$4=25))</f>
        <v>0</v>
      </c>
      <c r="J24" s="43">
        <f t="array" ref="J24">SUM(($B24:$H24="standby")*($B$4:$H$4=25))</f>
        <v>0</v>
      </c>
      <c r="K24" s="43">
        <f t="array" ref="K24">SUM(($B24:$H24="confirmed")*($B$4:$H$4=10))</f>
        <v>0</v>
      </c>
      <c r="L24" s="43">
        <f t="array" ref="L24">SUM(($B24:$H24="standby")*($B$4:$H$4=10))</f>
        <v>0</v>
      </c>
      <c r="M24" s="15">
        <f t="shared" si="4"/>
        <v>0</v>
      </c>
      <c r="N24" s="15">
        <f t="shared" si="5"/>
        <v>0</v>
      </c>
      <c r="O24" s="16">
        <f t="shared" si="6"/>
        <v>0</v>
      </c>
      <c r="Q24"/>
      <c r="R24"/>
    </row>
    <row r="25" spans="1:18" ht="15" customHeight="1">
      <c r="A25" s="9" t="str">
        <f>'Members Data'!A17</f>
        <v>Hyperïon</v>
      </c>
      <c r="B25" s="199"/>
      <c r="C25" s="200"/>
      <c r="D25" s="200"/>
      <c r="E25" s="200"/>
      <c r="F25" s="200"/>
      <c r="G25" s="200"/>
      <c r="H25" s="201"/>
      <c r="I25" s="70">
        <f t="array" ref="I25">SUM(($B25:$H25="confirmed")*($B$4:$H$4=25))</f>
        <v>0</v>
      </c>
      <c r="J25" s="43">
        <f t="array" ref="J25">SUM(($B25:$H25="standby")*($B$4:$H$4=25))</f>
        <v>0</v>
      </c>
      <c r="K25" s="43">
        <f t="array" ref="K25">SUM(($B25:$H25="confirmed")*($B$4:$H$4=10))</f>
        <v>0</v>
      </c>
      <c r="L25" s="43">
        <f t="array" ref="L25">SUM(($B25:$H25="standby")*($B$4:$H$4=10))</f>
        <v>0</v>
      </c>
      <c r="M25" s="15">
        <f t="shared" si="4"/>
        <v>0</v>
      </c>
      <c r="N25" s="15">
        <f t="shared" si="5"/>
        <v>0</v>
      </c>
      <c r="O25" s="16">
        <f t="shared" si="6"/>
        <v>0</v>
      </c>
      <c r="Q25"/>
      <c r="R25"/>
    </row>
    <row r="26" spans="1:18" ht="15" customHeight="1">
      <c r="A26" s="9" t="str">
        <f>'Members Data'!A18</f>
        <v>Illianá</v>
      </c>
      <c r="B26" s="199"/>
      <c r="C26" s="200"/>
      <c r="D26" s="200"/>
      <c r="E26" s="200"/>
      <c r="F26" s="200"/>
      <c r="G26" s="200"/>
      <c r="H26" s="201"/>
      <c r="I26" s="70">
        <f t="array" ref="I26">SUM(($B26:$H26="confirmed")*($B$4:$H$4=25))</f>
        <v>0</v>
      </c>
      <c r="J26" s="43">
        <f t="array" ref="J26">SUM(($B26:$H26="standby")*($B$4:$H$4=25))</f>
        <v>0</v>
      </c>
      <c r="K26" s="43">
        <f t="array" ref="K26">SUM(($B26:$H26="confirmed")*($B$4:$H$4=10))</f>
        <v>0</v>
      </c>
      <c r="L26" s="43">
        <f t="array" ref="L26">SUM(($B26:$H26="standby")*($B$4:$H$4=10))</f>
        <v>0</v>
      </c>
      <c r="M26" s="15">
        <f t="shared" si="4"/>
        <v>0</v>
      </c>
      <c r="N26" s="15">
        <f t="shared" si="5"/>
        <v>0</v>
      </c>
      <c r="O26" s="16">
        <f t="shared" si="6"/>
        <v>0</v>
      </c>
      <c r="Q26"/>
      <c r="R26"/>
    </row>
    <row r="27" spans="1:18" ht="15" customHeight="1">
      <c r="A27" s="9" t="str">
        <f>'Members Data'!A19</f>
        <v>Izzabelle</v>
      </c>
      <c r="B27" s="199"/>
      <c r="C27" s="200"/>
      <c r="D27" s="200"/>
      <c r="E27" s="200"/>
      <c r="F27" s="200"/>
      <c r="G27" s="200"/>
      <c r="H27" s="201"/>
      <c r="I27" s="70">
        <f t="array" ref="I27">SUM(($B27:$H27="confirmed")*($B$4:$H$4=25))</f>
        <v>0</v>
      </c>
      <c r="J27" s="43">
        <f t="array" ref="J27">SUM(($B27:$H27="standby")*($B$4:$H$4=25))</f>
        <v>0</v>
      </c>
      <c r="K27" s="43">
        <f t="array" ref="K27">SUM(($B27:$H27="confirmed")*($B$4:$H$4=10))</f>
        <v>0</v>
      </c>
      <c r="L27" s="43">
        <f t="array" ref="L27">SUM(($B27:$H27="standby")*($B$4:$H$4=10))</f>
        <v>0</v>
      </c>
      <c r="M27" s="15">
        <f t="shared" si="4"/>
        <v>0</v>
      </c>
      <c r="N27" s="15">
        <f t="shared" si="5"/>
        <v>0</v>
      </c>
      <c r="O27" s="16">
        <f t="shared" si="6"/>
        <v>0</v>
      </c>
      <c r="Q27"/>
      <c r="R27"/>
    </row>
    <row r="28" spans="1:18" ht="15" customHeight="1">
      <c r="A28" s="9" t="str">
        <f>'Members Data'!A20</f>
        <v>Kátsumi</v>
      </c>
      <c r="B28" s="199"/>
      <c r="C28" s="200"/>
      <c r="D28" s="200"/>
      <c r="E28" s="200"/>
      <c r="F28" s="200"/>
      <c r="G28" s="200"/>
      <c r="H28" s="201"/>
      <c r="I28" s="70">
        <f t="array" ref="I28">SUM(($B28:$H28="confirmed")*($B$4:$H$4=25))</f>
        <v>0</v>
      </c>
      <c r="J28" s="43">
        <f t="array" ref="J28">SUM(($B28:$H28="standby")*($B$4:$H$4=25))</f>
        <v>0</v>
      </c>
      <c r="K28" s="43">
        <f t="array" ref="K28">SUM(($B28:$H28="confirmed")*($B$4:$H$4=10))</f>
        <v>0</v>
      </c>
      <c r="L28" s="43">
        <f t="array" ref="L28">SUM(($B28:$H28="standby")*($B$4:$H$4=10))</f>
        <v>0</v>
      </c>
      <c r="M28" s="15">
        <f t="shared" si="4"/>
        <v>0</v>
      </c>
      <c r="N28" s="15">
        <f t="shared" si="5"/>
        <v>0</v>
      </c>
      <c r="O28" s="16">
        <f t="shared" si="6"/>
        <v>0</v>
      </c>
      <c r="Q28"/>
      <c r="R28"/>
    </row>
    <row r="29" spans="1:18" ht="15" customHeight="1">
      <c r="A29" s="9" t="str">
        <f>'Members Data'!A21</f>
        <v>Lychi</v>
      </c>
      <c r="B29" s="199"/>
      <c r="C29" s="200"/>
      <c r="D29" s="200"/>
      <c r="E29" s="200"/>
      <c r="F29" s="200"/>
      <c r="G29" s="200"/>
      <c r="H29" s="201"/>
      <c r="I29" s="70">
        <f t="array" ref="I29">SUM(($B29:$H29="confirmed")*($B$4:$H$4=25))</f>
        <v>0</v>
      </c>
      <c r="J29" s="43">
        <f t="array" ref="J29">SUM(($B29:$H29="standby")*($B$4:$H$4=25))</f>
        <v>0</v>
      </c>
      <c r="K29" s="43">
        <f t="array" ref="K29">SUM(($B29:$H29="confirmed")*($B$4:$H$4=10))</f>
        <v>0</v>
      </c>
      <c r="L29" s="43">
        <f t="array" ref="L29">SUM(($B29:$H29="standby")*($B$4:$H$4=10))</f>
        <v>0</v>
      </c>
      <c r="M29" s="15">
        <f t="shared" si="4"/>
        <v>0</v>
      </c>
      <c r="N29" s="15">
        <f t="shared" si="5"/>
        <v>0</v>
      </c>
      <c r="O29" s="16">
        <f t="shared" si="6"/>
        <v>0</v>
      </c>
      <c r="Q29"/>
      <c r="R29"/>
    </row>
    <row r="30" spans="1:18" ht="15" customHeight="1">
      <c r="A30" s="9" t="str">
        <f>'Members Data'!A22</f>
        <v>Méych</v>
      </c>
      <c r="B30" s="199"/>
      <c r="C30" s="200"/>
      <c r="D30" s="200"/>
      <c r="E30" s="200"/>
      <c r="F30" s="200"/>
      <c r="G30" s="200"/>
      <c r="H30" s="201"/>
      <c r="I30" s="70">
        <f t="array" ref="I30">SUM(($B30:$H30="confirmed")*($B$4:$H$4=25))</f>
        <v>0</v>
      </c>
      <c r="J30" s="43">
        <f t="array" ref="J30">SUM(($B30:$H30="standby")*($B$4:$H$4=25))</f>
        <v>0</v>
      </c>
      <c r="K30" s="43">
        <f t="array" ref="K30">SUM(($B30:$H30="confirmed")*($B$4:$H$4=10))</f>
        <v>0</v>
      </c>
      <c r="L30" s="43">
        <f t="array" ref="L30">SUM(($B30:$H30="standby")*($B$4:$H$4=10))</f>
        <v>0</v>
      </c>
      <c r="M30" s="15">
        <f t="shared" si="4"/>
        <v>0</v>
      </c>
      <c r="N30" s="15">
        <f t="shared" si="5"/>
        <v>0</v>
      </c>
      <c r="O30" s="16">
        <f t="shared" si="6"/>
        <v>0</v>
      </c>
      <c r="Q30"/>
      <c r="R30"/>
    </row>
    <row r="31" spans="1:18" ht="15" customHeight="1">
      <c r="A31" s="9" t="str">
        <f>'Members Data'!A23</f>
        <v>Muckyfloor</v>
      </c>
      <c r="B31" s="199"/>
      <c r="C31" s="200"/>
      <c r="D31" s="200"/>
      <c r="E31" s="200"/>
      <c r="F31" s="200"/>
      <c r="G31" s="200"/>
      <c r="H31" s="201"/>
      <c r="I31" s="70">
        <f t="array" ref="I31">SUM(($B31:$H31="confirmed")*($B$4:$H$4=25))</f>
        <v>0</v>
      </c>
      <c r="J31" s="43">
        <f t="array" ref="J31">SUM(($B31:$H31="standby")*($B$4:$H$4=25))</f>
        <v>0</v>
      </c>
      <c r="K31" s="43">
        <f t="array" ref="K31">SUM(($B31:$H31="confirmed")*($B$4:$H$4=10))</f>
        <v>0</v>
      </c>
      <c r="L31" s="43">
        <f t="array" ref="L31">SUM(($B31:$H31="standby")*($B$4:$H$4=10))</f>
        <v>0</v>
      </c>
      <c r="M31" s="15">
        <f t="shared" si="4"/>
        <v>0</v>
      </c>
      <c r="N31" s="15">
        <f t="shared" si="5"/>
        <v>0</v>
      </c>
      <c r="O31" s="16">
        <f t="shared" si="6"/>
        <v>0</v>
      </c>
      <c r="Q31"/>
      <c r="R31"/>
    </row>
    <row r="32" spans="1:18" ht="15" customHeight="1">
      <c r="A32" s="9" t="str">
        <f>'Members Data'!A24</f>
        <v>Müfti</v>
      </c>
      <c r="B32" s="199"/>
      <c r="C32" s="200"/>
      <c r="D32" s="200"/>
      <c r="E32" s="200"/>
      <c r="F32" s="200"/>
      <c r="G32" s="200"/>
      <c r="H32" s="201"/>
      <c r="I32" s="70">
        <f t="array" ref="I32">SUM(($B32:$H32="confirmed")*($B$4:$H$4=25))</f>
        <v>0</v>
      </c>
      <c r="J32" s="43">
        <f t="array" ref="J32">SUM(($B32:$H32="standby")*($B$4:$H$4=25))</f>
        <v>0</v>
      </c>
      <c r="K32" s="43">
        <f t="array" ref="K32">SUM(($B32:$H32="confirmed")*($B$4:$H$4=10))</f>
        <v>0</v>
      </c>
      <c r="L32" s="43">
        <f t="array" ref="L32">SUM(($B32:$H32="standby")*($B$4:$H$4=10))</f>
        <v>0</v>
      </c>
      <c r="M32" s="15">
        <f t="shared" si="4"/>
        <v>0</v>
      </c>
      <c r="N32" s="15">
        <f t="shared" si="5"/>
        <v>0</v>
      </c>
      <c r="O32" s="16">
        <f t="shared" si="6"/>
        <v>0</v>
      </c>
      <c r="Q32"/>
      <c r="R32"/>
    </row>
    <row r="33" spans="1:18" ht="15" customHeight="1">
      <c r="A33" s="9" t="str">
        <f>'Members Data'!A25</f>
        <v>Palorde</v>
      </c>
      <c r="B33" s="199"/>
      <c r="C33" s="200"/>
      <c r="D33" s="200"/>
      <c r="E33" s="200"/>
      <c r="F33" s="200"/>
      <c r="G33" s="200"/>
      <c r="H33" s="201"/>
      <c r="I33" s="70">
        <f t="array" ref="I33">SUM(($B33:$H33="confirmed")*($B$4:$H$4=25))</f>
        <v>0</v>
      </c>
      <c r="J33" s="43">
        <f t="array" ref="J33">SUM(($B33:$H33="standby")*($B$4:$H$4=25))</f>
        <v>0</v>
      </c>
      <c r="K33" s="43">
        <f t="array" ref="K33">SUM(($B33:$H33="confirmed")*($B$4:$H$4=10))</f>
        <v>0</v>
      </c>
      <c r="L33" s="43">
        <f t="array" ref="L33">SUM(($B33:$H33="standby")*($B$4:$H$4=10))</f>
        <v>0</v>
      </c>
      <c r="M33" s="15">
        <f t="shared" si="4"/>
        <v>0</v>
      </c>
      <c r="N33" s="15">
        <f t="shared" si="5"/>
        <v>0</v>
      </c>
      <c r="O33" s="16">
        <f t="shared" si="6"/>
        <v>0</v>
      </c>
      <c r="Q33"/>
      <c r="R33"/>
    </row>
    <row r="34" spans="1:18" ht="15" customHeight="1">
      <c r="A34" s="9" t="str">
        <f>'Members Data'!A26</f>
        <v>Páula</v>
      </c>
      <c r="B34" s="199"/>
      <c r="C34" s="200"/>
      <c r="D34" s="200"/>
      <c r="E34" s="200"/>
      <c r="F34" s="200"/>
      <c r="G34" s="200"/>
      <c r="H34" s="201"/>
      <c r="I34" s="70">
        <f t="array" ref="I34">SUM(($B34:$H34="confirmed")*($B$4:$H$4=25))</f>
        <v>0</v>
      </c>
      <c r="J34" s="43">
        <f t="array" ref="J34">SUM(($B34:$H34="standby")*($B$4:$H$4=25))</f>
        <v>0</v>
      </c>
      <c r="K34" s="43">
        <f t="array" ref="K34">SUM(($B34:$H34="confirmed")*($B$4:$H$4=10))</f>
        <v>0</v>
      </c>
      <c r="L34" s="43">
        <f t="array" ref="L34">SUM(($B34:$H34="standby")*($B$4:$H$4=10))</f>
        <v>0</v>
      </c>
      <c r="M34" s="15">
        <f t="shared" si="4"/>
        <v>0</v>
      </c>
      <c r="N34" s="15">
        <f t="shared" si="5"/>
        <v>0</v>
      </c>
      <c r="O34" s="16">
        <f t="shared" si="6"/>
        <v>0</v>
      </c>
      <c r="Q34"/>
      <c r="R34"/>
    </row>
    <row r="35" spans="1:18" ht="15" customHeight="1">
      <c r="A35" s="9" t="str">
        <f>'Members Data'!A27</f>
        <v>Quemzar</v>
      </c>
      <c r="B35" s="199"/>
      <c r="C35" s="200"/>
      <c r="D35" s="200"/>
      <c r="E35" s="200"/>
      <c r="F35" s="200"/>
      <c r="G35" s="200"/>
      <c r="H35" s="201"/>
      <c r="I35" s="70">
        <f t="array" ref="I35">SUM(($B35:$H35="confirmed")*($B$4:$H$4=25))</f>
        <v>0</v>
      </c>
      <c r="J35" s="43">
        <f t="array" ref="J35">SUM(($B35:$H35="standby")*($B$4:$H$4=25))</f>
        <v>0</v>
      </c>
      <c r="K35" s="43">
        <f t="array" ref="K35">SUM(($B35:$H35="confirmed")*($B$4:$H$4=10))</f>
        <v>0</v>
      </c>
      <c r="L35" s="43">
        <f t="array" ref="L35">SUM(($B35:$H35="standby")*($B$4:$H$4=10))</f>
        <v>0</v>
      </c>
      <c r="M35" s="15">
        <f t="shared" si="4"/>
        <v>0</v>
      </c>
      <c r="N35" s="15">
        <f t="shared" si="5"/>
        <v>0</v>
      </c>
      <c r="O35" s="16">
        <f t="shared" si="6"/>
        <v>0</v>
      </c>
      <c r="Q35"/>
    </row>
    <row r="36" spans="1:18" ht="15" customHeight="1">
      <c r="A36" s="9" t="str">
        <f>'Members Data'!A28</f>
        <v>Rahwin</v>
      </c>
      <c r="B36" s="199"/>
      <c r="C36" s="200"/>
      <c r="D36" s="200"/>
      <c r="E36" s="200"/>
      <c r="F36" s="200"/>
      <c r="G36" s="200"/>
      <c r="H36" s="201"/>
      <c r="I36" s="70">
        <f t="array" ref="I36">SUM(($B36:$H36="confirmed")*($B$4:$H$4=25))</f>
        <v>0</v>
      </c>
      <c r="J36" s="43">
        <f t="array" ref="J36">SUM(($B36:$H36="standby")*($B$4:$H$4=25))</f>
        <v>0</v>
      </c>
      <c r="K36" s="43">
        <f t="array" ref="K36">SUM(($B36:$H36="confirmed")*($B$4:$H$4=10))</f>
        <v>0</v>
      </c>
      <c r="L36" s="43">
        <f t="array" ref="L36">SUM(($B36:$H36="standby")*($B$4:$H$4=10))</f>
        <v>0</v>
      </c>
      <c r="M36" s="15">
        <f t="shared" si="4"/>
        <v>0</v>
      </c>
      <c r="N36" s="15">
        <f t="shared" si="5"/>
        <v>0</v>
      </c>
      <c r="O36" s="16">
        <f t="shared" si="6"/>
        <v>0</v>
      </c>
      <c r="Q36"/>
    </row>
    <row r="37" spans="1:18" ht="15" customHeight="1">
      <c r="A37" s="9" t="str">
        <f>'Members Data'!A29</f>
        <v>Raiyn</v>
      </c>
      <c r="B37" s="199"/>
      <c r="C37" s="200"/>
      <c r="D37" s="200"/>
      <c r="E37" s="200"/>
      <c r="F37" s="200"/>
      <c r="G37" s="200"/>
      <c r="H37" s="201"/>
      <c r="I37" s="70">
        <f t="array" ref="I37">SUM(($B37:$H37="confirmed")*($B$4:$H$4=25))</f>
        <v>0</v>
      </c>
      <c r="J37" s="43">
        <f t="array" ref="J37">SUM(($B37:$H37="standby")*($B$4:$H$4=25))</f>
        <v>0</v>
      </c>
      <c r="K37" s="43">
        <f t="array" ref="K37">SUM(($B37:$H37="confirmed")*($B$4:$H$4=10))</f>
        <v>0</v>
      </c>
      <c r="L37" s="43">
        <f t="array" ref="L37">SUM(($B37:$H37="standby")*($B$4:$H$4=10))</f>
        <v>0</v>
      </c>
      <c r="M37" s="15">
        <f t="shared" si="4"/>
        <v>0</v>
      </c>
      <c r="N37" s="15">
        <f t="shared" si="5"/>
        <v>0</v>
      </c>
      <c r="O37" s="16">
        <f t="shared" si="6"/>
        <v>0</v>
      </c>
      <c r="Q37"/>
    </row>
    <row r="38" spans="1:18" ht="15" customHeight="1">
      <c r="A38" s="9" t="str">
        <f>'Members Data'!A30</f>
        <v>Rokthrol</v>
      </c>
      <c r="B38" s="199"/>
      <c r="C38" s="200"/>
      <c r="D38" s="200"/>
      <c r="E38" s="200"/>
      <c r="F38" s="200"/>
      <c r="G38" s="200"/>
      <c r="H38" s="201"/>
      <c r="I38" s="70">
        <f t="array" ref="I38">SUM(($B38:$H38="confirmed")*($B$4:$H$4=25))</f>
        <v>0</v>
      </c>
      <c r="J38" s="43">
        <f t="array" ref="J38">SUM(($B38:$H38="standby")*($B$4:$H$4=25))</f>
        <v>0</v>
      </c>
      <c r="K38" s="43">
        <f t="array" ref="K38">SUM(($B38:$H38="confirmed")*($B$4:$H$4=10))</f>
        <v>0</v>
      </c>
      <c r="L38" s="43">
        <f t="array" ref="L38">SUM(($B38:$H38="standby")*($B$4:$H$4=10))</f>
        <v>0</v>
      </c>
      <c r="M38" s="15">
        <f t="shared" si="4"/>
        <v>0</v>
      </c>
      <c r="N38" s="15">
        <f t="shared" si="5"/>
        <v>0</v>
      </c>
      <c r="O38" s="16">
        <f t="shared" si="6"/>
        <v>0</v>
      </c>
      <c r="Q38"/>
    </row>
    <row r="39" spans="1:18" ht="15" customHeight="1">
      <c r="A39" s="9" t="str">
        <f>'Members Data'!A31</f>
        <v>Sáik</v>
      </c>
      <c r="B39" s="199"/>
      <c r="C39" s="200"/>
      <c r="D39" s="200"/>
      <c r="E39" s="200"/>
      <c r="F39" s="200"/>
      <c r="G39" s="200"/>
      <c r="H39" s="201"/>
      <c r="I39" s="70">
        <f t="array" ref="I39">SUM(($B39:$H39="confirmed")*($B$4:$H$4=25))</f>
        <v>0</v>
      </c>
      <c r="J39" s="43">
        <f t="array" ref="J39">SUM(($B39:$H39="standby")*($B$4:$H$4=25))</f>
        <v>0</v>
      </c>
      <c r="K39" s="43">
        <f t="array" ref="K39">SUM(($B39:$H39="confirmed")*($B$4:$H$4=10))</f>
        <v>0</v>
      </c>
      <c r="L39" s="43">
        <f t="array" ref="L39">SUM(($B39:$H39="standby")*($B$4:$H$4=10))</f>
        <v>0</v>
      </c>
      <c r="M39" s="15">
        <f t="shared" si="4"/>
        <v>0</v>
      </c>
      <c r="N39" s="15">
        <f t="shared" si="5"/>
        <v>0</v>
      </c>
      <c r="O39" s="16">
        <f t="shared" si="6"/>
        <v>0</v>
      </c>
      <c r="Q39"/>
    </row>
    <row r="40" spans="1:18" ht="15" customHeight="1">
      <c r="A40" s="9" t="str">
        <f>'Members Data'!A32</f>
        <v>Seraphÿm</v>
      </c>
      <c r="B40" s="199"/>
      <c r="C40" s="200"/>
      <c r="D40" s="200"/>
      <c r="E40" s="200"/>
      <c r="F40" s="200"/>
      <c r="G40" s="200"/>
      <c r="H40" s="201"/>
      <c r="I40" s="70">
        <f t="array" ref="I40">SUM(($B40:$H40="confirmed")*($B$4:$H$4=25))</f>
        <v>0</v>
      </c>
      <c r="J40" s="43">
        <f t="array" ref="J40">SUM(($B40:$H40="standby")*($B$4:$H$4=25))</f>
        <v>0</v>
      </c>
      <c r="K40" s="43">
        <f t="array" ref="K40">SUM(($B40:$H40="confirmed")*($B$4:$H$4=10))</f>
        <v>0</v>
      </c>
      <c r="L40" s="43">
        <f t="array" ref="L40">SUM(($B40:$H40="standby")*($B$4:$H$4=10))</f>
        <v>0</v>
      </c>
      <c r="M40" s="15">
        <f t="shared" si="4"/>
        <v>0</v>
      </c>
      <c r="N40" s="15">
        <f t="shared" si="5"/>
        <v>0</v>
      </c>
      <c r="O40" s="16">
        <f t="shared" si="6"/>
        <v>0</v>
      </c>
      <c r="Q40"/>
    </row>
    <row r="41" spans="1:18" ht="15" customHeight="1">
      <c r="A41" s="9" t="str">
        <f>'Members Data'!A33</f>
        <v>Shinkai</v>
      </c>
      <c r="B41" s="199"/>
      <c r="C41" s="200"/>
      <c r="D41" s="200"/>
      <c r="E41" s="200"/>
      <c r="F41" s="200"/>
      <c r="G41" s="200"/>
      <c r="H41" s="201"/>
      <c r="I41" s="70">
        <f t="array" ref="I41">SUM(($B41:$H41="confirmed")*($B$4:$H$4=25))</f>
        <v>0</v>
      </c>
      <c r="J41" s="43">
        <f t="array" ref="J41">SUM(($B41:$H41="standby")*($B$4:$H$4=25))</f>
        <v>0</v>
      </c>
      <c r="K41" s="43">
        <f t="array" ref="K41">SUM(($B41:$H41="confirmed")*($B$4:$H$4=10))</f>
        <v>0</v>
      </c>
      <c r="L41" s="43">
        <f t="array" ref="L41">SUM(($B41:$H41="standby")*($B$4:$H$4=10))</f>
        <v>0</v>
      </c>
      <c r="M41" s="15">
        <f t="shared" si="4"/>
        <v>0</v>
      </c>
      <c r="N41" s="15">
        <f t="shared" si="5"/>
        <v>0</v>
      </c>
      <c r="O41" s="16">
        <f t="shared" si="6"/>
        <v>0</v>
      </c>
      <c r="Q41"/>
    </row>
    <row r="42" spans="1:18" ht="15" customHeight="1">
      <c r="A42" s="9" t="str">
        <f>'Members Data'!A34</f>
        <v>Yaodeng</v>
      </c>
      <c r="B42" s="199"/>
      <c r="C42" s="200"/>
      <c r="D42" s="200"/>
      <c r="E42" s="200"/>
      <c r="F42" s="200"/>
      <c r="G42" s="200"/>
      <c r="H42" s="201"/>
      <c r="I42" s="70">
        <f t="array" ref="I42">SUM(($B42:$H42="confirmed")*($B$4:$H$4=25))</f>
        <v>0</v>
      </c>
      <c r="J42" s="43">
        <f t="array" ref="J42">SUM(($B42:$H42="standby")*($B$4:$H$4=25))</f>
        <v>0</v>
      </c>
      <c r="K42" s="43">
        <f t="array" ref="K42">SUM(($B42:$H42="confirmed")*($B$4:$H$4=10))</f>
        <v>0</v>
      </c>
      <c r="L42" s="43">
        <f t="array" ref="L42">SUM(($B42:$H42="standby")*($B$4:$H$4=10))</f>
        <v>0</v>
      </c>
      <c r="M42" s="15">
        <f t="shared" ref="M42:M68" si="7">COUNTIF(B42:H42,"confirmed")</f>
        <v>0</v>
      </c>
      <c r="N42" s="15">
        <f t="shared" ref="N42:N68" si="8">COUNTIF(B42:H42,"standby")</f>
        <v>0</v>
      </c>
      <c r="O42" s="16">
        <f t="shared" ref="O42:O68" si="9">COUNTIF(B42:H42,"out")</f>
        <v>0</v>
      </c>
    </row>
    <row r="43" spans="1:18" ht="15" customHeight="1">
      <c r="A43" s="9" t="str">
        <f>'Members Data'!A35</f>
        <v>Zerobabe</v>
      </c>
      <c r="B43" s="199"/>
      <c r="C43" s="200"/>
      <c r="D43" s="200"/>
      <c r="E43" s="200"/>
      <c r="F43" s="200"/>
      <c r="G43" s="200"/>
      <c r="H43" s="201"/>
      <c r="I43" s="70">
        <f t="array" ref="I43">SUM(($B43:$H43="confirmed")*($B$4:$H$4=25))</f>
        <v>0</v>
      </c>
      <c r="J43" s="43">
        <f t="array" ref="J43">SUM(($B43:$H43="standby")*($B$4:$H$4=25))</f>
        <v>0</v>
      </c>
      <c r="K43" s="43">
        <f t="array" ref="K43">SUM(($B43:$H43="confirmed")*($B$4:$H$4=10))</f>
        <v>0</v>
      </c>
      <c r="L43" s="43">
        <f t="array" ref="L43">SUM(($B43:$H43="standby")*($B$4:$H$4=10))</f>
        <v>0</v>
      </c>
      <c r="M43" s="15">
        <f t="shared" si="7"/>
        <v>0</v>
      </c>
      <c r="N43" s="15">
        <f t="shared" si="8"/>
        <v>0</v>
      </c>
      <c r="O43" s="16">
        <f t="shared" si="9"/>
        <v>0</v>
      </c>
    </row>
    <row r="44" spans="1:18" ht="15" customHeight="1">
      <c r="A44" s="9" t="str">
        <f>'Members Data'!A36</f>
        <v>Zorrg</v>
      </c>
      <c r="B44" s="199"/>
      <c r="C44" s="200"/>
      <c r="D44" s="200"/>
      <c r="E44" s="200"/>
      <c r="F44" s="200"/>
      <c r="G44" s="200"/>
      <c r="H44" s="201"/>
      <c r="I44" s="70">
        <f t="array" ref="I44">SUM(($B44:$H44="confirmed")*($B$4:$H$4=25))</f>
        <v>0</v>
      </c>
      <c r="J44" s="43">
        <f t="array" ref="J44">SUM(($B44:$H44="standby")*($B$4:$H$4=25))</f>
        <v>0</v>
      </c>
      <c r="K44" s="43">
        <f t="array" ref="K44">SUM(($B44:$H44="confirmed")*($B$4:$H$4=10))</f>
        <v>0</v>
      </c>
      <c r="L44" s="43">
        <f t="array" ref="L44">SUM(($B44:$H44="standby")*($B$4:$H$4=10))</f>
        <v>0</v>
      </c>
      <c r="M44" s="15">
        <f t="shared" si="7"/>
        <v>0</v>
      </c>
      <c r="N44" s="15">
        <f t="shared" si="8"/>
        <v>0</v>
      </c>
      <c r="O44" s="16">
        <f t="shared" si="9"/>
        <v>0</v>
      </c>
    </row>
    <row r="45" spans="1:18" ht="15" customHeight="1">
      <c r="A45" s="9" t="str">
        <f>'Members Data'!A37</f>
        <v>Volson</v>
      </c>
      <c r="B45" s="199"/>
      <c r="C45" s="200"/>
      <c r="D45" s="200"/>
      <c r="E45" s="200"/>
      <c r="F45" s="200"/>
      <c r="G45" s="200"/>
      <c r="H45" s="201"/>
      <c r="I45" s="70">
        <f t="array" ref="I45">SUM(($B45:$H45="confirmed")*($B$4:$H$4=25))</f>
        <v>0</v>
      </c>
      <c r="J45" s="43">
        <f t="array" ref="J45">SUM(($B45:$H45="standby")*($B$4:$H$4=25))</f>
        <v>0</v>
      </c>
      <c r="K45" s="43">
        <f t="array" ref="K45">SUM(($B45:$H45="confirmed")*($B$4:$H$4=10))</f>
        <v>0</v>
      </c>
      <c r="L45" s="43">
        <f t="array" ref="L45">SUM(($B45:$H45="standby")*($B$4:$H$4=10))</f>
        <v>0</v>
      </c>
      <c r="M45" s="15">
        <f t="shared" si="7"/>
        <v>0</v>
      </c>
      <c r="N45" s="15">
        <f t="shared" si="8"/>
        <v>0</v>
      </c>
      <c r="O45" s="16">
        <f t="shared" si="9"/>
        <v>0</v>
      </c>
    </row>
    <row r="46" spans="1:18" ht="15" customHeight="1">
      <c r="A46" s="9">
        <f>'Members Data'!A38</f>
        <v>0</v>
      </c>
      <c r="B46" s="199"/>
      <c r="C46" s="200"/>
      <c r="D46" s="200"/>
      <c r="E46" s="200"/>
      <c r="F46" s="200"/>
      <c r="G46" s="200"/>
      <c r="H46" s="201"/>
      <c r="I46" s="70">
        <f t="array" ref="I46">SUM(($B46:$H46="confirmed")*($B$4:$H$4=25))</f>
        <v>0</v>
      </c>
      <c r="J46" s="43">
        <f t="array" ref="J46">SUM(($B46:$H46="standby")*($B$4:$H$4=25))</f>
        <v>0</v>
      </c>
      <c r="K46" s="43">
        <f t="array" ref="K46">SUM(($B46:$H46="confirmed")*($B$4:$H$4=10))</f>
        <v>0</v>
      </c>
      <c r="L46" s="43">
        <f t="array" ref="L46">SUM(($B46:$H46="standby")*($B$4:$H$4=10))</f>
        <v>0</v>
      </c>
      <c r="M46" s="15">
        <f t="shared" si="7"/>
        <v>0</v>
      </c>
      <c r="N46" s="15">
        <f t="shared" si="8"/>
        <v>0</v>
      </c>
      <c r="O46" s="16">
        <f t="shared" si="9"/>
        <v>0</v>
      </c>
    </row>
    <row r="47" spans="1:18" ht="15" customHeight="1">
      <c r="A47" s="9">
        <f>'Members Data'!A39</f>
        <v>0</v>
      </c>
      <c r="B47" s="199"/>
      <c r="C47" s="200"/>
      <c r="D47" s="200"/>
      <c r="E47" s="200"/>
      <c r="F47" s="200"/>
      <c r="G47" s="200"/>
      <c r="H47" s="201"/>
      <c r="I47" s="70">
        <f t="array" ref="I47">SUM(($B47:$H47="confirmed")*($B$4:$H$4=25))</f>
        <v>0</v>
      </c>
      <c r="J47" s="43">
        <f t="array" ref="J47">SUM(($B47:$H47="standby")*($B$4:$H$4=25))</f>
        <v>0</v>
      </c>
      <c r="K47" s="43">
        <f t="array" ref="K47">SUM(($B47:$H47="confirmed")*($B$4:$H$4=10))</f>
        <v>0</v>
      </c>
      <c r="L47" s="43">
        <f t="array" ref="L47">SUM(($B47:$H47="standby")*($B$4:$H$4=10))</f>
        <v>0</v>
      </c>
      <c r="M47" s="15">
        <f t="shared" si="7"/>
        <v>0</v>
      </c>
      <c r="N47" s="15">
        <f t="shared" si="8"/>
        <v>0</v>
      </c>
      <c r="O47" s="16">
        <f t="shared" si="9"/>
        <v>0</v>
      </c>
    </row>
    <row r="48" spans="1:18" ht="15" customHeight="1">
      <c r="A48" s="9">
        <f>'Members Data'!A40</f>
        <v>0</v>
      </c>
      <c r="B48" s="199"/>
      <c r="C48" s="200"/>
      <c r="D48" s="200"/>
      <c r="E48" s="200"/>
      <c r="F48" s="200"/>
      <c r="G48" s="200"/>
      <c r="H48" s="201"/>
      <c r="I48" s="70">
        <f t="array" ref="I48">SUM(($B48:$H48="confirmed")*($B$4:$H$4=25))</f>
        <v>0</v>
      </c>
      <c r="J48" s="43">
        <f t="array" ref="J48">SUM(($B48:$H48="standby")*($B$4:$H$4=25))</f>
        <v>0</v>
      </c>
      <c r="K48" s="43">
        <f t="array" ref="K48">SUM(($B48:$H48="confirmed")*($B$4:$H$4=10))</f>
        <v>0</v>
      </c>
      <c r="L48" s="43">
        <f t="array" ref="L48">SUM(($B48:$H48="standby")*($B$4:$H$4=10))</f>
        <v>0</v>
      </c>
      <c r="M48" s="15">
        <f t="shared" si="7"/>
        <v>0</v>
      </c>
      <c r="N48" s="15">
        <f t="shared" si="8"/>
        <v>0</v>
      </c>
      <c r="O48" s="16">
        <f t="shared" si="9"/>
        <v>0</v>
      </c>
    </row>
    <row r="49" spans="1:15" ht="15" customHeight="1">
      <c r="A49" s="9">
        <f>'Members Data'!A41</f>
        <v>0</v>
      </c>
      <c r="B49" s="199"/>
      <c r="C49" s="200"/>
      <c r="D49" s="200"/>
      <c r="E49" s="200"/>
      <c r="F49" s="200"/>
      <c r="G49" s="200"/>
      <c r="H49" s="201"/>
      <c r="I49" s="70">
        <f t="array" ref="I49">SUM(($B49:$H49="confirmed")*($B$4:$H$4=25))</f>
        <v>0</v>
      </c>
      <c r="J49" s="43">
        <f t="array" ref="J49">SUM(($B49:$H49="standby")*($B$4:$H$4=25))</f>
        <v>0</v>
      </c>
      <c r="K49" s="43">
        <f t="array" ref="K49">SUM(($B49:$H49="confirmed")*($B$4:$H$4=10))</f>
        <v>0</v>
      </c>
      <c r="L49" s="43">
        <f t="array" ref="L49">SUM(($B49:$H49="standby")*($B$4:$H$4=10))</f>
        <v>0</v>
      </c>
      <c r="M49" s="15">
        <f t="shared" si="7"/>
        <v>0</v>
      </c>
      <c r="N49" s="15">
        <f t="shared" si="8"/>
        <v>0</v>
      </c>
      <c r="O49" s="16">
        <f t="shared" si="9"/>
        <v>0</v>
      </c>
    </row>
    <row r="50" spans="1:15" ht="15" customHeight="1">
      <c r="A50" s="9">
        <f>'Members Data'!A42</f>
        <v>0</v>
      </c>
      <c r="B50" s="199"/>
      <c r="C50" s="200"/>
      <c r="D50" s="200"/>
      <c r="E50" s="200"/>
      <c r="F50" s="200"/>
      <c r="G50" s="200"/>
      <c r="H50" s="201"/>
      <c r="I50" s="70">
        <f t="array" ref="I50">SUM(($B50:$H50="confirmed")*($B$4:$H$4=25))</f>
        <v>0</v>
      </c>
      <c r="J50" s="43">
        <f t="array" ref="J50">SUM(($B50:$H50="standby")*($B$4:$H$4=25))</f>
        <v>0</v>
      </c>
      <c r="K50" s="43">
        <f t="array" ref="K50">SUM(($B50:$H50="confirmed")*($B$4:$H$4=10))</f>
        <v>0</v>
      </c>
      <c r="L50" s="43">
        <f t="array" ref="L50">SUM(($B50:$H50="standby")*($B$4:$H$4=10))</f>
        <v>0</v>
      </c>
      <c r="M50" s="15">
        <f t="shared" si="7"/>
        <v>0</v>
      </c>
      <c r="N50" s="15">
        <f t="shared" si="8"/>
        <v>0</v>
      </c>
      <c r="O50" s="16">
        <f t="shared" si="9"/>
        <v>0</v>
      </c>
    </row>
    <row r="51" spans="1:15" ht="15" customHeight="1">
      <c r="A51" s="9">
        <f>'Members Data'!A43</f>
        <v>0</v>
      </c>
      <c r="B51" s="199"/>
      <c r="C51" s="200"/>
      <c r="D51" s="200"/>
      <c r="E51" s="200"/>
      <c r="F51" s="200"/>
      <c r="G51" s="200"/>
      <c r="H51" s="201"/>
      <c r="I51" s="70">
        <f t="array" ref="I51">SUM(($B51:$H51="confirmed")*($B$4:$H$4=25))</f>
        <v>0</v>
      </c>
      <c r="J51" s="43">
        <f t="array" ref="J51">SUM(($B51:$H51="standby")*($B$4:$H$4=25))</f>
        <v>0</v>
      </c>
      <c r="K51" s="43">
        <f t="array" ref="K51">SUM(($B51:$H51="confirmed")*($B$4:$H$4=10))</f>
        <v>0</v>
      </c>
      <c r="L51" s="43">
        <f t="array" ref="L51">SUM(($B51:$H51="standby")*($B$4:$H$4=10))</f>
        <v>0</v>
      </c>
      <c r="M51" s="15">
        <f t="shared" si="7"/>
        <v>0</v>
      </c>
      <c r="N51" s="15">
        <f t="shared" si="8"/>
        <v>0</v>
      </c>
      <c r="O51" s="16">
        <f t="shared" si="9"/>
        <v>0</v>
      </c>
    </row>
    <row r="52" spans="1:15" ht="15" customHeight="1">
      <c r="A52" s="9">
        <f>'Members Data'!A44</f>
        <v>0</v>
      </c>
      <c r="B52" s="199"/>
      <c r="C52" s="200"/>
      <c r="D52" s="200"/>
      <c r="E52" s="200"/>
      <c r="F52" s="200"/>
      <c r="G52" s="200"/>
      <c r="H52" s="201"/>
      <c r="I52" s="70">
        <f t="array" ref="I52">SUM(($B52:$H52="confirmed")*($B$4:$H$4=25))</f>
        <v>0</v>
      </c>
      <c r="J52" s="43">
        <f t="array" ref="J52">SUM(($B52:$H52="standby")*($B$4:$H$4=25))</f>
        <v>0</v>
      </c>
      <c r="K52" s="43">
        <f t="array" ref="K52">SUM(($B52:$H52="confirmed")*($B$4:$H$4=10))</f>
        <v>0</v>
      </c>
      <c r="L52" s="43">
        <f t="array" ref="L52">SUM(($B52:$H52="standby")*($B$4:$H$4=10))</f>
        <v>0</v>
      </c>
      <c r="M52" s="15">
        <f t="shared" si="7"/>
        <v>0</v>
      </c>
      <c r="N52" s="15">
        <f t="shared" si="8"/>
        <v>0</v>
      </c>
      <c r="O52" s="16">
        <f t="shared" si="9"/>
        <v>0</v>
      </c>
    </row>
    <row r="53" spans="1:15" ht="15" customHeight="1">
      <c r="A53" s="9">
        <f>'Members Data'!A45</f>
        <v>0</v>
      </c>
      <c r="B53" s="199"/>
      <c r="C53" s="200"/>
      <c r="D53" s="200"/>
      <c r="E53" s="200"/>
      <c r="F53" s="200"/>
      <c r="G53" s="200"/>
      <c r="H53" s="201"/>
      <c r="I53" s="70">
        <f t="array" ref="I53">SUM(($B53:$H53="confirmed")*($B$4:$H$4=25))</f>
        <v>0</v>
      </c>
      <c r="J53" s="43">
        <f t="array" ref="J53">SUM(($B53:$H53="standby")*($B$4:$H$4=25))</f>
        <v>0</v>
      </c>
      <c r="K53" s="43">
        <f t="array" ref="K53">SUM(($B53:$H53="confirmed")*($B$4:$H$4=10))</f>
        <v>0</v>
      </c>
      <c r="L53" s="43">
        <f t="array" ref="L53">SUM(($B53:$H53="standby")*($B$4:$H$4=10))</f>
        <v>0</v>
      </c>
      <c r="M53" s="15">
        <f t="shared" si="7"/>
        <v>0</v>
      </c>
      <c r="N53" s="15">
        <f t="shared" si="8"/>
        <v>0</v>
      </c>
      <c r="O53" s="16">
        <f t="shared" si="9"/>
        <v>0</v>
      </c>
    </row>
    <row r="54" spans="1:15" ht="15" customHeight="1">
      <c r="A54" s="9">
        <f>'Members Data'!A46</f>
        <v>0</v>
      </c>
      <c r="B54" s="199"/>
      <c r="C54" s="200"/>
      <c r="D54" s="200"/>
      <c r="E54" s="200"/>
      <c r="F54" s="200"/>
      <c r="G54" s="200"/>
      <c r="H54" s="201"/>
      <c r="I54" s="70">
        <f t="array" ref="I54">SUM(($B54:$H54="confirmed")*($B$4:$H$4=25))</f>
        <v>0</v>
      </c>
      <c r="J54" s="43">
        <f t="array" ref="J54">SUM(($B54:$H54="standby")*($B$4:$H$4=25))</f>
        <v>0</v>
      </c>
      <c r="K54" s="43">
        <f t="array" ref="K54">SUM(($B54:$H54="confirmed")*($B$4:$H$4=10))</f>
        <v>0</v>
      </c>
      <c r="L54" s="43">
        <f t="array" ref="L54">SUM(($B54:$H54="standby")*($B$4:$H$4=10))</f>
        <v>0</v>
      </c>
      <c r="M54" s="15">
        <f t="shared" si="7"/>
        <v>0</v>
      </c>
      <c r="N54" s="15">
        <f t="shared" si="8"/>
        <v>0</v>
      </c>
      <c r="O54" s="16">
        <f t="shared" si="9"/>
        <v>0</v>
      </c>
    </row>
    <row r="55" spans="1:15" ht="15" customHeight="1">
      <c r="A55" s="9">
        <f>'Members Data'!A47</f>
        <v>0</v>
      </c>
      <c r="B55" s="199"/>
      <c r="C55" s="200"/>
      <c r="D55" s="200"/>
      <c r="E55" s="200"/>
      <c r="F55" s="200"/>
      <c r="G55" s="200"/>
      <c r="H55" s="201"/>
      <c r="I55" s="70">
        <f t="array" ref="I55">SUM(($B55:$H55="confirmed")*($B$4:$H$4=25))</f>
        <v>0</v>
      </c>
      <c r="J55" s="43">
        <f t="array" ref="J55">SUM(($B55:$H55="standby")*($B$4:$H$4=25))</f>
        <v>0</v>
      </c>
      <c r="K55" s="43">
        <f t="array" ref="K55">SUM(($B55:$H55="confirmed")*($B$4:$H$4=10))</f>
        <v>0</v>
      </c>
      <c r="L55" s="43">
        <f t="array" ref="L55">SUM(($B55:$H55="standby")*($B$4:$H$4=10))</f>
        <v>0</v>
      </c>
      <c r="M55" s="15">
        <f t="shared" si="7"/>
        <v>0</v>
      </c>
      <c r="N55" s="15">
        <f t="shared" si="8"/>
        <v>0</v>
      </c>
      <c r="O55" s="16">
        <f t="shared" si="9"/>
        <v>0</v>
      </c>
    </row>
    <row r="56" spans="1:15" ht="15" customHeight="1">
      <c r="A56" s="9">
        <f>'Members Data'!A48</f>
        <v>0</v>
      </c>
      <c r="B56" s="199"/>
      <c r="C56" s="200"/>
      <c r="D56" s="200"/>
      <c r="E56" s="200"/>
      <c r="F56" s="200"/>
      <c r="G56" s="200"/>
      <c r="H56" s="201"/>
      <c r="I56" s="70">
        <f t="array" ref="I56">SUM(($B56:$H56="confirmed")*($B$4:$H$4=25))</f>
        <v>0</v>
      </c>
      <c r="J56" s="43">
        <f t="array" ref="J56">SUM(($B56:$H56="standby")*($B$4:$H$4=25))</f>
        <v>0</v>
      </c>
      <c r="K56" s="43">
        <f t="array" ref="K56">SUM(($B56:$H56="confirmed")*($B$4:$H$4=10))</f>
        <v>0</v>
      </c>
      <c r="L56" s="43">
        <f t="array" ref="L56">SUM(($B56:$H56="standby")*($B$4:$H$4=10))</f>
        <v>0</v>
      </c>
      <c r="M56" s="15">
        <f t="shared" si="7"/>
        <v>0</v>
      </c>
      <c r="N56" s="15">
        <f t="shared" si="8"/>
        <v>0</v>
      </c>
      <c r="O56" s="16">
        <f t="shared" si="9"/>
        <v>0</v>
      </c>
    </row>
    <row r="57" spans="1:15" ht="15" customHeight="1">
      <c r="A57" s="9">
        <f>'Members Data'!A49</f>
        <v>0</v>
      </c>
      <c r="B57" s="199"/>
      <c r="C57" s="200"/>
      <c r="D57" s="200"/>
      <c r="E57" s="200"/>
      <c r="F57" s="200"/>
      <c r="G57" s="200"/>
      <c r="H57" s="201"/>
      <c r="I57" s="70">
        <f t="array" ref="I57">SUM(($B57:$H57="confirmed")*($B$4:$H$4=25))</f>
        <v>0</v>
      </c>
      <c r="J57" s="43">
        <f t="array" ref="J57">SUM(($B57:$H57="standby")*($B$4:$H$4=25))</f>
        <v>0</v>
      </c>
      <c r="K57" s="43">
        <f t="array" ref="K57">SUM(($B57:$H57="confirmed")*($B$4:$H$4=10))</f>
        <v>0</v>
      </c>
      <c r="L57" s="43">
        <f t="array" ref="L57">SUM(($B57:$H57="standby")*($B$4:$H$4=10))</f>
        <v>0</v>
      </c>
      <c r="M57" s="15">
        <f t="shared" si="7"/>
        <v>0</v>
      </c>
      <c r="N57" s="15">
        <f t="shared" si="8"/>
        <v>0</v>
      </c>
      <c r="O57" s="16">
        <f t="shared" si="9"/>
        <v>0</v>
      </c>
    </row>
    <row r="58" spans="1:15" ht="15" customHeight="1">
      <c r="A58" s="9">
        <f>'Members Data'!A50</f>
        <v>0</v>
      </c>
      <c r="B58" s="199"/>
      <c r="C58" s="200"/>
      <c r="D58" s="200"/>
      <c r="E58" s="200"/>
      <c r="F58" s="200"/>
      <c r="G58" s="200"/>
      <c r="H58" s="201"/>
      <c r="I58" s="70">
        <f t="array" ref="I58">SUM(($B58:$H58="confirmed")*($B$4:$H$4=25))</f>
        <v>0</v>
      </c>
      <c r="J58" s="43">
        <f t="array" ref="J58">SUM(($B58:$H58="standby")*($B$4:$H$4=25))</f>
        <v>0</v>
      </c>
      <c r="K58" s="43">
        <f t="array" ref="K58">SUM(($B58:$H58="confirmed")*($B$4:$H$4=10))</f>
        <v>0</v>
      </c>
      <c r="L58" s="43">
        <f t="array" ref="L58">SUM(($B58:$H58="standby")*($B$4:$H$4=10))</f>
        <v>0</v>
      </c>
      <c r="M58" s="15">
        <f t="shared" si="7"/>
        <v>0</v>
      </c>
      <c r="N58" s="15">
        <f t="shared" si="8"/>
        <v>0</v>
      </c>
      <c r="O58" s="16">
        <f t="shared" si="9"/>
        <v>0</v>
      </c>
    </row>
    <row r="59" spans="1:15" ht="15" customHeight="1">
      <c r="A59" s="9">
        <f>'Members Data'!A51</f>
        <v>0</v>
      </c>
      <c r="B59" s="199"/>
      <c r="C59" s="200"/>
      <c r="D59" s="200"/>
      <c r="E59" s="200"/>
      <c r="F59" s="200"/>
      <c r="G59" s="200"/>
      <c r="H59" s="201"/>
      <c r="I59" s="70">
        <f t="array" ref="I59">SUM(($B59:$H59="confirmed")*($B$4:$H$4=25))</f>
        <v>0</v>
      </c>
      <c r="J59" s="43">
        <f t="array" ref="J59">SUM(($B59:$H59="standby")*($B$4:$H$4=25))</f>
        <v>0</v>
      </c>
      <c r="K59" s="43">
        <f t="array" ref="K59">SUM(($B59:$H59="confirmed")*($B$4:$H$4=10))</f>
        <v>0</v>
      </c>
      <c r="L59" s="43">
        <f t="array" ref="L59">SUM(($B59:$H59="standby")*($B$4:$H$4=10))</f>
        <v>0</v>
      </c>
      <c r="M59" s="15">
        <f t="shared" si="7"/>
        <v>0</v>
      </c>
      <c r="N59" s="15">
        <f t="shared" si="8"/>
        <v>0</v>
      </c>
      <c r="O59" s="16">
        <f t="shared" si="9"/>
        <v>0</v>
      </c>
    </row>
    <row r="60" spans="1:15" ht="15" customHeight="1">
      <c r="A60" s="9">
        <f>'Members Data'!A52</f>
        <v>0</v>
      </c>
      <c r="B60" s="199"/>
      <c r="C60" s="200"/>
      <c r="D60" s="200"/>
      <c r="E60" s="200"/>
      <c r="F60" s="200"/>
      <c r="G60" s="200"/>
      <c r="H60" s="201"/>
      <c r="I60" s="70">
        <f t="array" ref="I60">SUM(($B60:$H60="confirmed")*($B$4:$H$4=25))</f>
        <v>0</v>
      </c>
      <c r="J60" s="43">
        <f t="array" ref="J60">SUM(($B60:$H60="standby")*($B$4:$H$4=25))</f>
        <v>0</v>
      </c>
      <c r="K60" s="43">
        <f t="array" ref="K60">SUM(($B60:$H60="confirmed")*($B$4:$H$4=10))</f>
        <v>0</v>
      </c>
      <c r="L60" s="43">
        <f t="array" ref="L60">SUM(($B60:$H60="standby")*($B$4:$H$4=10))</f>
        <v>0</v>
      </c>
      <c r="M60" s="15">
        <f t="shared" si="7"/>
        <v>0</v>
      </c>
      <c r="N60" s="15">
        <f t="shared" si="8"/>
        <v>0</v>
      </c>
      <c r="O60" s="16">
        <f t="shared" si="9"/>
        <v>0</v>
      </c>
    </row>
    <row r="61" spans="1:15" ht="15" customHeight="1">
      <c r="A61" s="9">
        <f>'Members Data'!A53</f>
        <v>0</v>
      </c>
      <c r="B61" s="199"/>
      <c r="C61" s="200"/>
      <c r="D61" s="200"/>
      <c r="E61" s="200"/>
      <c r="F61" s="200"/>
      <c r="G61" s="200"/>
      <c r="H61" s="201"/>
      <c r="I61" s="70">
        <f t="array" ref="I61">SUM(($B61:$H61="confirmed")*($B$4:$H$4=25))</f>
        <v>0</v>
      </c>
      <c r="J61" s="43">
        <f t="array" ref="J61">SUM(($B61:$H61="standby")*($B$4:$H$4=25))</f>
        <v>0</v>
      </c>
      <c r="K61" s="43">
        <f t="array" ref="K61">SUM(($B61:$H61="confirmed")*($B$4:$H$4=10))</f>
        <v>0</v>
      </c>
      <c r="L61" s="43">
        <f t="array" ref="L61">SUM(($B61:$H61="standby")*($B$4:$H$4=10))</f>
        <v>0</v>
      </c>
      <c r="M61" s="15">
        <f t="shared" si="7"/>
        <v>0</v>
      </c>
      <c r="N61" s="15">
        <f t="shared" si="8"/>
        <v>0</v>
      </c>
      <c r="O61" s="16">
        <f t="shared" si="9"/>
        <v>0</v>
      </c>
    </row>
    <row r="62" spans="1:15" ht="15" customHeight="1">
      <c r="A62" s="9">
        <f>'Members Data'!A54</f>
        <v>0</v>
      </c>
      <c r="B62" s="199"/>
      <c r="C62" s="200"/>
      <c r="D62" s="200"/>
      <c r="E62" s="200"/>
      <c r="F62" s="200"/>
      <c r="G62" s="200"/>
      <c r="H62" s="201"/>
      <c r="I62" s="70">
        <f t="array" ref="I62">SUM(($B62:$H62="confirmed")*($B$4:$H$4=25))</f>
        <v>0</v>
      </c>
      <c r="J62" s="43">
        <f t="array" ref="J62">SUM(($B62:$H62="standby")*($B$4:$H$4=25))</f>
        <v>0</v>
      </c>
      <c r="K62" s="43">
        <f t="array" ref="K62">SUM(($B62:$H62="confirmed")*($B$4:$H$4=10))</f>
        <v>0</v>
      </c>
      <c r="L62" s="43">
        <f t="array" ref="L62">SUM(($B62:$H62="standby")*($B$4:$H$4=10))</f>
        <v>0</v>
      </c>
      <c r="M62" s="15">
        <f t="shared" si="7"/>
        <v>0</v>
      </c>
      <c r="N62" s="15">
        <f t="shared" si="8"/>
        <v>0</v>
      </c>
      <c r="O62" s="16">
        <f t="shared" si="9"/>
        <v>0</v>
      </c>
    </row>
    <row r="63" spans="1:15" ht="15" customHeight="1">
      <c r="A63" s="9">
        <f>'Members Data'!A55</f>
        <v>0</v>
      </c>
      <c r="B63" s="199"/>
      <c r="C63" s="200"/>
      <c r="D63" s="200"/>
      <c r="E63" s="200"/>
      <c r="F63" s="200"/>
      <c r="G63" s="200"/>
      <c r="H63" s="201"/>
      <c r="I63" s="70">
        <f t="array" ref="I63">SUM(($B63:$H63="confirmed")*($B$4:$H$4=25))</f>
        <v>0</v>
      </c>
      <c r="J63" s="43">
        <f t="array" ref="J63">SUM(($B63:$H63="standby")*($B$4:$H$4=25))</f>
        <v>0</v>
      </c>
      <c r="K63" s="43">
        <f t="array" ref="K63">SUM(($B63:$H63="confirmed")*($B$4:$H$4=10))</f>
        <v>0</v>
      </c>
      <c r="L63" s="43">
        <f t="array" ref="L63">SUM(($B63:$H63="standby")*($B$4:$H$4=10))</f>
        <v>0</v>
      </c>
      <c r="M63" s="15">
        <f t="shared" si="7"/>
        <v>0</v>
      </c>
      <c r="N63" s="15">
        <f t="shared" si="8"/>
        <v>0</v>
      </c>
      <c r="O63" s="16">
        <f t="shared" si="9"/>
        <v>0</v>
      </c>
    </row>
    <row r="64" spans="1:15" ht="15" customHeight="1">
      <c r="A64" s="9">
        <f>'Members Data'!A56</f>
        <v>0</v>
      </c>
      <c r="B64" s="199"/>
      <c r="C64" s="200"/>
      <c r="D64" s="200"/>
      <c r="E64" s="200"/>
      <c r="F64" s="200"/>
      <c r="G64" s="200"/>
      <c r="H64" s="201"/>
      <c r="I64" s="70">
        <f t="array" ref="I64">SUM(($B64:$H64="confirmed")*($B$4:$H$4=25))</f>
        <v>0</v>
      </c>
      <c r="J64" s="43">
        <f t="array" ref="J64">SUM(($B64:$H64="standby")*($B$4:$H$4=25))</f>
        <v>0</v>
      </c>
      <c r="K64" s="43">
        <f t="array" ref="K64">SUM(($B64:$H64="confirmed")*($B$4:$H$4=10))</f>
        <v>0</v>
      </c>
      <c r="L64" s="43">
        <f t="array" ref="L64">SUM(($B64:$H64="standby")*($B$4:$H$4=10))</f>
        <v>0</v>
      </c>
      <c r="M64" s="15">
        <f t="shared" si="7"/>
        <v>0</v>
      </c>
      <c r="N64" s="15">
        <f t="shared" si="8"/>
        <v>0</v>
      </c>
      <c r="O64" s="16">
        <f t="shared" si="9"/>
        <v>0</v>
      </c>
    </row>
    <row r="65" spans="1:15" ht="15" customHeight="1">
      <c r="A65" s="9">
        <f>'Members Data'!A57</f>
        <v>0</v>
      </c>
      <c r="B65" s="203"/>
      <c r="C65" s="200"/>
      <c r="D65" s="200"/>
      <c r="E65" s="200"/>
      <c r="F65" s="200"/>
      <c r="G65" s="200"/>
      <c r="H65" s="201"/>
      <c r="I65" s="70">
        <f t="array" ref="I65">SUM(($B65:$H65="confirmed")*($B$4:$H$4=25))</f>
        <v>0</v>
      </c>
      <c r="J65" s="43">
        <f t="array" ref="J65">SUM(($B65:$H65="standby")*($B$4:$H$4=25))</f>
        <v>0</v>
      </c>
      <c r="K65" s="43">
        <f t="array" ref="K65">SUM(($B65:$H65="confirmed")*($B$4:$H$4=10))</f>
        <v>0</v>
      </c>
      <c r="L65" s="43">
        <f t="array" ref="L65">SUM(($B65:$H65="standby")*($B$4:$H$4=10))</f>
        <v>0</v>
      </c>
      <c r="M65" s="15">
        <f t="shared" si="7"/>
        <v>0</v>
      </c>
      <c r="N65" s="15">
        <f t="shared" si="8"/>
        <v>0</v>
      </c>
      <c r="O65" s="16">
        <f t="shared" si="9"/>
        <v>0</v>
      </c>
    </row>
    <row r="66" spans="1:15" ht="15" customHeight="1">
      <c r="A66" s="75">
        <f>'Members Data'!A58</f>
        <v>0</v>
      </c>
      <c r="B66" s="203"/>
      <c r="C66" s="200"/>
      <c r="D66" s="200"/>
      <c r="E66" s="200"/>
      <c r="F66" s="200"/>
      <c r="G66" s="200"/>
      <c r="H66" s="201"/>
      <c r="I66" s="70">
        <f t="array" ref="I66">SUM(($B66:$H66="confirmed")*($B$4:$H$4=25))</f>
        <v>0</v>
      </c>
      <c r="J66" s="43">
        <f t="array" ref="J66">SUM(($B66:$H66="standby")*($B$4:$H$4=25))</f>
        <v>0</v>
      </c>
      <c r="K66" s="43">
        <f t="array" ref="K66">SUM(($B66:$H66="confirmed")*($B$4:$H$4=10))</f>
        <v>0</v>
      </c>
      <c r="L66" s="43">
        <f t="array" ref="L66">SUM(($B66:$H66="standby")*($B$4:$H$4=10))</f>
        <v>0</v>
      </c>
      <c r="M66" s="15">
        <f>COUNTIF(B66:H66,"confirmed")</f>
        <v>0</v>
      </c>
      <c r="N66" s="15">
        <f>COUNTIF(B66:H66,"standby")</f>
        <v>0</v>
      </c>
      <c r="O66" s="16">
        <f>COUNTIF(B66:H66,"out")</f>
        <v>0</v>
      </c>
    </row>
    <row r="67" spans="1:15" ht="15" customHeight="1">
      <c r="A67" s="75">
        <f>'Members Data'!A59</f>
        <v>0</v>
      </c>
      <c r="B67" s="203"/>
      <c r="C67" s="200"/>
      <c r="D67" s="200"/>
      <c r="E67" s="200"/>
      <c r="F67" s="200"/>
      <c r="G67" s="200"/>
      <c r="H67" s="204"/>
      <c r="I67" s="70">
        <f t="array" ref="I67">SUM(($B67:$H67="confirmed")*($B$4:$H$4=25))</f>
        <v>0</v>
      </c>
      <c r="J67" s="43">
        <f t="array" ref="J67">SUM(($B67:$H67="standby")*($B$4:$H$4=25))</f>
        <v>0</v>
      </c>
      <c r="K67" s="43">
        <f t="array" ref="K67">SUM(($B67:$H67="confirmed")*($B$4:$H$4=10))</f>
        <v>0</v>
      </c>
      <c r="L67" s="43">
        <f t="array" ref="L67">SUM(($B67:$H67="standby")*($B$4:$H$4=10))</f>
        <v>0</v>
      </c>
      <c r="M67" s="72">
        <f t="shared" si="7"/>
        <v>0</v>
      </c>
      <c r="N67" s="72">
        <f t="shared" si="8"/>
        <v>0</v>
      </c>
      <c r="O67" s="73">
        <f t="shared" si="9"/>
        <v>0</v>
      </c>
    </row>
    <row r="68" spans="1:15" ht="15" customHeight="1">
      <c r="A68" s="75">
        <f>'Members Data'!A60</f>
        <v>0</v>
      </c>
      <c r="B68" s="199"/>
      <c r="C68" s="200"/>
      <c r="D68" s="200"/>
      <c r="E68" s="200"/>
      <c r="F68" s="200"/>
      <c r="G68" s="200"/>
      <c r="H68" s="204"/>
      <c r="I68" s="70">
        <f t="array" ref="I68">SUM(($B68:$H68="confirmed")*($B$4:$H$4=25))</f>
        <v>0</v>
      </c>
      <c r="J68" s="43">
        <f t="array" ref="J68">SUM(($B68:$H68="standby")*($B$4:$H$4=25))</f>
        <v>0</v>
      </c>
      <c r="K68" s="43">
        <f t="array" ref="K68">SUM(($B68:$H68="confirmed")*($B$4:$H$4=10))</f>
        <v>0</v>
      </c>
      <c r="L68" s="43">
        <f t="array" ref="L68">SUM(($B68:$H68="standby")*($B$4:$H$4=10))</f>
        <v>0</v>
      </c>
      <c r="M68" s="72">
        <f t="shared" si="7"/>
        <v>0</v>
      </c>
      <c r="N68" s="72">
        <f t="shared" si="8"/>
        <v>0</v>
      </c>
      <c r="O68" s="73">
        <f t="shared" si="9"/>
        <v>0</v>
      </c>
    </row>
    <row r="69" spans="1:15" ht="15" customHeight="1" thickBot="1">
      <c r="A69" s="130">
        <f>'Members Data'!A61</f>
        <v>0</v>
      </c>
      <c r="B69" s="205"/>
      <c r="C69" s="206"/>
      <c r="D69" s="206"/>
      <c r="E69" s="206"/>
      <c r="F69" s="206"/>
      <c r="G69" s="206"/>
      <c r="H69" s="207"/>
      <c r="I69" s="152">
        <f t="array" ref="I69">SUM(($B69:$H69="confirmed")*($B$4:$H$4=25))</f>
        <v>0</v>
      </c>
      <c r="J69" s="145">
        <f t="array" ref="J69">SUM(($B69:$H69="standby")*($B$4:$H$4=25))</f>
        <v>0</v>
      </c>
      <c r="K69" s="145">
        <f t="array" ref="K69">SUM(($B69:$H69="confirmed")*($B$4:$H$4=10))</f>
        <v>0</v>
      </c>
      <c r="L69" s="145">
        <f t="array" ref="L69">SUM(($B69:$H69="standby")*($B$4:$H$4=10))</f>
        <v>0</v>
      </c>
      <c r="M69" s="131">
        <f t="shared" ref="M69:M108" si="10">COUNTIF(B69:H69,"confirmed")</f>
        <v>0</v>
      </c>
      <c r="N69" s="131">
        <f t="shared" ref="N69:N108" si="11">COUNTIF(B69:H69,"standby")</f>
        <v>0</v>
      </c>
      <c r="O69" s="132">
        <f t="shared" ref="O69:O108" si="12">COUNTIF(B69:H69,"out")</f>
        <v>0</v>
      </c>
    </row>
    <row r="70" spans="1:15" ht="15" customHeight="1" thickTop="1">
      <c r="A70" s="74" t="str">
        <f>'Members Data'!A62</f>
        <v>Kristofix</v>
      </c>
      <c r="B70" s="199"/>
      <c r="C70" s="200"/>
      <c r="D70" s="200"/>
      <c r="E70" s="200"/>
      <c r="F70" s="200"/>
      <c r="G70" s="200"/>
      <c r="H70" s="201"/>
      <c r="I70" s="226">
        <f t="array" ref="I70">SUM(($B70:$H70="confirmed")*($B$4:$H$4=25))</f>
        <v>0</v>
      </c>
      <c r="J70" s="227">
        <f t="array" ref="J70">SUM(($B70:$H70="standby")*($B$4:$H$4=25))</f>
        <v>0</v>
      </c>
      <c r="K70" s="227">
        <f t="array" ref="K70">SUM(($B70:$H70="confirmed")*($B$4:$H$4=10))</f>
        <v>0</v>
      </c>
      <c r="L70" s="227">
        <f t="array" ref="L70">SUM(($B70:$H70="standby")*($B$4:$H$4=10))</f>
        <v>0</v>
      </c>
      <c r="M70" s="128">
        <f t="shared" si="10"/>
        <v>0</v>
      </c>
      <c r="N70" s="128">
        <f t="shared" si="11"/>
        <v>0</v>
      </c>
      <c r="O70" s="129">
        <f t="shared" si="12"/>
        <v>0</v>
      </c>
    </row>
    <row r="71" spans="1:15" ht="15" customHeight="1">
      <c r="A71" s="75" t="str">
        <f>'Members Data'!A63</f>
        <v>Nazgol</v>
      </c>
      <c r="B71" s="199"/>
      <c r="C71" s="200"/>
      <c r="D71" s="200"/>
      <c r="E71" s="200"/>
      <c r="F71" s="200"/>
      <c r="G71" s="200"/>
      <c r="H71" s="201"/>
      <c r="I71" s="70">
        <f t="array" ref="I71">SUM(($B71:$H71="confirmed")*($B$4:$H$4=25))</f>
        <v>0</v>
      </c>
      <c r="J71" s="43">
        <f t="array" ref="J71">SUM(($B71:$H71="standby")*($B$4:$H$4=25))</f>
        <v>0</v>
      </c>
      <c r="K71" s="43">
        <f t="array" ref="K71">SUM(($B71:$H71="confirmed")*($B$4:$H$4=10))</f>
        <v>0</v>
      </c>
      <c r="L71" s="43">
        <f t="array" ref="L71">SUM(($B71:$H71="standby")*($B$4:$H$4=10))</f>
        <v>0</v>
      </c>
      <c r="M71" s="72">
        <f t="shared" si="10"/>
        <v>0</v>
      </c>
      <c r="N71" s="72">
        <f t="shared" si="11"/>
        <v>0</v>
      </c>
      <c r="O71" s="73">
        <f t="shared" si="12"/>
        <v>0</v>
      </c>
    </row>
    <row r="72" spans="1:15" ht="15" customHeight="1">
      <c r="A72" s="75" t="str">
        <f>'Members Data'!A64</f>
        <v>Icewinde</v>
      </c>
      <c r="B72" s="199"/>
      <c r="C72" s="200"/>
      <c r="D72" s="200"/>
      <c r="E72" s="200"/>
      <c r="F72" s="200"/>
      <c r="G72" s="200"/>
      <c r="H72" s="201"/>
      <c r="I72" s="70">
        <f t="array" ref="I72">SUM(($B72:$H72="confirmed")*($B$4:$H$4=25))</f>
        <v>0</v>
      </c>
      <c r="J72" s="43">
        <f t="array" ref="J72">SUM(($B72:$H72="standby")*($B$4:$H$4=25))</f>
        <v>0</v>
      </c>
      <c r="K72" s="43">
        <f t="array" ref="K72">SUM(($B72:$H72="confirmed")*($B$4:$H$4=10))</f>
        <v>0</v>
      </c>
      <c r="L72" s="43">
        <f t="array" ref="L72">SUM(($B72:$H72="standby")*($B$4:$H$4=10))</f>
        <v>0</v>
      </c>
      <c r="M72" s="72">
        <f t="shared" si="10"/>
        <v>0</v>
      </c>
      <c r="N72" s="72">
        <f t="shared" si="11"/>
        <v>0</v>
      </c>
      <c r="O72" s="73">
        <f t="shared" si="12"/>
        <v>0</v>
      </c>
    </row>
    <row r="73" spans="1:15" ht="15" customHeight="1">
      <c r="A73" s="75" t="str">
        <f>'Members Data'!A65</f>
        <v>Ambú</v>
      </c>
      <c r="B73" s="199"/>
      <c r="C73" s="200"/>
      <c r="D73" s="200"/>
      <c r="E73" s="200"/>
      <c r="F73" s="200"/>
      <c r="G73" s="200"/>
      <c r="H73" s="201"/>
      <c r="I73" s="70">
        <f t="array" ref="I73">SUM(($B73:$H73="confirmed")*($B$4:$H$4=25))</f>
        <v>0</v>
      </c>
      <c r="J73" s="43">
        <f t="array" ref="J73">SUM(($B73:$H73="standby")*($B$4:$H$4=25))</f>
        <v>0</v>
      </c>
      <c r="K73" s="43">
        <f t="array" ref="K73">SUM(($B73:$H73="confirmed")*($B$4:$H$4=10))</f>
        <v>0</v>
      </c>
      <c r="L73" s="43">
        <f t="array" ref="L73">SUM(($B73:$H73="standby")*($B$4:$H$4=10))</f>
        <v>0</v>
      </c>
      <c r="M73" s="72">
        <f t="shared" si="10"/>
        <v>0</v>
      </c>
      <c r="N73" s="72">
        <f t="shared" si="11"/>
        <v>0</v>
      </c>
      <c r="O73" s="73">
        <f t="shared" si="12"/>
        <v>0</v>
      </c>
    </row>
    <row r="74" spans="1:15" ht="15" customHeight="1">
      <c r="A74" s="75" t="str">
        <f>'Members Data'!A66</f>
        <v>Mortali</v>
      </c>
      <c r="B74" s="199"/>
      <c r="C74" s="200"/>
      <c r="D74" s="200"/>
      <c r="E74" s="200"/>
      <c r="F74" s="200"/>
      <c r="G74" s="200"/>
      <c r="H74" s="201"/>
      <c r="I74" s="70">
        <f t="array" ref="I74">SUM(($B74:$H74="confirmed")*($B$4:$H$4=25))</f>
        <v>0</v>
      </c>
      <c r="J74" s="43">
        <f t="array" ref="J74">SUM(($B74:$H74="standby")*($B$4:$H$4=25))</f>
        <v>0</v>
      </c>
      <c r="K74" s="43">
        <f t="array" ref="K74">SUM(($B74:$H74="confirmed")*($B$4:$H$4=10))</f>
        <v>0</v>
      </c>
      <c r="L74" s="43">
        <f t="array" ref="L74">SUM(($B74:$H74="standby")*($B$4:$H$4=10))</f>
        <v>0</v>
      </c>
      <c r="M74" s="72">
        <f t="shared" si="10"/>
        <v>0</v>
      </c>
      <c r="N74" s="72">
        <f t="shared" si="11"/>
        <v>0</v>
      </c>
      <c r="O74" s="73">
        <f t="shared" si="12"/>
        <v>0</v>
      </c>
    </row>
    <row r="75" spans="1:15" ht="15" customHeight="1">
      <c r="A75" s="75" t="str">
        <f>'Members Data'!A67</f>
        <v>Andreah</v>
      </c>
      <c r="B75" s="199"/>
      <c r="C75" s="200"/>
      <c r="D75" s="200"/>
      <c r="E75" s="200"/>
      <c r="F75" s="200"/>
      <c r="G75" s="200"/>
      <c r="H75" s="201"/>
      <c r="I75" s="70">
        <f t="array" ref="I75">SUM(($B75:$H75="confirmed")*($B$4:$H$4=25))</f>
        <v>0</v>
      </c>
      <c r="J75" s="43">
        <f t="array" ref="J75">SUM(($B75:$H75="standby")*($B$4:$H$4=25))</f>
        <v>0</v>
      </c>
      <c r="K75" s="43">
        <f t="array" ref="K75">SUM(($B75:$H75="confirmed")*($B$4:$H$4=10))</f>
        <v>0</v>
      </c>
      <c r="L75" s="43">
        <f t="array" ref="L75">SUM(($B75:$H75="standby")*($B$4:$H$4=10))</f>
        <v>0</v>
      </c>
      <c r="M75" s="72">
        <f t="shared" si="10"/>
        <v>0</v>
      </c>
      <c r="N75" s="72">
        <f t="shared" si="11"/>
        <v>0</v>
      </c>
      <c r="O75" s="73">
        <f t="shared" si="12"/>
        <v>0</v>
      </c>
    </row>
    <row r="76" spans="1:15" ht="15" customHeight="1">
      <c r="A76" s="75" t="str">
        <f>'Members Data'!A68</f>
        <v>Yardk</v>
      </c>
      <c r="B76" s="199"/>
      <c r="C76" s="200"/>
      <c r="D76" s="200"/>
      <c r="E76" s="200"/>
      <c r="F76" s="200"/>
      <c r="G76" s="200"/>
      <c r="H76" s="201"/>
      <c r="I76" s="70">
        <f t="array" ref="I76">SUM(($B76:$H76="confirmed")*($B$4:$H$4=25))</f>
        <v>0</v>
      </c>
      <c r="J76" s="43">
        <f t="array" ref="J76">SUM(($B76:$H76="standby")*($B$4:$H$4=25))</f>
        <v>0</v>
      </c>
      <c r="K76" s="43">
        <f t="array" ref="K76">SUM(($B76:$H76="confirmed")*($B$4:$H$4=10))</f>
        <v>0</v>
      </c>
      <c r="L76" s="43">
        <f t="array" ref="L76">SUM(($B76:$H76="standby")*($B$4:$H$4=10))</f>
        <v>0</v>
      </c>
      <c r="M76" s="72">
        <f t="shared" si="10"/>
        <v>0</v>
      </c>
      <c r="N76" s="72">
        <f t="shared" si="11"/>
        <v>0</v>
      </c>
      <c r="O76" s="73">
        <f t="shared" si="12"/>
        <v>0</v>
      </c>
    </row>
    <row r="77" spans="1:15" ht="15" customHeight="1">
      <c r="A77" s="75" t="str">
        <f>'Members Data'!A69</f>
        <v>Halfhorns</v>
      </c>
      <c r="B77" s="199"/>
      <c r="C77" s="200"/>
      <c r="D77" s="200"/>
      <c r="E77" s="200"/>
      <c r="F77" s="200"/>
      <c r="G77" s="200"/>
      <c r="H77" s="201"/>
      <c r="I77" s="70">
        <f t="array" ref="I77">SUM(($B77:$H77="confirmed")*($B$4:$H$4=25))</f>
        <v>0</v>
      </c>
      <c r="J77" s="43">
        <f t="array" ref="J77">SUM(($B77:$H77="standby")*($B$4:$H$4=25))</f>
        <v>0</v>
      </c>
      <c r="K77" s="43">
        <f t="array" ref="K77">SUM(($B77:$H77="confirmed")*($B$4:$H$4=10))</f>
        <v>0</v>
      </c>
      <c r="L77" s="43">
        <f t="array" ref="L77">SUM(($B77:$H77="standby")*($B$4:$H$4=10))</f>
        <v>0</v>
      </c>
      <c r="M77" s="72">
        <f t="shared" si="10"/>
        <v>0</v>
      </c>
      <c r="N77" s="72">
        <f t="shared" si="11"/>
        <v>0</v>
      </c>
      <c r="O77" s="73">
        <f t="shared" si="12"/>
        <v>0</v>
      </c>
    </row>
    <row r="78" spans="1:15" ht="15" customHeight="1">
      <c r="A78" s="75" t="str">
        <f>'Members Data'!A70</f>
        <v>Ebullio</v>
      </c>
      <c r="B78" s="199"/>
      <c r="C78" s="200"/>
      <c r="D78" s="200"/>
      <c r="E78" s="200"/>
      <c r="F78" s="200"/>
      <c r="G78" s="200"/>
      <c r="H78" s="201"/>
      <c r="I78" s="70">
        <f t="array" ref="I78">SUM(($B78:$H78="confirmed")*($B$4:$H$4=25))</f>
        <v>0</v>
      </c>
      <c r="J78" s="43">
        <f t="array" ref="J78">SUM(($B78:$H78="standby")*($B$4:$H$4=25))</f>
        <v>0</v>
      </c>
      <c r="K78" s="43">
        <f t="array" ref="K78">SUM(($B78:$H78="confirmed")*($B$4:$H$4=10))</f>
        <v>0</v>
      </c>
      <c r="L78" s="43">
        <f t="array" ref="L78">SUM(($B78:$H78="standby")*($B$4:$H$4=10))</f>
        <v>0</v>
      </c>
      <c r="M78" s="72">
        <f t="shared" si="10"/>
        <v>0</v>
      </c>
      <c r="N78" s="72">
        <f t="shared" si="11"/>
        <v>0</v>
      </c>
      <c r="O78" s="73">
        <f t="shared" si="12"/>
        <v>0</v>
      </c>
    </row>
    <row r="79" spans="1:15" ht="15" customHeight="1">
      <c r="A79" s="75" t="str">
        <f>'Members Data'!A71</f>
        <v>Fireaxe</v>
      </c>
      <c r="B79" s="199"/>
      <c r="C79" s="200"/>
      <c r="D79" s="200"/>
      <c r="E79" s="200"/>
      <c r="F79" s="200"/>
      <c r="G79" s="200"/>
      <c r="H79" s="201"/>
      <c r="I79" s="70">
        <f t="array" ref="I79">SUM(($B79:$H79="confirmed")*($B$4:$H$4=25))</f>
        <v>0</v>
      </c>
      <c r="J79" s="43">
        <f t="array" ref="J79">SUM(($B79:$H79="standby")*($B$4:$H$4=25))</f>
        <v>0</v>
      </c>
      <c r="K79" s="43">
        <f t="array" ref="K79">SUM(($B79:$H79="confirmed")*($B$4:$H$4=10))</f>
        <v>0</v>
      </c>
      <c r="L79" s="43">
        <f t="array" ref="L79">SUM(($B79:$H79="standby")*($B$4:$H$4=10))</f>
        <v>0</v>
      </c>
      <c r="M79" s="72">
        <f t="shared" si="10"/>
        <v>0</v>
      </c>
      <c r="N79" s="72">
        <f t="shared" si="11"/>
        <v>0</v>
      </c>
      <c r="O79" s="73">
        <f t="shared" si="12"/>
        <v>0</v>
      </c>
    </row>
    <row r="80" spans="1:15" ht="15" customHeight="1">
      <c r="A80" s="75" t="str">
        <f>'Members Data'!A72</f>
        <v>Firefoxy</v>
      </c>
      <c r="B80" s="199"/>
      <c r="C80" s="200"/>
      <c r="D80" s="200"/>
      <c r="E80" s="200"/>
      <c r="F80" s="200"/>
      <c r="G80" s="200"/>
      <c r="H80" s="201"/>
      <c r="I80" s="70">
        <f t="array" ref="I80">SUM(($B80:$H80="confirmed")*($B$4:$H$4=25))</f>
        <v>0</v>
      </c>
      <c r="J80" s="43">
        <f t="array" ref="J80">SUM(($B80:$H80="standby")*($B$4:$H$4=25))</f>
        <v>0</v>
      </c>
      <c r="K80" s="43">
        <f t="array" ref="K80">SUM(($B80:$H80="confirmed")*($B$4:$H$4=10))</f>
        <v>0</v>
      </c>
      <c r="L80" s="43">
        <f t="array" ref="L80">SUM(($B80:$H80="standby")*($B$4:$H$4=10))</f>
        <v>0</v>
      </c>
      <c r="M80" s="72">
        <f t="shared" si="10"/>
        <v>0</v>
      </c>
      <c r="N80" s="72">
        <f t="shared" si="11"/>
        <v>0</v>
      </c>
      <c r="O80" s="73">
        <f t="shared" si="12"/>
        <v>0</v>
      </c>
    </row>
    <row r="81" spans="1:15" ht="15" customHeight="1">
      <c r="A81" s="75" t="str">
        <f>'Members Data'!A73</f>
        <v>Boeyah</v>
      </c>
      <c r="B81" s="199"/>
      <c r="C81" s="200"/>
      <c r="D81" s="200"/>
      <c r="E81" s="200"/>
      <c r="F81" s="200"/>
      <c r="G81" s="200"/>
      <c r="H81" s="201"/>
      <c r="I81" s="70">
        <f t="array" ref="I81">SUM(($B81:$H81="confirmed")*($B$4:$H$4=25))</f>
        <v>0</v>
      </c>
      <c r="J81" s="43">
        <f t="array" ref="J81">SUM(($B81:$H81="standby")*($B$4:$H$4=25))</f>
        <v>0</v>
      </c>
      <c r="K81" s="43">
        <f t="array" ref="K81">SUM(($B81:$H81="confirmed")*($B$4:$H$4=10))</f>
        <v>0</v>
      </c>
      <c r="L81" s="43">
        <f t="array" ref="L81">SUM(($B81:$H81="standby")*($B$4:$H$4=10))</f>
        <v>0</v>
      </c>
      <c r="M81" s="72">
        <f t="shared" si="10"/>
        <v>0</v>
      </c>
      <c r="N81" s="72">
        <f t="shared" si="11"/>
        <v>0</v>
      </c>
      <c r="O81" s="73">
        <f t="shared" si="12"/>
        <v>0</v>
      </c>
    </row>
    <row r="82" spans="1:15" ht="15" customHeight="1">
      <c r="A82" s="75" t="str">
        <f>'Members Data'!A74</f>
        <v>Judgementz</v>
      </c>
      <c r="B82" s="199"/>
      <c r="C82" s="200"/>
      <c r="D82" s="200"/>
      <c r="E82" s="200"/>
      <c r="F82" s="200"/>
      <c r="G82" s="200"/>
      <c r="H82" s="201"/>
      <c r="I82" s="70">
        <f t="array" ref="I82">SUM(($B82:$H82="confirmed")*($B$4:$H$4=25))</f>
        <v>0</v>
      </c>
      <c r="J82" s="43">
        <f t="array" ref="J82">SUM(($B82:$H82="standby")*($B$4:$H$4=25))</f>
        <v>0</v>
      </c>
      <c r="K82" s="43">
        <f t="array" ref="K82">SUM(($B82:$H82="confirmed")*($B$4:$H$4=10))</f>
        <v>0</v>
      </c>
      <c r="L82" s="43">
        <f t="array" ref="L82">SUM(($B82:$H82="standby")*($B$4:$H$4=10))</f>
        <v>0</v>
      </c>
      <c r="M82" s="72">
        <f t="shared" si="10"/>
        <v>0</v>
      </c>
      <c r="N82" s="72">
        <f t="shared" si="11"/>
        <v>0</v>
      </c>
      <c r="O82" s="73">
        <f t="shared" si="12"/>
        <v>0</v>
      </c>
    </row>
    <row r="83" spans="1:15" ht="15" customHeight="1">
      <c r="A83" s="75">
        <f>'Members Data'!A75</f>
        <v>0</v>
      </c>
      <c r="B83" s="199"/>
      <c r="C83" s="200"/>
      <c r="D83" s="200"/>
      <c r="E83" s="200"/>
      <c r="F83" s="200"/>
      <c r="G83" s="200"/>
      <c r="H83" s="201"/>
      <c r="I83" s="70">
        <f t="array" ref="I83">SUM(($B83:$H83="confirmed")*($B$4:$H$4=25))</f>
        <v>0</v>
      </c>
      <c r="J83" s="43">
        <f t="array" ref="J83">SUM(($B83:$H83="standby")*($B$4:$H$4=25))</f>
        <v>0</v>
      </c>
      <c r="K83" s="43">
        <f t="array" ref="K83">SUM(($B83:$H83="confirmed")*($B$4:$H$4=10))</f>
        <v>0</v>
      </c>
      <c r="L83" s="43">
        <f t="array" ref="L83">SUM(($B83:$H83="standby")*($B$4:$H$4=10))</f>
        <v>0</v>
      </c>
      <c r="M83" s="72">
        <f t="shared" si="10"/>
        <v>0</v>
      </c>
      <c r="N83" s="72">
        <f t="shared" si="11"/>
        <v>0</v>
      </c>
      <c r="O83" s="73">
        <f t="shared" si="12"/>
        <v>0</v>
      </c>
    </row>
    <row r="84" spans="1:15" ht="15" customHeight="1">
      <c r="A84" s="75">
        <f>'Members Data'!A76</f>
        <v>0</v>
      </c>
      <c r="B84" s="199"/>
      <c r="C84" s="200"/>
      <c r="D84" s="200"/>
      <c r="E84" s="200"/>
      <c r="F84" s="200"/>
      <c r="G84" s="200"/>
      <c r="H84" s="201"/>
      <c r="I84" s="70">
        <f t="array" ref="I84">SUM(($B84:$H84="confirmed")*($B$4:$H$4=25))</f>
        <v>0</v>
      </c>
      <c r="J84" s="43">
        <f t="array" ref="J84">SUM(($B84:$H84="standby")*($B$4:$H$4=25))</f>
        <v>0</v>
      </c>
      <c r="K84" s="43">
        <f t="array" ref="K84">SUM(($B84:$H84="confirmed")*($B$4:$H$4=10))</f>
        <v>0</v>
      </c>
      <c r="L84" s="43">
        <f t="array" ref="L84">SUM(($B84:$H84="standby")*($B$4:$H$4=10))</f>
        <v>0</v>
      </c>
      <c r="M84" s="72">
        <f t="shared" si="10"/>
        <v>0</v>
      </c>
      <c r="N84" s="72">
        <f t="shared" si="11"/>
        <v>0</v>
      </c>
      <c r="O84" s="73">
        <f t="shared" si="12"/>
        <v>0</v>
      </c>
    </row>
    <row r="85" spans="1:15" ht="15" customHeight="1">
      <c r="A85" s="75">
        <f>'Members Data'!A77</f>
        <v>0</v>
      </c>
      <c r="B85" s="199"/>
      <c r="C85" s="200"/>
      <c r="D85" s="200"/>
      <c r="E85" s="200"/>
      <c r="F85" s="200"/>
      <c r="G85" s="200"/>
      <c r="H85" s="201"/>
      <c r="I85" s="70">
        <f t="array" ref="I85">SUM(($B85:$H85="confirmed")*($B$4:$H$4=25))</f>
        <v>0</v>
      </c>
      <c r="J85" s="43">
        <f t="array" ref="J85">SUM(($B85:$H85="standby")*($B$4:$H$4=25))</f>
        <v>0</v>
      </c>
      <c r="K85" s="43">
        <f t="array" ref="K85">SUM(($B85:$H85="confirmed")*($B$4:$H$4=10))</f>
        <v>0</v>
      </c>
      <c r="L85" s="43">
        <f t="array" ref="L85">SUM(($B85:$H85="standby")*($B$4:$H$4=10))</f>
        <v>0</v>
      </c>
      <c r="M85" s="72">
        <f t="shared" si="10"/>
        <v>0</v>
      </c>
      <c r="N85" s="72">
        <f t="shared" si="11"/>
        <v>0</v>
      </c>
      <c r="O85" s="73">
        <f t="shared" si="12"/>
        <v>0</v>
      </c>
    </row>
    <row r="86" spans="1:15" ht="15" customHeight="1">
      <c r="A86" s="75">
        <f>'Members Data'!A78</f>
        <v>0</v>
      </c>
      <c r="B86" s="199"/>
      <c r="C86" s="200"/>
      <c r="D86" s="200"/>
      <c r="E86" s="200"/>
      <c r="F86" s="200"/>
      <c r="G86" s="200"/>
      <c r="H86" s="201"/>
      <c r="I86" s="70">
        <f t="array" ref="I86">SUM(($B86:$H86="confirmed")*($B$4:$H$4=25))</f>
        <v>0</v>
      </c>
      <c r="J86" s="43">
        <f t="array" ref="J86">SUM(($B86:$H86="standby")*($B$4:$H$4=25))</f>
        <v>0</v>
      </c>
      <c r="K86" s="43">
        <f t="array" ref="K86">SUM(($B86:$H86="confirmed")*($B$4:$H$4=10))</f>
        <v>0</v>
      </c>
      <c r="L86" s="43">
        <f t="array" ref="L86">SUM(($B86:$H86="standby")*($B$4:$H$4=10))</f>
        <v>0</v>
      </c>
      <c r="M86" s="72">
        <f t="shared" si="10"/>
        <v>0</v>
      </c>
      <c r="N86" s="72">
        <f t="shared" si="11"/>
        <v>0</v>
      </c>
      <c r="O86" s="73">
        <f t="shared" si="12"/>
        <v>0</v>
      </c>
    </row>
    <row r="87" spans="1:15" ht="15" customHeight="1">
      <c r="A87" s="75">
        <f>'Members Data'!A79</f>
        <v>0</v>
      </c>
      <c r="B87" s="199"/>
      <c r="C87" s="200"/>
      <c r="D87" s="200"/>
      <c r="E87" s="200"/>
      <c r="F87" s="200"/>
      <c r="G87" s="200"/>
      <c r="H87" s="201"/>
      <c r="I87" s="70">
        <f t="array" ref="I87">SUM(($B87:$H87="confirmed")*($B$4:$H$4=25))</f>
        <v>0</v>
      </c>
      <c r="J87" s="43">
        <f t="array" ref="J87">SUM(($B87:$H87="standby")*($B$4:$H$4=25))</f>
        <v>0</v>
      </c>
      <c r="K87" s="43">
        <f t="array" ref="K87">SUM(($B87:$H87="confirmed")*($B$4:$H$4=10))</f>
        <v>0</v>
      </c>
      <c r="L87" s="43">
        <f t="array" ref="L87">SUM(($B87:$H87="standby")*($B$4:$H$4=10))</f>
        <v>0</v>
      </c>
      <c r="M87" s="72">
        <f t="shared" si="10"/>
        <v>0</v>
      </c>
      <c r="N87" s="72">
        <f t="shared" si="11"/>
        <v>0</v>
      </c>
      <c r="O87" s="73">
        <f t="shared" si="12"/>
        <v>0</v>
      </c>
    </row>
    <row r="88" spans="1:15" ht="15" customHeight="1">
      <c r="A88" s="75">
        <f>'Members Data'!A80</f>
        <v>0</v>
      </c>
      <c r="B88" s="199"/>
      <c r="C88" s="200"/>
      <c r="D88" s="200"/>
      <c r="E88" s="200"/>
      <c r="F88" s="200"/>
      <c r="G88" s="200"/>
      <c r="H88" s="201"/>
      <c r="I88" s="70">
        <f t="array" ref="I88">SUM(($B88:$H88="confirmed")*($B$4:$H$4=25))</f>
        <v>0</v>
      </c>
      <c r="J88" s="43">
        <f t="array" ref="J88">SUM(($B88:$H88="standby")*($B$4:$H$4=25))</f>
        <v>0</v>
      </c>
      <c r="K88" s="43">
        <f t="array" ref="K88">SUM(($B88:$H88="confirmed")*($B$4:$H$4=10))</f>
        <v>0</v>
      </c>
      <c r="L88" s="43">
        <f t="array" ref="L88">SUM(($B88:$H88="standby")*($B$4:$H$4=10))</f>
        <v>0</v>
      </c>
      <c r="M88" s="72">
        <f t="shared" si="10"/>
        <v>0</v>
      </c>
      <c r="N88" s="72">
        <f t="shared" si="11"/>
        <v>0</v>
      </c>
      <c r="O88" s="73">
        <f t="shared" si="12"/>
        <v>0</v>
      </c>
    </row>
    <row r="89" spans="1:15" ht="15" customHeight="1">
      <c r="A89" s="75">
        <f>'Members Data'!A81</f>
        <v>0</v>
      </c>
      <c r="B89" s="199"/>
      <c r="C89" s="200"/>
      <c r="D89" s="200"/>
      <c r="E89" s="200"/>
      <c r="F89" s="200"/>
      <c r="G89" s="200"/>
      <c r="H89" s="201"/>
      <c r="I89" s="70">
        <f t="array" ref="I89">SUM(($B89:$H89="confirmed")*($B$4:$H$4=25))</f>
        <v>0</v>
      </c>
      <c r="J89" s="43">
        <f t="array" ref="J89">SUM(($B89:$H89="standby")*($B$4:$H$4=25))</f>
        <v>0</v>
      </c>
      <c r="K89" s="43">
        <f t="array" ref="K89">SUM(($B89:$H89="confirmed")*($B$4:$H$4=10))</f>
        <v>0</v>
      </c>
      <c r="L89" s="43">
        <f t="array" ref="L89">SUM(($B89:$H89="standby")*($B$4:$H$4=10))</f>
        <v>0</v>
      </c>
      <c r="M89" s="72">
        <f t="shared" si="10"/>
        <v>0</v>
      </c>
      <c r="N89" s="72">
        <f t="shared" si="11"/>
        <v>0</v>
      </c>
      <c r="O89" s="73">
        <f t="shared" si="12"/>
        <v>0</v>
      </c>
    </row>
    <row r="90" spans="1:15" ht="15" customHeight="1">
      <c r="A90" s="75">
        <f>'Members Data'!A82</f>
        <v>0</v>
      </c>
      <c r="B90" s="199"/>
      <c r="C90" s="200"/>
      <c r="D90" s="200"/>
      <c r="E90" s="200"/>
      <c r="F90" s="200"/>
      <c r="G90" s="200"/>
      <c r="H90" s="201"/>
      <c r="I90" s="70">
        <f t="array" ref="I90">SUM(($B90:$H90="confirmed")*($B$4:$H$4=25))</f>
        <v>0</v>
      </c>
      <c r="J90" s="43">
        <f t="array" ref="J90">SUM(($B90:$H90="standby")*($B$4:$H$4=25))</f>
        <v>0</v>
      </c>
      <c r="K90" s="43">
        <f t="array" ref="K90">SUM(($B90:$H90="confirmed")*($B$4:$H$4=10))</f>
        <v>0</v>
      </c>
      <c r="L90" s="43">
        <f t="array" ref="L90">SUM(($B90:$H90="standby")*($B$4:$H$4=10))</f>
        <v>0</v>
      </c>
      <c r="M90" s="72">
        <f t="shared" si="10"/>
        <v>0</v>
      </c>
      <c r="N90" s="72">
        <f t="shared" si="11"/>
        <v>0</v>
      </c>
      <c r="O90" s="73">
        <f t="shared" si="12"/>
        <v>0</v>
      </c>
    </row>
    <row r="91" spans="1:15" ht="15" customHeight="1">
      <c r="A91" s="75">
        <f>'Members Data'!A83</f>
        <v>0</v>
      </c>
      <c r="B91" s="199"/>
      <c r="C91" s="200"/>
      <c r="D91" s="200"/>
      <c r="E91" s="200"/>
      <c r="F91" s="200"/>
      <c r="G91" s="200"/>
      <c r="H91" s="201"/>
      <c r="I91" s="70">
        <f t="array" ref="I91">SUM(($B91:$H91="confirmed")*($B$4:$H$4=25))</f>
        <v>0</v>
      </c>
      <c r="J91" s="43">
        <f t="array" ref="J91">SUM(($B91:$H91="standby")*($B$4:$H$4=25))</f>
        <v>0</v>
      </c>
      <c r="K91" s="43">
        <f t="array" ref="K91">SUM(($B91:$H91="confirmed")*($B$4:$H$4=10))</f>
        <v>0</v>
      </c>
      <c r="L91" s="43">
        <f t="array" ref="L91">SUM(($B91:$H91="standby")*($B$4:$H$4=10))</f>
        <v>0</v>
      </c>
      <c r="M91" s="72">
        <f t="shared" si="10"/>
        <v>0</v>
      </c>
      <c r="N91" s="72">
        <f t="shared" si="11"/>
        <v>0</v>
      </c>
      <c r="O91" s="73">
        <f t="shared" si="12"/>
        <v>0</v>
      </c>
    </row>
    <row r="92" spans="1:15" ht="15" customHeight="1">
      <c r="A92" s="75">
        <f>'Members Data'!A84</f>
        <v>0</v>
      </c>
      <c r="B92" s="199"/>
      <c r="C92" s="200"/>
      <c r="D92" s="200"/>
      <c r="E92" s="200"/>
      <c r="F92" s="200"/>
      <c r="G92" s="200"/>
      <c r="H92" s="201"/>
      <c r="I92" s="70">
        <f t="array" ref="I92">SUM(($B92:$H92="confirmed")*($B$4:$H$4=25))</f>
        <v>0</v>
      </c>
      <c r="J92" s="43">
        <f t="array" ref="J92">SUM(($B92:$H92="standby")*($B$4:$H$4=25))</f>
        <v>0</v>
      </c>
      <c r="K92" s="43">
        <f t="array" ref="K92">SUM(($B92:$H92="confirmed")*($B$4:$H$4=10))</f>
        <v>0</v>
      </c>
      <c r="L92" s="43">
        <f t="array" ref="L92">SUM(($B92:$H92="standby")*($B$4:$H$4=10))</f>
        <v>0</v>
      </c>
      <c r="M92" s="72">
        <f t="shared" si="10"/>
        <v>0</v>
      </c>
      <c r="N92" s="72">
        <f t="shared" si="11"/>
        <v>0</v>
      </c>
      <c r="O92" s="73">
        <f t="shared" si="12"/>
        <v>0</v>
      </c>
    </row>
    <row r="93" spans="1:15" ht="15" customHeight="1">
      <c r="A93" s="75">
        <f>'Members Data'!A85</f>
        <v>0</v>
      </c>
      <c r="B93" s="199"/>
      <c r="C93" s="200"/>
      <c r="D93" s="200"/>
      <c r="E93" s="200"/>
      <c r="F93" s="200"/>
      <c r="G93" s="200"/>
      <c r="H93" s="201"/>
      <c r="I93" s="70">
        <f t="array" ref="I93">SUM(($B93:$H93="confirmed")*($B$4:$H$4=25))</f>
        <v>0</v>
      </c>
      <c r="J93" s="43">
        <f t="array" ref="J93">SUM(($B93:$H93="standby")*($B$4:$H$4=25))</f>
        <v>0</v>
      </c>
      <c r="K93" s="43">
        <f t="array" ref="K93">SUM(($B93:$H93="confirmed")*($B$4:$H$4=10))</f>
        <v>0</v>
      </c>
      <c r="L93" s="43">
        <f t="array" ref="L93">SUM(($B93:$H93="standby")*($B$4:$H$4=10))</f>
        <v>0</v>
      </c>
      <c r="M93" s="72">
        <f t="shared" si="10"/>
        <v>0</v>
      </c>
      <c r="N93" s="72">
        <f t="shared" si="11"/>
        <v>0</v>
      </c>
      <c r="O93" s="73">
        <f t="shared" si="12"/>
        <v>0</v>
      </c>
    </row>
    <row r="94" spans="1:15" ht="15" customHeight="1">
      <c r="A94" s="75">
        <f>'Members Data'!A86</f>
        <v>0</v>
      </c>
      <c r="B94" s="199"/>
      <c r="C94" s="200"/>
      <c r="D94" s="200"/>
      <c r="E94" s="200"/>
      <c r="F94" s="200"/>
      <c r="G94" s="200"/>
      <c r="H94" s="201"/>
      <c r="I94" s="70">
        <f t="array" ref="I94">SUM(($B94:$H94="confirmed")*($B$4:$H$4=25))</f>
        <v>0</v>
      </c>
      <c r="J94" s="43">
        <f t="array" ref="J94">SUM(($B94:$H94="standby")*($B$4:$H$4=25))</f>
        <v>0</v>
      </c>
      <c r="K94" s="43">
        <f t="array" ref="K94">SUM(($B94:$H94="confirmed")*($B$4:$H$4=10))</f>
        <v>0</v>
      </c>
      <c r="L94" s="43">
        <f t="array" ref="L94">SUM(($B94:$H94="standby")*($B$4:$H$4=10))</f>
        <v>0</v>
      </c>
      <c r="M94" s="72">
        <f t="shared" si="10"/>
        <v>0</v>
      </c>
      <c r="N94" s="72">
        <f t="shared" si="11"/>
        <v>0</v>
      </c>
      <c r="O94" s="73">
        <f t="shared" si="12"/>
        <v>0</v>
      </c>
    </row>
    <row r="95" spans="1:15" ht="15" customHeight="1">
      <c r="A95" s="75">
        <f>'Members Data'!A87</f>
        <v>0</v>
      </c>
      <c r="B95" s="199"/>
      <c r="C95" s="200"/>
      <c r="D95" s="200"/>
      <c r="E95" s="200"/>
      <c r="F95" s="200"/>
      <c r="G95" s="200"/>
      <c r="H95" s="201"/>
      <c r="I95" s="70">
        <f t="array" ref="I95">SUM(($B95:$H95="confirmed")*($B$4:$H$4=25))</f>
        <v>0</v>
      </c>
      <c r="J95" s="43">
        <f t="array" ref="J95">SUM(($B95:$H95="standby")*($B$4:$H$4=25))</f>
        <v>0</v>
      </c>
      <c r="K95" s="43">
        <f t="array" ref="K95">SUM(($B95:$H95="confirmed")*($B$4:$H$4=10))</f>
        <v>0</v>
      </c>
      <c r="L95" s="43">
        <f t="array" ref="L95">SUM(($B95:$H95="standby")*($B$4:$H$4=10))</f>
        <v>0</v>
      </c>
      <c r="M95" s="72">
        <f t="shared" si="10"/>
        <v>0</v>
      </c>
      <c r="N95" s="72">
        <f t="shared" si="11"/>
        <v>0</v>
      </c>
      <c r="O95" s="73">
        <f t="shared" si="12"/>
        <v>0</v>
      </c>
    </row>
    <row r="96" spans="1:15" ht="15" customHeight="1">
      <c r="A96" s="75">
        <f>'Members Data'!A88</f>
        <v>0</v>
      </c>
      <c r="B96" s="199"/>
      <c r="C96" s="200"/>
      <c r="D96" s="200"/>
      <c r="E96" s="200"/>
      <c r="F96" s="200"/>
      <c r="G96" s="200"/>
      <c r="H96" s="201"/>
      <c r="I96" s="70">
        <f t="array" ref="I96">SUM(($B96:$H96="confirmed")*($B$4:$H$4=25))</f>
        <v>0</v>
      </c>
      <c r="J96" s="43">
        <f t="array" ref="J96">SUM(($B96:$H96="standby")*($B$4:$H$4=25))</f>
        <v>0</v>
      </c>
      <c r="K96" s="43">
        <f t="array" ref="K96">SUM(($B96:$H96="confirmed")*($B$4:$H$4=10))</f>
        <v>0</v>
      </c>
      <c r="L96" s="43">
        <f t="array" ref="L96">SUM(($B96:$H96="standby")*($B$4:$H$4=10))</f>
        <v>0</v>
      </c>
      <c r="M96" s="72">
        <f t="shared" si="10"/>
        <v>0</v>
      </c>
      <c r="N96" s="72">
        <f t="shared" si="11"/>
        <v>0</v>
      </c>
      <c r="O96" s="73">
        <f t="shared" si="12"/>
        <v>0</v>
      </c>
    </row>
    <row r="97" spans="1:15" ht="15" customHeight="1">
      <c r="A97" s="75">
        <f>'Members Data'!A89</f>
        <v>0</v>
      </c>
      <c r="B97" s="199"/>
      <c r="C97" s="200"/>
      <c r="D97" s="200"/>
      <c r="E97" s="200"/>
      <c r="F97" s="200"/>
      <c r="G97" s="200"/>
      <c r="H97" s="201"/>
      <c r="I97" s="70">
        <f t="array" ref="I97">SUM(($B97:$H97="confirmed")*($B$4:$H$4=25))</f>
        <v>0</v>
      </c>
      <c r="J97" s="43">
        <f t="array" ref="J97">SUM(($B97:$H97="standby")*($B$4:$H$4=25))</f>
        <v>0</v>
      </c>
      <c r="K97" s="43">
        <f t="array" ref="K97">SUM(($B97:$H97="confirmed")*($B$4:$H$4=10))</f>
        <v>0</v>
      </c>
      <c r="L97" s="43">
        <f t="array" ref="L97">SUM(($B97:$H97="standby")*($B$4:$H$4=10))</f>
        <v>0</v>
      </c>
      <c r="M97" s="72">
        <f t="shared" si="10"/>
        <v>0</v>
      </c>
      <c r="N97" s="72">
        <f t="shared" si="11"/>
        <v>0</v>
      </c>
      <c r="O97" s="73">
        <f t="shared" si="12"/>
        <v>0</v>
      </c>
    </row>
    <row r="98" spans="1:15" ht="15" customHeight="1">
      <c r="A98" s="75">
        <f>'Members Data'!A90</f>
        <v>0</v>
      </c>
      <c r="B98" s="199"/>
      <c r="C98" s="200"/>
      <c r="D98" s="200"/>
      <c r="E98" s="200"/>
      <c r="F98" s="200"/>
      <c r="G98" s="200"/>
      <c r="H98" s="201"/>
      <c r="I98" s="70">
        <f t="array" ref="I98">SUM(($B98:$H98="confirmed")*($B$4:$H$4=25))</f>
        <v>0</v>
      </c>
      <c r="J98" s="43">
        <f t="array" ref="J98">SUM(($B98:$H98="standby")*($B$4:$H$4=25))</f>
        <v>0</v>
      </c>
      <c r="K98" s="43">
        <f t="array" ref="K98">SUM(($B98:$H98="confirmed")*($B$4:$H$4=10))</f>
        <v>0</v>
      </c>
      <c r="L98" s="43">
        <f t="array" ref="L98">SUM(($B98:$H98="standby")*($B$4:$H$4=10))</f>
        <v>0</v>
      </c>
      <c r="M98" s="72">
        <f t="shared" si="10"/>
        <v>0</v>
      </c>
      <c r="N98" s="72">
        <f t="shared" si="11"/>
        <v>0</v>
      </c>
      <c r="O98" s="73">
        <f t="shared" si="12"/>
        <v>0</v>
      </c>
    </row>
    <row r="99" spans="1:15" ht="15" customHeight="1">
      <c r="A99" s="75">
        <f>'Members Data'!A91</f>
        <v>0</v>
      </c>
      <c r="B99" s="199"/>
      <c r="C99" s="200"/>
      <c r="D99" s="200"/>
      <c r="E99" s="200"/>
      <c r="F99" s="200"/>
      <c r="G99" s="200"/>
      <c r="H99" s="201"/>
      <c r="I99" s="70">
        <f t="array" ref="I99">SUM(($B99:$H99="confirmed")*($B$4:$H$4=25))</f>
        <v>0</v>
      </c>
      <c r="J99" s="43">
        <f t="array" ref="J99">SUM(($B99:$H99="standby")*($B$4:$H$4=25))</f>
        <v>0</v>
      </c>
      <c r="K99" s="43">
        <f t="array" ref="K99">SUM(($B99:$H99="confirmed")*($B$4:$H$4=10))</f>
        <v>0</v>
      </c>
      <c r="L99" s="43">
        <f t="array" ref="L99">SUM(($B99:$H99="standby")*($B$4:$H$4=10))</f>
        <v>0</v>
      </c>
      <c r="M99" s="72">
        <f t="shared" si="10"/>
        <v>0</v>
      </c>
      <c r="N99" s="72">
        <f t="shared" si="11"/>
        <v>0</v>
      </c>
      <c r="O99" s="73">
        <f t="shared" si="12"/>
        <v>0</v>
      </c>
    </row>
    <row r="100" spans="1:15" ht="15" customHeight="1">
      <c r="A100" s="75">
        <f>'Members Data'!A92</f>
        <v>0</v>
      </c>
      <c r="B100" s="199"/>
      <c r="C100" s="200"/>
      <c r="D100" s="200"/>
      <c r="E100" s="200"/>
      <c r="F100" s="200"/>
      <c r="G100" s="200"/>
      <c r="H100" s="201"/>
      <c r="I100" s="70">
        <f t="array" ref="I100">SUM(($B100:$H100="confirmed")*($B$4:$H$4=25))</f>
        <v>0</v>
      </c>
      <c r="J100" s="43">
        <f t="array" ref="J100">SUM(($B100:$H100="standby")*($B$4:$H$4=25))</f>
        <v>0</v>
      </c>
      <c r="K100" s="43">
        <f t="array" ref="K100">SUM(($B100:$H100="confirmed")*($B$4:$H$4=10))</f>
        <v>0</v>
      </c>
      <c r="L100" s="43">
        <f t="array" ref="L100">SUM(($B100:$H100="standby")*($B$4:$H$4=10))</f>
        <v>0</v>
      </c>
      <c r="M100" s="72">
        <f t="shared" si="10"/>
        <v>0</v>
      </c>
      <c r="N100" s="72">
        <f t="shared" si="11"/>
        <v>0</v>
      </c>
      <c r="O100" s="73">
        <f t="shared" si="12"/>
        <v>0</v>
      </c>
    </row>
    <row r="101" spans="1:15" ht="15" customHeight="1">
      <c r="A101" s="75">
        <f>'Members Data'!A93</f>
        <v>0</v>
      </c>
      <c r="B101" s="199"/>
      <c r="C101" s="200"/>
      <c r="D101" s="200"/>
      <c r="E101" s="200"/>
      <c r="F101" s="200"/>
      <c r="G101" s="200"/>
      <c r="H101" s="201"/>
      <c r="I101" s="70">
        <f t="array" ref="I101">SUM(($B101:$H101="confirmed")*($B$4:$H$4=25))</f>
        <v>0</v>
      </c>
      <c r="J101" s="43">
        <f t="array" ref="J101">SUM(($B101:$H101="standby")*($B$4:$H$4=25))</f>
        <v>0</v>
      </c>
      <c r="K101" s="43">
        <f t="array" ref="K101">SUM(($B101:$H101="confirmed")*($B$4:$H$4=10))</f>
        <v>0</v>
      </c>
      <c r="L101" s="43">
        <f t="array" ref="L101">SUM(($B101:$H101="standby")*($B$4:$H$4=10))</f>
        <v>0</v>
      </c>
      <c r="M101" s="72">
        <f t="shared" si="10"/>
        <v>0</v>
      </c>
      <c r="N101" s="72">
        <f t="shared" si="11"/>
        <v>0</v>
      </c>
      <c r="O101" s="73">
        <f t="shared" si="12"/>
        <v>0</v>
      </c>
    </row>
    <row r="102" spans="1:15" ht="15" customHeight="1">
      <c r="A102" s="75">
        <f>'Members Data'!A94</f>
        <v>0</v>
      </c>
      <c r="B102" s="199"/>
      <c r="C102" s="200"/>
      <c r="D102" s="200"/>
      <c r="E102" s="200"/>
      <c r="F102" s="200"/>
      <c r="G102" s="200"/>
      <c r="H102" s="201"/>
      <c r="I102" s="70">
        <f t="array" ref="I102">SUM(($B102:$H102="confirmed")*($B$4:$H$4=25))</f>
        <v>0</v>
      </c>
      <c r="J102" s="43">
        <f t="array" ref="J102">SUM(($B102:$H102="standby")*($B$4:$H$4=25))</f>
        <v>0</v>
      </c>
      <c r="K102" s="43">
        <f t="array" ref="K102">SUM(($B102:$H102="confirmed")*($B$4:$H$4=10))</f>
        <v>0</v>
      </c>
      <c r="L102" s="43">
        <f t="array" ref="L102">SUM(($B102:$H102="standby")*($B$4:$H$4=10))</f>
        <v>0</v>
      </c>
      <c r="M102" s="72">
        <f t="shared" si="10"/>
        <v>0</v>
      </c>
      <c r="N102" s="72">
        <f t="shared" si="11"/>
        <v>0</v>
      </c>
      <c r="O102" s="73">
        <f t="shared" si="12"/>
        <v>0</v>
      </c>
    </row>
    <row r="103" spans="1:15" ht="15" customHeight="1">
      <c r="A103" s="75">
        <f>'Members Data'!A95</f>
        <v>0</v>
      </c>
      <c r="B103" s="199"/>
      <c r="C103" s="200"/>
      <c r="D103" s="200"/>
      <c r="E103" s="200"/>
      <c r="F103" s="200"/>
      <c r="G103" s="200"/>
      <c r="H103" s="201"/>
      <c r="I103" s="70">
        <f t="array" ref="I103">SUM(($B103:$H103="confirmed")*($B$4:$H$4=25))</f>
        <v>0</v>
      </c>
      <c r="J103" s="43">
        <f t="array" ref="J103">SUM(($B103:$H103="standby")*($B$4:$H$4=25))</f>
        <v>0</v>
      </c>
      <c r="K103" s="43">
        <f t="array" ref="K103">SUM(($B103:$H103="confirmed")*($B$4:$H$4=10))</f>
        <v>0</v>
      </c>
      <c r="L103" s="43">
        <f t="array" ref="L103">SUM(($B103:$H103="standby")*($B$4:$H$4=10))</f>
        <v>0</v>
      </c>
      <c r="M103" s="72">
        <f t="shared" si="10"/>
        <v>0</v>
      </c>
      <c r="N103" s="72">
        <f t="shared" si="11"/>
        <v>0</v>
      </c>
      <c r="O103" s="73">
        <f t="shared" si="12"/>
        <v>0</v>
      </c>
    </row>
    <row r="104" spans="1:15" ht="15" customHeight="1">
      <c r="A104" s="75">
        <f>'Members Data'!A96</f>
        <v>0</v>
      </c>
      <c r="B104" s="199"/>
      <c r="C104" s="200"/>
      <c r="D104" s="200"/>
      <c r="E104" s="200"/>
      <c r="F104" s="200"/>
      <c r="G104" s="200"/>
      <c r="H104" s="201"/>
      <c r="I104" s="70">
        <f t="array" ref="I104">SUM(($B104:$H104="confirmed")*($B$4:$H$4=25))</f>
        <v>0</v>
      </c>
      <c r="J104" s="43">
        <f t="array" ref="J104">SUM(($B104:$H104="standby")*($B$4:$H$4=25))</f>
        <v>0</v>
      </c>
      <c r="K104" s="43">
        <f t="array" ref="K104">SUM(($B104:$H104="confirmed")*($B$4:$H$4=10))</f>
        <v>0</v>
      </c>
      <c r="L104" s="43">
        <f t="array" ref="L104">SUM(($B104:$H104="standby")*($B$4:$H$4=10))</f>
        <v>0</v>
      </c>
      <c r="M104" s="72">
        <f t="shared" si="10"/>
        <v>0</v>
      </c>
      <c r="N104" s="72">
        <f t="shared" si="11"/>
        <v>0</v>
      </c>
      <c r="O104" s="73">
        <f t="shared" si="12"/>
        <v>0</v>
      </c>
    </row>
    <row r="105" spans="1:15" ht="15" customHeight="1">
      <c r="A105" s="75">
        <f>'Members Data'!A97</f>
        <v>0</v>
      </c>
      <c r="B105" s="199"/>
      <c r="C105" s="200"/>
      <c r="D105" s="200"/>
      <c r="E105" s="200"/>
      <c r="F105" s="200"/>
      <c r="G105" s="200"/>
      <c r="H105" s="201"/>
      <c r="I105" s="70">
        <f t="array" ref="I105">SUM(($B105:$H105="confirmed")*($B$4:$H$4=25))</f>
        <v>0</v>
      </c>
      <c r="J105" s="43">
        <f t="array" ref="J105">SUM(($B105:$H105="standby")*($B$4:$H$4=25))</f>
        <v>0</v>
      </c>
      <c r="K105" s="43">
        <f t="array" ref="K105">SUM(($B105:$H105="confirmed")*($B$4:$H$4=10))</f>
        <v>0</v>
      </c>
      <c r="L105" s="43">
        <f t="array" ref="L105">SUM(($B105:$H105="standby")*($B$4:$H$4=10))</f>
        <v>0</v>
      </c>
      <c r="M105" s="72">
        <f t="shared" si="10"/>
        <v>0</v>
      </c>
      <c r="N105" s="72">
        <f t="shared" si="11"/>
        <v>0</v>
      </c>
      <c r="O105" s="73">
        <f t="shared" si="12"/>
        <v>0</v>
      </c>
    </row>
    <row r="106" spans="1:15" ht="15" customHeight="1">
      <c r="A106" s="75">
        <f>'Members Data'!A98</f>
        <v>0</v>
      </c>
      <c r="B106" s="199"/>
      <c r="C106" s="200"/>
      <c r="D106" s="200"/>
      <c r="E106" s="200"/>
      <c r="F106" s="200"/>
      <c r="G106" s="200"/>
      <c r="H106" s="201"/>
      <c r="I106" s="70">
        <f t="array" ref="I106">SUM(($B106:$H106="confirmed")*($B$4:$H$4=25))</f>
        <v>0</v>
      </c>
      <c r="J106" s="43">
        <f t="array" ref="J106">SUM(($B106:$H106="standby")*($B$4:$H$4=25))</f>
        <v>0</v>
      </c>
      <c r="K106" s="43">
        <f t="array" ref="K106">SUM(($B106:$H106="confirmed")*($B$4:$H$4=10))</f>
        <v>0</v>
      </c>
      <c r="L106" s="43">
        <f t="array" ref="L106">SUM(($B106:$H106="standby")*($B$4:$H$4=10))</f>
        <v>0</v>
      </c>
      <c r="M106" s="72">
        <f t="shared" si="10"/>
        <v>0</v>
      </c>
      <c r="N106" s="72">
        <f t="shared" si="11"/>
        <v>0</v>
      </c>
      <c r="O106" s="73">
        <f t="shared" si="12"/>
        <v>0</v>
      </c>
    </row>
    <row r="107" spans="1:15" ht="15" customHeight="1">
      <c r="A107" s="75">
        <f>'Members Data'!A99</f>
        <v>0</v>
      </c>
      <c r="B107" s="199"/>
      <c r="C107" s="200"/>
      <c r="D107" s="200"/>
      <c r="E107" s="200"/>
      <c r="F107" s="200"/>
      <c r="G107" s="200"/>
      <c r="H107" s="201"/>
      <c r="I107" s="70">
        <f t="array" ref="I107">SUM(($B107:$H107="confirmed")*($B$4:$H$4=25))</f>
        <v>0</v>
      </c>
      <c r="J107" s="43">
        <f t="array" ref="J107">SUM(($B107:$H107="standby")*($B$4:$H$4=25))</f>
        <v>0</v>
      </c>
      <c r="K107" s="43">
        <f t="array" ref="K107">SUM(($B107:$H107="confirmed")*($B$4:$H$4=10))</f>
        <v>0</v>
      </c>
      <c r="L107" s="43">
        <f t="array" ref="L107">SUM(($B107:$H107="standby")*($B$4:$H$4=10))</f>
        <v>0</v>
      </c>
      <c r="M107" s="72">
        <f t="shared" si="10"/>
        <v>0</v>
      </c>
      <c r="N107" s="72">
        <f t="shared" si="11"/>
        <v>0</v>
      </c>
      <c r="O107" s="73">
        <f t="shared" si="12"/>
        <v>0</v>
      </c>
    </row>
    <row r="108" spans="1:15" ht="15" customHeight="1" thickBot="1">
      <c r="A108" s="142">
        <f>'Members Data'!A100</f>
        <v>0</v>
      </c>
      <c r="B108" s="209"/>
      <c r="C108" s="209"/>
      <c r="D108" s="209"/>
      <c r="E108" s="209"/>
      <c r="F108" s="209"/>
      <c r="G108" s="209"/>
      <c r="H108" s="210"/>
      <c r="I108" s="225">
        <f t="array" ref="I108">SUM(($B108:$H108="confirmed")*($B$4:$H$4=25))</f>
        <v>0</v>
      </c>
      <c r="J108" s="52">
        <f t="array" ref="J108">SUM(($B108:$H108="standby")*($B$4:$H$4=25))</f>
        <v>0</v>
      </c>
      <c r="K108" s="52">
        <f t="array" ref="K108">SUM(($B108:$H108="confirmed")*($B$4:$H$4=10))</f>
        <v>0</v>
      </c>
      <c r="L108" s="52">
        <f t="array" ref="L108">SUM(($B108:$H108="standby")*($B$4:$H$4=10))</f>
        <v>0</v>
      </c>
      <c r="M108" s="77">
        <f t="shared" si="10"/>
        <v>0</v>
      </c>
      <c r="N108" s="77">
        <f t="shared" si="11"/>
        <v>0</v>
      </c>
      <c r="O108" s="78">
        <f t="shared" si="12"/>
        <v>0</v>
      </c>
    </row>
  </sheetData>
  <mergeCells count="7">
    <mergeCell ref="L1:L9"/>
    <mergeCell ref="M1:M9"/>
    <mergeCell ref="N1:N9"/>
    <mergeCell ref="O1:O9"/>
    <mergeCell ref="I1:I9"/>
    <mergeCell ref="J1:J9"/>
    <mergeCell ref="K1:K9"/>
  </mergeCells>
  <conditionalFormatting sqref="A10:A108">
    <cfRule type="expression" dxfId="17" priority="1" stopIfTrue="1">
      <formula>IF(O10&gt;0,TRUE)</formula>
    </cfRule>
    <cfRule type="expression" dxfId="16" priority="2" stopIfTrue="1">
      <formula>IF(SUM(M10:N10)&gt;1,TRUE)</formula>
    </cfRule>
    <cfRule type="expression" dxfId="15" priority="3" stopIfTrue="1">
      <formula>IF(SUM(M10:N10)&lt;2,TRUE)</formula>
    </cfRule>
  </conditionalFormatting>
  <dataValidations count="2">
    <dataValidation type="list" operator="equal" showErrorMessage="1" sqref="R5:R9 C10:D10 B10:B108 D11:D108 E10:H108">
      <formula1>"Invited,Confirmed,Standby,Out"</formula1>
      <formula2>0</formula2>
    </dataValidation>
    <dataValidation type="list" operator="equal" sqref="B4 D4:H4">
      <formula1>"??,10,25"</formula1>
      <formula2>0</formula2>
    </dataValidation>
  </dataValidations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 r:id="rId1"/>
  <headerFooter alignWithMargins="0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19</vt:i4>
      </vt:variant>
    </vt:vector>
  </HeadingPairs>
  <TitlesOfParts>
    <vt:vector size="19" baseType="lpstr">
      <vt:lpstr>Short &amp; Simple</vt:lpstr>
      <vt:lpstr>Members Data</vt:lpstr>
      <vt:lpstr>DCC</vt:lpstr>
      <vt:lpstr>RL</vt:lpstr>
      <vt:lpstr>RA</vt:lpstr>
      <vt:lpstr>RR</vt:lpstr>
      <vt:lpstr>Rec</vt:lpstr>
      <vt:lpstr>Gear</vt:lpstr>
      <vt:lpstr>wk1</vt:lpstr>
      <vt:lpstr>wk2</vt:lpstr>
      <vt:lpstr>wk3</vt:lpstr>
      <vt:lpstr>wk4</vt:lpstr>
      <vt:lpstr>wk5</vt:lpstr>
      <vt:lpstr>Pat</vt:lpstr>
      <vt:lpstr>Sign</vt:lpstr>
      <vt:lpstr>Look-up</vt:lpstr>
      <vt:lpstr>Addon</vt:lpstr>
      <vt:lpstr>Temp</vt:lpstr>
      <vt:lpstr>Notepad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Lanfear</dc:creator>
  <cp:lastModifiedBy>Becky</cp:lastModifiedBy>
  <dcterms:created xsi:type="dcterms:W3CDTF">2011-08-02T12:31:25Z</dcterms:created>
  <dcterms:modified xsi:type="dcterms:W3CDTF">2013-09-26T22:46:30Z</dcterms:modified>
</cp:coreProperties>
</file>