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6380" windowHeight="757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A5" i="9"/>
  <c r="Y18" i="20"/>
  <c r="X18"/>
  <c r="W18"/>
  <c r="V18"/>
  <c r="U18"/>
  <c r="T18"/>
  <c r="S18"/>
  <c r="R18"/>
  <c r="Q18"/>
  <c r="P18"/>
  <c r="O18"/>
  <c r="N18"/>
  <c r="M18"/>
  <c r="L18"/>
  <c r="K18"/>
  <c r="Y12"/>
  <c r="X12"/>
  <c r="W12"/>
  <c r="V12"/>
  <c r="U12"/>
  <c r="T12"/>
  <c r="S12"/>
  <c r="R12"/>
  <c r="Q12"/>
  <c r="P12"/>
  <c r="O12"/>
  <c r="N12"/>
  <c r="L12"/>
  <c r="K12"/>
  <c r="Y11"/>
  <c r="X11"/>
  <c r="W11"/>
  <c r="V11"/>
  <c r="U11"/>
  <c r="T11"/>
  <c r="S11"/>
  <c r="R11"/>
  <c r="Q11"/>
  <c r="P11"/>
  <c r="O11"/>
  <c r="N11"/>
  <c r="M11"/>
  <c r="L11"/>
  <c r="K11"/>
  <c r="Y9"/>
  <c r="X9"/>
  <c r="W9"/>
  <c r="V9"/>
  <c r="U9"/>
  <c r="T9"/>
  <c r="S9"/>
  <c r="R9"/>
  <c r="Q9"/>
  <c r="P9"/>
  <c r="O9"/>
  <c r="N9"/>
  <c r="L9"/>
  <c r="K9"/>
  <c r="Y5"/>
  <c r="X5"/>
  <c r="W5"/>
  <c r="V5"/>
  <c r="U5"/>
  <c r="T5"/>
  <c r="S5"/>
  <c r="R5"/>
  <c r="Q5"/>
  <c r="P5"/>
  <c r="O5"/>
  <c r="N5"/>
  <c r="L5"/>
  <c r="K5"/>
  <c r="Y41"/>
  <c r="X41"/>
  <c r="W41"/>
  <c r="V41"/>
  <c r="U41"/>
  <c r="T41"/>
  <c r="S41"/>
  <c r="R41"/>
  <c r="Q41"/>
  <c r="P41"/>
  <c r="O41"/>
  <c r="N41"/>
  <c r="M41"/>
  <c r="L41"/>
  <c r="K41"/>
  <c r="Y25"/>
  <c r="X25"/>
  <c r="W25"/>
  <c r="V25"/>
  <c r="U25"/>
  <c r="T25"/>
  <c r="S25"/>
  <c r="R25"/>
  <c r="Q25"/>
  <c r="P25"/>
  <c r="O25"/>
  <c r="N25"/>
  <c r="M25"/>
  <c r="L25"/>
  <c r="K25"/>
  <c r="Y22"/>
  <c r="X22"/>
  <c r="W22"/>
  <c r="V22"/>
  <c r="U22"/>
  <c r="T22"/>
  <c r="S22"/>
  <c r="R22"/>
  <c r="Q22"/>
  <c r="P22"/>
  <c r="O22"/>
  <c r="N22"/>
  <c r="M22"/>
  <c r="L22"/>
  <c r="K22"/>
  <c r="Y21"/>
  <c r="X21"/>
  <c r="W21"/>
  <c r="V21"/>
  <c r="U21"/>
  <c r="T21"/>
  <c r="S21"/>
  <c r="R21"/>
  <c r="Q21"/>
  <c r="P21"/>
  <c r="O21"/>
  <c r="N21"/>
  <c r="L21"/>
  <c r="K21"/>
  <c r="A9" i="9"/>
  <c r="M12" i="20" s="1"/>
  <c r="A7" i="9"/>
  <c r="A8"/>
  <c r="A3"/>
  <c r="A4"/>
  <c r="A6"/>
  <c r="M9" i="20" s="1"/>
  <c r="A10" i="9"/>
  <c r="A11"/>
  <c r="A12"/>
  <c r="A13"/>
  <c r="A14"/>
  <c r="A15"/>
  <c r="A16"/>
  <c r="A17"/>
  <c r="A18"/>
  <c r="M21" i="20" s="1"/>
  <c r="A19" i="9"/>
  <c r="A20"/>
  <c r="A21"/>
  <c r="A22"/>
  <c r="A23"/>
  <c r="A24"/>
  <c r="A25"/>
  <c r="A26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26" i="9"/>
  <c r="J32" i="1" l="1"/>
  <c r="J18" i="9"/>
  <c r="J19"/>
  <c r="J20"/>
  <c r="J21"/>
  <c r="J22"/>
  <c r="J23"/>
  <c r="J24"/>
  <c r="J25"/>
  <c r="J27"/>
  <c r="J28"/>
  <c r="J29"/>
  <c r="J30"/>
  <c r="J31"/>
  <c r="J32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M37" i="20" s="1"/>
  <c r="X37"/>
  <c r="V37"/>
  <c r="T37"/>
  <c r="R37"/>
  <c r="P37"/>
  <c r="N37"/>
  <c r="K37"/>
  <c r="Y37"/>
  <c r="W37"/>
  <c r="U37"/>
  <c r="S37"/>
  <c r="Q37"/>
  <c r="O37"/>
  <c r="L37"/>
  <c r="Q36" i="9"/>
  <c r="Q35"/>
  <c r="X38" i="20"/>
  <c r="V38"/>
  <c r="T38"/>
  <c r="R38"/>
  <c r="P38"/>
  <c r="N38"/>
  <c r="L38"/>
  <c r="Y38"/>
  <c r="W38"/>
  <c r="U38"/>
  <c r="S38"/>
  <c r="Q38"/>
  <c r="O38"/>
  <c r="M38"/>
  <c r="K38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M39" s="1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X36" i="20" l="1"/>
  <c r="T36"/>
  <c r="P36"/>
  <c r="L36"/>
  <c r="W36"/>
  <c r="S36"/>
  <c r="O36"/>
  <c r="K36"/>
  <c r="W39"/>
  <c r="S39"/>
  <c r="O39"/>
  <c r="X39"/>
  <c r="T39"/>
  <c r="P39"/>
  <c r="L39"/>
  <c r="V36"/>
  <c r="R36"/>
  <c r="N36"/>
  <c r="Y36"/>
  <c r="U36"/>
  <c r="Q36"/>
  <c r="M36"/>
  <c r="Y39"/>
  <c r="U39"/>
  <c r="Q39"/>
  <c r="K39"/>
  <c r="V39"/>
  <c r="R39"/>
  <c r="N39"/>
  <c r="Q21" i="9"/>
  <c r="X24" i="20"/>
  <c r="V24"/>
  <c r="T24"/>
  <c r="R24"/>
  <c r="P24"/>
  <c r="N24"/>
  <c r="L24"/>
  <c r="Y24"/>
  <c r="W24"/>
  <c r="U24"/>
  <c r="S24"/>
  <c r="Q24"/>
  <c r="O24"/>
  <c r="M24"/>
  <c r="K24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Q6" s="1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Q38" s="1"/>
  <c r="P37"/>
  <c r="P32"/>
  <c r="P31"/>
  <c r="P30"/>
  <c r="P29"/>
  <c r="P28"/>
  <c r="P27"/>
  <c r="P25"/>
  <c r="P24"/>
  <c r="P22"/>
  <c r="Q22" s="1"/>
  <c r="P20"/>
  <c r="P19"/>
  <c r="Q19" s="1"/>
  <c r="P18"/>
  <c r="Q18" s="1"/>
  <c r="P17"/>
  <c r="P16"/>
  <c r="P15"/>
  <c r="Q15" s="1"/>
  <c r="P14"/>
  <c r="P13"/>
  <c r="P11"/>
  <c r="P10"/>
  <c r="P9"/>
  <c r="Q9" s="1"/>
  <c r="P8"/>
  <c r="Q8" s="1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33"/>
  <c r="E33"/>
  <c r="C33"/>
  <c r="G32"/>
  <c r="E32"/>
  <c r="C32"/>
  <c r="G31"/>
  <c r="E31"/>
  <c r="C31"/>
  <c r="G30"/>
  <c r="E30"/>
  <c r="C30"/>
  <c r="G29"/>
  <c r="E29"/>
  <c r="C29"/>
  <c r="G28"/>
  <c r="E28"/>
  <c r="C28"/>
  <c r="G27"/>
  <c r="E27"/>
  <c r="C27"/>
  <c r="G26"/>
  <c r="E26"/>
  <c r="C26"/>
  <c r="G25"/>
  <c r="E25"/>
  <c r="C25"/>
  <c r="G24"/>
  <c r="E24"/>
  <c r="C24"/>
  <c r="G23"/>
  <c r="E23"/>
  <c r="C23"/>
  <c r="G22"/>
  <c r="E22"/>
  <c r="C22"/>
  <c r="G21"/>
  <c r="E21"/>
  <c r="C21"/>
  <c r="G20"/>
  <c r="E20"/>
  <c r="C20"/>
  <c r="G19"/>
  <c r="E19"/>
  <c r="C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96"/>
  <c r="E96"/>
  <c r="C96"/>
  <c r="G92"/>
  <c r="E92"/>
  <c r="C92"/>
  <c r="G61"/>
  <c r="E61"/>
  <c r="C61"/>
  <c r="G70"/>
  <c r="E70"/>
  <c r="C70"/>
  <c r="G99"/>
  <c r="E99"/>
  <c r="C99"/>
  <c r="G77"/>
  <c r="E77"/>
  <c r="C77"/>
  <c r="G87"/>
  <c r="E87"/>
  <c r="C87"/>
  <c r="G86"/>
  <c r="E86"/>
  <c r="C86"/>
  <c r="G65"/>
  <c r="E65"/>
  <c r="C65"/>
  <c r="G95"/>
  <c r="E95"/>
  <c r="C95"/>
  <c r="G81"/>
  <c r="E81"/>
  <c r="C81"/>
  <c r="G88"/>
  <c r="E88"/>
  <c r="C88"/>
  <c r="G80"/>
  <c r="E80"/>
  <c r="C80"/>
  <c r="G102"/>
  <c r="E102"/>
  <c r="C102"/>
  <c r="G78"/>
  <c r="E78"/>
  <c r="C78"/>
  <c r="G103"/>
  <c r="E103"/>
  <c r="C103"/>
  <c r="G89"/>
  <c r="E89"/>
  <c r="C89"/>
  <c r="G91"/>
  <c r="E91"/>
  <c r="C91"/>
  <c r="G62"/>
  <c r="E62"/>
  <c r="C62"/>
  <c r="G93"/>
  <c r="E93"/>
  <c r="C93"/>
  <c r="G75"/>
  <c r="E75"/>
  <c r="C75"/>
  <c r="G60"/>
  <c r="E60"/>
  <c r="C60"/>
  <c r="G7"/>
  <c r="E7"/>
  <c r="C7"/>
  <c r="G67"/>
  <c r="E67"/>
  <c r="C67"/>
  <c r="G76"/>
  <c r="E76"/>
  <c r="C76"/>
  <c r="G63"/>
  <c r="E63"/>
  <c r="C63"/>
  <c r="G79"/>
  <c r="E79"/>
  <c r="C79"/>
  <c r="G94"/>
  <c r="E94"/>
  <c r="C94"/>
  <c r="G100"/>
  <c r="E100"/>
  <c r="C100"/>
  <c r="G73"/>
  <c r="E73"/>
  <c r="C73"/>
  <c r="G82"/>
  <c r="E82"/>
  <c r="C82"/>
  <c r="G58"/>
  <c r="E58"/>
  <c r="C58"/>
  <c r="G6"/>
  <c r="E6"/>
  <c r="C6"/>
  <c r="G101"/>
  <c r="E101"/>
  <c r="C101"/>
  <c r="G74"/>
  <c r="E74"/>
  <c r="C74"/>
  <c r="G71"/>
  <c r="E71"/>
  <c r="C71"/>
  <c r="G97"/>
  <c r="E97"/>
  <c r="C97"/>
  <c r="G64"/>
  <c r="E64"/>
  <c r="C64"/>
  <c r="G66"/>
  <c r="E66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" i="9" l="1"/>
  <c r="M6" i="20" s="1"/>
  <c r="Y6"/>
  <c r="W6"/>
  <c r="U6"/>
  <c r="S6"/>
  <c r="Q6"/>
  <c r="O6"/>
  <c r="K6"/>
  <c r="X6"/>
  <c r="V6"/>
  <c r="T6"/>
  <c r="R6"/>
  <c r="P6"/>
  <c r="N6"/>
  <c r="L6"/>
  <c r="Q5" i="9"/>
  <c r="M8" i="20" s="1"/>
  <c r="Y8"/>
  <c r="W8"/>
  <c r="U8"/>
  <c r="S8"/>
  <c r="Q8"/>
  <c r="O8"/>
  <c r="L8"/>
  <c r="X8"/>
  <c r="V8"/>
  <c r="T8"/>
  <c r="R8"/>
  <c r="P8"/>
  <c r="N8"/>
  <c r="K8"/>
  <c r="Q13" i="9"/>
  <c r="M16" i="20" s="1"/>
  <c r="X16"/>
  <c r="V16"/>
  <c r="T16"/>
  <c r="R16"/>
  <c r="P16"/>
  <c r="N16"/>
  <c r="K16"/>
  <c r="Y16"/>
  <c r="W16"/>
  <c r="U16"/>
  <c r="S16"/>
  <c r="Q16"/>
  <c r="O16"/>
  <c r="L16"/>
  <c r="Q28" i="9"/>
  <c r="X31" i="20"/>
  <c r="V31"/>
  <c r="T31"/>
  <c r="R31"/>
  <c r="P31"/>
  <c r="N31"/>
  <c r="L31"/>
  <c r="Y31"/>
  <c r="W31"/>
  <c r="U31"/>
  <c r="S31"/>
  <c r="Q31"/>
  <c r="O31"/>
  <c r="M31"/>
  <c r="K31"/>
  <c r="Q32" i="9"/>
  <c r="Y35" i="20"/>
  <c r="W35"/>
  <c r="U35"/>
  <c r="S35"/>
  <c r="Q35"/>
  <c r="O35"/>
  <c r="M35"/>
  <c r="K35"/>
  <c r="X35"/>
  <c r="V35"/>
  <c r="T35"/>
  <c r="R35"/>
  <c r="P35"/>
  <c r="N35"/>
  <c r="L35"/>
  <c r="Q14" i="9"/>
  <c r="M17" i="20" s="1"/>
  <c r="Y17"/>
  <c r="W17"/>
  <c r="U17"/>
  <c r="S17"/>
  <c r="Q17"/>
  <c r="O17"/>
  <c r="K17"/>
  <c r="X17"/>
  <c r="V17"/>
  <c r="T17"/>
  <c r="R17"/>
  <c r="P17"/>
  <c r="N17"/>
  <c r="L17"/>
  <c r="X44"/>
  <c r="V44"/>
  <c r="T44"/>
  <c r="R44"/>
  <c r="P44"/>
  <c r="N44"/>
  <c r="L44"/>
  <c r="Y44"/>
  <c r="W44"/>
  <c r="U44"/>
  <c r="S44"/>
  <c r="Q44"/>
  <c r="O44"/>
  <c r="K44"/>
  <c r="Q17" i="9"/>
  <c r="X20" i="20"/>
  <c r="V20"/>
  <c r="T20"/>
  <c r="R20"/>
  <c r="P20"/>
  <c r="N20"/>
  <c r="L20"/>
  <c r="Y20"/>
  <c r="W20"/>
  <c r="U20"/>
  <c r="S20"/>
  <c r="Q20"/>
  <c r="O20"/>
  <c r="M20"/>
  <c r="K20"/>
  <c r="Q16" i="9"/>
  <c r="M19" i="20" s="1"/>
  <c r="Y19"/>
  <c r="W19"/>
  <c r="U19"/>
  <c r="S19"/>
  <c r="Q19"/>
  <c r="O19"/>
  <c r="K19"/>
  <c r="X19"/>
  <c r="V19"/>
  <c r="T19"/>
  <c r="R19"/>
  <c r="P19"/>
  <c r="N19"/>
  <c r="L19"/>
  <c r="X14"/>
  <c r="V14"/>
  <c r="T14"/>
  <c r="R14"/>
  <c r="P14"/>
  <c r="N14"/>
  <c r="L14"/>
  <c r="Y14"/>
  <c r="W14"/>
  <c r="U14"/>
  <c r="S14"/>
  <c r="Q14"/>
  <c r="O14"/>
  <c r="K14"/>
  <c r="Y45"/>
  <c r="W45"/>
  <c r="U45"/>
  <c r="S45"/>
  <c r="Q45"/>
  <c r="O45"/>
  <c r="K45"/>
  <c r="X45"/>
  <c r="V45"/>
  <c r="T45"/>
  <c r="R45"/>
  <c r="P45"/>
  <c r="N45"/>
  <c r="L45"/>
  <c r="Q25" i="9"/>
  <c r="M28" i="20" s="1"/>
  <c r="Y28"/>
  <c r="W28"/>
  <c r="U28"/>
  <c r="S28"/>
  <c r="Q28"/>
  <c r="O28"/>
  <c r="K28"/>
  <c r="X28"/>
  <c r="T28"/>
  <c r="R28"/>
  <c r="P28"/>
  <c r="N28"/>
  <c r="L28"/>
  <c r="V28"/>
  <c r="Y46"/>
  <c r="W46"/>
  <c r="U46"/>
  <c r="S46"/>
  <c r="Q46"/>
  <c r="O46"/>
  <c r="K46"/>
  <c r="X46"/>
  <c r="V46"/>
  <c r="T46"/>
  <c r="R46"/>
  <c r="P46"/>
  <c r="N46"/>
  <c r="L46"/>
  <c r="Q37" i="9"/>
  <c r="X40" i="20"/>
  <c r="V40"/>
  <c r="T40"/>
  <c r="R40"/>
  <c r="P40"/>
  <c r="N40"/>
  <c r="L40"/>
  <c r="Y40"/>
  <c r="W40"/>
  <c r="U40"/>
  <c r="S40"/>
  <c r="Q40"/>
  <c r="O40"/>
  <c r="M40"/>
  <c r="K40"/>
  <c r="Q39" i="9"/>
  <c r="X42" i="20"/>
  <c r="V42"/>
  <c r="T42"/>
  <c r="R42"/>
  <c r="P42"/>
  <c r="N42"/>
  <c r="L42"/>
  <c r="Y42"/>
  <c r="W42"/>
  <c r="U42"/>
  <c r="S42"/>
  <c r="Q42"/>
  <c r="O42"/>
  <c r="M42"/>
  <c r="K42"/>
  <c r="X43"/>
  <c r="V43"/>
  <c r="T43"/>
  <c r="R43"/>
  <c r="P43"/>
  <c r="N43"/>
  <c r="L43"/>
  <c r="Y43"/>
  <c r="W43"/>
  <c r="U43"/>
  <c r="S43"/>
  <c r="Q43"/>
  <c r="O43"/>
  <c r="K43"/>
  <c r="Y47"/>
  <c r="W47"/>
  <c r="U47"/>
  <c r="S47"/>
  <c r="Q47"/>
  <c r="O47"/>
  <c r="K47"/>
  <c r="X47"/>
  <c r="V47"/>
  <c r="T47"/>
  <c r="R47"/>
  <c r="P47"/>
  <c r="N47"/>
  <c r="L47"/>
  <c r="Q31" i="9"/>
  <c r="M34" i="20" s="1"/>
  <c r="Y34"/>
  <c r="W34"/>
  <c r="U34"/>
  <c r="S34"/>
  <c r="Q34"/>
  <c r="O34"/>
  <c r="K34"/>
  <c r="X34"/>
  <c r="V34"/>
  <c r="T34"/>
  <c r="R34"/>
  <c r="P34"/>
  <c r="N34"/>
  <c r="L34"/>
  <c r="Q30" i="9"/>
  <c r="X33" i="20"/>
  <c r="V33"/>
  <c r="T33"/>
  <c r="R33"/>
  <c r="P33"/>
  <c r="N33"/>
  <c r="L33"/>
  <c r="Y33"/>
  <c r="W33"/>
  <c r="U33"/>
  <c r="S33"/>
  <c r="Q33"/>
  <c r="O33"/>
  <c r="M33"/>
  <c r="K33"/>
  <c r="Q29" i="9"/>
  <c r="M32" i="20" s="1"/>
  <c r="Y32"/>
  <c r="W32"/>
  <c r="U32"/>
  <c r="S32"/>
  <c r="Q32"/>
  <c r="O32"/>
  <c r="K32"/>
  <c r="X32"/>
  <c r="V32"/>
  <c r="T32"/>
  <c r="R32"/>
  <c r="P32"/>
  <c r="N32"/>
  <c r="L32"/>
  <c r="Q27" i="9"/>
  <c r="M30" i="20" s="1"/>
  <c r="Y30"/>
  <c r="W30"/>
  <c r="U30"/>
  <c r="S30"/>
  <c r="Q30"/>
  <c r="O30"/>
  <c r="K30"/>
  <c r="X30"/>
  <c r="V30"/>
  <c r="T30"/>
  <c r="R30"/>
  <c r="P30"/>
  <c r="N30"/>
  <c r="L30"/>
  <c r="Q26" i="9"/>
  <c r="M29" i="20" s="1"/>
  <c r="X29"/>
  <c r="V29"/>
  <c r="T29"/>
  <c r="R29"/>
  <c r="P29"/>
  <c r="N29"/>
  <c r="K29"/>
  <c r="Y29"/>
  <c r="W29"/>
  <c r="U29"/>
  <c r="S29"/>
  <c r="Q29"/>
  <c r="O29"/>
  <c r="L29"/>
  <c r="Q24" i="9"/>
  <c r="X27" i="20"/>
  <c r="V27"/>
  <c r="T27"/>
  <c r="R27"/>
  <c r="P27"/>
  <c r="N27"/>
  <c r="L27"/>
  <c r="Y27"/>
  <c r="W27"/>
  <c r="U27"/>
  <c r="S27"/>
  <c r="Q27"/>
  <c r="O27"/>
  <c r="M27"/>
  <c r="K27"/>
  <c r="Q23" i="9"/>
  <c r="M26" i="20" s="1"/>
  <c r="X26"/>
  <c r="V26"/>
  <c r="T26"/>
  <c r="R26"/>
  <c r="P26"/>
  <c r="N26"/>
  <c r="K26"/>
  <c r="Y26"/>
  <c r="W26"/>
  <c r="U26"/>
  <c r="S26"/>
  <c r="Q26"/>
  <c r="O26"/>
  <c r="L26"/>
  <c r="Q20" i="9"/>
  <c r="X23" i="20"/>
  <c r="V23"/>
  <c r="T23"/>
  <c r="R23"/>
  <c r="P23"/>
  <c r="N23"/>
  <c r="L23"/>
  <c r="Y23"/>
  <c r="W23"/>
  <c r="U23"/>
  <c r="S23"/>
  <c r="Q23"/>
  <c r="O23"/>
  <c r="M23"/>
  <c r="K23"/>
  <c r="Q12" i="9"/>
  <c r="X15" i="20"/>
  <c r="V15"/>
  <c r="T15"/>
  <c r="R15"/>
  <c r="P15"/>
  <c r="N15"/>
  <c r="L15"/>
  <c r="Y15"/>
  <c r="W15"/>
  <c r="U15"/>
  <c r="S15"/>
  <c r="Q15"/>
  <c r="O15"/>
  <c r="M15"/>
  <c r="K15"/>
  <c r="Q10" i="9"/>
  <c r="X13" i="20"/>
  <c r="V13"/>
  <c r="T13"/>
  <c r="R13"/>
  <c r="P13"/>
  <c r="N13"/>
  <c r="L13"/>
  <c r="Y13"/>
  <c r="W13"/>
  <c r="U13"/>
  <c r="S13"/>
  <c r="Q13"/>
  <c r="O13"/>
  <c r="M13"/>
  <c r="K13"/>
  <c r="Q7" i="9"/>
  <c r="M10" i="20" s="1"/>
  <c r="X10"/>
  <c r="V10"/>
  <c r="T10"/>
  <c r="R10"/>
  <c r="P10"/>
  <c r="N10"/>
  <c r="K10"/>
  <c r="Y10"/>
  <c r="W10"/>
  <c r="U10"/>
  <c r="S10"/>
  <c r="Q10"/>
  <c r="O10"/>
  <c r="L10"/>
  <c r="Q4" i="9"/>
  <c r="M7" i="20" s="1"/>
  <c r="X7"/>
  <c r="V7"/>
  <c r="T7"/>
  <c r="R7"/>
  <c r="P7"/>
  <c r="N7"/>
  <c r="K7"/>
  <c r="Y7"/>
  <c r="W7"/>
  <c r="U7"/>
  <c r="S7"/>
  <c r="Q7"/>
  <c r="O7"/>
  <c r="L7"/>
  <c r="Q51" i="9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M44" i="20" s="1"/>
  <c r="Q43" i="9"/>
  <c r="M46" i="20" s="1"/>
  <c r="Q47" i="9"/>
  <c r="Q50" i="20" s="1"/>
  <c r="W50"/>
  <c r="S50"/>
  <c r="O50"/>
  <c r="K50"/>
  <c r="Y50"/>
  <c r="U50"/>
  <c r="M50"/>
  <c r="Q49" i="9"/>
  <c r="Q40"/>
  <c r="M43" i="20" s="1"/>
  <c r="Q42" i="9"/>
  <c r="M45" i="20" s="1"/>
  <c r="Q44" i="9"/>
  <c r="M47" i="20" s="1"/>
  <c r="Q46" i="9"/>
  <c r="W49" i="20"/>
  <c r="S49"/>
  <c r="O49"/>
  <c r="K49"/>
  <c r="Y49"/>
  <c r="U49"/>
  <c r="Q49"/>
  <c r="M49"/>
  <c r="Q48" i="9"/>
  <c r="Q45"/>
  <c r="Q11"/>
  <c r="M14" i="20" s="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66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96"/>
  <c r="O92"/>
  <c r="O61"/>
  <c r="O70"/>
  <c r="O99"/>
  <c r="O77"/>
  <c r="O87"/>
  <c r="O86"/>
  <c r="O65"/>
  <c r="M83"/>
  <c r="M72"/>
  <c r="M85"/>
  <c r="M84"/>
  <c r="M96"/>
  <c r="M92"/>
  <c r="M61"/>
  <c r="M70"/>
  <c r="M99"/>
  <c r="M77"/>
  <c r="M87"/>
  <c r="M86"/>
  <c r="M65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69"/>
  <c r="M90"/>
  <c r="M95"/>
  <c r="M81"/>
  <c r="O81"/>
  <c r="O95"/>
  <c r="O75"/>
  <c r="M75"/>
  <c r="R56"/>
  <c r="O78"/>
  <c r="O103"/>
  <c r="M78"/>
  <c r="M103"/>
  <c r="M80"/>
  <c r="O80"/>
  <c r="M91"/>
  <c r="O91"/>
  <c r="M60"/>
  <c r="O60"/>
  <c r="M63"/>
  <c r="O63"/>
  <c r="M94"/>
  <c r="O94"/>
  <c r="M100"/>
  <c r="O100"/>
  <c r="M67"/>
  <c r="O67"/>
  <c r="M89"/>
  <c r="O89"/>
  <c r="M93"/>
  <c r="O93"/>
  <c r="M7"/>
  <c r="O7"/>
  <c r="M76"/>
  <c r="O76"/>
  <c r="M79"/>
  <c r="O79"/>
  <c r="M73"/>
  <c r="O73"/>
  <c r="M82"/>
  <c r="O82"/>
  <c r="M58"/>
  <c r="O58"/>
  <c r="M6"/>
  <c r="O6"/>
  <c r="M74"/>
  <c r="O74"/>
  <c r="M71"/>
  <c r="O71"/>
  <c r="M64"/>
  <c r="O64"/>
  <c r="M66"/>
  <c r="O66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Y52" i="20" l="1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A37"/>
  <c r="A38"/>
  <c r="A140" s="1"/>
  <c r="A39"/>
  <c r="A40"/>
  <c r="A41"/>
  <c r="A42"/>
  <c r="A43"/>
  <c r="A44"/>
  <c r="A45"/>
  <c r="A104" s="1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J7"/>
  <c r="F9" i="2"/>
  <c r="J10" i="9"/>
  <c r="J11"/>
  <c r="F11" i="2" s="1"/>
  <c r="J12" i="9"/>
  <c r="J13"/>
  <c r="J14"/>
  <c r="J16"/>
  <c r="J17"/>
  <c r="C132"/>
  <c r="J33"/>
  <c r="F33" i="2" s="1"/>
  <c r="J34" i="9"/>
  <c r="J35"/>
  <c r="C137" s="1"/>
  <c r="J36"/>
  <c r="J37"/>
  <c r="J38"/>
  <c r="J39"/>
  <c r="J40"/>
  <c r="J41"/>
  <c r="J42"/>
  <c r="F42" i="2" s="1"/>
  <c r="J43" i="9"/>
  <c r="J44"/>
  <c r="J45"/>
  <c r="J46"/>
  <c r="F46" i="2" s="1"/>
  <c r="J47" i="9"/>
  <c r="J48"/>
  <c r="J49"/>
  <c r="J50"/>
  <c r="J51"/>
  <c r="J52"/>
  <c r="J53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R71"/>
  <c r="J71"/>
  <c r="J70"/>
  <c r="F70" i="2" s="1"/>
  <c r="J69" i="9"/>
  <c r="F69" i="2" s="1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Q2" s="1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F49"/>
  <c r="V49"/>
  <c r="U49"/>
  <c r="T49"/>
  <c r="S49"/>
  <c r="R49"/>
  <c r="Q49"/>
  <c r="P49"/>
  <c r="O49"/>
  <c r="N49"/>
  <c r="M49"/>
  <c r="L49"/>
  <c r="K49"/>
  <c r="J49"/>
  <c r="F48"/>
  <c r="V48"/>
  <c r="U48"/>
  <c r="T48"/>
  <c r="S48"/>
  <c r="R48"/>
  <c r="Q48"/>
  <c r="P48"/>
  <c r="O48"/>
  <c r="N48"/>
  <c r="M48"/>
  <c r="L48"/>
  <c r="K48"/>
  <c r="J48"/>
  <c r="F47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F44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F41"/>
  <c r="V41"/>
  <c r="U41"/>
  <c r="T41"/>
  <c r="S41"/>
  <c r="R41"/>
  <c r="Q41"/>
  <c r="P41"/>
  <c r="O41"/>
  <c r="N41"/>
  <c r="M41"/>
  <c r="L41"/>
  <c r="K41"/>
  <c r="J41"/>
  <c r="F40"/>
  <c r="V40"/>
  <c r="U40"/>
  <c r="T40"/>
  <c r="S40"/>
  <c r="R40"/>
  <c r="Q40"/>
  <c r="P40"/>
  <c r="O40"/>
  <c r="N40"/>
  <c r="M40"/>
  <c r="L40"/>
  <c r="K40"/>
  <c r="J40"/>
  <c r="F39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F37"/>
  <c r="V37"/>
  <c r="U37"/>
  <c r="T37"/>
  <c r="S37"/>
  <c r="R37"/>
  <c r="Q37"/>
  <c r="P37"/>
  <c r="O37"/>
  <c r="N37"/>
  <c r="M37"/>
  <c r="L37"/>
  <c r="K37"/>
  <c r="J37"/>
  <c r="F36"/>
  <c r="V36"/>
  <c r="U36"/>
  <c r="T36"/>
  <c r="S36"/>
  <c r="R36"/>
  <c r="Q36"/>
  <c r="P36"/>
  <c r="O36"/>
  <c r="N36"/>
  <c r="M36"/>
  <c r="L36"/>
  <c r="K36"/>
  <c r="J36"/>
  <c r="F35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F13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F7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E33"/>
  <c r="C31"/>
  <c r="C32"/>
  <c r="C33"/>
  <c r="F32"/>
  <c r="E32"/>
  <c r="F31"/>
  <c r="E31"/>
  <c r="E24"/>
  <c r="D24"/>
  <c r="C24"/>
  <c r="AD4" i="11" l="1"/>
  <c r="A105" i="9"/>
  <c r="M5" i="20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0" i="9"/>
  <c r="G30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L37" i="9"/>
  <c r="G37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2" i="2"/>
  <c r="R2" i="9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I42" s="1"/>
  <c r="B41"/>
  <c r="I41" s="1"/>
  <c r="B40"/>
  <c r="B39"/>
  <c r="I39" s="1"/>
  <c r="B38"/>
  <c r="B37"/>
  <c r="B36"/>
  <c r="B35"/>
  <c r="B34"/>
  <c r="B33"/>
  <c r="I33" s="1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J86" s="1"/>
  <c r="K42" i="21" s="1"/>
  <c r="F87" i="3"/>
  <c r="F88"/>
  <c r="J88" s="1"/>
  <c r="K44" i="21" s="1"/>
  <c r="F89" i="3"/>
  <c r="D90"/>
  <c r="E90"/>
  <c r="F91"/>
  <c r="D92"/>
  <c r="E92"/>
  <c r="F93"/>
  <c r="C94"/>
  <c r="D95"/>
  <c r="F95"/>
  <c r="C96"/>
  <c r="E96"/>
  <c r="J96" s="1"/>
  <c r="K52" i="21" s="1"/>
  <c r="F97" i="3"/>
  <c r="E97"/>
  <c r="C98"/>
  <c r="I98" s="1"/>
  <c r="I4" i="21" s="1"/>
  <c r="E98" i="3"/>
  <c r="J98" s="1"/>
  <c r="K4" i="21" s="1"/>
  <c r="D99" i="3"/>
  <c r="C99"/>
  <c r="D100"/>
  <c r="F100"/>
  <c r="AG6" i="11"/>
  <c r="AG5"/>
  <c r="G6" i="3"/>
  <c r="K7" i="25" s="1"/>
  <c r="M7" s="1"/>
  <c r="AJ4" i="11"/>
  <c r="AJ5"/>
  <c r="AJ6"/>
  <c r="AG4"/>
  <c r="E13" i="2"/>
  <c r="E30"/>
  <c r="E43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J2" s="1"/>
  <c r="K66" i="21" s="1"/>
  <c r="D3" i="3"/>
  <c r="F3"/>
  <c r="C3"/>
  <c r="E3"/>
  <c r="D4"/>
  <c r="F4"/>
  <c r="C4"/>
  <c r="I4" s="1"/>
  <c r="I97" i="21" s="1"/>
  <c r="E4" i="3"/>
  <c r="D5"/>
  <c r="F5"/>
  <c r="C5"/>
  <c r="I5" s="1"/>
  <c r="I71" i="21" s="1"/>
  <c r="E5" i="3"/>
  <c r="D6"/>
  <c r="C6"/>
  <c r="E6"/>
  <c r="D7"/>
  <c r="F7"/>
  <c r="C7"/>
  <c r="E7"/>
  <c r="D8"/>
  <c r="F8"/>
  <c r="C8"/>
  <c r="I8" s="1"/>
  <c r="I6" i="21" s="1"/>
  <c r="E8" i="3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J19" s="1"/>
  <c r="K60" i="21" s="1"/>
  <c r="D20" i="3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J29" s="1"/>
  <c r="K88" i="21" s="1"/>
  <c r="D30" i="3"/>
  <c r="F30"/>
  <c r="C30"/>
  <c r="E30"/>
  <c r="D31"/>
  <c r="F31"/>
  <c r="C31"/>
  <c r="E31"/>
  <c r="D32"/>
  <c r="C32"/>
  <c r="E32"/>
  <c r="D33"/>
  <c r="F33"/>
  <c r="C33"/>
  <c r="I33" s="1"/>
  <c r="I86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J42" s="1"/>
  <c r="K98" i="21" s="1"/>
  <c r="D43" i="3"/>
  <c r="F43"/>
  <c r="C43"/>
  <c r="E43"/>
  <c r="D44"/>
  <c r="C44"/>
  <c r="E44"/>
  <c r="D45"/>
  <c r="F45"/>
  <c r="C45"/>
  <c r="E45"/>
  <c r="J45" s="1"/>
  <c r="K68" i="21" s="1"/>
  <c r="D46" i="3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19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1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27" i="19" l="1"/>
  <c r="E55" i="2"/>
  <c r="E95"/>
  <c r="I11" i="3"/>
  <c r="I73" i="21" s="1"/>
  <c r="J36" i="3"/>
  <c r="K99" i="21" s="1"/>
  <c r="I51" i="19"/>
  <c r="I29" i="3"/>
  <c r="I88" i="21" s="1"/>
  <c r="J18" i="3"/>
  <c r="K7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77" i="21" s="1"/>
  <c r="L2" i="9"/>
  <c r="G2" i="19" s="1"/>
  <c r="I2" s="1"/>
  <c r="D64" i="1"/>
  <c r="J48" i="3"/>
  <c r="K83" i="21" s="1"/>
  <c r="J7" i="3"/>
  <c r="K101" i="21" s="1"/>
  <c r="E39" i="2"/>
  <c r="I48" i="19"/>
  <c r="J66" i="3"/>
  <c r="K23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70" i="21" s="1"/>
  <c r="J82" i="3"/>
  <c r="K38" i="21" s="1"/>
  <c r="I79" i="3"/>
  <c r="I36" i="21" s="1"/>
  <c r="J3" i="3"/>
  <c r="K64" i="21" s="1"/>
  <c r="G6" i="19"/>
  <c r="I6" s="1"/>
  <c r="E89" i="2"/>
  <c r="E90"/>
  <c r="E92"/>
  <c r="I12" i="3"/>
  <c r="I100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29" i="21" s="1"/>
  <c r="J13" i="3"/>
  <c r="K94" i="21" s="1"/>
  <c r="I56" i="3"/>
  <c r="I13" i="21" s="1"/>
  <c r="I43" i="3"/>
  <c r="I85" i="21" s="1"/>
  <c r="I10" i="3"/>
  <c r="I82" i="21" s="1"/>
  <c r="J69" i="3"/>
  <c r="K26" i="21" s="1"/>
  <c r="I17" i="3"/>
  <c r="I67" i="21" s="1"/>
  <c r="I13" i="3"/>
  <c r="I94" i="21" s="1"/>
  <c r="I9" i="3"/>
  <c r="I58" i="21" s="1"/>
  <c r="J92" i="3"/>
  <c r="K48" i="21" s="1"/>
  <c r="J46" i="3"/>
  <c r="K59" i="21" s="1"/>
  <c r="J15" i="3"/>
  <c r="K63" i="21" s="1"/>
  <c r="I14" i="3"/>
  <c r="I79" i="21" s="1"/>
  <c r="I41" i="3"/>
  <c r="I84" i="21" s="1"/>
  <c r="J30" i="3"/>
  <c r="K81" i="21" s="1"/>
  <c r="I38" i="19"/>
  <c r="J39" i="3"/>
  <c r="K92" i="21" s="1"/>
  <c r="I75" i="3"/>
  <c r="I32" i="21" s="1"/>
  <c r="I36" i="19"/>
  <c r="E29" i="2"/>
  <c r="E19"/>
  <c r="E9"/>
  <c r="E31"/>
  <c r="J22" i="3"/>
  <c r="K62" i="21" s="1"/>
  <c r="I24" i="3"/>
  <c r="I89" i="21" s="1"/>
  <c r="J8" i="3"/>
  <c r="K6" i="21" s="1"/>
  <c r="J34" i="3"/>
  <c r="K87" i="21" s="1"/>
  <c r="E8" i="2"/>
  <c r="I29" i="19"/>
  <c r="I31"/>
  <c r="I100" i="3"/>
  <c r="I55" i="21" s="1"/>
  <c r="I62" i="3"/>
  <c r="I19" i="21" s="1"/>
  <c r="R19" s="1"/>
  <c r="I52" i="3"/>
  <c r="I9" i="21" s="1"/>
  <c r="I37" i="3"/>
  <c r="I70" i="21" s="1"/>
  <c r="J9" i="3"/>
  <c r="K58" i="21" s="1"/>
  <c r="I3" i="3"/>
  <c r="I64" i="21" s="1"/>
  <c r="I8" i="19"/>
  <c r="I15"/>
  <c r="I76" i="3"/>
  <c r="I33" i="21" s="1"/>
  <c r="J73" i="3"/>
  <c r="K30" i="21" s="1"/>
  <c r="I35" i="3"/>
  <c r="I77" i="21" s="1"/>
  <c r="I22" i="3"/>
  <c r="I62" i="21" s="1"/>
  <c r="I19" i="3"/>
  <c r="I60" i="21" s="1"/>
  <c r="J11" i="3"/>
  <c r="K73" i="21" s="1"/>
  <c r="J5" i="3"/>
  <c r="K71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61" i="21" s="1"/>
  <c r="J33" i="3"/>
  <c r="K86" i="21" s="1"/>
  <c r="J20" i="3"/>
  <c r="K75" i="21" s="1"/>
  <c r="J72" i="3"/>
  <c r="K29" i="21" s="1"/>
  <c r="J68" i="3"/>
  <c r="K25" i="21" s="1"/>
  <c r="J28" i="3"/>
  <c r="K80" i="21" s="1"/>
  <c r="I23" i="3"/>
  <c r="I91" i="21" s="1"/>
  <c r="I18" i="3"/>
  <c r="I7" i="21" s="1"/>
  <c r="J4" i="3"/>
  <c r="K97" i="21" s="1"/>
  <c r="J43" i="3"/>
  <c r="K85" i="21" s="1"/>
  <c r="I39" i="3"/>
  <c r="I92" i="21" s="1"/>
  <c r="J21" i="3"/>
  <c r="K93" i="21" s="1"/>
  <c r="E6" i="2"/>
  <c r="I7" i="3"/>
  <c r="I101" i="21" s="1"/>
  <c r="I20" i="3"/>
  <c r="I75" i="21" s="1"/>
  <c r="J90" i="3"/>
  <c r="K46" i="21" s="1"/>
  <c r="B2" i="5"/>
  <c r="C2" s="1"/>
  <c r="D2" s="1"/>
  <c r="E2" s="1"/>
  <c r="F2" s="1"/>
  <c r="J74" i="3"/>
  <c r="K31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33" i="21" s="1"/>
  <c r="I53" i="3"/>
  <c r="I10" i="21" s="1"/>
  <c r="I31" i="3"/>
  <c r="I95" i="21" s="1"/>
  <c r="I15" i="3"/>
  <c r="I63" i="21" s="1"/>
  <c r="J70" i="3"/>
  <c r="K27" i="21" s="1"/>
  <c r="I65" i="3"/>
  <c r="I22" i="21" s="1"/>
  <c r="J53" i="3"/>
  <c r="K10" i="21" s="1"/>
  <c r="I48" i="3"/>
  <c r="I83" i="21" s="1"/>
  <c r="I42" i="3"/>
  <c r="I98" i="21" s="1"/>
  <c r="I34" i="3"/>
  <c r="I87" i="21" s="1"/>
  <c r="E4" i="2"/>
  <c r="I4" i="19"/>
  <c r="I11"/>
  <c r="I28"/>
  <c r="I74" i="3"/>
  <c r="I31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20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23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20" i="21" s="1"/>
  <c r="J38" i="3"/>
  <c r="K61" i="21" s="1"/>
  <c r="J31" i="3"/>
  <c r="K95" i="21" s="1"/>
  <c r="B62" i="3"/>
  <c r="H62" i="2" s="1"/>
  <c r="B29" i="3"/>
  <c r="B10"/>
  <c r="I84"/>
  <c r="I40" i="21" s="1"/>
  <c r="J83" i="3"/>
  <c r="K39" i="21" s="1"/>
  <c r="I67" i="3"/>
  <c r="I24" i="21" s="1"/>
  <c r="B40" i="3"/>
  <c r="J12"/>
  <c r="K100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24" i="21" s="1"/>
  <c r="I64" i="3"/>
  <c r="I21" i="21" s="1"/>
  <c r="B55" i="3"/>
  <c r="I54"/>
  <c r="I11" i="21" s="1"/>
  <c r="B52" i="3"/>
  <c r="B51"/>
  <c r="B49"/>
  <c r="J47"/>
  <c r="K57" i="21" s="1"/>
  <c r="B45" i="3"/>
  <c r="B43"/>
  <c r="B41"/>
  <c r="I40"/>
  <c r="I96" i="21" s="1"/>
  <c r="I36" i="3"/>
  <c r="I99" i="21" s="1"/>
  <c r="B35" i="3"/>
  <c r="B34"/>
  <c r="I32"/>
  <c r="I65" i="21" s="1"/>
  <c r="B30" i="3"/>
  <c r="B27"/>
  <c r="J17"/>
  <c r="K67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89" i="21" s="1"/>
  <c r="J14" i="3"/>
  <c r="K79" i="21" s="1"/>
  <c r="B7" i="3"/>
  <c r="I94"/>
  <c r="I50" i="21" s="1"/>
  <c r="I81" i="3"/>
  <c r="I37" i="21" s="1"/>
  <c r="J54" i="3"/>
  <c r="K11" i="21" s="1"/>
  <c r="B50" i="3"/>
  <c r="B44"/>
  <c r="J40"/>
  <c r="K96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76" i="21" s="1"/>
  <c r="J16" i="3"/>
  <c r="K76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R4" i="21"/>
  <c r="B17" i="3"/>
  <c r="C18" i="25" s="1"/>
  <c r="E18" s="1"/>
  <c r="B74" i="3"/>
  <c r="H74" i="2" s="1"/>
  <c r="AA4" i="11"/>
  <c r="B16" i="3"/>
  <c r="C17" i="25" s="1"/>
  <c r="E17" s="1"/>
  <c r="J10" i="3"/>
  <c r="K82" i="21" s="1"/>
  <c r="I2" i="3"/>
  <c r="I66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28" i="21" s="1"/>
  <c r="J56" i="3"/>
  <c r="K13" i="21" s="1"/>
  <c r="B15" i="3"/>
  <c r="C16" i="25" s="1"/>
  <c r="E16" s="1"/>
  <c r="J6" i="3"/>
  <c r="K74" i="21" s="1"/>
  <c r="B85" i="3"/>
  <c r="H85" i="2" s="1"/>
  <c r="B83" i="3"/>
  <c r="H83" i="2" s="1"/>
  <c r="B77" i="3"/>
  <c r="H77" i="2" s="1"/>
  <c r="J64" i="3"/>
  <c r="K21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4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65" i="21" s="1"/>
  <c r="B26" i="3"/>
  <c r="B11"/>
  <c r="C12" i="25" s="1"/>
  <c r="E12" s="1"/>
  <c r="B25" i="3"/>
  <c r="C26" i="25" s="1"/>
  <c r="E26" s="1"/>
  <c r="J71" i="3"/>
  <c r="K28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30" i="21" s="1"/>
  <c r="J65" i="3"/>
  <c r="K22" i="21" s="1"/>
  <c r="I30" i="3"/>
  <c r="I81" i="21" s="1"/>
  <c r="I28" i="3"/>
  <c r="I80" i="21" s="1"/>
  <c r="J27" i="3"/>
  <c r="K102" i="21" s="1"/>
  <c r="I27" i="3"/>
  <c r="I102" i="21" s="1"/>
  <c r="J26" i="3"/>
  <c r="K78" i="21" s="1"/>
  <c r="I26" i="3"/>
  <c r="I78" i="21" s="1"/>
  <c r="J25" i="3"/>
  <c r="K103" i="21" s="1"/>
  <c r="I25" i="3"/>
  <c r="I103" i="21" s="1"/>
  <c r="I21" i="3"/>
  <c r="I93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95" i="2" l="1"/>
  <c r="X94"/>
  <c r="R23" i="21"/>
  <c r="AA23" s="1"/>
  <c r="R8"/>
  <c r="AA8" s="1"/>
  <c r="V13" i="9"/>
  <c r="R47" i="21"/>
  <c r="AA47" s="1"/>
  <c r="R36"/>
  <c r="B36" s="1"/>
  <c r="R25"/>
  <c r="AA25" s="1"/>
  <c r="W78"/>
  <c r="W58"/>
  <c r="W89"/>
  <c r="W82"/>
  <c r="AA36"/>
  <c r="AA34"/>
  <c r="B34"/>
  <c r="AA16"/>
  <c r="B16"/>
  <c r="AA69"/>
  <c r="B69"/>
  <c r="B8"/>
  <c r="AA52"/>
  <c r="B52"/>
  <c r="AA19"/>
  <c r="B19"/>
  <c r="AA42"/>
  <c r="B42"/>
  <c r="AA4"/>
  <c r="B4"/>
  <c r="AA53"/>
  <c r="B53"/>
  <c r="AA17"/>
  <c r="B17"/>
  <c r="AA44"/>
  <c r="B44"/>
  <c r="AA18"/>
  <c r="B18"/>
  <c r="AA90"/>
  <c r="B90"/>
  <c r="W100"/>
  <c r="W99"/>
  <c r="W72"/>
  <c r="W91"/>
  <c r="W83"/>
  <c r="R83" s="1"/>
  <c r="W6"/>
  <c r="W66"/>
  <c r="W81"/>
  <c r="W79"/>
  <c r="W95"/>
  <c r="W87"/>
  <c r="W77"/>
  <c r="W93"/>
  <c r="W94"/>
  <c r="W80"/>
  <c r="R43"/>
  <c r="R37"/>
  <c r="R54"/>
  <c r="R26"/>
  <c r="W90" i="2"/>
  <c r="W92"/>
  <c r="X89"/>
  <c r="V12" i="9"/>
  <c r="R9" i="21"/>
  <c r="R13"/>
  <c r="R38"/>
  <c r="R29"/>
  <c r="V8" i="9"/>
  <c r="V9"/>
  <c r="E2" i="2"/>
  <c r="C49" i="1" s="1"/>
  <c r="V10" i="9"/>
  <c r="V14"/>
  <c r="V11"/>
  <c r="W97" i="2"/>
  <c r="X95"/>
  <c r="W93"/>
  <c r="W96"/>
  <c r="R22" i="21"/>
  <c r="R5"/>
  <c r="W91" i="2"/>
  <c r="R14" i="21"/>
  <c r="C61" i="1"/>
  <c r="R35" i="21"/>
  <c r="R39"/>
  <c r="W94" i="2"/>
  <c r="W99"/>
  <c r="R30" i="21"/>
  <c r="R48"/>
  <c r="R32"/>
  <c r="X92" i="2"/>
  <c r="W68"/>
  <c r="R46" i="21"/>
  <c r="R12"/>
  <c r="R10"/>
  <c r="R27"/>
  <c r="R40"/>
  <c r="R45"/>
  <c r="R33"/>
  <c r="W89" i="2"/>
  <c r="R15" i="21"/>
  <c r="X80" i="2"/>
  <c r="R31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C53" i="1"/>
  <c r="X74" i="2"/>
  <c r="X85"/>
  <c r="C54" i="1"/>
  <c r="X64" i="2"/>
  <c r="X98"/>
  <c r="X13"/>
  <c r="W85"/>
  <c r="C51" i="1"/>
  <c r="C55"/>
  <c r="W39" i="2"/>
  <c r="C26" i="1" a="1"/>
  <c r="C26" s="1"/>
  <c r="X46" i="2"/>
  <c r="X63"/>
  <c r="W62"/>
  <c r="R50" i="21"/>
  <c r="W20" i="2"/>
  <c r="R20" i="21"/>
  <c r="C60" i="1"/>
  <c r="R51" i="21"/>
  <c r="X91" i="2"/>
  <c r="X65"/>
  <c r="R49" i="21"/>
  <c r="R24"/>
  <c r="R41"/>
  <c r="X90" i="2"/>
  <c r="R21" i="21"/>
  <c r="X70" i="2"/>
  <c r="R11" i="21"/>
  <c r="C58" i="1"/>
  <c r="R28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50" i="1"/>
  <c r="C62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B23" i="21" l="1"/>
  <c r="B47"/>
  <c r="B25"/>
  <c r="C57" i="1"/>
  <c r="W2" i="2"/>
  <c r="AA24" i="21"/>
  <c r="B24"/>
  <c r="AA51"/>
  <c r="B51"/>
  <c r="AA28"/>
  <c r="B28"/>
  <c r="AA11"/>
  <c r="B11"/>
  <c r="AA21"/>
  <c r="B21"/>
  <c r="AA41"/>
  <c r="B41"/>
  <c r="AA49"/>
  <c r="B49"/>
  <c r="AA31"/>
  <c r="B31"/>
  <c r="AA15"/>
  <c r="B15"/>
  <c r="AA33"/>
  <c r="B33"/>
  <c r="AA40"/>
  <c r="B40"/>
  <c r="AA10"/>
  <c r="B10"/>
  <c r="AA46"/>
  <c r="B46"/>
  <c r="AA48"/>
  <c r="B48"/>
  <c r="AA39"/>
  <c r="B39"/>
  <c r="AA22"/>
  <c r="B22"/>
  <c r="AA38"/>
  <c r="B38"/>
  <c r="AA9"/>
  <c r="B9"/>
  <c r="AA54"/>
  <c r="B54"/>
  <c r="AA43"/>
  <c r="B43"/>
  <c r="AA83"/>
  <c r="B83"/>
  <c r="AA20"/>
  <c r="B20"/>
  <c r="AA50"/>
  <c r="B50"/>
  <c r="AA45"/>
  <c r="B45"/>
  <c r="AA27"/>
  <c r="B27"/>
  <c r="AA12"/>
  <c r="B12"/>
  <c r="AA32"/>
  <c r="B32"/>
  <c r="AA30"/>
  <c r="B30"/>
  <c r="AA35"/>
  <c r="B35"/>
  <c r="AA14"/>
  <c r="B14"/>
  <c r="AA5"/>
  <c r="B5"/>
  <c r="AA29"/>
  <c r="B29"/>
  <c r="AA13"/>
  <c r="B13"/>
  <c r="AA26"/>
  <c r="B26"/>
  <c r="AA37"/>
  <c r="B37"/>
  <c r="R80"/>
  <c r="R89"/>
  <c r="R91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U55"/>
  <c r="V55"/>
  <c r="K100" i="9"/>
  <c r="L100" s="1"/>
  <c r="E100" i="2" s="1"/>
  <c r="U102" i="21"/>
  <c r="M98" l="1"/>
  <c r="M102"/>
  <c r="O98"/>
  <c r="O102"/>
  <c r="O101"/>
  <c r="O97"/>
  <c r="M101"/>
  <c r="W101" s="1"/>
  <c r="M97"/>
  <c r="M59"/>
  <c r="M62"/>
  <c r="O59"/>
  <c r="O62"/>
  <c r="O88"/>
  <c r="O68"/>
  <c r="M88"/>
  <c r="M68"/>
  <c r="W65" s="1"/>
  <c r="O55"/>
  <c r="O57"/>
  <c r="M55"/>
  <c r="R55" s="1"/>
  <c r="M57"/>
  <c r="W57" s="1"/>
  <c r="G100" i="19"/>
  <c r="I100" s="1"/>
  <c r="W100" i="2"/>
  <c r="X100"/>
  <c r="W84" i="21" l="1"/>
  <c r="W88"/>
  <c r="W59"/>
  <c r="W98"/>
  <c r="W64"/>
  <c r="W68"/>
  <c r="W75"/>
  <c r="R99"/>
  <c r="W92"/>
  <c r="R92" s="1"/>
  <c r="W96"/>
  <c r="W67"/>
  <c r="R66" s="1"/>
  <c r="W70"/>
  <c r="R72" s="1"/>
  <c r="AA72" s="1"/>
  <c r="W86"/>
  <c r="W71"/>
  <c r="W85"/>
  <c r="W73"/>
  <c r="R73" s="1"/>
  <c r="W63"/>
  <c r="R63" s="1"/>
  <c r="W97"/>
  <c r="AA55"/>
  <c r="B55"/>
  <c r="W7"/>
  <c r="W61"/>
  <c r="R93" s="1"/>
  <c r="W74"/>
  <c r="R74" s="1"/>
  <c r="W103"/>
  <c r="W60"/>
  <c r="R78" s="1"/>
  <c r="W76"/>
  <c r="W62"/>
  <c r="W102"/>
  <c r="R96" l="1"/>
  <c r="R76"/>
  <c r="R85"/>
  <c r="R79"/>
  <c r="AA79" s="1"/>
  <c r="R77"/>
  <c r="AA77" s="1"/>
  <c r="AA99"/>
  <c r="B77"/>
  <c r="R7"/>
  <c r="R98"/>
  <c r="R102"/>
  <c r="R103"/>
  <c r="R70"/>
  <c r="R61"/>
  <c r="R58"/>
  <c r="R71"/>
  <c r="R94"/>
  <c r="R87"/>
  <c r="R100"/>
  <c r="B99"/>
  <c r="AA78"/>
  <c r="R81"/>
  <c r="R65"/>
  <c r="R82"/>
  <c r="R86"/>
  <c r="B78"/>
  <c r="R64"/>
  <c r="R60"/>
  <c r="B80"/>
  <c r="AA80"/>
  <c r="B63"/>
  <c r="R95"/>
  <c r="R6"/>
  <c r="R84"/>
  <c r="R75"/>
  <c r="R59"/>
  <c r="AA59" s="1"/>
  <c r="AA63"/>
  <c r="R57"/>
  <c r="R62"/>
  <c r="AA75" s="1"/>
  <c r="R101"/>
  <c r="R68"/>
  <c r="R97"/>
  <c r="R88"/>
  <c r="B88" s="1"/>
  <c r="R67"/>
  <c r="B6" s="1"/>
  <c r="AA65" l="1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<sst xmlns="http://schemas.openxmlformats.org/spreadsheetml/2006/main" count="4319" uniqueCount="272">
  <si>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</si>
  <si>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</si>
  <si>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</si>
  <si>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</si>
  <si>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</si>
  <si>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</si>
  <si>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</si>
  <si>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</si>
  <si>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</si>
  <si>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</si>
  <si>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</si>
  <si>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</si>
  <si>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</si>
  <si>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</si>
  <si>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</si>
  <si>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</si>
  <si>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</si>
  <si>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</si>
  <si>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</si>
  <si>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</si>
  <si>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</si>
  <si>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</si>
  <si>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</si>
  <si>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</si>
  <si>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</si>
  <si>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</si>
  <si>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</si>
  <si>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</si>
  <si>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</si>
  <si>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</si>
  <si>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</si>
  <si>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</si>
  <si>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</si>
  <si>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</si>
  <si>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</si>
  <si>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</si>
  <si>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</si>
  <si>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</si>
  <si>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</si>
  <si>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</si>
  <si>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</si>
  <si>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</si>
  <si>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</si>
  <si>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</si>
  <si>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</si>
  <si>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</si>
  <si>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</si>
  <si>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</si>
  <si>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</si>
  <si>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</si>
  <si>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</si>
  <si>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</si>
  <si>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</si>
  <si>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</si>
  <si>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</si>
  <si>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</si>
  <si>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</si>
  <si>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</si>
  <si>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</si>
  <si>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</si>
  <si>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</si>
  <si>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</si>
  <si>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</si>
  <si>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</si>
  <si>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</si>
  <si>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</si>
  <si>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</si>
  <si>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</si>
  <si>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</si>
  <si>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</si>
  <si>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</si>
  <si>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</si>
  <si>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</si>
  <si>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</si>
  <si>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</si>
  <si>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</si>
  <si>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</si>
  <si>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</si>
  <si>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</si>
  <si>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</si>
  <si>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</si>
  <si>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</si>
  <si>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</si>
  <si>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</si>
  <si>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</si>
  <si>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</si>
  <si>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</si>
  <si>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</si>
  <si>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</si>
  <si>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</si>
  <si>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</si>
  <si>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</si>
  <si>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</si>
  <si>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</si>
  <si>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</si>
  <si>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</si>
  <si>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</si>
  <si>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</si>
  <si>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</si>
  <si>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</si>
  <si>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</si>
  <si>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</si>
  <si>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</si>
  <si>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</si>
  <si>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</si>
  <si>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</si>
  <si>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</si>
  <si>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</si>
  <si>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</si>
  <si>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</si>
  <si>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</si>
  <si>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</si>
  <si>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</si>
  <si>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</si>
  <si>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</si>
  <si>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</si>
  <si>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</si>
  <si>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</si>
  <si>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</si>
  <si>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</si>
  <si>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</si>
  <si>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</si>
  <si>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</si>
  <si>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</si>
  <si>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</si>
  <si>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</si>
  <si>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</si>
  <si>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</si>
  <si>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</si>
  <si>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</si>
  <si>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</si>
  <si>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</si>
  <si>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</si>
  <si>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</si>
  <si>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</si>
  <si>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</si>
  <si>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</si>
  <si>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</si>
  <si>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</si>
  <si>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</si>
  <si>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</si>
  <si>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</si>
  <si>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</si>
  <si>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</si>
  <si>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</si>
  <si>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</si>
  <si>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</si>
  <si>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</si>
  <si>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</si>
  <si>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</si>
  <si>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</si>
  <si>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</si>
  <si>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</si>
  <si>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</si>
  <si>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</si>
  <si>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</si>
  <si>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</si>
  <si>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</si>
  <si>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</si>
  <si>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</si>
  <si>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</si>
  <si>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</si>
  <si>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</si>
  <si>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</si>
  <si>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</si>
  <si>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</si>
  <si>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</si>
  <si>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</si>
  <si>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</si>
  <si>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</si>
  <si>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</si>
  <si>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</si>
  <si>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</si>
  <si>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</si>
  <si>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</si>
  <si>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</si>
  <si>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</si>
  <si>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</si>
  <si>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</si>
  <si>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</si>
  <si>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</si>
  <si>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</si>
  <si>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</si>
  <si>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</si>
  <si>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</si>
  <si>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</si>
  <si>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</si>
  <si>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</si>
  <si>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</si>
  <si>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</si>
  <si>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</si>
  <si>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</si>
  <si>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</si>
  <si>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</si>
  <si>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</si>
  <si>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</si>
  <si>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</si>
  <si>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</si>
  <si>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</si>
  <si>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Darsid</t>
  </si>
  <si>
    <t>Halfhorns</t>
  </si>
  <si>
    <t>Izzabelle</t>
  </si>
  <si>
    <t>Kristofix</t>
  </si>
  <si>
    <t>Rcane</t>
  </si>
  <si>
    <t>Seraphÿm</t>
  </si>
  <si>
    <t>Shinkai</t>
  </si>
  <si>
    <t>Torwen</t>
  </si>
  <si>
    <t>Yardk</t>
  </si>
  <si>
    <t>Normal</t>
  </si>
  <si>
    <t>Heroic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</si>
  <si>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</si>
  <si>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</si>
  <si>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</si>
  <si>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</si>
  <si>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</si>
  <si>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</si>
  <si>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</si>
  <si>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</si>
  <si>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</si>
  <si>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</si>
  <si>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Megamind</t>
  </si>
  <si>
    <t>Spudsux</t>
  </si>
  <si>
    <t>Warriorxz</t>
  </si>
  <si>
    <t>Hyperïon</t>
  </si>
  <si>
    <t>Lychi</t>
  </si>
  <si>
    <t>Acidman</t>
  </si>
  <si>
    <t>Ambú</t>
  </si>
  <si>
    <t>Apophîs</t>
  </si>
  <si>
    <t>Blondesaint</t>
  </si>
  <si>
    <t>Craving</t>
  </si>
  <si>
    <t>Kradios</t>
  </si>
  <si>
    <t>Andreah</t>
  </si>
  <si>
    <t>Droodcaster</t>
  </si>
  <si>
    <t>Eviwon</t>
  </si>
  <si>
    <t>Gloríus</t>
  </si>
  <si>
    <t>&gt;0 red</t>
  </si>
  <si>
    <t>0 amber</t>
  </si>
  <si>
    <t>0 - -10 green</t>
  </si>
  <si>
    <t>&gt;-11 blue</t>
  </si>
  <si>
    <t>[/color]</t>
  </si>
  <si>
    <t>Mortali</t>
  </si>
  <si>
    <t>Incharge</t>
  </si>
  <si>
    <t>Axium</t>
  </si>
  <si>
    <t>Vakama</t>
  </si>
  <si>
    <t>Meltface</t>
  </si>
  <si>
    <t>Katjá</t>
  </si>
  <si>
    <t>Midoriko</t>
  </si>
  <si>
    <t>Greenhazee</t>
  </si>
  <si>
    <t>Nixyin</t>
  </si>
  <si>
    <t>Atlanthia</t>
  </si>
  <si>
    <t>Punyelf</t>
  </si>
  <si>
    <t>HOF</t>
  </si>
  <si>
    <t>OMF</t>
  </si>
  <si>
    <t>Niiwa</t>
  </si>
  <si>
    <t>Calaelen</t>
  </si>
  <si>
    <t>Onemanforest</t>
  </si>
  <si>
    <t>Heysa</t>
  </si>
  <si>
    <t>Niklaus</t>
  </si>
  <si>
    <t>Müfti</t>
  </si>
  <si>
    <t>Revlash</t>
  </si>
  <si>
    <t>Szion</t>
  </si>
  <si>
    <t>25 Man Normal HOF - Imperial Vizier Zor'lok</t>
  </si>
  <si>
    <t>MSV</t>
  </si>
  <si>
    <t>Wainesha</t>
  </si>
  <si>
    <t>Kyusu</t>
  </si>
  <si>
    <t>DRO</t>
  </si>
  <si>
    <t>Birdeeh</t>
  </si>
  <si>
    <t xml:space="preserve"> Sensés</t>
  </si>
  <si>
    <t>Zerika</t>
  </si>
  <si>
    <t>Shalist</t>
  </si>
  <si>
    <t>TOES</t>
  </si>
  <si>
    <t>Bishamonten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</si>
</sst>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1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164" fontId="23" fillId="0" borderId="90" xfId="0" applyNumberFormat="1" applyFont="1" applyBorder="1" applyAlignment="1" applyProtection="1">
      <alignment vertical="center"/>
      <protection locked="0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0" fontId="0" fillId="0" borderId="232" xfId="0" applyBorder="1"/>
    <xf numFmtId="164" fontId="23" fillId="0" borderId="87" xfId="0" applyNumberFormat="1" applyFont="1" applyBorder="1" applyAlignment="1" applyProtection="1">
      <alignment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9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Altrezza</c:v>
                </c:pt>
                <c:pt idx="2">
                  <c:v>Ambú</c:v>
                </c:pt>
                <c:pt idx="3">
                  <c:v>Andreah</c:v>
                </c:pt>
                <c:pt idx="4">
                  <c:v>0</c:v>
                </c:pt>
                <c:pt idx="5">
                  <c:v>Axium</c:v>
                </c:pt>
                <c:pt idx="6">
                  <c:v>0</c:v>
                </c:pt>
                <c:pt idx="7">
                  <c:v>0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Gloríus</c:v>
                </c:pt>
                <c:pt idx="12">
                  <c:v>Halfhorns</c:v>
                </c:pt>
                <c:pt idx="13">
                  <c:v>0</c:v>
                </c:pt>
                <c:pt idx="14">
                  <c:v>Incharge</c:v>
                </c:pt>
                <c:pt idx="15">
                  <c:v>Izzabelle</c:v>
                </c:pt>
                <c:pt idx="16">
                  <c:v>0</c:v>
                </c:pt>
                <c:pt idx="17">
                  <c:v>0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Mortali</c:v>
                </c:pt>
                <c:pt idx="22">
                  <c:v>Muckyfloor</c:v>
                </c:pt>
                <c:pt idx="23">
                  <c:v>Müfti</c:v>
                </c:pt>
                <c:pt idx="24">
                  <c:v>Niiwa</c:v>
                </c:pt>
                <c:pt idx="25">
                  <c:v>Niklaus</c:v>
                </c:pt>
                <c:pt idx="26">
                  <c:v>Onemanforest</c:v>
                </c:pt>
                <c:pt idx="27">
                  <c:v>Rcane</c:v>
                </c:pt>
                <c:pt idx="28">
                  <c:v>Revlash</c:v>
                </c:pt>
                <c:pt idx="29">
                  <c:v>Seraphÿm</c:v>
                </c:pt>
                <c:pt idx="30">
                  <c:v>Shinkai</c:v>
                </c:pt>
                <c:pt idx="31">
                  <c:v>Spudsux</c:v>
                </c:pt>
                <c:pt idx="32">
                  <c:v>Szion</c:v>
                </c:pt>
                <c:pt idx="33">
                  <c:v>Torwen</c:v>
                </c:pt>
                <c:pt idx="34">
                  <c:v>Vakama</c:v>
                </c:pt>
                <c:pt idx="35">
                  <c:v>Warriorxz</c:v>
                </c:pt>
                <c:pt idx="36">
                  <c:v>0</c:v>
                </c:pt>
                <c:pt idx="37">
                  <c:v>Wainesha</c:v>
                </c:pt>
                <c:pt idx="38">
                  <c:v>Birdeeh</c:v>
                </c:pt>
                <c:pt idx="39">
                  <c:v>Bishamonten</c:v>
                </c:pt>
                <c:pt idx="40">
                  <c:v> Sensés</c:v>
                </c:pt>
                <c:pt idx="41">
                  <c:v>Zerika</c:v>
                </c:pt>
                <c:pt idx="42">
                  <c:v>Atlanthia</c:v>
                </c:pt>
                <c:pt idx="43">
                  <c:v>Shalist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0</c:v>
                </c:pt>
                <c:pt idx="1">
                  <c:v>4</c:v>
                </c:pt>
                <c:pt idx="2">
                  <c:v>11</c:v>
                </c:pt>
                <c:pt idx="3">
                  <c:v>7</c:v>
                </c:pt>
                <c:pt idx="4">
                  <c:v>0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8</c:v>
                </c:pt>
                <c:pt idx="12">
                  <c:v>7</c:v>
                </c:pt>
                <c:pt idx="13">
                  <c:v>0</c:v>
                </c:pt>
                <c:pt idx="14">
                  <c:v>8</c:v>
                </c:pt>
                <c:pt idx="15">
                  <c:v>5</c:v>
                </c:pt>
                <c:pt idx="16">
                  <c:v>0</c:v>
                </c:pt>
                <c:pt idx="17">
                  <c:v>0</c:v>
                </c:pt>
                <c:pt idx="18">
                  <c:v>8</c:v>
                </c:pt>
                <c:pt idx="19">
                  <c:v>10</c:v>
                </c:pt>
                <c:pt idx="20">
                  <c:v>0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10</c:v>
                </c:pt>
                <c:pt idx="25">
                  <c:v>13</c:v>
                </c:pt>
                <c:pt idx="26">
                  <c:v>11</c:v>
                </c:pt>
                <c:pt idx="27">
                  <c:v>10</c:v>
                </c:pt>
                <c:pt idx="28">
                  <c:v>8</c:v>
                </c:pt>
                <c:pt idx="29">
                  <c:v>11</c:v>
                </c:pt>
                <c:pt idx="30">
                  <c:v>4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12</c:v>
                </c:pt>
                <c:pt idx="35">
                  <c:v>6</c:v>
                </c:pt>
                <c:pt idx="36">
                  <c:v>0</c:v>
                </c:pt>
                <c:pt idx="37">
                  <c:v>11</c:v>
                </c:pt>
                <c:pt idx="38">
                  <c:v>11</c:v>
                </c:pt>
                <c:pt idx="39">
                  <c:v>9</c:v>
                </c:pt>
                <c:pt idx="40">
                  <c:v>11</c:v>
                </c:pt>
                <c:pt idx="41">
                  <c:v>8</c:v>
                </c:pt>
                <c:pt idx="42">
                  <c:v>7</c:v>
                </c:pt>
                <c:pt idx="43">
                  <c:v>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Altrezza</c:v>
                </c:pt>
                <c:pt idx="2">
                  <c:v>Ambú</c:v>
                </c:pt>
                <c:pt idx="3">
                  <c:v>Andreah</c:v>
                </c:pt>
                <c:pt idx="4">
                  <c:v>0</c:v>
                </c:pt>
                <c:pt idx="5">
                  <c:v>Axium</c:v>
                </c:pt>
                <c:pt idx="6">
                  <c:v>0</c:v>
                </c:pt>
                <c:pt idx="7">
                  <c:v>0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Gloríus</c:v>
                </c:pt>
                <c:pt idx="12">
                  <c:v>Halfhorns</c:v>
                </c:pt>
                <c:pt idx="13">
                  <c:v>0</c:v>
                </c:pt>
                <c:pt idx="14">
                  <c:v>Incharge</c:v>
                </c:pt>
                <c:pt idx="15">
                  <c:v>Izzabelle</c:v>
                </c:pt>
                <c:pt idx="16">
                  <c:v>0</c:v>
                </c:pt>
                <c:pt idx="17">
                  <c:v>0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Mortali</c:v>
                </c:pt>
                <c:pt idx="22">
                  <c:v>Muckyfloor</c:v>
                </c:pt>
                <c:pt idx="23">
                  <c:v>Müfti</c:v>
                </c:pt>
                <c:pt idx="24">
                  <c:v>Niiwa</c:v>
                </c:pt>
                <c:pt idx="25">
                  <c:v>Niklaus</c:v>
                </c:pt>
                <c:pt idx="26">
                  <c:v>Onemanforest</c:v>
                </c:pt>
                <c:pt idx="27">
                  <c:v>Rcane</c:v>
                </c:pt>
                <c:pt idx="28">
                  <c:v>Revlash</c:v>
                </c:pt>
                <c:pt idx="29">
                  <c:v>Seraphÿm</c:v>
                </c:pt>
                <c:pt idx="30">
                  <c:v>Shinkai</c:v>
                </c:pt>
                <c:pt idx="31">
                  <c:v>Spudsux</c:v>
                </c:pt>
                <c:pt idx="32">
                  <c:v>Szion</c:v>
                </c:pt>
                <c:pt idx="33">
                  <c:v>Torwen</c:v>
                </c:pt>
                <c:pt idx="34">
                  <c:v>Vakama</c:v>
                </c:pt>
                <c:pt idx="35">
                  <c:v>Warriorxz</c:v>
                </c:pt>
                <c:pt idx="36">
                  <c:v>0</c:v>
                </c:pt>
                <c:pt idx="37">
                  <c:v>Wainesha</c:v>
                </c:pt>
                <c:pt idx="38">
                  <c:v>Birdeeh</c:v>
                </c:pt>
                <c:pt idx="39">
                  <c:v>Bishamonten</c:v>
                </c:pt>
                <c:pt idx="40">
                  <c:v> Sensés</c:v>
                </c:pt>
                <c:pt idx="41">
                  <c:v>Zerika</c:v>
                </c:pt>
                <c:pt idx="42">
                  <c:v>Atlanthia</c:v>
                </c:pt>
                <c:pt idx="43">
                  <c:v>Shalist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2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Altrezza</c:v>
                </c:pt>
                <c:pt idx="2">
                  <c:v>Ambú</c:v>
                </c:pt>
                <c:pt idx="3">
                  <c:v>Andreah</c:v>
                </c:pt>
                <c:pt idx="4">
                  <c:v>0</c:v>
                </c:pt>
                <c:pt idx="5">
                  <c:v>Axium</c:v>
                </c:pt>
                <c:pt idx="6">
                  <c:v>0</c:v>
                </c:pt>
                <c:pt idx="7">
                  <c:v>0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Gloríus</c:v>
                </c:pt>
                <c:pt idx="12">
                  <c:v>Halfhorns</c:v>
                </c:pt>
                <c:pt idx="13">
                  <c:v>0</c:v>
                </c:pt>
                <c:pt idx="14">
                  <c:v>Incharge</c:v>
                </c:pt>
                <c:pt idx="15">
                  <c:v>Izzabelle</c:v>
                </c:pt>
                <c:pt idx="16">
                  <c:v>0</c:v>
                </c:pt>
                <c:pt idx="17">
                  <c:v>0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Mortali</c:v>
                </c:pt>
                <c:pt idx="22">
                  <c:v>Muckyfloor</c:v>
                </c:pt>
                <c:pt idx="23">
                  <c:v>Müfti</c:v>
                </c:pt>
                <c:pt idx="24">
                  <c:v>Niiwa</c:v>
                </c:pt>
                <c:pt idx="25">
                  <c:v>Niklaus</c:v>
                </c:pt>
                <c:pt idx="26">
                  <c:v>Onemanforest</c:v>
                </c:pt>
                <c:pt idx="27">
                  <c:v>Rcane</c:v>
                </c:pt>
                <c:pt idx="28">
                  <c:v>Revlash</c:v>
                </c:pt>
                <c:pt idx="29">
                  <c:v>Seraphÿm</c:v>
                </c:pt>
                <c:pt idx="30">
                  <c:v>Shinkai</c:v>
                </c:pt>
                <c:pt idx="31">
                  <c:v>Spudsux</c:v>
                </c:pt>
                <c:pt idx="32">
                  <c:v>Szion</c:v>
                </c:pt>
                <c:pt idx="33">
                  <c:v>Torwen</c:v>
                </c:pt>
                <c:pt idx="34">
                  <c:v>Vakama</c:v>
                </c:pt>
                <c:pt idx="35">
                  <c:v>Warriorxz</c:v>
                </c:pt>
                <c:pt idx="36">
                  <c:v>0</c:v>
                </c:pt>
                <c:pt idx="37">
                  <c:v>Wainesha</c:v>
                </c:pt>
                <c:pt idx="38">
                  <c:v>Birdeeh</c:v>
                </c:pt>
                <c:pt idx="39">
                  <c:v>Bishamonten</c:v>
                </c:pt>
                <c:pt idx="40">
                  <c:v> Sensés</c:v>
                </c:pt>
                <c:pt idx="41">
                  <c:v>Zerika</c:v>
                </c:pt>
                <c:pt idx="42">
                  <c:v>Atlanthia</c:v>
                </c:pt>
                <c:pt idx="43">
                  <c:v>Shalist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8219136"/>
        <c:axId val="78220672"/>
      </c:barChart>
      <c:catAx>
        <c:axId val="78219136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8220672"/>
        <c:crosses val="autoZero"/>
        <c:auto val="1"/>
        <c:lblAlgn val="ctr"/>
        <c:lblOffset val="100"/>
        <c:tickLblSkip val="1"/>
      </c:catAx>
      <c:valAx>
        <c:axId val="7822067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8219136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824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7978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0</c:v>
                </c:pt>
                <c:pt idx="1">
                  <c:v>Altrezza</c:v>
                </c:pt>
                <c:pt idx="2">
                  <c:v>Ambú</c:v>
                </c:pt>
                <c:pt idx="3">
                  <c:v>Andreah</c:v>
                </c:pt>
                <c:pt idx="4">
                  <c:v>0</c:v>
                </c:pt>
                <c:pt idx="5">
                  <c:v>Axium</c:v>
                </c:pt>
                <c:pt idx="6">
                  <c:v>0</c:v>
                </c:pt>
                <c:pt idx="7">
                  <c:v>0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Gloríus</c:v>
                </c:pt>
                <c:pt idx="12">
                  <c:v>Halfhorns</c:v>
                </c:pt>
                <c:pt idx="13">
                  <c:v>0</c:v>
                </c:pt>
                <c:pt idx="14">
                  <c:v>Incharge</c:v>
                </c:pt>
                <c:pt idx="15">
                  <c:v>Izzabelle</c:v>
                </c:pt>
                <c:pt idx="16">
                  <c:v>0</c:v>
                </c:pt>
                <c:pt idx="17">
                  <c:v>0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Mortali</c:v>
                </c:pt>
                <c:pt idx="22">
                  <c:v>Muckyfloor</c:v>
                </c:pt>
                <c:pt idx="23">
                  <c:v>Müfti</c:v>
                </c:pt>
                <c:pt idx="24">
                  <c:v>Niiwa</c:v>
                </c:pt>
                <c:pt idx="25">
                  <c:v>Niklaus</c:v>
                </c:pt>
                <c:pt idx="26">
                  <c:v>Onemanforest</c:v>
                </c:pt>
                <c:pt idx="27">
                  <c:v>Rcane</c:v>
                </c:pt>
                <c:pt idx="28">
                  <c:v>Revlash</c:v>
                </c:pt>
                <c:pt idx="29">
                  <c:v>Seraphÿm</c:v>
                </c:pt>
                <c:pt idx="30">
                  <c:v>Shinkai</c:v>
                </c:pt>
                <c:pt idx="31">
                  <c:v>Spudsux</c:v>
                </c:pt>
                <c:pt idx="32">
                  <c:v>Szion</c:v>
                </c:pt>
                <c:pt idx="33">
                  <c:v>Torwen</c:v>
                </c:pt>
                <c:pt idx="34">
                  <c:v>Vakama</c:v>
                </c:pt>
                <c:pt idx="35">
                  <c:v>Warriorxz</c:v>
                </c:pt>
                <c:pt idx="36">
                  <c:v>0</c:v>
                </c:pt>
                <c:pt idx="37">
                  <c:v>Wainesha</c:v>
                </c:pt>
                <c:pt idx="38">
                  <c:v>Birdeeh</c:v>
                </c:pt>
                <c:pt idx="39">
                  <c:v>Bishamonten</c:v>
                </c:pt>
                <c:pt idx="40">
                  <c:v> Sensés</c:v>
                </c:pt>
                <c:pt idx="41">
                  <c:v>Zerika</c:v>
                </c:pt>
                <c:pt idx="42">
                  <c:v>Atlanthia</c:v>
                </c:pt>
                <c:pt idx="43">
                  <c:v>Shalist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0</c:v>
                </c:pt>
                <c:pt idx="1">
                  <c:v>Altrezza</c:v>
                </c:pt>
                <c:pt idx="2">
                  <c:v>Ambú</c:v>
                </c:pt>
                <c:pt idx="3">
                  <c:v>Andreah</c:v>
                </c:pt>
                <c:pt idx="4">
                  <c:v>0</c:v>
                </c:pt>
                <c:pt idx="5">
                  <c:v>Axium</c:v>
                </c:pt>
                <c:pt idx="6">
                  <c:v>0</c:v>
                </c:pt>
                <c:pt idx="7">
                  <c:v>0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Gloríus</c:v>
                </c:pt>
                <c:pt idx="12">
                  <c:v>Halfhorns</c:v>
                </c:pt>
                <c:pt idx="13">
                  <c:v>0</c:v>
                </c:pt>
                <c:pt idx="14">
                  <c:v>Incharge</c:v>
                </c:pt>
                <c:pt idx="15">
                  <c:v>Izzabelle</c:v>
                </c:pt>
                <c:pt idx="16">
                  <c:v>0</c:v>
                </c:pt>
                <c:pt idx="17">
                  <c:v>0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Mortali</c:v>
                </c:pt>
                <c:pt idx="22">
                  <c:v>Muckyfloor</c:v>
                </c:pt>
                <c:pt idx="23">
                  <c:v>Müfti</c:v>
                </c:pt>
                <c:pt idx="24">
                  <c:v>Niiwa</c:v>
                </c:pt>
                <c:pt idx="25">
                  <c:v>Niklaus</c:v>
                </c:pt>
                <c:pt idx="26">
                  <c:v>Onemanforest</c:v>
                </c:pt>
                <c:pt idx="27">
                  <c:v>Rcane</c:v>
                </c:pt>
                <c:pt idx="28">
                  <c:v>Revlash</c:v>
                </c:pt>
                <c:pt idx="29">
                  <c:v>Seraphÿm</c:v>
                </c:pt>
                <c:pt idx="30">
                  <c:v>Shinkai</c:v>
                </c:pt>
                <c:pt idx="31">
                  <c:v>Spudsux</c:v>
                </c:pt>
                <c:pt idx="32">
                  <c:v>Szion</c:v>
                </c:pt>
                <c:pt idx="33">
                  <c:v>Torwen</c:v>
                </c:pt>
                <c:pt idx="34">
                  <c:v>Vakama</c:v>
                </c:pt>
                <c:pt idx="35">
                  <c:v>Warriorxz</c:v>
                </c:pt>
                <c:pt idx="36">
                  <c:v>0</c:v>
                </c:pt>
                <c:pt idx="37">
                  <c:v>Wainesha</c:v>
                </c:pt>
                <c:pt idx="38">
                  <c:v>Birdeeh</c:v>
                </c:pt>
                <c:pt idx="39">
                  <c:v>Bishamonten</c:v>
                </c:pt>
                <c:pt idx="40">
                  <c:v> Sensés</c:v>
                </c:pt>
                <c:pt idx="41">
                  <c:v>Zerika</c:v>
                </c:pt>
                <c:pt idx="42">
                  <c:v>Atlanthia</c:v>
                </c:pt>
                <c:pt idx="43">
                  <c:v>Shalist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7503616"/>
        <c:axId val="87505152"/>
      </c:barChart>
      <c:catAx>
        <c:axId val="87503616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7505152"/>
        <c:crosses val="autoZero"/>
        <c:auto val="1"/>
        <c:lblAlgn val="ctr"/>
        <c:lblOffset val="100"/>
        <c:tickLblSkip val="1"/>
      </c:catAx>
      <c:valAx>
        <c:axId val="8750515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7503616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668"/>
          <c:y val="0.1763099889591887"/>
          <c:w val="5.5400610058877933E-2"/>
          <c:h val="0.43065934138586653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P14" sqref="P14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2"/>
      <c r="J24" s="423"/>
      <c r="K24" s="424"/>
      <c r="L24" s="3"/>
      <c r="M24" s="434"/>
      <c r="N24" s="435"/>
    </row>
    <row r="25" spans="1:16" ht="15" customHeight="1">
      <c r="B25" s="384" t="s">
        <v>3</v>
      </c>
      <c r="C25" s="4">
        <f t="array" ref="C25">SUM(('Members Data'!D2:D61="Healer")*(DCC!B2:B61))</f>
        <v>98</v>
      </c>
      <c r="D25" s="4">
        <f t="array" ref="D25">SUM(('Members Data'!D2:D61="Healer")*(DCC!C2:C61))</f>
        <v>0</v>
      </c>
      <c r="E25" s="4">
        <f t="array" ref="E25">SUM(('Members Data'!D2:D61="Healer")*(DCC!D2:D61))</f>
        <v>89</v>
      </c>
      <c r="F25" s="5" t="e">
        <f>(100/D28)*D25</f>
        <v>#DIV/0!</v>
      </c>
      <c r="G25" s="154">
        <f>(100/E28)*E25</f>
        <v>28.434504792332266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218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199</v>
      </c>
      <c r="F26" s="387" t="e">
        <f>(100/D28)*D26</f>
        <v>#DIV/0!</v>
      </c>
      <c r="G26" s="388">
        <f>(100/E28)*E26</f>
        <v>63.578274760383387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27</v>
      </c>
      <c r="D27" s="390">
        <f t="array" ref="D27">SUM(('Members Data'!D2:D61="Tank")*(DCC!C2:C61))</f>
        <v>0</v>
      </c>
      <c r="E27" s="390">
        <f t="array" ref="E27">SUM(('Members Data'!D2:D61="Tank")*(DCC!D2:D61))</f>
        <v>25</v>
      </c>
      <c r="F27" s="387" t="e">
        <f>(100/D28)*D27</f>
        <v>#DIV/0!</v>
      </c>
      <c r="G27" s="388">
        <f>(100/E28)*E27</f>
        <v>7.9872204472843444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5" t="s">
        <v>6</v>
      </c>
      <c r="C28" s="10">
        <f>SUM(C25:C27)</f>
        <v>343</v>
      </c>
      <c r="D28" s="10">
        <f>SUM(D25:D27)</f>
        <v>0</v>
      </c>
      <c r="E28" s="10">
        <f>SUM(E25:E27)</f>
        <v>313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6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7" t="s">
        <v>7</v>
      </c>
      <c r="C30" s="12">
        <f>SUM(C31:C33)</f>
        <v>35</v>
      </c>
      <c r="D30" s="13" t="s">
        <v>8</v>
      </c>
      <c r="E30" s="13" t="s">
        <v>9</v>
      </c>
      <c r="F30" s="14" t="s">
        <v>10</v>
      </c>
      <c r="G30" s="165"/>
      <c r="H30" s="419" t="s">
        <v>81</v>
      </c>
      <c r="I30" s="420" t="s">
        <v>82</v>
      </c>
      <c r="J30" s="421" t="s">
        <v>210</v>
      </c>
      <c r="K30" s="417" t="s">
        <v>211</v>
      </c>
      <c r="M30" s="172"/>
      <c r="N30" s="167"/>
    </row>
    <row r="31" spans="1:16" ht="15.75" customHeight="1" thickBot="1">
      <c r="A31" s="47"/>
      <c r="B31" s="428" t="s">
        <v>3</v>
      </c>
      <c r="C31" s="391">
        <f>COUNTIF('Members Data'!D2:D61,"Healer")</f>
        <v>10</v>
      </c>
      <c r="D31" s="392">
        <f>(100/C30)*C31</f>
        <v>28.571428571428573</v>
      </c>
      <c r="E31" s="392">
        <f>(100/25)*6</f>
        <v>24</v>
      </c>
      <c r="F31" s="393">
        <f>(100/10)*3</f>
        <v>30</v>
      </c>
      <c r="G31" s="165"/>
      <c r="H31" s="487" t="s">
        <v>261</v>
      </c>
      <c r="I31" s="488"/>
      <c r="J31" s="488"/>
      <c r="K31" s="489"/>
      <c r="M31" s="416" t="s">
        <v>209</v>
      </c>
      <c r="N31" s="418" t="s">
        <v>208</v>
      </c>
    </row>
    <row r="32" spans="1:16" ht="15.75" customHeight="1" thickBot="1">
      <c r="B32" s="425" t="s">
        <v>5</v>
      </c>
      <c r="C32" s="391">
        <f>COUNTIF('Members Data'!D2:D61,"Tank")</f>
        <v>3</v>
      </c>
      <c r="D32" s="392">
        <f>(100/C30)*C32</f>
        <v>8.5714285714285712</v>
      </c>
      <c r="E32" s="392">
        <f>(100/25)*3</f>
        <v>12</v>
      </c>
      <c r="F32" s="393">
        <f>(100/10)*2</f>
        <v>20</v>
      </c>
      <c r="G32" s="165"/>
      <c r="H32" s="384" t="s">
        <v>83</v>
      </c>
      <c r="I32" s="449">
        <v>106079</v>
      </c>
      <c r="J32" s="378">
        <f>I32/100*$F$68</f>
        <v>68951.349999999991</v>
      </c>
      <c r="K32" s="448">
        <f>I32/100*$F$69</f>
        <v>84863.2</v>
      </c>
      <c r="M32" s="438"/>
      <c r="N32" s="437">
        <f>I32</f>
        <v>106079</v>
      </c>
      <c r="P32" s="376"/>
    </row>
    <row r="33" spans="2:20" ht="15.75" customHeight="1" thickBot="1">
      <c r="B33" s="425" t="s">
        <v>4</v>
      </c>
      <c r="C33" s="394">
        <f>COUNTIF('Members Data'!D2:D61,"RDPS")+COUNTIF('Members Data'!D2:D61,"MDPS")</f>
        <v>22</v>
      </c>
      <c r="D33" s="395">
        <f>(100/C30)*C33</f>
        <v>62.857142857142861</v>
      </c>
      <c r="E33" s="395">
        <f>(100/25)*16</f>
        <v>64</v>
      </c>
      <c r="F33" s="396">
        <f>(100/10)*5</f>
        <v>50</v>
      </c>
      <c r="G33" s="165"/>
      <c r="H33" s="385" t="s">
        <v>84</v>
      </c>
      <c r="I33" s="449">
        <v>94233.5</v>
      </c>
      <c r="J33" s="378">
        <f t="shared" ref="J33:J67" si="0">I33/100*$F$68</f>
        <v>61251.775000000001</v>
      </c>
      <c r="K33" s="449">
        <f t="shared" ref="K33:K61" si="1">I33/100*$F$69</f>
        <v>75386.8</v>
      </c>
      <c r="M33" s="438"/>
      <c r="N33" s="437">
        <f t="shared" ref="N33:N54" si="2">I33</f>
        <v>94233.5</v>
      </c>
      <c r="P33" s="376"/>
    </row>
    <row r="34" spans="2:20" ht="15.75" customHeight="1" thickBot="1">
      <c r="B34" s="426"/>
      <c r="C34" s="165"/>
      <c r="D34" s="165"/>
      <c r="E34" s="165"/>
      <c r="F34" s="165"/>
      <c r="G34" s="165"/>
      <c r="H34" s="385" t="s">
        <v>85</v>
      </c>
      <c r="I34" s="449">
        <v>101687.5</v>
      </c>
      <c r="J34" s="378">
        <f t="shared" si="0"/>
        <v>66096.875</v>
      </c>
      <c r="K34" s="449">
        <f t="shared" si="1"/>
        <v>81350</v>
      </c>
      <c r="M34" s="438"/>
      <c r="N34" s="437">
        <f t="shared" si="2"/>
        <v>101687.5</v>
      </c>
      <c r="P34" s="376"/>
    </row>
    <row r="35" spans="2:20" ht="15.75" customHeight="1" thickBot="1">
      <c r="B35" s="42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9">
        <v>103623.5</v>
      </c>
      <c r="J35" s="378">
        <f t="shared" si="0"/>
        <v>67355.274999999994</v>
      </c>
      <c r="K35" s="449">
        <f t="shared" si="1"/>
        <v>82898.799999999988</v>
      </c>
      <c r="L35" s="20"/>
      <c r="M35" s="438"/>
      <c r="N35" s="437">
        <f t="shared" si="2"/>
        <v>103623.5</v>
      </c>
      <c r="P35" s="376"/>
    </row>
    <row r="36" spans="2:20" ht="15" customHeight="1">
      <c r="B36" s="397" t="s">
        <v>15</v>
      </c>
      <c r="C36" s="21">
        <f>COUNTIF('Members Data'!C2:C61,"Death Knight")</f>
        <v>3</v>
      </c>
      <c r="D36" s="22"/>
      <c r="E36" s="12">
        <f t="array" ref="E36">SUM(('Members Data'!C2:C61="Death Knight")*('Members Data'!D2:D61="Tank"))</f>
        <v>0</v>
      </c>
      <c r="F36" s="23">
        <f>C36-E36</f>
        <v>3</v>
      </c>
      <c r="G36" s="165"/>
      <c r="H36" s="385" t="s">
        <v>88</v>
      </c>
      <c r="I36" s="449">
        <v>112304</v>
      </c>
      <c r="J36" s="378">
        <f t="shared" si="0"/>
        <v>72997.599999999991</v>
      </c>
      <c r="K36" s="449">
        <f t="shared" si="1"/>
        <v>89843.199999999997</v>
      </c>
      <c r="M36" s="438"/>
      <c r="N36" s="437">
        <f t="shared" si="2"/>
        <v>112304</v>
      </c>
      <c r="P36" s="376"/>
    </row>
    <row r="37" spans="2:20" ht="15" customHeight="1">
      <c r="B37" s="398" t="s">
        <v>16</v>
      </c>
      <c r="C37" s="21">
        <f>COUNTIF('Members Data'!C3:C61,"Druid")</f>
        <v>6</v>
      </c>
      <c r="D37" s="386">
        <f t="array" ref="D37">SUM(('Members Data'!C2:C61="Druid")*('Members Data'!D2:D61="Healer"))</f>
        <v>2</v>
      </c>
      <c r="E37" s="386">
        <f t="array" ref="E37">SUM(('Members Data'!C2:C61="Druid")*('Members Data'!D2:D61="Tank"))</f>
        <v>1</v>
      </c>
      <c r="F37" s="399">
        <f>C37-D37-E37</f>
        <v>3</v>
      </c>
      <c r="G37" s="165"/>
      <c r="H37" s="385" t="s">
        <v>87</v>
      </c>
      <c r="I37" s="449">
        <v>79479.5</v>
      </c>
      <c r="J37" s="378">
        <f t="shared" si="0"/>
        <v>51661.674999999996</v>
      </c>
      <c r="K37" s="449">
        <f t="shared" si="1"/>
        <v>63583.6</v>
      </c>
      <c r="M37" s="438"/>
      <c r="N37" s="437">
        <f t="shared" si="2"/>
        <v>79479.5</v>
      </c>
      <c r="P37" s="376"/>
    </row>
    <row r="38" spans="2:20" ht="15" customHeight="1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49">
        <v>101530.5</v>
      </c>
      <c r="J38" s="378">
        <f t="shared" si="0"/>
        <v>65994.824999999997</v>
      </c>
      <c r="K38" s="449">
        <f t="shared" si="1"/>
        <v>81224.399999999994</v>
      </c>
      <c r="M38" s="438"/>
      <c r="N38" s="437">
        <f t="shared" si="2"/>
        <v>101530.5</v>
      </c>
      <c r="P38" s="376"/>
    </row>
    <row r="39" spans="2:20" ht="15" customHeight="1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49">
        <v>117842.5</v>
      </c>
      <c r="J39" s="378">
        <f t="shared" si="0"/>
        <v>76597.625</v>
      </c>
      <c r="K39" s="449">
        <f t="shared" si="1"/>
        <v>94274</v>
      </c>
      <c r="M39" s="438"/>
      <c r="N39" s="437">
        <f t="shared" si="2"/>
        <v>117842.5</v>
      </c>
      <c r="P39" s="376"/>
    </row>
    <row r="40" spans="2:20" ht="15" customHeight="1">
      <c r="B40" s="398" t="s">
        <v>182</v>
      </c>
      <c r="C40" s="21">
        <f>COUNTIF('Members Data'!C2:C61,"Monk")</f>
        <v>3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0</v>
      </c>
      <c r="F40" s="399">
        <f>C40-D40-E40</f>
        <v>1</v>
      </c>
      <c r="G40" s="165"/>
      <c r="H40" s="385" t="s">
        <v>90</v>
      </c>
      <c r="I40" s="449">
        <v>102607</v>
      </c>
      <c r="J40" s="378">
        <f t="shared" si="0"/>
        <v>66694.55</v>
      </c>
      <c r="K40" s="449">
        <f t="shared" si="1"/>
        <v>82085.599999999991</v>
      </c>
      <c r="M40" s="438"/>
      <c r="N40" s="437">
        <f t="shared" si="2"/>
        <v>102607</v>
      </c>
      <c r="P40" s="376"/>
    </row>
    <row r="41" spans="2:20" ht="15" customHeight="1">
      <c r="B41" s="398" t="s">
        <v>19</v>
      </c>
      <c r="C41" s="21">
        <f>COUNTIF('Members Data'!C2:C61,"Paladin")</f>
        <v>1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0</v>
      </c>
      <c r="F41" s="399">
        <f>C41-D41-E41</f>
        <v>0</v>
      </c>
      <c r="G41" s="165"/>
      <c r="H41" s="385" t="s">
        <v>92</v>
      </c>
      <c r="I41" s="449">
        <v>87326</v>
      </c>
      <c r="J41" s="378">
        <f t="shared" si="0"/>
        <v>56761.9</v>
      </c>
      <c r="K41" s="449">
        <f t="shared" si="1"/>
        <v>69860.800000000003</v>
      </c>
      <c r="M41" s="438"/>
      <c r="N41" s="437">
        <f t="shared" si="2"/>
        <v>87326</v>
      </c>
      <c r="P41" s="376"/>
    </row>
    <row r="42" spans="2:20" ht="15" customHeight="1">
      <c r="B42" s="398" t="s">
        <v>20</v>
      </c>
      <c r="C42" s="21">
        <f>COUNTIF('Members Data'!C2:C61,"Priest")</f>
        <v>4</v>
      </c>
      <c r="D42" s="386">
        <f t="array" ref="D42">SUM(('Members Data'!C2:C61="Priest")*('Members Data'!D2:D61="Healer"))</f>
        <v>2</v>
      </c>
      <c r="E42" s="400"/>
      <c r="F42" s="399">
        <f>C42-D42</f>
        <v>2</v>
      </c>
      <c r="G42" s="165"/>
      <c r="H42" s="385" t="s">
        <v>173</v>
      </c>
      <c r="I42" s="449">
        <v>109324</v>
      </c>
      <c r="J42" s="378">
        <f t="shared" si="0"/>
        <v>71060.600000000006</v>
      </c>
      <c r="K42" s="449">
        <f t="shared" si="1"/>
        <v>87459.199999999997</v>
      </c>
      <c r="M42" s="438"/>
      <c r="N42" s="437">
        <f t="shared" si="2"/>
        <v>109324</v>
      </c>
    </row>
    <row r="43" spans="2:20" ht="15" customHeight="1">
      <c r="B43" s="398" t="s">
        <v>21</v>
      </c>
      <c r="C43" s="21">
        <f>COUNTIF('Members Data'!C2:C61,"Rogue")</f>
        <v>2</v>
      </c>
      <c r="D43" s="400"/>
      <c r="E43" s="400"/>
      <c r="F43" s="399">
        <f>C43</f>
        <v>2</v>
      </c>
      <c r="G43" s="165"/>
      <c r="H43" s="385" t="s">
        <v>93</v>
      </c>
      <c r="I43" s="449">
        <v>100896</v>
      </c>
      <c r="J43" s="378">
        <f t="shared" si="0"/>
        <v>65582.400000000009</v>
      </c>
      <c r="K43" s="449">
        <f t="shared" si="1"/>
        <v>80716.800000000003</v>
      </c>
      <c r="M43" s="438"/>
      <c r="N43" s="437">
        <f t="shared" si="2"/>
        <v>100896</v>
      </c>
      <c r="P43" s="376"/>
    </row>
    <row r="44" spans="2:20" ht="15" customHeight="1">
      <c r="B44" s="398" t="s">
        <v>22</v>
      </c>
      <c r="C44" s="21">
        <f>COUNTIF('Members Data'!C2:C61,"Shaman")</f>
        <v>4</v>
      </c>
      <c r="D44" s="386">
        <f t="array" ref="D44">SUM(('Members Data'!C2:C61="Shaman")*('Members Data'!D2:D61="Healer"))</f>
        <v>3</v>
      </c>
      <c r="E44" s="400"/>
      <c r="F44" s="399">
        <f>C44-D44</f>
        <v>1</v>
      </c>
      <c r="G44" s="165"/>
      <c r="H44" s="385" t="s">
        <v>94</v>
      </c>
      <c r="I44" s="449">
        <v>99477</v>
      </c>
      <c r="J44" s="378">
        <f t="shared" si="0"/>
        <v>64660.049999999996</v>
      </c>
      <c r="K44" s="449">
        <f t="shared" si="1"/>
        <v>79581.600000000006</v>
      </c>
      <c r="M44" s="438"/>
      <c r="N44" s="437">
        <f t="shared" si="2"/>
        <v>99477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3</v>
      </c>
      <c r="D45" s="400"/>
      <c r="E45" s="400"/>
      <c r="F45" s="399">
        <f>C45</f>
        <v>3</v>
      </c>
      <c r="G45" s="165"/>
      <c r="H45" s="385" t="s">
        <v>95</v>
      </c>
      <c r="I45" s="449">
        <v>116575</v>
      </c>
      <c r="J45" s="378">
        <f t="shared" si="0"/>
        <v>75773.75</v>
      </c>
      <c r="K45" s="449">
        <f t="shared" si="1"/>
        <v>93260</v>
      </c>
      <c r="M45" s="438"/>
      <c r="N45" s="437">
        <f t="shared" si="2"/>
        <v>116575</v>
      </c>
      <c r="P45" s="376"/>
      <c r="T45" s="449"/>
    </row>
    <row r="46" spans="2:20" ht="15" customHeight="1" thickBot="1">
      <c r="B46" s="401" t="s">
        <v>24</v>
      </c>
      <c r="C46" s="24">
        <f>COUNTIF('Members Data'!C2:C61,"Warrior")</f>
        <v>4</v>
      </c>
      <c r="D46" s="402"/>
      <c r="E46" s="403">
        <f t="array" ref="E46">SUM(('Members Data'!C2:C61="Warrior")*('Members Data'!D2:D61="Tank"))</f>
        <v>2</v>
      </c>
      <c r="F46" s="26">
        <f>C46-E46</f>
        <v>2</v>
      </c>
      <c r="G46" s="165"/>
      <c r="H46" s="385" t="s">
        <v>96</v>
      </c>
      <c r="I46" s="449">
        <v>101317.5</v>
      </c>
      <c r="J46" s="378">
        <f t="shared" si="0"/>
        <v>65856.375</v>
      </c>
      <c r="K46" s="449">
        <f t="shared" si="1"/>
        <v>81054</v>
      </c>
      <c r="M46" s="438"/>
      <c r="N46" s="437">
        <f t="shared" si="2"/>
        <v>101317.5</v>
      </c>
      <c r="P46" s="376"/>
    </row>
    <row r="47" spans="2:20" ht="15" customHeight="1" thickBot="1">
      <c r="B47" s="430"/>
      <c r="C47" s="165"/>
      <c r="D47" s="165"/>
      <c r="E47" s="165"/>
      <c r="F47" s="165"/>
      <c r="G47" s="165"/>
      <c r="H47" s="385" t="s">
        <v>97</v>
      </c>
      <c r="I47" s="449">
        <v>85194</v>
      </c>
      <c r="J47" s="378">
        <f t="shared" si="0"/>
        <v>55376.100000000006</v>
      </c>
      <c r="K47" s="449">
        <f t="shared" si="1"/>
        <v>68155.200000000012</v>
      </c>
      <c r="M47" s="438"/>
      <c r="N47" s="437">
        <f t="shared" si="2"/>
        <v>85194</v>
      </c>
      <c r="P47" s="376"/>
    </row>
    <row r="48" spans="2:20" ht="15" customHeight="1" thickBot="1">
      <c r="B48" s="431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9">
        <v>102178</v>
      </c>
      <c r="J48" s="378">
        <f t="shared" si="0"/>
        <v>66415.7</v>
      </c>
      <c r="K48" s="449">
        <f t="shared" si="1"/>
        <v>81742.399999999994</v>
      </c>
      <c r="M48" s="438"/>
      <c r="N48" s="437">
        <f t="shared" si="2"/>
        <v>102178</v>
      </c>
      <c r="P48" s="376"/>
    </row>
    <row r="49" spans="2:16" ht="15" customHeight="1">
      <c r="B49" s="429" t="s">
        <v>3</v>
      </c>
      <c r="C49" s="29">
        <f>SUMIF('Members Data'!D2:D61,"Healer",'Members Data'!E2:E61)/COUNTIF('Members Data'!D2:D61,"Healer")</f>
        <v>5</v>
      </c>
      <c r="D49" s="165"/>
      <c r="E49" s="181">
        <v>5800</v>
      </c>
      <c r="F49" s="163">
        <v>0</v>
      </c>
      <c r="G49" s="165"/>
      <c r="H49" s="385" t="s">
        <v>99</v>
      </c>
      <c r="I49" s="449">
        <v>103008.5</v>
      </c>
      <c r="J49" s="378">
        <f t="shared" si="0"/>
        <v>66955.525000000009</v>
      </c>
      <c r="K49" s="449">
        <f t="shared" si="1"/>
        <v>82406.8</v>
      </c>
      <c r="M49" s="438"/>
      <c r="N49" s="437">
        <f t="shared" si="2"/>
        <v>103008.5</v>
      </c>
      <c r="P49" s="376"/>
    </row>
    <row r="50" spans="2:16" ht="15" customHeight="1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5</v>
      </c>
      <c r="D50" s="165"/>
      <c r="E50" s="405">
        <f t="shared" ref="E50:E57" si="3">((($E$58-$E$49)/9)*F50)+$E$49</f>
        <v>6044.4444444444443</v>
      </c>
      <c r="F50" s="406">
        <v>1</v>
      </c>
      <c r="G50" s="165"/>
      <c r="H50" s="385" t="s">
        <v>101</v>
      </c>
      <c r="I50" s="449">
        <v>121120.5</v>
      </c>
      <c r="J50" s="378">
        <f t="shared" si="0"/>
        <v>78728.324999999997</v>
      </c>
      <c r="K50" s="449">
        <f t="shared" si="1"/>
        <v>96896.4</v>
      </c>
      <c r="M50" s="438"/>
      <c r="N50" s="437">
        <f t="shared" si="2"/>
        <v>121120.5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5</v>
      </c>
      <c r="D51" s="165"/>
      <c r="E51" s="405">
        <f t="shared" si="3"/>
        <v>6288.8888888888887</v>
      </c>
      <c r="F51" s="406">
        <v>2</v>
      </c>
      <c r="G51" s="165"/>
      <c r="H51" s="385" t="s">
        <v>102</v>
      </c>
      <c r="I51" s="449">
        <v>94591.5</v>
      </c>
      <c r="J51" s="378">
        <f t="shared" si="0"/>
        <v>61484.474999999999</v>
      </c>
      <c r="K51" s="449">
        <f t="shared" si="1"/>
        <v>75673.2</v>
      </c>
      <c r="M51" s="438"/>
      <c r="N51" s="437">
        <f t="shared" si="2"/>
        <v>94591.5</v>
      </c>
      <c r="P51" s="376"/>
    </row>
    <row r="52" spans="2:16" ht="15" customHeight="1" thickBot="1">
      <c r="B52" s="426"/>
      <c r="C52" s="165"/>
      <c r="D52" s="165"/>
      <c r="E52" s="405">
        <f t="shared" si="3"/>
        <v>6533.333333333333</v>
      </c>
      <c r="F52" s="406">
        <v>3</v>
      </c>
      <c r="G52" s="165"/>
      <c r="H52" s="385" t="s">
        <v>100</v>
      </c>
      <c r="I52" s="449">
        <v>96355.5</v>
      </c>
      <c r="J52" s="378">
        <f t="shared" si="0"/>
        <v>62631.074999999997</v>
      </c>
      <c r="K52" s="449">
        <f t="shared" si="1"/>
        <v>77084.399999999994</v>
      </c>
      <c r="M52" s="438"/>
      <c r="N52" s="437">
        <f t="shared" si="2"/>
        <v>96355.5</v>
      </c>
      <c r="P52" s="376"/>
    </row>
    <row r="53" spans="2:16" ht="15" customHeight="1">
      <c r="B53" s="429" t="s">
        <v>15</v>
      </c>
      <c r="C53" s="29">
        <f>SUMIF('Members Data'!C2:C61,"Death Knight",'Members Data'!E2:E61)/COUNTIF('Members Data'!C2:C61,"Death Knight")</f>
        <v>5</v>
      </c>
      <c r="D53" s="165"/>
      <c r="E53" s="405">
        <f t="shared" si="3"/>
        <v>6777.7777777777774</v>
      </c>
      <c r="F53" s="406">
        <v>4</v>
      </c>
      <c r="G53" s="165"/>
      <c r="H53" s="385" t="s">
        <v>103</v>
      </c>
      <c r="I53" s="449">
        <v>86535</v>
      </c>
      <c r="J53" s="378">
        <f t="shared" si="0"/>
        <v>56247.75</v>
      </c>
      <c r="K53" s="449">
        <f t="shared" si="1"/>
        <v>69228</v>
      </c>
      <c r="M53" s="438"/>
      <c r="N53" s="437">
        <f t="shared" si="2"/>
        <v>86535</v>
      </c>
      <c r="P53" s="376"/>
    </row>
    <row r="54" spans="2:16" ht="15" customHeight="1" thickBot="1">
      <c r="B54" s="385" t="s">
        <v>16</v>
      </c>
      <c r="C54" s="404">
        <f>SUMIF('Members Data'!C2:C61,"Druid",'Members Data'!E2:E61)/COUNTIF('Members Data'!C2:C61,"Druid")</f>
        <v>5</v>
      </c>
      <c r="D54" s="165"/>
      <c r="E54" s="409">
        <f t="shared" si="3"/>
        <v>7022.2222222222226</v>
      </c>
      <c r="F54" s="406">
        <v>5</v>
      </c>
      <c r="G54" s="165"/>
      <c r="H54" s="385" t="s">
        <v>104</v>
      </c>
      <c r="I54" s="449">
        <v>111464.5</v>
      </c>
      <c r="J54" s="378">
        <f t="shared" si="0"/>
        <v>72451.925000000003</v>
      </c>
      <c r="K54" s="450">
        <f t="shared" si="1"/>
        <v>89171.6</v>
      </c>
      <c r="M54" s="438"/>
      <c r="N54" s="437">
        <f t="shared" si="2"/>
        <v>111464.5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5</v>
      </c>
      <c r="D55" s="165"/>
      <c r="E55" s="405">
        <f t="shared" si="3"/>
        <v>7266.666666666667</v>
      </c>
      <c r="F55" s="406">
        <v>6</v>
      </c>
      <c r="G55" s="165"/>
      <c r="H55" s="487" t="s">
        <v>261</v>
      </c>
      <c r="I55" s="488"/>
      <c r="J55" s="488"/>
      <c r="K55" s="489"/>
      <c r="M55" s="487"/>
      <c r="N55" s="489"/>
    </row>
    <row r="56" spans="2:16" ht="15" customHeight="1">
      <c r="B56" s="385" t="s">
        <v>18</v>
      </c>
      <c r="C56" s="404">
        <f>SUMIF('Members Data'!C2:C61,"Mage",'Members Data'!E2:E61)/COUNTIF('Members Data'!C2:C61,"Mage")</f>
        <v>5</v>
      </c>
      <c r="D56" s="165"/>
      <c r="E56" s="405">
        <f t="shared" si="3"/>
        <v>7511.1111111111113</v>
      </c>
      <c r="F56" s="406">
        <v>7</v>
      </c>
      <c r="G56" s="165"/>
      <c r="H56" s="451" t="s">
        <v>107</v>
      </c>
      <c r="I56" s="449">
        <v>48648.5</v>
      </c>
      <c r="J56" s="453">
        <f t="shared" si="0"/>
        <v>31621.525000000001</v>
      </c>
      <c r="K56" s="448">
        <f t="shared" si="1"/>
        <v>38918.800000000003</v>
      </c>
      <c r="L56" s="376"/>
      <c r="M56" s="438"/>
      <c r="N56" s="454">
        <f>I56</f>
        <v>48648.5</v>
      </c>
      <c r="P56" s="376"/>
    </row>
    <row r="57" spans="2:16" ht="15" customHeight="1">
      <c r="B57" s="385" t="s">
        <v>19</v>
      </c>
      <c r="C57" s="404">
        <f>SUMIF('Members Data'!C2:C61,"Paladin",'Members Data'!E2:E61)/COUNTIF('Members Data'!C2:C61,"Paladin")</f>
        <v>5</v>
      </c>
      <c r="D57" s="165"/>
      <c r="E57" s="405">
        <f t="shared" si="3"/>
        <v>7755.5555555555557</v>
      </c>
      <c r="F57" s="406">
        <v>8</v>
      </c>
      <c r="G57" s="165"/>
      <c r="H57" s="451" t="s">
        <v>172</v>
      </c>
      <c r="I57" s="449">
        <v>46395</v>
      </c>
      <c r="J57" s="453">
        <f t="shared" si="0"/>
        <v>30156.75</v>
      </c>
      <c r="K57" s="449">
        <f t="shared" si="1"/>
        <v>37116</v>
      </c>
      <c r="M57" s="438"/>
      <c r="N57" s="454">
        <f t="shared" ref="N57:N61" si="4">I57</f>
        <v>46395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5</v>
      </c>
      <c r="D58" s="165"/>
      <c r="E58" s="410">
        <v>8000</v>
      </c>
      <c r="F58" s="411">
        <v>9</v>
      </c>
      <c r="G58" s="165"/>
      <c r="H58" s="451" t="s">
        <v>108</v>
      </c>
      <c r="I58" s="449">
        <v>56139.5</v>
      </c>
      <c r="J58" s="453">
        <f t="shared" si="0"/>
        <v>36490.674999999996</v>
      </c>
      <c r="K58" s="449">
        <f t="shared" si="1"/>
        <v>44911.6</v>
      </c>
      <c r="L58" s="376"/>
      <c r="M58" s="438"/>
      <c r="N58" s="454">
        <f t="shared" si="4"/>
        <v>56139.5</v>
      </c>
      <c r="P58" s="376"/>
    </row>
    <row r="59" spans="2:16" ht="15" customHeight="1">
      <c r="B59" s="385" t="s">
        <v>21</v>
      </c>
      <c r="C59" s="404">
        <f>SUMIF('Members Data'!C2:C61,"Rogue",'Members Data'!E2:E61)/COUNTIF('Members Data'!C2:C61,"Rogue")</f>
        <v>5</v>
      </c>
      <c r="D59" s="165"/>
      <c r="E59" s="165"/>
      <c r="F59" s="165"/>
      <c r="G59" s="165"/>
      <c r="H59" s="451" t="s">
        <v>106</v>
      </c>
      <c r="I59" s="449">
        <v>66602</v>
      </c>
      <c r="J59" s="453">
        <f t="shared" si="0"/>
        <v>43291.299999999996</v>
      </c>
      <c r="K59" s="449">
        <f t="shared" si="1"/>
        <v>53281.599999999999</v>
      </c>
      <c r="L59" s="376"/>
      <c r="M59" s="438"/>
      <c r="N59" s="454">
        <f t="shared" si="4"/>
        <v>66602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5</v>
      </c>
      <c r="D60" s="165"/>
      <c r="E60" s="165"/>
      <c r="F60" s="165"/>
      <c r="G60" s="165"/>
      <c r="H60" s="451" t="s">
        <v>105</v>
      </c>
      <c r="I60" s="449">
        <v>49879</v>
      </c>
      <c r="J60" s="453">
        <f t="shared" si="0"/>
        <v>32421.350000000002</v>
      </c>
      <c r="K60" s="449">
        <f t="shared" si="1"/>
        <v>39903.200000000004</v>
      </c>
      <c r="L60" s="376"/>
      <c r="M60" s="438"/>
      <c r="N60" s="454">
        <f t="shared" si="4"/>
        <v>49879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5</v>
      </c>
      <c r="D61" s="165"/>
      <c r="E61" s="176"/>
      <c r="F61" s="176"/>
      <c r="G61" s="165"/>
      <c r="H61" s="451" t="s">
        <v>109</v>
      </c>
      <c r="I61" s="449">
        <v>56027.5</v>
      </c>
      <c r="J61" s="453">
        <f t="shared" si="0"/>
        <v>36417.875</v>
      </c>
      <c r="K61" s="450">
        <f t="shared" si="1"/>
        <v>44822</v>
      </c>
      <c r="L61" s="376"/>
      <c r="M61" s="438"/>
      <c r="N61" s="454">
        <f t="shared" si="4"/>
        <v>56027.5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5</v>
      </c>
      <c r="D62" s="165"/>
      <c r="E62" s="177"/>
      <c r="F62" s="178"/>
      <c r="G62" s="165"/>
      <c r="H62" s="487" t="s">
        <v>261</v>
      </c>
      <c r="I62" s="488"/>
      <c r="J62" s="488"/>
      <c r="K62" s="489"/>
      <c r="M62" s="487"/>
      <c r="N62" s="489"/>
    </row>
    <row r="63" spans="2:16" ht="15" customHeight="1" thickBot="1">
      <c r="B63" s="426"/>
      <c r="C63" s="165"/>
      <c r="D63" s="165"/>
      <c r="E63" s="177"/>
      <c r="F63" s="178"/>
      <c r="G63" s="165"/>
      <c r="H63" s="451" t="s">
        <v>110</v>
      </c>
      <c r="I63" s="449">
        <v>69724</v>
      </c>
      <c r="J63" s="448">
        <f t="shared" si="0"/>
        <v>45320.6</v>
      </c>
      <c r="K63" s="448">
        <f t="shared" ref="K63:K67" si="5">I63/100*$F$69</f>
        <v>55779.199999999997</v>
      </c>
      <c r="M63" s="438"/>
      <c r="N63" s="454">
        <f>I63</f>
        <v>69724</v>
      </c>
      <c r="P63" s="376"/>
    </row>
    <row r="64" spans="2:16" ht="15" customHeight="1" thickBot="1">
      <c r="B64" s="427" t="s">
        <v>117</v>
      </c>
      <c r="C64" s="236">
        <f>SUM('Members Data'!E2:E32)/(60-COUNTIF('Members Data'!A2:A61,""))</f>
        <v>3.2857142857142856</v>
      </c>
      <c r="D64" s="412">
        <f>(SUM(Gear!K2:K61))/(60-COUNTIF(Gear!A2:A61,0))</f>
        <v>7147.1428571428569</v>
      </c>
      <c r="E64" s="177"/>
      <c r="F64" s="178"/>
      <c r="G64" s="165"/>
      <c r="H64" s="451" t="s">
        <v>171</v>
      </c>
      <c r="I64" s="449">
        <v>71688</v>
      </c>
      <c r="J64" s="449">
        <f t="shared" si="0"/>
        <v>46597.2</v>
      </c>
      <c r="K64" s="449">
        <f t="shared" si="5"/>
        <v>57350.400000000001</v>
      </c>
      <c r="M64" s="438"/>
      <c r="N64" s="454">
        <f t="shared" ref="N64:N67" si="6">I64</f>
        <v>71688</v>
      </c>
      <c r="P64" s="376"/>
    </row>
    <row r="65" spans="2:16" ht="15" customHeight="1" thickBot="1">
      <c r="B65" s="426"/>
      <c r="C65" s="180"/>
      <c r="D65" s="179"/>
      <c r="E65" s="179"/>
      <c r="F65" s="179"/>
      <c r="G65" s="165"/>
      <c r="H65" s="451" t="s">
        <v>170</v>
      </c>
      <c r="I65" s="449">
        <v>68920</v>
      </c>
      <c r="J65" s="449">
        <f t="shared" si="0"/>
        <v>44798</v>
      </c>
      <c r="K65" s="449">
        <f t="shared" si="5"/>
        <v>55136</v>
      </c>
      <c r="M65" s="438"/>
      <c r="N65" s="454">
        <f t="shared" si="6"/>
        <v>68920</v>
      </c>
    </row>
    <row r="66" spans="2:16" ht="15" customHeight="1" thickBot="1">
      <c r="B66" s="43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1" t="s">
        <v>111</v>
      </c>
      <c r="I66" s="449">
        <v>73596.5</v>
      </c>
      <c r="J66" s="449">
        <f t="shared" si="0"/>
        <v>47837.724999999999</v>
      </c>
      <c r="K66" s="449">
        <f t="shared" si="5"/>
        <v>58877.200000000004</v>
      </c>
      <c r="M66" s="438"/>
      <c r="N66" s="454">
        <f t="shared" si="6"/>
        <v>73596.5</v>
      </c>
      <c r="P66" s="376"/>
    </row>
    <row r="67" spans="2:16" ht="15" customHeight="1" thickBot="1">
      <c r="B67" s="429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2" t="s">
        <v>112</v>
      </c>
      <c r="I67" s="449">
        <v>66630</v>
      </c>
      <c r="J67" s="450">
        <f t="shared" si="0"/>
        <v>43309.5</v>
      </c>
      <c r="K67" s="450">
        <f t="shared" si="5"/>
        <v>53304</v>
      </c>
      <c r="M67" s="438"/>
      <c r="N67" s="454">
        <f t="shared" si="6"/>
        <v>66630</v>
      </c>
      <c r="P67" s="376"/>
    </row>
    <row r="68" spans="2:16" ht="15" customHeight="1">
      <c r="B68" s="385" t="s">
        <v>31</v>
      </c>
      <c r="C68" s="413">
        <v>6</v>
      </c>
      <c r="D68" s="413">
        <v>3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2"/>
      <c r="K69" s="433"/>
      <c r="M69" s="436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6" sqref="B3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'wk1'!H2+2</f>
        <v>41283</v>
      </c>
      <c r="C2" s="211">
        <f>B2</f>
        <v>41283</v>
      </c>
      <c r="D2" s="211">
        <f t="shared" ref="D2:H2" si="0">C2+1</f>
        <v>41284</v>
      </c>
      <c r="E2" s="211">
        <f>D2</f>
        <v>41284</v>
      </c>
      <c r="F2" s="211">
        <f>E2+3</f>
        <v>41287</v>
      </c>
      <c r="G2" s="211">
        <f>F2</f>
        <v>41287</v>
      </c>
      <c r="H2" s="212">
        <f t="shared" si="0"/>
        <v>41288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251</v>
      </c>
      <c r="C3" s="61"/>
      <c r="D3" s="61" t="s">
        <v>251</v>
      </c>
      <c r="E3" s="61"/>
      <c r="F3" s="61"/>
      <c r="G3" s="61"/>
      <c r="H3" s="62" t="s">
        <v>251</v>
      </c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265</v>
      </c>
      <c r="C5" s="65"/>
      <c r="D5" s="65" t="s">
        <v>265</v>
      </c>
      <c r="E5" s="65"/>
      <c r="F5" s="65"/>
      <c r="G5" s="65"/>
      <c r="H5" s="66" t="s">
        <v>252</v>
      </c>
      <c r="I5" s="500"/>
      <c r="J5" s="494"/>
      <c r="K5" s="494"/>
      <c r="L5" s="494"/>
      <c r="M5" s="494"/>
      <c r="N5" s="494"/>
      <c r="O5" s="497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0"/>
      <c r="J7" s="494"/>
      <c r="K7" s="494"/>
      <c r="L7" s="494"/>
      <c r="M7" s="494"/>
      <c r="N7" s="494"/>
      <c r="O7" s="497"/>
      <c r="R7" s="71"/>
    </row>
    <row r="8" spans="1:18">
      <c r="A8" s="58" t="s">
        <v>52</v>
      </c>
      <c r="B8" s="216">
        <f t="shared" ref="B8:H8" si="2">COUNTIF(B10:B69,"Standby")</f>
        <v>5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1</v>
      </c>
      <c r="I8" s="500"/>
      <c r="J8" s="494"/>
      <c r="K8" s="494"/>
      <c r="L8" s="494"/>
      <c r="M8" s="494"/>
      <c r="N8" s="494"/>
      <c r="O8" s="497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1"/>
      <c r="J9" s="495"/>
      <c r="K9" s="495"/>
      <c r="L9" s="495"/>
      <c r="M9" s="495"/>
      <c r="N9" s="495"/>
      <c r="O9" s="498"/>
      <c r="R9" s="71"/>
    </row>
    <row r="10" spans="1:18" ht="15" customHeight="1">
      <c r="A10" s="5">
        <f>'Members Data'!A2</f>
        <v>0</v>
      </c>
      <c r="B10" s="196"/>
      <c r="C10" s="200"/>
      <c r="D10" s="197"/>
      <c r="E10" s="197"/>
      <c r="F10" s="197"/>
      <c r="G10" s="200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 t="s">
        <v>52</v>
      </c>
      <c r="I11" s="70">
        <f t="array" ref="I11">SUM(($B11:$H11="confirmed")*($B$4:$H$4=25))</f>
        <v>1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1</v>
      </c>
      <c r="O11" s="16">
        <f t="shared" si="6"/>
        <v>0</v>
      </c>
      <c r="R11"/>
    </row>
    <row r="12" spans="1:18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Andreah</v>
      </c>
      <c r="B13" s="199" t="s">
        <v>53</v>
      </c>
      <c r="C13" s="202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>
        <f>'Members Data'!A6</f>
        <v>0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Axium</v>
      </c>
      <c r="B15" s="199" t="s">
        <v>53</v>
      </c>
      <c r="C15" s="200"/>
      <c r="D15" s="200" t="s">
        <v>53</v>
      </c>
      <c r="E15" s="200"/>
      <c r="F15" s="200"/>
      <c r="G15" s="200"/>
      <c r="H15" s="201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>
        <f>'Members Data'!A8</f>
        <v>0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>
        <f>'Members Data'!A9</f>
        <v>0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Craving</v>
      </c>
      <c r="B18" s="199" t="s">
        <v>52</v>
      </c>
      <c r="C18" s="200"/>
      <c r="D18" s="200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1</v>
      </c>
      <c r="O18" s="16">
        <f t="shared" si="6"/>
        <v>0</v>
      </c>
      <c r="R18"/>
    </row>
    <row r="19" spans="1:18" ht="15" customHeight="1">
      <c r="A19" s="9" t="str">
        <f>'Members Data'!A11</f>
        <v>Darsid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 t="str">
        <f>'Members Data'!A12</f>
        <v>Droodcaster</v>
      </c>
      <c r="B20" s="199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Gloríus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Halfhorns</v>
      </c>
      <c r="B22" s="199" t="s">
        <v>53</v>
      </c>
      <c r="C22" s="200"/>
      <c r="D22" s="200"/>
      <c r="E22" s="200"/>
      <c r="F22" s="200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Incharge</v>
      </c>
      <c r="B24" s="199" t="s">
        <v>53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</row>
    <row r="26" spans="1:18" ht="15" customHeight="1">
      <c r="A26" s="9">
        <f>'Members Data'!A18</f>
        <v>0</v>
      </c>
      <c r="B26" s="199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</row>
    <row r="27" spans="1:18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Lychi</v>
      </c>
      <c r="B28" s="199"/>
      <c r="C28" s="200"/>
      <c r="D28" s="200" t="s">
        <v>52</v>
      </c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1</v>
      </c>
      <c r="O28" s="16">
        <f t="shared" si="6"/>
        <v>0</v>
      </c>
    </row>
    <row r="29" spans="1:18" ht="15" customHeight="1">
      <c r="A29" s="9" t="str">
        <f>'Members Data'!A21</f>
        <v>Meltface</v>
      </c>
      <c r="B29" s="199" t="s">
        <v>53</v>
      </c>
      <c r="C29" s="200"/>
      <c r="D29" s="200"/>
      <c r="E29" s="200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Mortali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Muckyfloor</v>
      </c>
      <c r="B32" s="199" t="s">
        <v>52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2</v>
      </c>
      <c r="J32" s="43">
        <f t="array" ref="J32">SUM(($B32:$H32="standby")*($B$4:$H$4=25))</f>
        <v>1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1</v>
      </c>
      <c r="O32" s="16">
        <f t="shared" si="6"/>
        <v>0</v>
      </c>
      <c r="Q32"/>
    </row>
    <row r="33" spans="1:17" ht="15" customHeight="1">
      <c r="A33" s="9" t="str">
        <f>'Members Data'!A25</f>
        <v>Müfti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Niiwa</v>
      </c>
      <c r="B34" s="199" t="s">
        <v>52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1</v>
      </c>
      <c r="O34" s="16">
        <f t="shared" si="6"/>
        <v>0</v>
      </c>
      <c r="Q34"/>
    </row>
    <row r="35" spans="1:17" ht="15" customHeight="1">
      <c r="A35" s="9" t="str">
        <f>'Members Data'!A27</f>
        <v>Niklaus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Onemanforest</v>
      </c>
      <c r="B36" s="199" t="s">
        <v>52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2</v>
      </c>
      <c r="J36" s="43">
        <f t="array" ref="J36">SUM(($B36:$H36="standby")*($B$4:$H$4=25))</f>
        <v>1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1</v>
      </c>
      <c r="O36" s="16">
        <f t="shared" si="6"/>
        <v>0</v>
      </c>
      <c r="Q36"/>
    </row>
    <row r="37" spans="1:17" ht="15" customHeight="1">
      <c r="A37" s="9" t="str">
        <f>'Members Data'!A29</f>
        <v>Rcane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Revlash</v>
      </c>
      <c r="B38" s="199" t="s">
        <v>52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1</v>
      </c>
      <c r="O38" s="16">
        <f t="shared" si="6"/>
        <v>0</v>
      </c>
      <c r="Q38"/>
    </row>
    <row r="39" spans="1:17" ht="15" customHeight="1">
      <c r="A39" s="9" t="str">
        <f>'Members Data'!A31</f>
        <v>Seraphÿm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Shinkai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Spudsux</v>
      </c>
      <c r="B41" s="199"/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Szion</v>
      </c>
      <c r="B42" s="199" t="s">
        <v>53</v>
      </c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Torwen</v>
      </c>
      <c r="B43" s="199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Vakama</v>
      </c>
      <c r="B44" s="199" t="s">
        <v>53</v>
      </c>
      <c r="C44" s="200"/>
      <c r="D44" s="200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Warriorxz</v>
      </c>
      <c r="B45" s="199" t="s">
        <v>53</v>
      </c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Wainesha</v>
      </c>
      <c r="B47" s="199" t="s">
        <v>53</v>
      </c>
      <c r="C47" s="200"/>
      <c r="D47" s="200" t="s">
        <v>53</v>
      </c>
      <c r="E47" s="200"/>
      <c r="F47" s="200"/>
      <c r="G47" s="200"/>
      <c r="H47" s="201" t="s">
        <v>53</v>
      </c>
      <c r="I47" s="70">
        <f t="array" ref="I47">SUM(($B47:$H47="confirmed")*($B$4:$H$4=25))</f>
        <v>3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Birdeeh</v>
      </c>
      <c r="B48" s="199" t="s">
        <v>53</v>
      </c>
      <c r="C48" s="200"/>
      <c r="D48" s="200" t="s">
        <v>53</v>
      </c>
      <c r="E48" s="200"/>
      <c r="F48" s="200"/>
      <c r="G48" s="200"/>
      <c r="H48" s="201" t="s">
        <v>53</v>
      </c>
      <c r="I48" s="70">
        <f t="array" ref="I48">SUM(($B48:$H48="confirmed")*($B$4:$H$4=25))</f>
        <v>3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3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Bishamonten</v>
      </c>
      <c r="B49" s="199" t="s">
        <v>53</v>
      </c>
      <c r="C49" s="200"/>
      <c r="D49" s="200" t="s">
        <v>53</v>
      </c>
      <c r="E49" s="200"/>
      <c r="F49" s="200"/>
      <c r="G49" s="200"/>
      <c r="H49" s="201" t="s">
        <v>53</v>
      </c>
      <c r="I49" s="70">
        <f t="array" ref="I49">SUM(($B49:$H49="confirmed")*($B$4:$H$4=25))</f>
        <v>3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3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 xml:space="preserve"> Sensés</v>
      </c>
      <c r="B50" s="199" t="s">
        <v>53</v>
      </c>
      <c r="C50" s="200"/>
      <c r="D50" s="200" t="s">
        <v>53</v>
      </c>
      <c r="E50" s="200"/>
      <c r="F50" s="200"/>
      <c r="G50" s="200"/>
      <c r="H50" s="201" t="s">
        <v>53</v>
      </c>
      <c r="I50" s="70">
        <f t="array" ref="I50">SUM(($B50:$H50="confirmed")*($B$4:$H$4=25))</f>
        <v>3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3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Zerika</v>
      </c>
      <c r="B51" s="199" t="s">
        <v>53</v>
      </c>
      <c r="C51" s="200"/>
      <c r="D51" s="200" t="s">
        <v>53</v>
      </c>
      <c r="E51" s="200"/>
      <c r="F51" s="200"/>
      <c r="G51" s="200"/>
      <c r="H51" s="201" t="s">
        <v>53</v>
      </c>
      <c r="I51" s="70">
        <f t="array" ref="I51">SUM(($B51:$H51="confirmed")*($B$4:$H$4=25))</f>
        <v>3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3</v>
      </c>
      <c r="N51" s="15">
        <f t="shared" si="8"/>
        <v>0</v>
      </c>
      <c r="O51" s="16">
        <f t="shared" si="9"/>
        <v>0</v>
      </c>
    </row>
    <row r="52" spans="1:15" ht="15" customHeight="1">
      <c r="A52" s="9" t="str">
        <f>'Members Data'!A44</f>
        <v>Atlanthia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Shalist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0" priority="1" stopIfTrue="1">
      <formula>IF(O10&gt;0,TRUE)</formula>
    </cfRule>
    <cfRule type="expression" dxfId="19" priority="2" stopIfTrue="1">
      <formula>IF(SUM(M10:N10)&gt;1,TRUE)</formula>
    </cfRule>
    <cfRule type="expression" dxfId="18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4" sqref="B14:H14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21" ht="15.75" customHeight="1" thickBot="1">
      <c r="A2" s="54" t="s">
        <v>48</v>
      </c>
      <c r="B2" s="220">
        <f>'wk2'!H2+2</f>
        <v>41290</v>
      </c>
      <c r="C2" s="211">
        <f>B2</f>
        <v>41290</v>
      </c>
      <c r="D2" s="211">
        <f t="shared" ref="D2:H2" si="0">C2+1</f>
        <v>41291</v>
      </c>
      <c r="E2" s="211">
        <f>D2</f>
        <v>41291</v>
      </c>
      <c r="F2" s="211">
        <f>E2+3</f>
        <v>41294</v>
      </c>
      <c r="G2" s="211">
        <f>F2</f>
        <v>41294</v>
      </c>
      <c r="H2" s="212">
        <f t="shared" si="0"/>
        <v>41295</v>
      </c>
      <c r="I2" s="500"/>
      <c r="J2" s="494"/>
      <c r="K2" s="494"/>
      <c r="L2" s="494"/>
      <c r="M2" s="494"/>
      <c r="N2" s="494"/>
      <c r="O2" s="497"/>
    </row>
    <row r="3" spans="1:21" ht="15.75" customHeight="1" thickBot="1">
      <c r="A3" s="54" t="s">
        <v>49</v>
      </c>
      <c r="B3" s="60" t="s">
        <v>251</v>
      </c>
      <c r="C3" s="61"/>
      <c r="D3" s="61" t="s">
        <v>270</v>
      </c>
      <c r="E3" s="61"/>
      <c r="F3" s="61"/>
      <c r="G3" s="61"/>
      <c r="H3" s="62" t="s">
        <v>270</v>
      </c>
      <c r="I3" s="500"/>
      <c r="J3" s="494"/>
      <c r="K3" s="494"/>
      <c r="L3" s="494"/>
      <c r="M3" s="494"/>
      <c r="N3" s="494"/>
      <c r="O3" s="497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21" ht="30.75" customHeight="1" thickBot="1">
      <c r="A5" s="54" t="s">
        <v>51</v>
      </c>
      <c r="B5" s="64" t="s">
        <v>265</v>
      </c>
      <c r="C5" s="65"/>
      <c r="D5" s="65" t="s">
        <v>252</v>
      </c>
      <c r="E5" s="65"/>
      <c r="F5" s="65"/>
      <c r="G5" s="65"/>
      <c r="H5" s="66" t="s">
        <v>252</v>
      </c>
      <c r="I5" s="500"/>
      <c r="J5" s="494"/>
      <c r="K5" s="494"/>
      <c r="L5" s="494"/>
      <c r="M5" s="494"/>
      <c r="N5" s="494"/>
      <c r="O5" s="497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21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0"/>
      <c r="J7" s="494"/>
      <c r="K7" s="494"/>
      <c r="L7" s="494"/>
      <c r="M7" s="494"/>
      <c r="N7" s="494"/>
      <c r="O7" s="497"/>
      <c r="R7" s="71"/>
    </row>
    <row r="8" spans="1:21">
      <c r="A8" s="58" t="s">
        <v>52</v>
      </c>
      <c r="B8" s="216">
        <f t="shared" ref="B8:H8" si="2">COUNTIF(B10:B69,"Standby")</f>
        <v>1</v>
      </c>
      <c r="C8" s="216">
        <f t="shared" si="2"/>
        <v>0</v>
      </c>
      <c r="D8" s="216">
        <f t="shared" si="2"/>
        <v>4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4</v>
      </c>
      <c r="I8" s="500"/>
      <c r="J8" s="494"/>
      <c r="K8" s="494"/>
      <c r="L8" s="494"/>
      <c r="M8" s="494"/>
      <c r="N8" s="494"/>
      <c r="O8" s="497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1"/>
      <c r="J9" s="495"/>
      <c r="K9" s="495"/>
      <c r="L9" s="495"/>
      <c r="M9" s="495"/>
      <c r="N9" s="495"/>
      <c r="O9" s="498"/>
      <c r="R9" s="71"/>
    </row>
    <row r="10" spans="1:21" ht="15" customHeight="1">
      <c r="A10" s="5">
        <f>'Members Data'!A2</f>
        <v>0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Andreah</v>
      </c>
      <c r="B13" s="199"/>
      <c r="C13" s="200"/>
      <c r="D13" s="200" t="s">
        <v>53</v>
      </c>
      <c r="E13" s="200"/>
      <c r="F13" s="200"/>
      <c r="G13" s="200"/>
      <c r="H13" s="201" t="s">
        <v>52</v>
      </c>
      <c r="I13" s="70">
        <f t="array" ref="I13">SUM(($B13:$H13="confirmed")*($B$4:$H$4=25))</f>
        <v>1</v>
      </c>
      <c r="J13" s="43">
        <f t="array" ref="J13">SUM(($B13:$H13="standby")*($B$4:$H$4=25))</f>
        <v>1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1</v>
      </c>
      <c r="O13" s="16">
        <f t="shared" si="6"/>
        <v>0</v>
      </c>
      <c r="Q13"/>
      <c r="U13"/>
    </row>
    <row r="14" spans="1:21" ht="15" customHeight="1">
      <c r="A14" s="9">
        <f>'Members Data'!A6</f>
        <v>0</v>
      </c>
      <c r="B14" s="199"/>
      <c r="C14" s="200"/>
      <c r="D14" s="202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Axium</v>
      </c>
      <c r="B15" s="332" t="s">
        <v>53</v>
      </c>
      <c r="C15" s="200"/>
      <c r="D15" s="202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>
        <f>'Members Data'!A8</f>
        <v>0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>
        <f>'Members Data'!A9</f>
        <v>0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Craving</v>
      </c>
      <c r="B18" s="332" t="s">
        <v>53</v>
      </c>
      <c r="C18" s="200"/>
      <c r="D18" s="202" t="s">
        <v>52</v>
      </c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1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Darsid</v>
      </c>
      <c r="B19" s="199"/>
      <c r="C19" s="200"/>
      <c r="D19" s="200"/>
      <c r="E19" s="200"/>
      <c r="F19" s="200"/>
      <c r="G19" s="200"/>
      <c r="H19" s="201" t="s">
        <v>52</v>
      </c>
      <c r="I19" s="70">
        <f t="array" ref="I19">SUM(($B19:$H19="confirmed")*($B$4:$H$4=25))</f>
        <v>0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1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Droodcaster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Gloríus</v>
      </c>
      <c r="B21" s="199"/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Halfhorns</v>
      </c>
      <c r="B22" s="199"/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Incharge</v>
      </c>
      <c r="B24" s="199" t="s">
        <v>52</v>
      </c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1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>
        <f>'Members Data'!A18</f>
        <v>0</v>
      </c>
      <c r="B26" s="199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Lychi</v>
      </c>
      <c r="B28" s="199" t="s">
        <v>53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 t="str">
        <f>'Members Data'!A21</f>
        <v>Meltface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Mortali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Muckyfloor</v>
      </c>
      <c r="B32" s="199" t="s">
        <v>53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Müfti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Niiwa</v>
      </c>
      <c r="B34" s="199" t="s">
        <v>53</v>
      </c>
      <c r="C34" s="200"/>
      <c r="D34" s="200" t="s">
        <v>52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1</v>
      </c>
      <c r="O34" s="16">
        <f t="shared" si="6"/>
        <v>0</v>
      </c>
      <c r="Q34"/>
    </row>
    <row r="35" spans="1:17" ht="15" customHeight="1">
      <c r="A35" s="9" t="str">
        <f>'Members Data'!A27</f>
        <v>Niklaus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Onemanforest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Rcane</v>
      </c>
      <c r="B37" s="199" t="s">
        <v>53</v>
      </c>
      <c r="C37" s="200"/>
      <c r="D37" s="200" t="s">
        <v>53</v>
      </c>
      <c r="E37" s="200"/>
      <c r="F37" s="200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Revlash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Seraphÿm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Shinkai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Spudsux</v>
      </c>
      <c r="B41" s="332"/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Szion</v>
      </c>
      <c r="B42" s="332"/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Torwen</v>
      </c>
      <c r="B43" s="332" t="s">
        <v>53</v>
      </c>
      <c r="C43" s="200"/>
      <c r="D43" s="200" t="s">
        <v>53</v>
      </c>
      <c r="E43" s="200"/>
      <c r="F43" s="200"/>
      <c r="G43" s="200"/>
      <c r="H43" s="201" t="s">
        <v>52</v>
      </c>
      <c r="I43" s="70">
        <f t="array" ref="I43">SUM(($B43:$H43="confirmed")*($B$4:$H$4=25))</f>
        <v>2</v>
      </c>
      <c r="J43" s="43">
        <f t="array" ref="J43">SUM(($B43:$H43="standby")*($B$4:$H$4=25))</f>
        <v>1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1</v>
      </c>
      <c r="O43" s="16">
        <f t="shared" si="9"/>
        <v>0</v>
      </c>
    </row>
    <row r="44" spans="1:17" ht="15" customHeight="1">
      <c r="A44" s="9" t="str">
        <f>'Members Data'!A36</f>
        <v>Vakama</v>
      </c>
      <c r="B44" s="332" t="s">
        <v>53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2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Warriorxz</v>
      </c>
      <c r="B45" s="199" t="s">
        <v>53</v>
      </c>
      <c r="C45" s="200"/>
      <c r="D45" s="200" t="s">
        <v>52</v>
      </c>
      <c r="E45" s="200"/>
      <c r="F45" s="200"/>
      <c r="G45" s="200"/>
      <c r="H45" s="201"/>
      <c r="I45" s="70">
        <f t="array" ref="I45">SUM(($B45:$H45="confirmed")*($B$4:$H$4=25))</f>
        <v>1</v>
      </c>
      <c r="J45" s="43">
        <f t="array" ref="J45">SUM(($B45:$H45="standby")*($B$4:$H$4=25))</f>
        <v>1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1</v>
      </c>
      <c r="N45" s="15">
        <f t="shared" si="8"/>
        <v>1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Wainesha</v>
      </c>
      <c r="B47" s="199" t="s">
        <v>53</v>
      </c>
      <c r="C47" s="200"/>
      <c r="D47" s="200" t="s">
        <v>53</v>
      </c>
      <c r="E47" s="200"/>
      <c r="F47" s="200"/>
      <c r="G47" s="200"/>
      <c r="H47" s="201" t="s">
        <v>52</v>
      </c>
      <c r="I47" s="70">
        <f t="array" ref="I47">SUM(($B47:$H47="confirmed")*($B$4:$H$4=25))</f>
        <v>2</v>
      </c>
      <c r="J47" s="43">
        <f t="array" ref="J47">SUM(($B47:$H47="standby")*($B$4:$H$4=25))</f>
        <v>1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2</v>
      </c>
      <c r="N47" s="15">
        <f t="shared" si="8"/>
        <v>1</v>
      </c>
      <c r="O47" s="16">
        <f t="shared" si="9"/>
        <v>0</v>
      </c>
    </row>
    <row r="48" spans="1:17" ht="15" customHeight="1">
      <c r="A48" s="9" t="str">
        <f>'Members Data'!A40</f>
        <v>Birdeeh</v>
      </c>
      <c r="B48" s="199" t="s">
        <v>53</v>
      </c>
      <c r="C48" s="200"/>
      <c r="D48" s="200" t="s">
        <v>53</v>
      </c>
      <c r="E48" s="200"/>
      <c r="F48" s="200"/>
      <c r="G48" s="200"/>
      <c r="H48" s="201" t="s">
        <v>53</v>
      </c>
      <c r="I48" s="70">
        <f t="array" ref="I48">SUM(($B48:$H48="confirmed")*($B$4:$H$4=25))</f>
        <v>3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3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Bishamonten</v>
      </c>
      <c r="B49" s="199"/>
      <c r="C49" s="200"/>
      <c r="D49" s="200"/>
      <c r="E49" s="200"/>
      <c r="F49" s="200"/>
      <c r="G49" s="200"/>
      <c r="H49" s="201" t="s">
        <v>53</v>
      </c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1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 xml:space="preserve"> Sensés</v>
      </c>
      <c r="B50" s="199" t="s">
        <v>53</v>
      </c>
      <c r="C50" s="200"/>
      <c r="D50" s="200" t="s">
        <v>53</v>
      </c>
      <c r="E50" s="200"/>
      <c r="F50" s="200"/>
      <c r="G50" s="200"/>
      <c r="H50" s="201" t="s">
        <v>53</v>
      </c>
      <c r="I50" s="70">
        <f t="array" ref="I50">SUM(($B50:$H50="confirmed")*($B$4:$H$4=25))</f>
        <v>3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3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Zerika</v>
      </c>
      <c r="B51" s="199" t="s">
        <v>53</v>
      </c>
      <c r="C51" s="200"/>
      <c r="D51" s="200" t="s">
        <v>53</v>
      </c>
      <c r="E51" s="200"/>
      <c r="F51" s="200"/>
      <c r="G51" s="200"/>
      <c r="H51" s="201"/>
      <c r="I51" s="70">
        <f t="array" ref="I51">SUM(($B51:$H51="confirmed")*($B$4:$H$4=25))</f>
        <v>2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2</v>
      </c>
      <c r="N51" s="15">
        <f t="shared" si="8"/>
        <v>0</v>
      </c>
      <c r="O51" s="16">
        <f t="shared" si="9"/>
        <v>0</v>
      </c>
    </row>
    <row r="52" spans="1:15" ht="15" customHeight="1">
      <c r="A52" s="9" t="str">
        <f>'Members Data'!A44</f>
        <v>Atlanthia</v>
      </c>
      <c r="B52" s="199" t="s">
        <v>53</v>
      </c>
      <c r="C52" s="200"/>
      <c r="D52" s="200" t="s">
        <v>53</v>
      </c>
      <c r="E52" s="200"/>
      <c r="F52" s="200"/>
      <c r="G52" s="200"/>
      <c r="H52" s="201" t="s">
        <v>53</v>
      </c>
      <c r="I52" s="70">
        <f t="array" ref="I52">SUM(($B52:$H52="confirmed")*($B$4:$H$4=25))</f>
        <v>3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3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Shalist</v>
      </c>
      <c r="B53" s="199" t="s">
        <v>53</v>
      </c>
      <c r="C53" s="200"/>
      <c r="D53" s="200" t="s">
        <v>52</v>
      </c>
      <c r="E53" s="200"/>
      <c r="F53" s="200"/>
      <c r="G53" s="200"/>
      <c r="H53" s="201" t="s">
        <v>53</v>
      </c>
      <c r="I53" s="70">
        <f t="array" ref="I53">SUM(($B53:$H53="confirmed")*($B$4:$H$4=25))</f>
        <v>2</v>
      </c>
      <c r="J53" s="43">
        <f t="array" ref="J53">SUM(($B53:$H53="standby")*($B$4:$H$4=25))</f>
        <v>1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2</v>
      </c>
      <c r="N53" s="15">
        <f t="shared" si="8"/>
        <v>1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7" priority="4" stopIfTrue="1">
      <formula>IF(O10&gt;0,TRUE)</formula>
    </cfRule>
    <cfRule type="expression" dxfId="16" priority="5" stopIfTrue="1">
      <formula>IF(SUM(M10:N10)&gt;1,TRUE)</formula>
    </cfRule>
    <cfRule type="expression" dxfId="15" priority="6" stopIfTrue="1">
      <formula>IF(SUM(M10:N10)&lt;2,TRUE)</formula>
    </cfRule>
  </conditionalFormatting>
  <conditionalFormatting sqref="A97:A108">
    <cfRule type="expression" dxfId="14" priority="1" stopIfTrue="1">
      <formula>IF(O97&gt;0,TRUE)</formula>
    </cfRule>
    <cfRule type="expression" dxfId="13" priority="2" stopIfTrue="1">
      <formula>IF(SUM(M97:N97)&gt;1,TRUE)</formula>
    </cfRule>
    <cfRule type="expression" dxfId="12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4" sqref="B14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'wk3'!H2+2</f>
        <v>41297</v>
      </c>
      <c r="C2" s="211">
        <f>B2</f>
        <v>41297</v>
      </c>
      <c r="D2" s="211">
        <f t="shared" ref="D2:H2" si="0">C2+1</f>
        <v>41298</v>
      </c>
      <c r="E2" s="211">
        <f>D2</f>
        <v>41298</v>
      </c>
      <c r="F2" s="211">
        <f>E2+3</f>
        <v>41301</v>
      </c>
      <c r="G2" s="211">
        <f>F2</f>
        <v>41301</v>
      </c>
      <c r="H2" s="212">
        <f t="shared" si="0"/>
        <v>41302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270</v>
      </c>
      <c r="C3" s="61"/>
      <c r="D3" s="61" t="s">
        <v>251</v>
      </c>
      <c r="E3" s="61"/>
      <c r="F3" s="61"/>
      <c r="G3" s="61"/>
      <c r="H3" s="62" t="s">
        <v>270</v>
      </c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265</v>
      </c>
      <c r="C5" s="65"/>
      <c r="D5" s="65" t="s">
        <v>265</v>
      </c>
      <c r="E5" s="65"/>
      <c r="F5" s="65"/>
      <c r="G5" s="65"/>
      <c r="H5" s="66" t="s">
        <v>265</v>
      </c>
      <c r="I5" s="500"/>
      <c r="J5" s="494"/>
      <c r="K5" s="494"/>
      <c r="L5" s="494"/>
      <c r="M5" s="494"/>
      <c r="N5" s="494"/>
      <c r="O5" s="497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0"/>
      <c r="J7" s="494"/>
      <c r="K7" s="494"/>
      <c r="L7" s="494"/>
      <c r="M7" s="494"/>
      <c r="N7" s="494"/>
      <c r="O7" s="497"/>
      <c r="R7" s="71"/>
    </row>
    <row r="8" spans="1:18">
      <c r="A8" s="58" t="s">
        <v>52</v>
      </c>
      <c r="B8" s="216">
        <f t="shared" ref="B8:H8" si="2">COUNTIF(B10:B69,"Standby")</f>
        <v>3</v>
      </c>
      <c r="C8" s="216">
        <f t="shared" si="2"/>
        <v>0</v>
      </c>
      <c r="D8" s="216">
        <f t="shared" si="2"/>
        <v>4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3</v>
      </c>
      <c r="I8" s="500"/>
      <c r="J8" s="494"/>
      <c r="K8" s="494"/>
      <c r="L8" s="494"/>
      <c r="M8" s="494"/>
      <c r="N8" s="494"/>
      <c r="O8" s="497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1"/>
      <c r="J9" s="495"/>
      <c r="K9" s="495"/>
      <c r="L9" s="495"/>
      <c r="M9" s="495"/>
      <c r="N9" s="495"/>
      <c r="O9" s="498"/>
      <c r="R9" s="71"/>
    </row>
    <row r="10" spans="1:18" ht="15" customHeight="1">
      <c r="A10" s="5">
        <f>'Members Data'!A2</f>
        <v>0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 t="s">
        <v>52</v>
      </c>
      <c r="E11" s="200"/>
      <c r="F11" s="200"/>
      <c r="G11" s="200"/>
      <c r="H11" s="201"/>
      <c r="I11" s="70">
        <f t="array" ref="I11">SUM(($B11:$H11="confirmed")*($B$4:$H$4=25))</f>
        <v>1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1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Andreah</v>
      </c>
      <c r="B13" s="199"/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199"/>
      <c r="C14" s="233"/>
      <c r="D14" s="233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Axium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232"/>
      <c r="C16" s="235"/>
      <c r="D16" s="235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232"/>
      <c r="C17" s="235"/>
      <c r="D17" s="235"/>
      <c r="E17" s="233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35"/>
      <c r="F18" s="199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/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232" t="s">
        <v>53</v>
      </c>
      <c r="C20" s="235"/>
      <c r="D20" s="235" t="s">
        <v>53</v>
      </c>
      <c r="E20" s="235"/>
      <c r="F20" s="199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Gloríus</v>
      </c>
      <c r="B21" s="199"/>
      <c r="C21" s="200"/>
      <c r="D21" s="200"/>
      <c r="E21" s="235"/>
      <c r="F21" s="199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Halfhorns</v>
      </c>
      <c r="B22" s="199" t="s">
        <v>53</v>
      </c>
      <c r="C22" s="235"/>
      <c r="D22" s="235"/>
      <c r="E22" s="235"/>
      <c r="F22" s="199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232"/>
      <c r="C23" s="200"/>
      <c r="D23" s="200"/>
      <c r="E23" s="235"/>
      <c r="F23" s="199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Incharge</v>
      </c>
      <c r="B24" s="232" t="s">
        <v>53</v>
      </c>
      <c r="C24" s="235"/>
      <c r="D24" s="235" t="s">
        <v>53</v>
      </c>
      <c r="E24" s="235"/>
      <c r="F24" s="200"/>
      <c r="G24" s="200"/>
      <c r="H24" s="201" t="s">
        <v>53</v>
      </c>
      <c r="I24" s="70">
        <f t="array" ref="I24">SUM(($B24:$H24="confirmed")*($B$4:$H$4=25))</f>
        <v>3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232"/>
      <c r="C25" s="235"/>
      <c r="D25" s="235" t="s">
        <v>53</v>
      </c>
      <c r="E25" s="235"/>
      <c r="F25" s="199"/>
      <c r="G25" s="200"/>
      <c r="H25" s="201" t="s">
        <v>53</v>
      </c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199"/>
      <c r="C26" s="235"/>
      <c r="D26" s="235"/>
      <c r="E26" s="235"/>
      <c r="F26" s="199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32"/>
      <c r="C27" s="235"/>
      <c r="D27" s="235"/>
      <c r="E27" s="235"/>
      <c r="F27" s="199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232" t="s">
        <v>53</v>
      </c>
      <c r="C28" s="200"/>
      <c r="D28" s="200" t="s">
        <v>52</v>
      </c>
      <c r="E28" s="235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1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232" t="s">
        <v>53</v>
      </c>
      <c r="C29" s="235"/>
      <c r="D29" s="235"/>
      <c r="E29" s="235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199"/>
      <c r="C30" s="200"/>
      <c r="D30" s="200"/>
      <c r="E30" s="235"/>
      <c r="F30" s="199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Mortali</v>
      </c>
      <c r="B31" s="232" t="s">
        <v>53</v>
      </c>
      <c r="C31" s="200"/>
      <c r="D31" s="200" t="s">
        <v>53</v>
      </c>
      <c r="E31" s="235"/>
      <c r="F31" s="199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Muckyfloor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Müfti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52</v>
      </c>
      <c r="I33" s="70">
        <f t="array" ref="I33">SUM(($B33:$H33="confirmed")*($B$4:$H$4=25))</f>
        <v>2</v>
      </c>
      <c r="J33" s="43">
        <f t="array" ref="J33">SUM(($B33:$H33="standby")*($B$4:$H$4=25))</f>
        <v>1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1</v>
      </c>
      <c r="O33" s="16">
        <f t="shared" si="6"/>
        <v>0</v>
      </c>
    </row>
    <row r="34" spans="1:18" ht="15" customHeight="1">
      <c r="A34" s="9" t="str">
        <f>'Members Data'!A26</f>
        <v>Niiwa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Niklaus</v>
      </c>
      <c r="B35" s="232" t="s">
        <v>53</v>
      </c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Onemanforest</v>
      </c>
      <c r="B36" s="337" t="s">
        <v>52</v>
      </c>
      <c r="C36" s="235"/>
      <c r="D36" s="235" t="s">
        <v>53</v>
      </c>
      <c r="E36" s="235"/>
      <c r="F36" s="200"/>
      <c r="G36" s="200"/>
      <c r="H36" s="201" t="s">
        <v>53</v>
      </c>
      <c r="I36" s="70">
        <f t="array" ref="I36">SUM(($B36:$H36="confirmed")*($B$4:$H$4=25))</f>
        <v>2</v>
      </c>
      <c r="J36" s="43">
        <f t="array" ref="J36">SUM(($B36:$H36="standby")*($B$4:$H$4=25))</f>
        <v>1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1</v>
      </c>
      <c r="O36" s="16">
        <f t="shared" si="6"/>
        <v>0</v>
      </c>
    </row>
    <row r="37" spans="1:18" ht="15" customHeight="1">
      <c r="A37" s="9" t="str">
        <f>'Members Data'!A29</f>
        <v>Rcane</v>
      </c>
      <c r="B37" s="199" t="s">
        <v>53</v>
      </c>
      <c r="C37" s="235"/>
      <c r="D37" s="235" t="s">
        <v>53</v>
      </c>
      <c r="E37" s="235"/>
      <c r="F37" s="199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Revlash</v>
      </c>
      <c r="B38" s="232" t="s">
        <v>39</v>
      </c>
      <c r="C38" s="200"/>
      <c r="D38" s="200" t="s">
        <v>53</v>
      </c>
      <c r="E38" s="234"/>
      <c r="F38" s="200"/>
      <c r="G38" s="200"/>
      <c r="H38" s="201"/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0</v>
      </c>
      <c r="O38" s="16">
        <f t="shared" si="6"/>
        <v>1</v>
      </c>
    </row>
    <row r="39" spans="1:18" ht="15" customHeight="1">
      <c r="A39" s="9" t="str">
        <f>'Members Data'!A31</f>
        <v>Seraphÿm</v>
      </c>
      <c r="B39" s="232" t="s">
        <v>52</v>
      </c>
      <c r="C39" s="235"/>
      <c r="D39" s="235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2</v>
      </c>
      <c r="J39" s="43">
        <f t="array" ref="J39">SUM(($B39:$H39="standby")*($B$4:$H$4=25))</f>
        <v>1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2</v>
      </c>
      <c r="N39" s="15">
        <f t="shared" si="5"/>
        <v>1</v>
      </c>
      <c r="O39" s="16">
        <f t="shared" si="6"/>
        <v>0</v>
      </c>
    </row>
    <row r="40" spans="1:18" ht="15" customHeight="1">
      <c r="A40" s="9" t="str">
        <f>'Members Data'!A32</f>
        <v>Shinkai</v>
      </c>
      <c r="B40" s="232"/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Spudsux</v>
      </c>
      <c r="B41" s="199" t="s">
        <v>53</v>
      </c>
      <c r="C41" s="235"/>
      <c r="D41" s="200"/>
      <c r="E41" s="200"/>
      <c r="F41" s="200"/>
      <c r="G41" s="200"/>
      <c r="H41" s="201" t="s">
        <v>52</v>
      </c>
      <c r="I41" s="70">
        <f t="array" ref="I41">SUM(($B41:$H41="confirmed")*($B$4:$H$4=25))</f>
        <v>1</v>
      </c>
      <c r="J41" s="43">
        <f t="array" ref="J41">SUM(($B41:$H41="standby")*($B$4:$H$4=25))</f>
        <v>1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1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Szion</v>
      </c>
      <c r="B42" s="232" t="s">
        <v>53</v>
      </c>
      <c r="C42" s="235"/>
      <c r="D42" s="199" t="s">
        <v>52</v>
      </c>
      <c r="E42" s="200"/>
      <c r="F42" s="200"/>
      <c r="G42" s="200"/>
      <c r="H42" s="201" t="s">
        <v>39</v>
      </c>
      <c r="I42" s="70">
        <f t="array" ref="I42">SUM(($B42:$H42="confirmed")*($B$4:$H$4=25))</f>
        <v>1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1</v>
      </c>
      <c r="O42" s="16">
        <f t="shared" ref="O42:O68" si="9">COUNTIF(B42:H42,"out")</f>
        <v>1</v>
      </c>
      <c r="Q42"/>
      <c r="R42"/>
    </row>
    <row r="43" spans="1:18" ht="15" customHeight="1">
      <c r="A43" s="9" t="str">
        <f>'Members Data'!A35</f>
        <v>Torwen</v>
      </c>
      <c r="B43" s="232" t="s">
        <v>52</v>
      </c>
      <c r="C43" s="235"/>
      <c r="D43" s="200" t="s">
        <v>53</v>
      </c>
      <c r="E43" s="200"/>
      <c r="F43" s="200"/>
      <c r="G43" s="200"/>
      <c r="H43" s="201"/>
      <c r="I43" s="70">
        <f t="array" ref="I43">SUM(($B43:$H43="confirmed")*($B$4:$H$4=25))</f>
        <v>1</v>
      </c>
      <c r="J43" s="43">
        <f t="array" ref="J43">SUM(($B43:$H43="standby")*($B$4:$H$4=25))</f>
        <v>1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1</v>
      </c>
      <c r="N43" s="15">
        <f t="shared" si="8"/>
        <v>1</v>
      </c>
      <c r="O43" s="16">
        <f t="shared" si="9"/>
        <v>0</v>
      </c>
      <c r="Q43"/>
    </row>
    <row r="44" spans="1:18" ht="15" customHeight="1">
      <c r="A44" s="9" t="str">
        <f>'Members Data'!A36</f>
        <v>Vakama</v>
      </c>
      <c r="B44" s="199" t="s">
        <v>53</v>
      </c>
      <c r="C44" s="235"/>
      <c r="D44" s="199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 t="str">
        <f>'Members Data'!A37</f>
        <v>Warriorxz</v>
      </c>
      <c r="B45" s="199"/>
      <c r="C45" s="235"/>
      <c r="D45" s="199" t="s">
        <v>52</v>
      </c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1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1</v>
      </c>
      <c r="O45" s="16">
        <f t="shared" si="9"/>
        <v>0</v>
      </c>
    </row>
    <row r="46" spans="1:18" ht="15" customHeight="1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Wainesha</v>
      </c>
      <c r="B47" s="232" t="s">
        <v>53</v>
      </c>
      <c r="C47" s="235"/>
      <c r="D47" s="199" t="s">
        <v>53</v>
      </c>
      <c r="E47" s="200"/>
      <c r="F47" s="200"/>
      <c r="G47" s="200"/>
      <c r="H47" s="201" t="s">
        <v>53</v>
      </c>
      <c r="I47" s="70">
        <f t="array" ref="I47">SUM(($B47:$H47="confirmed")*($B$4:$H$4=25))</f>
        <v>3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Birdeeh</v>
      </c>
      <c r="B48" s="199" t="s">
        <v>53</v>
      </c>
      <c r="C48" s="234"/>
      <c r="D48" s="200" t="s">
        <v>53</v>
      </c>
      <c r="E48" s="200"/>
      <c r="F48" s="200"/>
      <c r="G48" s="200"/>
      <c r="H48" s="201" t="s">
        <v>53</v>
      </c>
      <c r="I48" s="70">
        <f t="array" ref="I48">SUM(($B48:$H48="confirmed")*($B$4:$H$4=25))</f>
        <v>3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3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Bishamonten</v>
      </c>
      <c r="B49" s="199" t="s">
        <v>53</v>
      </c>
      <c r="C49" s="200"/>
      <c r="D49" s="200" t="s">
        <v>53</v>
      </c>
      <c r="E49" s="200"/>
      <c r="F49" s="200"/>
      <c r="G49" s="200"/>
      <c r="H49" s="201" t="s">
        <v>53</v>
      </c>
      <c r="I49" s="70">
        <f t="array" ref="I49">SUM(($B49:$H49="confirmed")*($B$4:$H$4=25))</f>
        <v>3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3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 xml:space="preserve"> Sensés</v>
      </c>
      <c r="B50" s="199" t="s">
        <v>53</v>
      </c>
      <c r="C50" s="200"/>
      <c r="D50" s="200" t="s">
        <v>53</v>
      </c>
      <c r="E50" s="200"/>
      <c r="F50" s="200"/>
      <c r="G50" s="200"/>
      <c r="H50" s="201" t="s">
        <v>53</v>
      </c>
      <c r="I50" s="70">
        <f t="array" ref="I50">SUM(($B50:$H50="confirmed")*($B$4:$H$4=25))</f>
        <v>3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3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Zerika</v>
      </c>
      <c r="B51" s="199"/>
      <c r="C51" s="200"/>
      <c r="D51" s="200" t="s">
        <v>53</v>
      </c>
      <c r="E51" s="200"/>
      <c r="F51" s="200"/>
      <c r="G51" s="200"/>
      <c r="H51" s="201"/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1</v>
      </c>
      <c r="N51" s="15">
        <f t="shared" si="8"/>
        <v>0</v>
      </c>
      <c r="O51" s="16">
        <f t="shared" si="9"/>
        <v>0</v>
      </c>
    </row>
    <row r="52" spans="1:15" ht="15" customHeight="1">
      <c r="A52" s="9" t="str">
        <f>'Members Data'!A44</f>
        <v>Atlanthia</v>
      </c>
      <c r="B52" s="199" t="s">
        <v>53</v>
      </c>
      <c r="C52" s="200"/>
      <c r="D52" s="200" t="s">
        <v>53</v>
      </c>
      <c r="E52" s="200"/>
      <c r="F52" s="200"/>
      <c r="G52" s="200"/>
      <c r="H52" s="201" t="s">
        <v>53</v>
      </c>
      <c r="I52" s="70">
        <f t="array" ref="I52">SUM(($B52:$H52="confirmed")*($B$4:$H$4=25))</f>
        <v>3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3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Shalist</v>
      </c>
      <c r="B53" s="199" t="s">
        <v>53</v>
      </c>
      <c r="C53" s="200"/>
      <c r="D53" s="200" t="s">
        <v>53</v>
      </c>
      <c r="E53" s="200"/>
      <c r="F53" s="200"/>
      <c r="G53" s="200"/>
      <c r="H53" s="201" t="s">
        <v>52</v>
      </c>
      <c r="I53" s="70">
        <f t="array" ref="I53">SUM(($B53:$H53="confirmed")*($B$4:$H$4=25))</f>
        <v>2</v>
      </c>
      <c r="J53" s="43">
        <f t="array" ref="J53">SUM(($B53:$H53="standby")*($B$4:$H$4=25))</f>
        <v>1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2</v>
      </c>
      <c r="N53" s="15">
        <f t="shared" si="8"/>
        <v>1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232"/>
      <c r="C77" s="235"/>
      <c r="D77" s="199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34"/>
      <c r="D80" s="200"/>
      <c r="E80" s="200"/>
      <c r="F80" s="200"/>
      <c r="G80" s="200"/>
      <c r="H80" s="201" t="s">
        <v>52</v>
      </c>
      <c r="I80" s="70">
        <f t="array" ref="I80">SUM(($B80:$H80="confirmed")*($B$4:$H$4=25))</f>
        <v>0</v>
      </c>
      <c r="J80" s="43">
        <f t="array" ref="J80">SUM(($B80:$H80="standby")*($B$4:$H$4=25))</f>
        <v>1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1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1" stopIfTrue="1">
      <formula>IF(O10&gt;0,TRUE)</formula>
    </cfRule>
    <cfRule type="expression" dxfId="10" priority="2" stopIfTrue="1">
      <formula>IF(SUM(M10:N10)&gt;1,TRUE)</formula>
    </cfRule>
    <cfRule type="expression" dxfId="9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9" sqref="B19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'wk4'!H2+2</f>
        <v>41304</v>
      </c>
      <c r="C2" s="211">
        <f>B2</f>
        <v>41304</v>
      </c>
      <c r="D2" s="211">
        <f t="shared" ref="D2:H2" si="0">C2+1</f>
        <v>41305</v>
      </c>
      <c r="E2" s="211">
        <f>D2</f>
        <v>41305</v>
      </c>
      <c r="F2" s="211">
        <f>E2+3</f>
        <v>41308</v>
      </c>
      <c r="G2" s="211">
        <f>F2</f>
        <v>41308</v>
      </c>
      <c r="H2" s="212">
        <f t="shared" si="0"/>
        <v>41309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251</v>
      </c>
      <c r="C3" s="61"/>
      <c r="D3" s="61"/>
      <c r="E3" s="61"/>
      <c r="F3" s="61"/>
      <c r="G3" s="61"/>
      <c r="H3" s="62"/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/>
      <c r="E4" s="61"/>
      <c r="F4" s="61"/>
      <c r="G4" s="61"/>
      <c r="H4" s="62"/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265</v>
      </c>
      <c r="C5" s="65"/>
      <c r="D5" s="65"/>
      <c r="E5" s="65"/>
      <c r="F5" s="65"/>
      <c r="G5" s="65"/>
      <c r="H5" s="66"/>
      <c r="I5" s="500"/>
      <c r="J5" s="494"/>
      <c r="K5" s="494"/>
      <c r="L5" s="494"/>
      <c r="M5" s="494"/>
      <c r="N5" s="494"/>
      <c r="O5" s="497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0"/>
      <c r="J7" s="494"/>
      <c r="K7" s="494"/>
      <c r="L7" s="494"/>
      <c r="M7" s="494"/>
      <c r="N7" s="494"/>
      <c r="O7" s="497"/>
    </row>
    <row r="8" spans="1:18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1"/>
      <c r="J9" s="495"/>
      <c r="K9" s="495"/>
      <c r="L9" s="495"/>
      <c r="M9" s="495"/>
      <c r="N9" s="495"/>
      <c r="O9" s="498"/>
    </row>
    <row r="10" spans="1:18" ht="15" customHeight="1">
      <c r="A10" s="5">
        <f>'Members Data'!A2</f>
        <v>0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0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/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332" t="s">
        <v>53</v>
      </c>
      <c r="C12" s="200"/>
      <c r="D12" s="200"/>
      <c r="E12" s="200"/>
      <c r="F12" s="200"/>
      <c r="G12" s="200"/>
      <c r="H12" s="201"/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Andreah</v>
      </c>
      <c r="B13" s="332" t="s">
        <v>53</v>
      </c>
      <c r="C13" s="200"/>
      <c r="D13" s="200"/>
      <c r="E13" s="200"/>
      <c r="F13" s="200"/>
      <c r="G13" s="200"/>
      <c r="H13" s="201"/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332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Axium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332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332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/>
      <c r="E18" s="200"/>
      <c r="F18" s="200"/>
      <c r="G18" s="200"/>
      <c r="H18" s="201"/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 t="s">
        <v>52</v>
      </c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1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332" t="s">
        <v>53</v>
      </c>
      <c r="C20" s="200"/>
      <c r="D20" s="200"/>
      <c r="E20" s="200"/>
      <c r="F20" s="200"/>
      <c r="G20" s="200"/>
      <c r="H20" s="201"/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Gloríus</v>
      </c>
      <c r="B21" s="332" t="s">
        <v>52</v>
      </c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1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1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Halfhorns</v>
      </c>
      <c r="B22" s="332" t="s">
        <v>52</v>
      </c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1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1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Incharge</v>
      </c>
      <c r="B24" s="332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332" t="s">
        <v>53</v>
      </c>
      <c r="C25" s="200"/>
      <c r="D25" s="200"/>
      <c r="E25" s="200"/>
      <c r="F25" s="200"/>
      <c r="G25" s="200"/>
      <c r="H25" s="201"/>
      <c r="I25" s="70">
        <f t="array" ref="I25">SUM(($B25:$H25="confirmed")*($B$4:$H$4=25))</f>
        <v>1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332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>
        <f>'Members Data'!A19</f>
        <v>0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Lychi</v>
      </c>
      <c r="B28" s="332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Meltface</v>
      </c>
      <c r="B29" s="332" t="s">
        <v>53</v>
      </c>
      <c r="C29" s="200"/>
      <c r="D29" s="200"/>
      <c r="E29" s="200"/>
      <c r="F29" s="200"/>
      <c r="G29" s="200"/>
      <c r="H29" s="201"/>
      <c r="I29" s="70">
        <f t="array" ref="I29">SUM(($B29:$H29="confirmed")*($B$4:$H$4=25))</f>
        <v>1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0</v>
      </c>
      <c r="O29" s="16">
        <f t="shared" si="6"/>
        <v>0</v>
      </c>
    </row>
    <row r="30" spans="1:18" ht="15" customHeight="1">
      <c r="A30" s="9">
        <f>'Members Data'!A22</f>
        <v>0</v>
      </c>
      <c r="B30" s="332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</row>
    <row r="31" spans="1:18" ht="15" customHeight="1">
      <c r="A31" s="9" t="str">
        <f>'Members Data'!A23</f>
        <v>Mortali</v>
      </c>
      <c r="B31" s="332" t="s">
        <v>53</v>
      </c>
      <c r="C31" s="200"/>
      <c r="D31" s="200"/>
      <c r="E31" s="200"/>
      <c r="F31" s="200"/>
      <c r="G31" s="200"/>
      <c r="H31" s="201"/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Muckyfloor</v>
      </c>
      <c r="B32" s="332" t="s">
        <v>53</v>
      </c>
      <c r="C32" s="200"/>
      <c r="D32" s="200"/>
      <c r="E32" s="200"/>
      <c r="F32" s="200"/>
      <c r="G32" s="200"/>
      <c r="H32" s="201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Müfti</v>
      </c>
      <c r="B33" s="332" t="s">
        <v>53</v>
      </c>
      <c r="C33" s="200"/>
      <c r="D33" s="200"/>
      <c r="E33" s="200"/>
      <c r="F33" s="200"/>
      <c r="G33" s="200"/>
      <c r="H33" s="201"/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Niiwa</v>
      </c>
      <c r="B34" s="199" t="s">
        <v>53</v>
      </c>
      <c r="C34" s="200"/>
      <c r="D34" s="200"/>
      <c r="E34" s="200"/>
      <c r="F34" s="200"/>
      <c r="G34" s="200"/>
      <c r="H34" s="201"/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</row>
    <row r="35" spans="1:15" ht="15" customHeight="1">
      <c r="A35" s="9" t="str">
        <f>'Members Data'!A27</f>
        <v>Niklaus</v>
      </c>
      <c r="B35" s="332" t="s">
        <v>53</v>
      </c>
      <c r="C35" s="200"/>
      <c r="D35" s="200"/>
      <c r="E35" s="200"/>
      <c r="F35" s="200"/>
      <c r="G35" s="200"/>
      <c r="H35" s="201"/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Onemanforest</v>
      </c>
      <c r="B36" s="199" t="s">
        <v>53</v>
      </c>
      <c r="C36" s="200"/>
      <c r="D36" s="200"/>
      <c r="E36" s="200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Rcane</v>
      </c>
      <c r="B37" s="199" t="s">
        <v>53</v>
      </c>
      <c r="C37" s="200"/>
      <c r="D37" s="200"/>
      <c r="E37" s="200"/>
      <c r="F37" s="200"/>
      <c r="G37" s="200"/>
      <c r="H37" s="201"/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Revlash</v>
      </c>
      <c r="B38" s="199" t="s">
        <v>52</v>
      </c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1</v>
      </c>
      <c r="O38" s="16">
        <f t="shared" si="6"/>
        <v>0</v>
      </c>
    </row>
    <row r="39" spans="1:15" ht="15" customHeight="1">
      <c r="A39" s="9" t="str">
        <f>'Members Data'!A31</f>
        <v>Seraphÿm</v>
      </c>
      <c r="B39" s="332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Shinkai</v>
      </c>
      <c r="B40" s="199" t="s">
        <v>53</v>
      </c>
      <c r="C40" s="200"/>
      <c r="D40" s="200"/>
      <c r="E40" s="200"/>
      <c r="F40" s="200"/>
      <c r="G40" s="200"/>
      <c r="H40" s="201"/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Spudsux</v>
      </c>
      <c r="B41" s="199" t="s">
        <v>53</v>
      </c>
      <c r="C41" s="200"/>
      <c r="D41" s="200"/>
      <c r="E41" s="200"/>
      <c r="F41" s="200"/>
      <c r="G41" s="200"/>
      <c r="H41" s="201"/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Szion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0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Torwen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Vakama</v>
      </c>
      <c r="B44" s="199" t="s">
        <v>53</v>
      </c>
      <c r="C44" s="200"/>
      <c r="D44" s="200"/>
      <c r="E44" s="200"/>
      <c r="F44" s="200"/>
      <c r="G44" s="200"/>
      <c r="H44" s="201"/>
      <c r="I44" s="70">
        <f t="array" ref="I44">SUM(($B44:$H44="confirmed")*($B$4:$H$4=25))</f>
        <v>1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1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Warriorxz</v>
      </c>
      <c r="B45" s="199" t="s">
        <v>53</v>
      </c>
      <c r="C45" s="200"/>
      <c r="D45" s="200"/>
      <c r="E45" s="200"/>
      <c r="F45" s="200"/>
      <c r="G45" s="200"/>
      <c r="H45" s="201"/>
      <c r="I45" s="70">
        <f t="array" ref="I45">SUM(($B45:$H45="confirmed")*($B$4:$H$4=25))</f>
        <v>1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1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 t="str">
        <f>'Members Data'!A39</f>
        <v>Wainesha</v>
      </c>
      <c r="B47" s="199" t="s">
        <v>53</v>
      </c>
      <c r="C47" s="200"/>
      <c r="D47" s="200"/>
      <c r="E47" s="200"/>
      <c r="F47" s="200"/>
      <c r="G47" s="200"/>
      <c r="H47" s="201"/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1</v>
      </c>
      <c r="N47" s="15">
        <f t="shared" si="5"/>
        <v>0</v>
      </c>
      <c r="O47" s="16">
        <f t="shared" si="6"/>
        <v>0</v>
      </c>
    </row>
    <row r="48" spans="1:15" ht="15" customHeight="1">
      <c r="A48" s="9" t="str">
        <f>'Members Data'!A40</f>
        <v>Birdeeh</v>
      </c>
      <c r="B48" s="199" t="s">
        <v>53</v>
      </c>
      <c r="C48" s="200"/>
      <c r="D48" s="200"/>
      <c r="E48" s="200"/>
      <c r="F48" s="200"/>
      <c r="G48" s="200"/>
      <c r="H48" s="201"/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1</v>
      </c>
      <c r="N48" s="15">
        <f t="shared" si="5"/>
        <v>0</v>
      </c>
      <c r="O48" s="16">
        <f t="shared" si="6"/>
        <v>0</v>
      </c>
    </row>
    <row r="49" spans="1:15" ht="15" customHeight="1">
      <c r="A49" s="9" t="str">
        <f>'Members Data'!A41</f>
        <v>Bishamonten</v>
      </c>
      <c r="B49" s="199" t="s">
        <v>53</v>
      </c>
      <c r="C49" s="200"/>
      <c r="D49" s="200"/>
      <c r="E49" s="200"/>
      <c r="F49" s="200"/>
      <c r="G49" s="200"/>
      <c r="H49" s="201"/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1</v>
      </c>
      <c r="N49" s="15">
        <f t="shared" si="5"/>
        <v>0</v>
      </c>
      <c r="O49" s="16">
        <f t="shared" si="6"/>
        <v>0</v>
      </c>
    </row>
    <row r="50" spans="1:15" ht="15" customHeight="1">
      <c r="A50" s="9" t="str">
        <f>'Members Data'!A42</f>
        <v xml:space="preserve"> Sensés</v>
      </c>
      <c r="B50" s="199" t="s">
        <v>53</v>
      </c>
      <c r="C50" s="200"/>
      <c r="D50" s="200"/>
      <c r="E50" s="200"/>
      <c r="F50" s="200"/>
      <c r="G50" s="200"/>
      <c r="H50" s="201"/>
      <c r="I50" s="70">
        <f t="array" ref="I50">SUM(($B50:$H50="confirmed")*($B$4:$H$4=25))</f>
        <v>1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1</v>
      </c>
      <c r="N50" s="15">
        <f t="shared" si="5"/>
        <v>0</v>
      </c>
      <c r="O50" s="16">
        <f t="shared" si="6"/>
        <v>0</v>
      </c>
    </row>
    <row r="51" spans="1:15" ht="15" customHeight="1">
      <c r="A51" s="9" t="str">
        <f>'Members Data'!A43</f>
        <v>Zerika</v>
      </c>
      <c r="B51" s="199" t="s">
        <v>53</v>
      </c>
      <c r="C51" s="200"/>
      <c r="D51" s="200"/>
      <c r="E51" s="200"/>
      <c r="F51" s="200"/>
      <c r="G51" s="200"/>
      <c r="H51" s="201"/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1</v>
      </c>
      <c r="N51" s="15">
        <f t="shared" si="5"/>
        <v>0</v>
      </c>
      <c r="O51" s="16">
        <f t="shared" si="6"/>
        <v>0</v>
      </c>
    </row>
    <row r="52" spans="1:15" ht="15" customHeight="1">
      <c r="A52" s="9" t="str">
        <f>'Members Data'!A44</f>
        <v>Atlanthia</v>
      </c>
      <c r="B52" s="199" t="s">
        <v>53</v>
      </c>
      <c r="C52" s="200"/>
      <c r="D52" s="200"/>
      <c r="E52" s="200"/>
      <c r="F52" s="200"/>
      <c r="G52" s="200"/>
      <c r="H52" s="201"/>
      <c r="I52" s="70">
        <f t="array" ref="I52">SUM(($B52:$H52="confirmed")*($B$4:$H$4=25))</f>
        <v>1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1</v>
      </c>
      <c r="N52" s="15">
        <f t="shared" si="5"/>
        <v>0</v>
      </c>
      <c r="O52" s="16">
        <f t="shared" si="6"/>
        <v>0</v>
      </c>
    </row>
    <row r="53" spans="1:15" ht="15" customHeight="1">
      <c r="A53" s="9" t="str">
        <f>'Members Data'!A45</f>
        <v>Shalist</v>
      </c>
      <c r="B53" s="199" t="s">
        <v>53</v>
      </c>
      <c r="C53" s="200"/>
      <c r="D53" s="200"/>
      <c r="E53" s="200"/>
      <c r="F53" s="200"/>
      <c r="G53" s="200"/>
      <c r="H53" s="201"/>
      <c r="I53" s="70">
        <f t="array" ref="I53">SUM(($B53:$H53="confirmed")*($B$4:$H$4=25))</f>
        <v>1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1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Megamind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 t="str">
        <f>'Members Data'!A74</f>
        <v>Calaelen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8" priority="1" stopIfTrue="1">
      <formula>IF(O10&gt;0,TRUE)</formula>
    </cfRule>
    <cfRule type="expression" dxfId="7" priority="2" stopIfTrue="1">
      <formula>IF(SUM(M10:N10)&gt;1,TRUE)</formula>
    </cfRule>
    <cfRule type="expression" dxfId="6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3" t="s">
        <v>196</v>
      </c>
      <c r="D25" s="504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05" t="s">
        <v>62</v>
      </c>
      <c r="C26" s="505"/>
      <c r="D26" s="505" t="s">
        <v>63</v>
      </c>
      <c r="E26" s="505"/>
      <c r="F26" s="505" t="s">
        <v>64</v>
      </c>
      <c r="G26" s="505"/>
      <c r="H26" s="505" t="s">
        <v>65</v>
      </c>
      <c r="I26" s="505"/>
      <c r="J26" s="505" t="s">
        <v>66</v>
      </c>
      <c r="K26" s="505"/>
      <c r="L26" s="88"/>
      <c r="M26" s="502" t="s">
        <v>6</v>
      </c>
      <c r="N26" s="502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>
        <f>'Members Data'!A2</f>
        <v>0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Altrezza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Ambú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Andreah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>
        <f>'Members Data'!A6</f>
        <v>0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Axium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>
        <f>'Members Data'!A8</f>
        <v>0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>
        <f>'Members Data'!A9</f>
        <v>0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Craving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Darsid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Droodcaster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Gloríus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Halfhorns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>
        <f>'Members Data'!A15</f>
        <v>0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Incharge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Izzabelle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>
        <f>'Members Data'!A18</f>
        <v>0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>
        <f>'Members Data'!A19</f>
        <v>0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Lychi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Meltface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>
        <f>'Members Data'!A22</f>
        <v>0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Mortali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Muckyfloor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Müfti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Niiwa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Niklaus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Onemanforest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Rcane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Revlash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Seraphÿm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Shinkai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Spudsux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Szion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Torwen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Vakama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Warriorxz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Wainesha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 t="str">
        <f>'Members Data'!A40</f>
        <v>Birdeeh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 t="str">
        <f>'Members Data'!A41</f>
        <v>Bishamonten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 t="str">
        <f>'Members Data'!A42</f>
        <v xml:space="preserve"> Sensés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 t="str">
        <f>'Members Data'!A43</f>
        <v>Zerika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 t="str">
        <f>'Members Data'!A44</f>
        <v>Atlanthia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 t="str">
        <f>'Members Data'!A45</f>
        <v>Shalist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05" t="s">
        <v>62</v>
      </c>
      <c r="E1" s="505"/>
      <c r="F1" s="505"/>
      <c r="G1" s="505"/>
      <c r="H1" s="505"/>
      <c r="I1" s="505"/>
      <c r="J1" s="505"/>
      <c r="K1" s="505"/>
      <c r="L1" s="505" t="s">
        <v>63</v>
      </c>
      <c r="M1" s="505"/>
      <c r="N1" s="505"/>
      <c r="O1" s="505"/>
      <c r="P1" s="505"/>
      <c r="Q1" s="505"/>
      <c r="R1" s="505"/>
      <c r="S1" s="505"/>
      <c r="T1" s="505" t="s">
        <v>64</v>
      </c>
      <c r="U1" s="505"/>
      <c r="V1" s="505"/>
      <c r="W1" s="505"/>
      <c r="X1" s="505"/>
      <c r="Y1" s="505"/>
      <c r="Z1" s="505"/>
      <c r="AA1" s="505"/>
      <c r="AB1" s="505" t="s">
        <v>65</v>
      </c>
      <c r="AC1" s="505"/>
      <c r="AD1" s="505"/>
      <c r="AE1" s="505"/>
      <c r="AF1" s="505"/>
      <c r="AG1" s="505"/>
      <c r="AH1" s="505"/>
      <c r="AI1" s="505"/>
      <c r="AJ1" s="505" t="s">
        <v>66</v>
      </c>
      <c r="AK1" s="505"/>
      <c r="AL1" s="505"/>
      <c r="AM1" s="505"/>
      <c r="AN1" s="505"/>
      <c r="AO1" s="505"/>
      <c r="AP1" s="505"/>
      <c r="AQ1" s="505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27</v>
      </c>
      <c r="D4" s="104">
        <f t="shared" ref="D4:AQ4" si="0">D9+D13+D30+D50</f>
        <v>2</v>
      </c>
      <c r="E4" s="106">
        <f t="shared" si="0"/>
        <v>0</v>
      </c>
      <c r="F4" s="107">
        <f t="shared" si="0"/>
        <v>2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2</v>
      </c>
      <c r="K4" s="108">
        <f t="shared" si="0"/>
        <v>6</v>
      </c>
      <c r="L4" s="106">
        <f t="shared" si="0"/>
        <v>2</v>
      </c>
      <c r="M4" s="106">
        <f t="shared" si="0"/>
        <v>0</v>
      </c>
      <c r="N4" s="107">
        <f t="shared" si="0"/>
        <v>2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1</v>
      </c>
      <c r="S4" s="108">
        <f t="shared" si="0"/>
        <v>5</v>
      </c>
      <c r="T4" s="106">
        <f t="shared" si="0"/>
        <v>2</v>
      </c>
      <c r="U4" s="106">
        <f t="shared" si="0"/>
        <v>0</v>
      </c>
      <c r="V4" s="107">
        <f t="shared" si="0"/>
        <v>2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2</v>
      </c>
      <c r="AA4" s="108">
        <f t="shared" si="0"/>
        <v>6</v>
      </c>
      <c r="AB4" s="106">
        <f t="shared" si="0"/>
        <v>2</v>
      </c>
      <c r="AC4" s="106">
        <f t="shared" si="0"/>
        <v>0</v>
      </c>
      <c r="AD4" s="107">
        <f t="shared" si="0"/>
        <v>2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3</v>
      </c>
      <c r="AI4" s="108">
        <f t="shared" si="0"/>
        <v>7</v>
      </c>
      <c r="AJ4" s="106">
        <f t="shared" si="0"/>
        <v>3</v>
      </c>
      <c r="AK4" s="106">
        <f t="shared" si="0"/>
        <v>0</v>
      </c>
      <c r="AL4" s="107">
        <f t="shared" si="0"/>
        <v>0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3</v>
      </c>
    </row>
    <row r="5" spans="1:43">
      <c r="A5" s="109" t="s">
        <v>13</v>
      </c>
      <c r="B5" s="110">
        <f>B16+B32+B36+B44+B27</f>
        <v>98</v>
      </c>
      <c r="D5" s="109">
        <f t="shared" ref="D5:AQ5" si="1">D16+D32+D36+D44</f>
        <v>6</v>
      </c>
      <c r="E5" s="111">
        <f t="shared" si="1"/>
        <v>0</v>
      </c>
      <c r="F5" s="112">
        <f t="shared" si="1"/>
        <v>6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4</v>
      </c>
      <c r="K5" s="113">
        <f t="shared" si="1"/>
        <v>16</v>
      </c>
      <c r="L5" s="111">
        <f t="shared" si="1"/>
        <v>5</v>
      </c>
      <c r="M5" s="111">
        <f t="shared" si="1"/>
        <v>0</v>
      </c>
      <c r="N5" s="112">
        <f t="shared" si="1"/>
        <v>5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6</v>
      </c>
      <c r="S5" s="113">
        <f t="shared" si="1"/>
        <v>16</v>
      </c>
      <c r="T5" s="111">
        <f t="shared" si="1"/>
        <v>5</v>
      </c>
      <c r="U5" s="111">
        <f t="shared" si="1"/>
        <v>0</v>
      </c>
      <c r="V5" s="112">
        <f t="shared" si="1"/>
        <v>6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6</v>
      </c>
      <c r="AA5" s="113">
        <f t="shared" si="1"/>
        <v>17</v>
      </c>
      <c r="AB5" s="111">
        <f t="shared" si="1"/>
        <v>7</v>
      </c>
      <c r="AC5" s="111">
        <f t="shared" si="1"/>
        <v>0</v>
      </c>
      <c r="AD5" s="112">
        <f t="shared" si="1"/>
        <v>7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7</v>
      </c>
      <c r="AI5" s="113">
        <f t="shared" si="1"/>
        <v>21</v>
      </c>
      <c r="AJ5" s="111">
        <f t="shared" si="1"/>
        <v>7</v>
      </c>
      <c r="AK5" s="111">
        <f t="shared" si="1"/>
        <v>0</v>
      </c>
      <c r="AL5" s="112">
        <f t="shared" si="1"/>
        <v>0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7</v>
      </c>
    </row>
    <row r="6" spans="1:43">
      <c r="A6" s="114" t="s">
        <v>4</v>
      </c>
      <c r="B6" s="115">
        <f>B10+B14+B15+B19+B22+B31+B35+B39+B42+B43+B47+B51+B26</f>
        <v>218</v>
      </c>
      <c r="D6" s="114">
        <f t="shared" ref="D6:AQ6" si="2">D10+D14+D15+D19+D22+D31+D35+D39+D42+D43+D47+D66</f>
        <v>10</v>
      </c>
      <c r="E6" s="116">
        <f t="shared" si="2"/>
        <v>0</v>
      </c>
      <c r="F6" s="117">
        <f t="shared" si="2"/>
        <v>9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16</v>
      </c>
      <c r="K6" s="118">
        <f t="shared" si="2"/>
        <v>35</v>
      </c>
      <c r="L6" s="116">
        <f t="shared" si="2"/>
        <v>18</v>
      </c>
      <c r="M6" s="116">
        <f t="shared" si="2"/>
        <v>0</v>
      </c>
      <c r="N6" s="117">
        <f t="shared" si="2"/>
        <v>15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14</v>
      </c>
      <c r="S6" s="118">
        <f t="shared" si="2"/>
        <v>47</v>
      </c>
      <c r="T6" s="116">
        <f t="shared" si="2"/>
        <v>13</v>
      </c>
      <c r="U6" s="116">
        <f t="shared" si="2"/>
        <v>0</v>
      </c>
      <c r="V6" s="117">
        <f t="shared" si="2"/>
        <v>16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16</v>
      </c>
      <c r="AA6" s="118">
        <f t="shared" si="2"/>
        <v>45</v>
      </c>
      <c r="AB6" s="116">
        <f t="shared" si="2"/>
        <v>14</v>
      </c>
      <c r="AC6" s="116">
        <f t="shared" si="2"/>
        <v>0</v>
      </c>
      <c r="AD6" s="117">
        <f t="shared" si="2"/>
        <v>15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14</v>
      </c>
      <c r="AI6" s="118">
        <f t="shared" si="2"/>
        <v>43</v>
      </c>
      <c r="AJ6" s="116">
        <f t="shared" si="2"/>
        <v>16</v>
      </c>
      <c r="AK6" s="116">
        <f t="shared" si="2"/>
        <v>0</v>
      </c>
      <c r="AL6" s="117">
        <f t="shared" si="2"/>
        <v>0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16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29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2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2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3</v>
      </c>
      <c r="K10" s="108">
        <f>SUM(D10:J10)</f>
        <v>7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3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2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2</v>
      </c>
      <c r="S10" s="108">
        <f>SUM(L10:R10)</f>
        <v>7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1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1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2</v>
      </c>
      <c r="AA10" s="108">
        <f>SUM(T10:Z10)</f>
        <v>4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3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2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3</v>
      </c>
      <c r="AI10" s="108">
        <f>SUM(AB10:AH10)</f>
        <v>8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3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0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3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13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1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1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1</v>
      </c>
      <c r="K13" s="108">
        <f>SUM(D13:J13)</f>
        <v>3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1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1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1</v>
      </c>
      <c r="S13" s="108">
        <f>SUM(L13:R13)</f>
        <v>3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1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1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1</v>
      </c>
      <c r="AA13" s="108">
        <f>SUM(T13:Z13)</f>
        <v>3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1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1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1</v>
      </c>
      <c r="AI13" s="108">
        <f>SUM(AB13:AH13)</f>
        <v>3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1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1</v>
      </c>
    </row>
    <row r="14" spans="1:43" ht="15.75" thickBot="1">
      <c r="A14" s="109" t="s">
        <v>76</v>
      </c>
      <c r="B14" s="110">
        <f>K14+S14+AA14+AI14+AQ14</f>
        <v>33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2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1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3</v>
      </c>
      <c r="K14" s="108">
        <f>SUM(D14:J14)</f>
        <v>6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3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3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2</v>
      </c>
      <c r="S14" s="108">
        <f>SUM(L14:R14)</f>
        <v>8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3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3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3</v>
      </c>
      <c r="AA14" s="108">
        <f>SUM(T14:Z14)</f>
        <v>9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2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3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2</v>
      </c>
      <c r="AI14" s="108">
        <f>SUM(AB14:AH14)</f>
        <v>7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3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0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3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21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2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2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1</v>
      </c>
      <c r="K16" s="108">
        <f>SUM(D16:J16)</f>
        <v>5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1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2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2</v>
      </c>
      <c r="S16" s="108">
        <f>SUM(L16:R16)</f>
        <v>5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1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2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1</v>
      </c>
      <c r="AA16" s="108">
        <f>SUM(T16:Z16)</f>
        <v>4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2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1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2</v>
      </c>
      <c r="AI16" s="108">
        <f>SUM(AB16:AH16)</f>
        <v>5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2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0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2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31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2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2</v>
      </c>
      <c r="K19" s="108">
        <f>SUM(D19:J19)</f>
        <v>4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2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2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2</v>
      </c>
      <c r="S19" s="108">
        <f>SUM(L19:R19)</f>
        <v>6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3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3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3</v>
      </c>
      <c r="AA19" s="108">
        <f>SUM(T19:Z19)</f>
        <v>9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3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3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3</v>
      </c>
      <c r="AI19" s="108">
        <f>SUM(AB19:AH19)</f>
        <v>9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3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0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3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17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2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2</v>
      </c>
      <c r="K22" s="108">
        <f>SUM(D22:J22)</f>
        <v>4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2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1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3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1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2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2</v>
      </c>
      <c r="AA22" s="108">
        <f>SUM(T22:Z22)</f>
        <v>5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1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1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2</v>
      </c>
      <c r="AI22" s="108">
        <f>SUM(AB22:AH22)</f>
        <v>4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1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0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1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13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1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1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1</v>
      </c>
      <c r="K26" s="108">
        <f>SUM(D26:J26)</f>
        <v>3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1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1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1</v>
      </c>
      <c r="S26" s="108">
        <f>SUM(L26:R26)</f>
        <v>3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1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1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1</v>
      </c>
      <c r="AA26" s="108">
        <f>SUM(T26:Z26)</f>
        <v>3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1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1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1</v>
      </c>
      <c r="AI26" s="108">
        <f>SUM(AB26:AH26)</f>
        <v>3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1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0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1</v>
      </c>
    </row>
    <row r="27" spans="1:43" ht="15.75" thickBot="1">
      <c r="A27" s="114" t="s">
        <v>13</v>
      </c>
      <c r="B27" s="115">
        <f>K27+S27+AA27+AI27+AQ27</f>
        <v>21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1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2</v>
      </c>
      <c r="K27" s="108">
        <f>SUM(D27:J27)</f>
        <v>3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1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2</v>
      </c>
      <c r="S27" s="108">
        <f>SUM(L27:R27)</f>
        <v>5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2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2</v>
      </c>
      <c r="AA27" s="108">
        <f>SUM(T27:Z27)</f>
        <v>6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2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2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2</v>
      </c>
      <c r="AI27" s="108">
        <f>SUM(AB27:AH27)</f>
        <v>6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1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1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0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0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0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0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0</v>
      </c>
    </row>
    <row r="32" spans="1:43" ht="15.75" thickBot="1">
      <c r="A32" s="114" t="s">
        <v>13</v>
      </c>
      <c r="B32" s="115">
        <f>K32+S32+AA32+AI32+AQ32</f>
        <v>13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1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1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1</v>
      </c>
      <c r="K32" s="108">
        <f>SUM(D32:J32)</f>
        <v>3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1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1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1</v>
      </c>
      <c r="S32" s="108">
        <f>SUM(L32:R32)</f>
        <v>3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1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1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3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0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1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20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1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1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2</v>
      </c>
      <c r="K35" s="108">
        <f>SUM(D35:J35)</f>
        <v>4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2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1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2</v>
      </c>
      <c r="S35" s="108">
        <f>SUM(L35:R35)</f>
        <v>5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2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2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2</v>
      </c>
      <c r="AA35" s="108">
        <f>SUM(T35:Z35)</f>
        <v>6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2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1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1</v>
      </c>
      <c r="AI35" s="108">
        <f>SUM(AB35:AH35)</f>
        <v>4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1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0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1</v>
      </c>
    </row>
    <row r="36" spans="1:43" ht="15.75" thickBot="1">
      <c r="A36" s="114" t="s">
        <v>13</v>
      </c>
      <c r="B36" s="115">
        <f>K36+S36+AA36+AI36+AQ36</f>
        <v>17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2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2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1</v>
      </c>
      <c r="K36" s="108">
        <f>SUM(D36:J36)</f>
        <v>5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1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1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1</v>
      </c>
      <c r="S36" s="108">
        <f>SUM(L36:R36)</f>
        <v>3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1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1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1</v>
      </c>
      <c r="AA36" s="108">
        <f>SUM(T36:Z36)</f>
        <v>3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1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2</v>
      </c>
      <c r="AI36" s="108">
        <f>SUM(AB36:AH36)</f>
        <v>5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1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1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20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1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1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2</v>
      </c>
      <c r="K39" s="108">
        <f>SUM(D39:J39)</f>
        <v>4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2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2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2</v>
      </c>
      <c r="S39" s="108">
        <f>SUM(L39:R39)</f>
        <v>6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1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2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4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2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2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5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0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1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0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0</v>
      </c>
      <c r="AI42" s="108">
        <f>SUM(AB42:AH42)</f>
        <v>0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0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0</v>
      </c>
    </row>
    <row r="43" spans="1:43" ht="15.75" thickBot="1">
      <c r="A43" s="109" t="s">
        <v>77</v>
      </c>
      <c r="B43" s="110">
        <f>K43+S43+AA43+AI43+AQ43</f>
        <v>9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1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1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2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1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1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1</v>
      </c>
      <c r="S43" s="108">
        <f>SUM(L43:R43)</f>
        <v>3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1</v>
      </c>
      <c r="AA43" s="108">
        <f>SUM(T43:Z43)</f>
        <v>1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1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1</v>
      </c>
      <c r="AI43" s="108">
        <f>SUM(AB43:AH43)</f>
        <v>2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1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1</v>
      </c>
    </row>
    <row r="44" spans="1:43" ht="15.75" thickBot="1">
      <c r="A44" s="114" t="s">
        <v>13</v>
      </c>
      <c r="B44" s="115">
        <f>K44+S44+AA44+AI44+AQ44</f>
        <v>26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1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1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1</v>
      </c>
      <c r="K44" s="108">
        <f>SUM(D44:J44)</f>
        <v>3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2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1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2</v>
      </c>
      <c r="S44" s="108">
        <f>SUM(L44:R44)</f>
        <v>5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2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2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3</v>
      </c>
      <c r="AA44" s="108">
        <f>SUM(T44:Z44)</f>
        <v>7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3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3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2</v>
      </c>
      <c r="AI44" s="108">
        <f>SUM(AB44:AH44)</f>
        <v>8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3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3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27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1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1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2</v>
      </c>
      <c r="K47" s="108">
        <f>SUM(D47:J47)</f>
        <v>4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3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3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3</v>
      </c>
      <c r="S47" s="108">
        <f>SUM(L47:R47)</f>
        <v>9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2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3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7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1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1</v>
      </c>
      <c r="AI47" s="108">
        <f>SUM(AB47:AH47)</f>
        <v>4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3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0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3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14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1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1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1</v>
      </c>
      <c r="K50" s="108">
        <f>SUM(D50:J50)</f>
        <v>3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1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1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2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1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1</v>
      </c>
      <c r="AA50" s="108">
        <f>SUM(T50:Z50)</f>
        <v>3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1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2</v>
      </c>
      <c r="AI50" s="108">
        <f>SUM(AB50:AH50)</f>
        <v>4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2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2</v>
      </c>
    </row>
    <row r="51" spans="1:43" ht="15.75" thickBot="1">
      <c r="A51" s="122" t="s">
        <v>77</v>
      </c>
      <c r="B51" s="115">
        <f>K51+S51+AA51+AI51+AQ51</f>
        <v>19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2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1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2</v>
      </c>
      <c r="K51" s="108">
        <f>SUM(D51:J51)</f>
        <v>5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2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1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1</v>
      </c>
      <c r="S51" s="108">
        <f>SUM(L51:R51)</f>
        <v>4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2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2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1</v>
      </c>
      <c r="AA51" s="108">
        <f>SUM(T51:Z51)</f>
        <v>5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2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1</v>
      </c>
      <c r="AI51" s="108">
        <f>SUM(AB51:AH51)</f>
        <v>4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0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1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D15" sqref="D15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06" t="s">
        <v>137</v>
      </c>
      <c r="B1" s="507"/>
      <c r="E1" s="508" t="s">
        <v>138</v>
      </c>
      <c r="F1" s="509"/>
      <c r="G1" s="509"/>
      <c r="H1" s="510"/>
    </row>
    <row r="2" spans="1:8" ht="13.5" thickTop="1">
      <c r="A2" s="262" t="s">
        <v>26</v>
      </c>
      <c r="B2" s="264" t="s">
        <v>212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G3" s="318"/>
      <c r="H3" s="318"/>
    </row>
    <row r="4" spans="1:8">
      <c r="A4" s="262" t="s">
        <v>267</v>
      </c>
      <c r="B4" s="264">
        <v>7054</v>
      </c>
      <c r="G4" s="318"/>
      <c r="H4" s="318"/>
    </row>
    <row r="5" spans="1:8">
      <c r="A5" s="262" t="s">
        <v>198</v>
      </c>
      <c r="B5" s="264">
        <v>7043</v>
      </c>
      <c r="G5" s="318"/>
      <c r="H5" s="318"/>
    </row>
    <row r="6" spans="1:8">
      <c r="A6" s="262" t="s">
        <v>226</v>
      </c>
      <c r="B6" s="264">
        <v>7174</v>
      </c>
      <c r="G6" s="318"/>
      <c r="H6" s="318"/>
    </row>
    <row r="7" spans="1:8">
      <c r="A7" s="262" t="s">
        <v>231</v>
      </c>
      <c r="B7" s="264">
        <v>7161</v>
      </c>
      <c r="G7" s="318"/>
      <c r="H7" s="318"/>
    </row>
    <row r="8" spans="1:8">
      <c r="A8" s="262" t="s">
        <v>249</v>
      </c>
      <c r="B8" s="264">
        <v>7104</v>
      </c>
      <c r="G8" s="318"/>
      <c r="H8" s="318"/>
    </row>
    <row r="9" spans="1:8">
      <c r="A9" s="262" t="s">
        <v>242</v>
      </c>
      <c r="B9" s="264">
        <v>7153</v>
      </c>
      <c r="G9" s="318"/>
      <c r="H9" s="318"/>
    </row>
    <row r="10" spans="1:8">
      <c r="A10" s="262" t="s">
        <v>266</v>
      </c>
      <c r="B10" s="264">
        <v>7183</v>
      </c>
      <c r="G10" s="318"/>
      <c r="H10" s="318"/>
    </row>
    <row r="11" spans="1:8">
      <c r="A11" s="262" t="s">
        <v>271</v>
      </c>
      <c r="B11" s="264">
        <v>7199</v>
      </c>
      <c r="G11" s="318"/>
      <c r="H11" s="318"/>
    </row>
    <row r="12" spans="1:8">
      <c r="A12" s="262" t="s">
        <v>229</v>
      </c>
      <c r="B12" s="264">
        <v>7106</v>
      </c>
      <c r="G12" s="318"/>
      <c r="H12" s="318"/>
    </row>
    <row r="13" spans="1:8">
      <c r="A13" s="262" t="s">
        <v>199</v>
      </c>
      <c r="B13" s="264">
        <v>7207</v>
      </c>
      <c r="G13" s="318"/>
      <c r="H13" s="318"/>
    </row>
    <row r="14" spans="1:8">
      <c r="A14" s="262" t="s">
        <v>232</v>
      </c>
      <c r="B14" s="264">
        <v>7258</v>
      </c>
      <c r="G14" s="318"/>
      <c r="H14" s="318"/>
    </row>
    <row r="15" spans="1:8">
      <c r="A15" s="262" t="s">
        <v>234</v>
      </c>
      <c r="B15" s="264">
        <v>7108</v>
      </c>
      <c r="G15" s="318"/>
      <c r="H15" s="318"/>
    </row>
    <row r="16" spans="1:8">
      <c r="A16" s="262" t="s">
        <v>200</v>
      </c>
      <c r="B16" s="264">
        <v>7198</v>
      </c>
      <c r="G16" s="318"/>
      <c r="H16" s="318"/>
    </row>
    <row r="17" spans="1:8">
      <c r="A17" s="262" t="s">
        <v>241</v>
      </c>
      <c r="B17" s="264">
        <v>7083</v>
      </c>
      <c r="G17" s="318"/>
      <c r="H17" s="318"/>
    </row>
    <row r="18" spans="1:8">
      <c r="A18" s="262" t="s">
        <v>201</v>
      </c>
      <c r="B18" s="264">
        <v>7130</v>
      </c>
      <c r="G18" s="318"/>
      <c r="H18" s="318"/>
    </row>
    <row r="19" spans="1:8">
      <c r="A19" s="262" t="s">
        <v>224</v>
      </c>
      <c r="B19" s="264">
        <v>7153</v>
      </c>
      <c r="G19" s="318"/>
      <c r="H19" s="318"/>
    </row>
    <row r="20" spans="1:8">
      <c r="A20" s="262" t="s">
        <v>244</v>
      </c>
      <c r="B20" s="264">
        <v>7188</v>
      </c>
      <c r="G20" s="318"/>
      <c r="H20" s="318"/>
    </row>
    <row r="21" spans="1:8">
      <c r="A21" s="262" t="s">
        <v>240</v>
      </c>
      <c r="B21" s="264">
        <v>7212</v>
      </c>
      <c r="G21" s="318"/>
      <c r="H21" s="318"/>
    </row>
    <row r="22" spans="1:8">
      <c r="A22" s="262" t="s">
        <v>134</v>
      </c>
      <c r="B22" s="264">
        <v>7163</v>
      </c>
      <c r="G22" s="318"/>
      <c r="H22" s="318"/>
    </row>
    <row r="23" spans="1:8">
      <c r="A23" s="262" t="s">
        <v>258</v>
      </c>
      <c r="B23" s="264">
        <v>7159</v>
      </c>
      <c r="G23" s="318"/>
      <c r="H23" s="318"/>
    </row>
    <row r="24" spans="1:8">
      <c r="A24" s="262" t="s">
        <v>253</v>
      </c>
      <c r="B24" s="264">
        <v>7169</v>
      </c>
      <c r="G24" s="318"/>
      <c r="H24" s="318"/>
    </row>
    <row r="25" spans="1:8">
      <c r="A25" s="262" t="s">
        <v>257</v>
      </c>
      <c r="B25" s="264">
        <v>7184</v>
      </c>
      <c r="G25" s="318"/>
      <c r="H25" s="318"/>
    </row>
    <row r="26" spans="1:8">
      <c r="A26" s="262" t="s">
        <v>255</v>
      </c>
      <c r="B26" s="264">
        <v>7178</v>
      </c>
      <c r="G26" s="318"/>
      <c r="H26" s="318"/>
    </row>
    <row r="27" spans="1:8">
      <c r="A27" s="262" t="s">
        <v>203</v>
      </c>
      <c r="B27" s="264">
        <v>7102</v>
      </c>
      <c r="G27" s="318"/>
      <c r="H27" s="318"/>
    </row>
    <row r="28" spans="1:8">
      <c r="A28" s="262" t="s">
        <v>259</v>
      </c>
      <c r="B28" s="264">
        <v>7141</v>
      </c>
      <c r="G28" s="318"/>
      <c r="H28" s="318"/>
    </row>
    <row r="29" spans="1:8">
      <c r="A29" s="262" t="s">
        <v>204</v>
      </c>
      <c r="B29" s="264">
        <v>7208</v>
      </c>
      <c r="G29" s="318"/>
      <c r="H29" s="318"/>
    </row>
    <row r="30" spans="1:8">
      <c r="A30" s="262" t="s">
        <v>269</v>
      </c>
      <c r="B30" s="264">
        <v>7088</v>
      </c>
      <c r="G30" s="318"/>
      <c r="H30" s="318"/>
    </row>
    <row r="31" spans="1:8">
      <c r="A31" s="262" t="s">
        <v>205</v>
      </c>
      <c r="B31" s="264">
        <v>7101</v>
      </c>
      <c r="G31" s="318"/>
      <c r="H31" s="318"/>
    </row>
    <row r="32" spans="1:8">
      <c r="A32" s="262" t="s">
        <v>221</v>
      </c>
      <c r="B32" s="264">
        <v>7136</v>
      </c>
      <c r="G32" s="318"/>
      <c r="H32" s="318"/>
    </row>
    <row r="33" spans="1:8">
      <c r="A33" s="262" t="s">
        <v>260</v>
      </c>
      <c r="B33" s="264">
        <v>7150</v>
      </c>
      <c r="G33" s="318"/>
      <c r="H33" s="318"/>
    </row>
    <row r="34" spans="1:8">
      <c r="A34" s="262" t="s">
        <v>206</v>
      </c>
      <c r="B34" s="264">
        <v>7216</v>
      </c>
      <c r="G34" s="318"/>
      <c r="H34" s="318"/>
    </row>
    <row r="35" spans="1:8">
      <c r="A35" s="262" t="s">
        <v>243</v>
      </c>
      <c r="B35" s="264">
        <v>7217</v>
      </c>
      <c r="G35" s="318"/>
      <c r="H35" s="318"/>
    </row>
    <row r="36" spans="1:8">
      <c r="A36" s="262" t="s">
        <v>263</v>
      </c>
      <c r="B36" s="264">
        <v>7078</v>
      </c>
      <c r="G36" s="318"/>
      <c r="H36" s="318"/>
    </row>
    <row r="37" spans="1:8">
      <c r="A37" s="262" t="s">
        <v>222</v>
      </c>
      <c r="B37" s="264">
        <v>7118</v>
      </c>
      <c r="G37" s="318"/>
      <c r="H37" s="318"/>
    </row>
    <row r="38" spans="1:8">
      <c r="A38" s="262" t="s">
        <v>268</v>
      </c>
      <c r="B38" s="264">
        <v>7028</v>
      </c>
      <c r="G38" s="318"/>
      <c r="H38" s="318"/>
    </row>
    <row r="39" spans="1:8">
      <c r="G39" s="318"/>
      <c r="H39" s="318"/>
    </row>
    <row r="40" spans="1:8">
      <c r="G40" s="318"/>
      <c r="H40" s="318"/>
    </row>
    <row r="41" spans="1:8">
      <c r="G41" s="318"/>
      <c r="H41" s="318"/>
    </row>
    <row r="42" spans="1:8">
      <c r="G42" s="318"/>
      <c r="H42" s="318"/>
    </row>
    <row r="43" spans="1:8">
      <c r="G43" s="318"/>
      <c r="H43" s="318"/>
    </row>
    <row r="44" spans="1:8">
      <c r="G44" s="318"/>
      <c r="H44" s="318"/>
    </row>
    <row r="45" spans="1:8">
      <c r="G45" s="318"/>
      <c r="H45" s="318"/>
    </row>
    <row r="46" spans="1:8">
      <c r="G46" s="318"/>
      <c r="H46" s="318"/>
    </row>
    <row r="47" spans="1:8">
      <c r="G47" s="318"/>
      <c r="H47" s="318"/>
    </row>
    <row r="48" spans="1:8">
      <c r="G48" s="318"/>
      <c r="H48" s="318"/>
    </row>
    <row r="49" spans="7:8">
      <c r="G49" s="318"/>
      <c r="H49" s="318"/>
    </row>
    <row r="50" spans="7:8">
      <c r="G50" s="318"/>
      <c r="H50" s="318"/>
    </row>
    <row r="51" spans="7:8">
      <c r="G51" s="318"/>
      <c r="H51" s="318"/>
    </row>
    <row r="52" spans="7:8">
      <c r="G52" s="318"/>
      <c r="H52" s="318"/>
    </row>
    <row r="53" spans="7:8">
      <c r="G53" s="318"/>
      <c r="H53" s="318"/>
    </row>
    <row r="54" spans="7:8">
      <c r="G54" s="318"/>
      <c r="H54" s="318"/>
    </row>
    <row r="55" spans="7:8">
      <c r="G55" s="318"/>
      <c r="H55" s="318"/>
    </row>
    <row r="56" spans="7:8">
      <c r="G56" s="318"/>
      <c r="H56" s="318"/>
    </row>
    <row r="57" spans="7:8">
      <c r="G57" s="318"/>
      <c r="H57" s="318"/>
    </row>
    <row r="77" spans="7:8">
      <c r="G77" s="262"/>
      <c r="H77" s="263"/>
    </row>
    <row r="78" spans="7:8">
      <c r="G78" s="262"/>
      <c r="H78" s="263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A3:B54">
    <sortCondition ref="A2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>
        <f>Gear!A2</f>
        <v>0</v>
      </c>
      <c r="C2" t="s">
        <v>141</v>
      </c>
      <c r="D2">
        <f>'Members Data'!D2</f>
        <v>0</v>
      </c>
      <c r="E2" t="str">
        <f>IF(D2="MDPS","D",IF(D2="RDPS","D",IF(D2="Healer","H",IF(D2="Tank","T","Error"))))</f>
        <v>Error</v>
      </c>
      <c r="F2" t="s">
        <v>142</v>
      </c>
      <c r="G2">
        <f>Gear!L2</f>
        <v>0</v>
      </c>
      <c r="H2" t="s">
        <v>143</v>
      </c>
      <c r="I2" t="str">
        <f t="shared" ref="I2:I48" si="0">IF(B2=0,"",A2&amp;B2&amp;C2&amp;E2&amp;F2&amp;G2&amp;H2)</f>
        <v/>
      </c>
    </row>
    <row r="3" spans="1:9">
      <c r="A3" t="s">
        <v>144</v>
      </c>
      <c r="B3" t="str">
        <f>Gear!A3</f>
        <v>Altrezza</v>
      </c>
      <c r="C3" t="s">
        <v>141</v>
      </c>
      <c r="D3" t="str">
        <f>'Members Data'!D3</f>
        <v>Healer</v>
      </c>
      <c r="E3" t="str">
        <f t="shared" ref="E3:E66" si="1">IF(D3="MDPS","D",IF(D3="RDPS","D",IF(D3="Healer","H",IF(D3="Tank","T","Error"))))</f>
        <v>H</v>
      </c>
      <c r="F3" t="s">
        <v>142</v>
      </c>
      <c r="G3">
        <f>Gear!L3</f>
        <v>5</v>
      </c>
      <c r="H3" t="s">
        <v>143</v>
      </c>
      <c r="I3" t="str">
        <f t="shared" si="0"/>
        <v>,["Altrezza"] = { ["note"] = "H(5)"}</v>
      </c>
    </row>
    <row r="4" spans="1:9">
      <c r="A4" t="s">
        <v>144</v>
      </c>
      <c r="B4" t="str">
        <f>Gear!A4</f>
        <v>Ambú</v>
      </c>
      <c r="C4" t="s">
        <v>141</v>
      </c>
      <c r="D4" t="str">
        <f>'Members Data'!D4</f>
        <v>MDPS</v>
      </c>
      <c r="E4" t="str">
        <f t="shared" si="1"/>
        <v>D</v>
      </c>
      <c r="F4" t="s">
        <v>142</v>
      </c>
      <c r="G4">
        <f>Gear!L4</f>
        <v>5</v>
      </c>
      <c r="H4" t="s">
        <v>143</v>
      </c>
      <c r="I4" t="str">
        <f t="shared" si="0"/>
        <v>,["Ambú"] = { ["note"] = "D(5)"}</v>
      </c>
    </row>
    <row r="5" spans="1:9">
      <c r="A5" t="s">
        <v>144</v>
      </c>
      <c r="B5" t="str">
        <f>Gear!A5</f>
        <v>Andreah</v>
      </c>
      <c r="C5" t="s">
        <v>141</v>
      </c>
      <c r="D5" t="str">
        <f>'Members Data'!D5</f>
        <v>RDPS</v>
      </c>
      <c r="E5" t="str">
        <f t="shared" si="1"/>
        <v>D</v>
      </c>
      <c r="F5" t="s">
        <v>142</v>
      </c>
      <c r="G5">
        <f>Gear!L5</f>
        <v>5</v>
      </c>
      <c r="H5" t="s">
        <v>143</v>
      </c>
      <c r="I5" t="str">
        <f t="shared" si="0"/>
        <v>,["Andreah"] = { ["note"] = "D(5)"}</v>
      </c>
    </row>
    <row r="6" spans="1:9">
      <c r="A6" t="s">
        <v>144</v>
      </c>
      <c r="B6">
        <f>Gear!A6</f>
        <v>0</v>
      </c>
      <c r="C6" t="s">
        <v>141</v>
      </c>
      <c r="D6">
        <f>'Members Data'!D6</f>
        <v>0</v>
      </c>
      <c r="E6" t="str">
        <f t="shared" si="1"/>
        <v>Error</v>
      </c>
      <c r="F6" t="s">
        <v>142</v>
      </c>
      <c r="G6">
        <f>Gear!L6</f>
        <v>0</v>
      </c>
      <c r="H6" t="s">
        <v>143</v>
      </c>
      <c r="I6" t="str">
        <f t="shared" si="0"/>
        <v/>
      </c>
    </row>
    <row r="7" spans="1:9">
      <c r="A7" t="s">
        <v>144</v>
      </c>
      <c r="B7" t="str">
        <f>Gear!A7</f>
        <v>Axium</v>
      </c>
      <c r="C7" t="s">
        <v>141</v>
      </c>
      <c r="D7" t="str">
        <f>'Members Data'!D7</f>
        <v>MDPS</v>
      </c>
      <c r="E7" t="str">
        <f t="shared" si="1"/>
        <v>D</v>
      </c>
      <c r="F7" t="s">
        <v>142</v>
      </c>
      <c r="G7">
        <f>Gear!L7</f>
        <v>5</v>
      </c>
      <c r="H7" t="s">
        <v>143</v>
      </c>
      <c r="I7" t="str">
        <f t="shared" si="0"/>
        <v>,["Axium"] = { ["note"] = "D(5)"}</v>
      </c>
    </row>
    <row r="8" spans="1:9">
      <c r="A8" t="s">
        <v>144</v>
      </c>
      <c r="B8">
        <f>Gear!A8</f>
        <v>0</v>
      </c>
      <c r="C8" t="s">
        <v>141</v>
      </c>
      <c r="D8">
        <f>'Members Data'!D8</f>
        <v>0</v>
      </c>
      <c r="E8" t="str">
        <f t="shared" si="1"/>
        <v>Error</v>
      </c>
      <c r="F8" t="s">
        <v>142</v>
      </c>
      <c r="G8">
        <f>Gear!L8</f>
        <v>0</v>
      </c>
      <c r="H8" t="s">
        <v>143</v>
      </c>
      <c r="I8" t="str">
        <f t="shared" si="0"/>
        <v/>
      </c>
    </row>
    <row r="9" spans="1:9">
      <c r="A9" t="s">
        <v>144</v>
      </c>
      <c r="B9">
        <f>Gear!A9</f>
        <v>0</v>
      </c>
      <c r="C9" t="s">
        <v>141</v>
      </c>
      <c r="D9">
        <f>'Members Data'!D9</f>
        <v>0</v>
      </c>
      <c r="E9" t="str">
        <f t="shared" si="1"/>
        <v>Error</v>
      </c>
      <c r="F9" t="s">
        <v>142</v>
      </c>
      <c r="G9">
        <f>Gear!L9</f>
        <v>0</v>
      </c>
      <c r="H9" t="s">
        <v>143</v>
      </c>
      <c r="I9" t="str">
        <f t="shared" si="0"/>
        <v/>
      </c>
    </row>
    <row r="10" spans="1:9">
      <c r="A10" t="s">
        <v>144</v>
      </c>
      <c r="B10" t="str">
        <f>Gear!A10</f>
        <v>Craving</v>
      </c>
      <c r="C10" t="s">
        <v>141</v>
      </c>
      <c r="D10" t="str">
        <f>'Members Data'!D10</f>
        <v>MDPS</v>
      </c>
      <c r="E10" t="str">
        <f t="shared" si="1"/>
        <v>D</v>
      </c>
      <c r="F10" t="s">
        <v>142</v>
      </c>
      <c r="G10">
        <f>Gear!L10</f>
        <v>5</v>
      </c>
      <c r="H10" t="s">
        <v>143</v>
      </c>
      <c r="I10" t="str">
        <f t="shared" si="0"/>
        <v>,["Craving"] = { ["note"] = "D(5)"}</v>
      </c>
    </row>
    <row r="11" spans="1:9">
      <c r="A11" t="s">
        <v>144</v>
      </c>
      <c r="B11" t="str">
        <f>Gear!A11</f>
        <v>Darsid</v>
      </c>
      <c r="C11" t="s">
        <v>141</v>
      </c>
      <c r="D11" t="str">
        <f>'Members Data'!D11</f>
        <v>MDPS</v>
      </c>
      <c r="E11" t="str">
        <f t="shared" si="1"/>
        <v>D</v>
      </c>
      <c r="F11" t="s">
        <v>142</v>
      </c>
      <c r="G11">
        <f>Gear!L11</f>
        <v>5</v>
      </c>
      <c r="H11" t="s">
        <v>143</v>
      </c>
      <c r="I11" t="str">
        <f t="shared" si="0"/>
        <v>,["Darsid"] = { ["note"] = "D(5)"}</v>
      </c>
    </row>
    <row r="12" spans="1:9">
      <c r="A12" t="s">
        <v>144</v>
      </c>
      <c r="B12" t="str">
        <f>Gear!A12</f>
        <v>Droodcaster</v>
      </c>
      <c r="C12" t="s">
        <v>141</v>
      </c>
      <c r="D12" t="str">
        <f>'Members Data'!D12</f>
        <v>RDPS</v>
      </c>
      <c r="E12" t="str">
        <f t="shared" si="1"/>
        <v>D</v>
      </c>
      <c r="F12" t="s">
        <v>142</v>
      </c>
      <c r="G12">
        <f>Gear!L12</f>
        <v>5</v>
      </c>
      <c r="H12" t="s">
        <v>143</v>
      </c>
      <c r="I12" t="str">
        <f t="shared" si="0"/>
        <v>,["Droodcaster"] = { ["note"] = "D(5)"}</v>
      </c>
    </row>
    <row r="13" spans="1:9">
      <c r="A13" t="s">
        <v>144</v>
      </c>
      <c r="B13" t="str">
        <f>Gear!A13</f>
        <v>Gloríus</v>
      </c>
      <c r="C13" t="s">
        <v>141</v>
      </c>
      <c r="D13" t="str">
        <f>'Members Data'!D13</f>
        <v>RDPS</v>
      </c>
      <c r="E13" t="str">
        <f t="shared" si="1"/>
        <v>D</v>
      </c>
      <c r="F13" t="s">
        <v>142</v>
      </c>
      <c r="G13">
        <f>Gear!L13</f>
        <v>5</v>
      </c>
      <c r="H13" t="s">
        <v>143</v>
      </c>
      <c r="I13" t="str">
        <f t="shared" si="0"/>
        <v>,["Gloríus"] = { ["note"] = "D(5)"}</v>
      </c>
    </row>
    <row r="14" spans="1:9">
      <c r="A14" t="s">
        <v>144</v>
      </c>
      <c r="B14" t="str">
        <f>Gear!A14</f>
        <v>Halfhorns</v>
      </c>
      <c r="C14" t="s">
        <v>141</v>
      </c>
      <c r="D14" t="str">
        <f>'Members Data'!D14</f>
        <v>MDPS</v>
      </c>
      <c r="E14" t="str">
        <f t="shared" si="1"/>
        <v>D</v>
      </c>
      <c r="F14" t="s">
        <v>142</v>
      </c>
      <c r="G14">
        <f>Gear!L14</f>
        <v>5</v>
      </c>
      <c r="H14" t="s">
        <v>143</v>
      </c>
      <c r="I14" t="str">
        <f t="shared" si="0"/>
        <v>,["Halfhorns"] = { ["note"] = "D(5)"}</v>
      </c>
    </row>
    <row r="15" spans="1:9">
      <c r="A15" t="s">
        <v>144</v>
      </c>
      <c r="B15">
        <f>Gear!A15</f>
        <v>0</v>
      </c>
      <c r="C15" t="s">
        <v>141</v>
      </c>
      <c r="D15">
        <f>'Members Data'!D15</f>
        <v>0</v>
      </c>
      <c r="E15" t="str">
        <f t="shared" si="1"/>
        <v>Error</v>
      </c>
      <c r="F15" t="s">
        <v>142</v>
      </c>
      <c r="G15">
        <f>Gear!L15</f>
        <v>0</v>
      </c>
      <c r="H15" t="s">
        <v>143</v>
      </c>
      <c r="I15" t="str">
        <f t="shared" si="0"/>
        <v/>
      </c>
    </row>
    <row r="16" spans="1:9">
      <c r="A16" t="s">
        <v>144</v>
      </c>
      <c r="B16" t="str">
        <f>Gear!A16</f>
        <v>Incharge</v>
      </c>
      <c r="C16" t="s">
        <v>141</v>
      </c>
      <c r="D16" t="str">
        <f>'Members Data'!D16</f>
        <v>RDPS</v>
      </c>
      <c r="E16" t="str">
        <f t="shared" si="1"/>
        <v>D</v>
      </c>
      <c r="F16" t="s">
        <v>142</v>
      </c>
      <c r="G16">
        <f>Gear!L16</f>
        <v>5</v>
      </c>
      <c r="H16" t="s">
        <v>143</v>
      </c>
      <c r="I16" t="str">
        <f t="shared" si="0"/>
        <v>,["Incharge"] = { ["note"] = "D(5)"}</v>
      </c>
    </row>
    <row r="17" spans="1:9">
      <c r="A17" t="s">
        <v>144</v>
      </c>
      <c r="B17" t="str">
        <f>Gear!A17</f>
        <v>Izzabelle</v>
      </c>
      <c r="C17" t="s">
        <v>141</v>
      </c>
      <c r="D17" t="str">
        <f>'Members Data'!D17</f>
        <v>Healer</v>
      </c>
      <c r="E17" t="str">
        <f t="shared" si="1"/>
        <v>H</v>
      </c>
      <c r="F17" t="s">
        <v>142</v>
      </c>
      <c r="G17">
        <f>Gear!L17</f>
        <v>5</v>
      </c>
      <c r="H17" t="s">
        <v>143</v>
      </c>
      <c r="I17" t="str">
        <f t="shared" si="0"/>
        <v>,["Izzabelle"] = { ["note"] = "H(5)"}</v>
      </c>
    </row>
    <row r="18" spans="1:9">
      <c r="A18" t="s">
        <v>144</v>
      </c>
      <c r="B18">
        <f>Gear!A18</f>
        <v>0</v>
      </c>
      <c r="C18" t="s">
        <v>141</v>
      </c>
      <c r="D18">
        <f>'Members Data'!D18</f>
        <v>0</v>
      </c>
      <c r="E18" t="str">
        <f t="shared" si="1"/>
        <v>Error</v>
      </c>
      <c r="F18" t="s">
        <v>142</v>
      </c>
      <c r="G18">
        <f>Gear!L18</f>
        <v>0</v>
      </c>
      <c r="H18" t="s">
        <v>143</v>
      </c>
      <c r="I18" t="str">
        <f t="shared" si="0"/>
        <v/>
      </c>
    </row>
    <row r="19" spans="1:9">
      <c r="A19" t="s">
        <v>144</v>
      </c>
      <c r="B19">
        <f>Gear!A19</f>
        <v>0</v>
      </c>
      <c r="C19" t="s">
        <v>141</v>
      </c>
      <c r="D19">
        <f>'Members Data'!D19</f>
        <v>0</v>
      </c>
      <c r="E19" t="str">
        <f t="shared" si="1"/>
        <v>Error</v>
      </c>
      <c r="F19" t="s">
        <v>142</v>
      </c>
      <c r="G19">
        <f>Gear!L19</f>
        <v>0</v>
      </c>
      <c r="H19" t="s">
        <v>143</v>
      </c>
      <c r="I19" t="str">
        <f t="shared" si="0"/>
        <v/>
      </c>
    </row>
    <row r="20" spans="1:9">
      <c r="A20" t="s">
        <v>144</v>
      </c>
      <c r="B20" t="str">
        <f>Gear!A20</f>
        <v>Lychi</v>
      </c>
      <c r="C20" t="s">
        <v>141</v>
      </c>
      <c r="D20" t="str">
        <f>'Members Data'!D20</f>
        <v>Healer</v>
      </c>
      <c r="E20" t="str">
        <f t="shared" si="1"/>
        <v>H</v>
      </c>
      <c r="F20" t="s">
        <v>142</v>
      </c>
      <c r="G20">
        <f>Gear!L20</f>
        <v>5</v>
      </c>
      <c r="H20" t="s">
        <v>143</v>
      </c>
      <c r="I20" t="str">
        <f t="shared" si="0"/>
        <v>,["Lychi"] = { ["note"] = "H(5)"}</v>
      </c>
    </row>
    <row r="21" spans="1:9">
      <c r="A21" t="s">
        <v>144</v>
      </c>
      <c r="B21" t="str">
        <f>Gear!A21</f>
        <v>Meltface</v>
      </c>
      <c r="C21" t="s">
        <v>141</v>
      </c>
      <c r="D21" t="str">
        <f>'Members Data'!D21</f>
        <v>RDPS</v>
      </c>
      <c r="E21" t="str">
        <f t="shared" si="1"/>
        <v>D</v>
      </c>
      <c r="F21" t="s">
        <v>142</v>
      </c>
      <c r="G21">
        <f>Gear!L21</f>
        <v>5</v>
      </c>
      <c r="H21" t="s">
        <v>143</v>
      </c>
      <c r="I21" t="str">
        <f t="shared" si="0"/>
        <v>,["Meltface"] = { ["note"] = "D(5)"}</v>
      </c>
    </row>
    <row r="22" spans="1:9">
      <c r="A22" t="s">
        <v>144</v>
      </c>
      <c r="B22">
        <f>Gear!A22</f>
        <v>0</v>
      </c>
      <c r="C22" t="s">
        <v>141</v>
      </c>
      <c r="D22">
        <f>'Members Data'!D22</f>
        <v>0</v>
      </c>
      <c r="E22" t="str">
        <f t="shared" si="1"/>
        <v>Error</v>
      </c>
      <c r="F22" t="s">
        <v>142</v>
      </c>
      <c r="G22">
        <f>Gear!L22</f>
        <v>0</v>
      </c>
      <c r="H22" t="s">
        <v>143</v>
      </c>
      <c r="I22" t="str">
        <f t="shared" si="0"/>
        <v/>
      </c>
    </row>
    <row r="23" spans="1:9">
      <c r="A23" t="s">
        <v>144</v>
      </c>
      <c r="B23" t="str">
        <f>Gear!A23</f>
        <v>Mortali</v>
      </c>
      <c r="C23" t="s">
        <v>141</v>
      </c>
      <c r="D23" t="str">
        <f>'Members Data'!D23</f>
        <v>RDPS</v>
      </c>
      <c r="E23" t="str">
        <f t="shared" si="1"/>
        <v>D</v>
      </c>
      <c r="F23" t="s">
        <v>142</v>
      </c>
      <c r="G23">
        <f>Gear!L23</f>
        <v>5</v>
      </c>
      <c r="H23" t="s">
        <v>143</v>
      </c>
      <c r="I23" t="str">
        <f t="shared" si="0"/>
        <v>,["Mortali"] = { ["note"] = "D(5)"}</v>
      </c>
    </row>
    <row r="24" spans="1:9">
      <c r="A24" t="s">
        <v>144</v>
      </c>
      <c r="B24" t="str">
        <f>Gear!A24</f>
        <v>Muckyfloor</v>
      </c>
      <c r="C24" t="s">
        <v>141</v>
      </c>
      <c r="D24" t="str">
        <f>'Members Data'!D24</f>
        <v>MDPS</v>
      </c>
      <c r="E24" t="str">
        <f t="shared" si="1"/>
        <v>D</v>
      </c>
      <c r="F24" t="s">
        <v>142</v>
      </c>
      <c r="G24">
        <f>Gear!L24</f>
        <v>5</v>
      </c>
      <c r="H24" t="s">
        <v>143</v>
      </c>
      <c r="I24" t="str">
        <f t="shared" si="0"/>
        <v>,["Muckyfloor"] = { ["note"] = "D(5)"}</v>
      </c>
    </row>
    <row r="25" spans="1:9">
      <c r="A25" t="s">
        <v>144</v>
      </c>
      <c r="B25" t="str">
        <f>Gear!A25</f>
        <v>Müfti</v>
      </c>
      <c r="C25" t="s">
        <v>141</v>
      </c>
      <c r="D25" t="str">
        <f>'Members Data'!D25</f>
        <v>Healer</v>
      </c>
      <c r="E25" t="str">
        <f t="shared" si="1"/>
        <v>H</v>
      </c>
      <c r="F25" t="s">
        <v>142</v>
      </c>
      <c r="G25">
        <f>Gear!L25</f>
        <v>5</v>
      </c>
      <c r="H25" t="s">
        <v>143</v>
      </c>
      <c r="I25" t="str">
        <f t="shared" si="0"/>
        <v>,["Müfti"] = { ["note"] = "H(5)"}</v>
      </c>
    </row>
    <row r="26" spans="1:9">
      <c r="A26" t="s">
        <v>144</v>
      </c>
      <c r="B26" t="str">
        <f>Gear!A26</f>
        <v>Niiwa</v>
      </c>
      <c r="C26" t="s">
        <v>141</v>
      </c>
      <c r="D26" t="str">
        <f>'Members Data'!D26</f>
        <v>RDPS</v>
      </c>
      <c r="E26" t="str">
        <f t="shared" si="1"/>
        <v>D</v>
      </c>
      <c r="F26" t="s">
        <v>142</v>
      </c>
      <c r="G26">
        <f>Gear!L26</f>
        <v>5</v>
      </c>
      <c r="H26" t="s">
        <v>143</v>
      </c>
      <c r="I26" t="str">
        <f t="shared" si="0"/>
        <v>,["Niiwa"] = { ["note"] = "D(5)"}</v>
      </c>
    </row>
    <row r="27" spans="1:9">
      <c r="A27" t="s">
        <v>144</v>
      </c>
      <c r="B27" t="str">
        <f>Gear!A27</f>
        <v>Niklaus</v>
      </c>
      <c r="C27" t="s">
        <v>141</v>
      </c>
      <c r="D27" t="str">
        <f>'Members Data'!D27</f>
        <v>Healer</v>
      </c>
      <c r="E27" t="str">
        <f t="shared" si="1"/>
        <v>H</v>
      </c>
      <c r="F27" t="s">
        <v>142</v>
      </c>
      <c r="G27">
        <f>Gear!L27</f>
        <v>5</v>
      </c>
      <c r="H27" t="s">
        <v>143</v>
      </c>
      <c r="I27" t="str">
        <f t="shared" si="0"/>
        <v>,["Niklaus"] = { ["note"] = "H(5)"}</v>
      </c>
    </row>
    <row r="28" spans="1:9">
      <c r="A28" t="s">
        <v>144</v>
      </c>
      <c r="B28" t="str">
        <f>Gear!A28</f>
        <v>Onemanforest</v>
      </c>
      <c r="C28" t="s">
        <v>141</v>
      </c>
      <c r="D28" t="str">
        <f>'Members Data'!D28</f>
        <v>Tank</v>
      </c>
      <c r="E28" t="str">
        <f t="shared" si="1"/>
        <v>T</v>
      </c>
      <c r="F28" t="s">
        <v>142</v>
      </c>
      <c r="G28">
        <f>Gear!L28</f>
        <v>5</v>
      </c>
      <c r="H28" t="s">
        <v>143</v>
      </c>
      <c r="I28" t="str">
        <f t="shared" si="0"/>
        <v>,["Onemanforest"] = { ["note"] = "T(5)"}</v>
      </c>
    </row>
    <row r="29" spans="1:9">
      <c r="A29" t="s">
        <v>144</v>
      </c>
      <c r="B29" t="str">
        <f>Gear!A29</f>
        <v>Rcane</v>
      </c>
      <c r="C29" t="s">
        <v>141</v>
      </c>
      <c r="D29" t="str">
        <f>'Members Data'!D29</f>
        <v>Tank</v>
      </c>
      <c r="E29" t="str">
        <f t="shared" si="1"/>
        <v>T</v>
      </c>
      <c r="F29" t="s">
        <v>142</v>
      </c>
      <c r="G29">
        <f>Gear!L29</f>
        <v>5</v>
      </c>
      <c r="H29" t="s">
        <v>143</v>
      </c>
      <c r="I29" t="str">
        <f t="shared" si="0"/>
        <v>,["Rcane"] = { ["note"] = "T(5)"}</v>
      </c>
    </row>
    <row r="30" spans="1:9">
      <c r="A30" t="s">
        <v>144</v>
      </c>
      <c r="B30" t="str">
        <f>Gear!A30</f>
        <v>Revlash</v>
      </c>
      <c r="C30" t="s">
        <v>141</v>
      </c>
      <c r="D30" t="str">
        <f>'Members Data'!D30</f>
        <v>RDPS</v>
      </c>
      <c r="E30" t="str">
        <f t="shared" si="1"/>
        <v>D</v>
      </c>
      <c r="F30" t="s">
        <v>142</v>
      </c>
      <c r="G30">
        <f>Gear!L30</f>
        <v>5</v>
      </c>
      <c r="H30" t="s">
        <v>143</v>
      </c>
      <c r="I30" t="str">
        <f t="shared" si="0"/>
        <v>,["Revlash"] = { ["note"] = "D(5)"}</v>
      </c>
    </row>
    <row r="31" spans="1:9">
      <c r="A31" t="s">
        <v>144</v>
      </c>
      <c r="B31" t="str">
        <f>Gear!A31</f>
        <v>Seraphÿm</v>
      </c>
      <c r="C31" t="s">
        <v>141</v>
      </c>
      <c r="D31" t="str">
        <f>'Members Data'!D31</f>
        <v>Healer</v>
      </c>
      <c r="E31" t="str">
        <f t="shared" si="1"/>
        <v>H</v>
      </c>
      <c r="F31" t="s">
        <v>142</v>
      </c>
      <c r="G31">
        <f>Gear!L31</f>
        <v>5</v>
      </c>
      <c r="H31" t="s">
        <v>143</v>
      </c>
      <c r="I31" t="str">
        <f t="shared" si="0"/>
        <v>,["Seraphÿm"] = { ["note"] = "H(5)"}</v>
      </c>
    </row>
    <row r="32" spans="1:9">
      <c r="A32" t="s">
        <v>144</v>
      </c>
      <c r="B32" t="str">
        <f>Gear!A32</f>
        <v>Shinkai</v>
      </c>
      <c r="C32" t="s">
        <v>141</v>
      </c>
      <c r="D32" t="str">
        <f>'Members Data'!D32</f>
        <v>Tank</v>
      </c>
      <c r="E32" t="str">
        <f t="shared" si="1"/>
        <v>T</v>
      </c>
      <c r="F32" t="s">
        <v>142</v>
      </c>
      <c r="G32">
        <f>Gear!L32</f>
        <v>5</v>
      </c>
      <c r="H32" t="s">
        <v>143</v>
      </c>
      <c r="I32" t="str">
        <f t="shared" si="0"/>
        <v>,["Shinkai"] = { ["note"] = "T(5)"}</v>
      </c>
    </row>
    <row r="33" spans="1:9">
      <c r="A33" t="s">
        <v>144</v>
      </c>
      <c r="B33" t="str">
        <f>Gear!A33</f>
        <v>Spudsux</v>
      </c>
      <c r="C33" t="s">
        <v>141</v>
      </c>
      <c r="D33" t="str">
        <f>'Members Data'!D33</f>
        <v>Healer</v>
      </c>
      <c r="E33" t="str">
        <f t="shared" si="1"/>
        <v>H</v>
      </c>
      <c r="F33" t="s">
        <v>142</v>
      </c>
      <c r="G33">
        <f>Gear!L33</f>
        <v>5</v>
      </c>
      <c r="H33" t="s">
        <v>143</v>
      </c>
      <c r="I33" t="str">
        <f t="shared" si="0"/>
        <v>,["Spudsux"] = { ["note"] = "H(5)"}</v>
      </c>
    </row>
    <row r="34" spans="1:9">
      <c r="A34" t="s">
        <v>144</v>
      </c>
      <c r="B34" t="str">
        <f>Gear!A34</f>
        <v>Szion</v>
      </c>
      <c r="C34" t="s">
        <v>141</v>
      </c>
      <c r="D34" t="str">
        <f>'Members Data'!D34</f>
        <v>MDPS</v>
      </c>
      <c r="E34" t="str">
        <f t="shared" si="1"/>
        <v>D</v>
      </c>
      <c r="F34" t="s">
        <v>142</v>
      </c>
      <c r="G34">
        <f>Gear!L34</f>
        <v>5</v>
      </c>
      <c r="H34" t="s">
        <v>143</v>
      </c>
      <c r="I34" t="str">
        <f t="shared" si="0"/>
        <v>,["Szion"] = { ["note"] = "D(5)"}</v>
      </c>
    </row>
    <row r="35" spans="1:9">
      <c r="A35" t="s">
        <v>144</v>
      </c>
      <c r="B35" t="str">
        <f>Gear!A35</f>
        <v>Torwen</v>
      </c>
      <c r="C35" t="s">
        <v>141</v>
      </c>
      <c r="D35" t="str">
        <f>'Members Data'!D35</f>
        <v>RDPS</v>
      </c>
      <c r="E35" t="str">
        <f t="shared" si="1"/>
        <v>D</v>
      </c>
      <c r="F35" t="s">
        <v>142</v>
      </c>
      <c r="G35">
        <f>Gear!L35</f>
        <v>5</v>
      </c>
      <c r="H35" t="s">
        <v>143</v>
      </c>
      <c r="I35" t="str">
        <f t="shared" si="0"/>
        <v>,["Torwen"] = { ["note"] = "D(5)"}</v>
      </c>
    </row>
    <row r="36" spans="1:9">
      <c r="A36" t="s">
        <v>144</v>
      </c>
      <c r="B36" t="str">
        <f>Gear!A36</f>
        <v>Vakama</v>
      </c>
      <c r="C36" t="s">
        <v>141</v>
      </c>
      <c r="D36" t="str">
        <f>'Members Data'!D36</f>
        <v>Healer</v>
      </c>
      <c r="E36" t="str">
        <f t="shared" si="1"/>
        <v>H</v>
      </c>
      <c r="F36" t="s">
        <v>142</v>
      </c>
      <c r="G36">
        <f>Gear!L36</f>
        <v>5</v>
      </c>
      <c r="H36" t="s">
        <v>143</v>
      </c>
      <c r="I36" t="str">
        <f t="shared" si="0"/>
        <v>,["Vakama"] = { ["note"] = "H(5)"}</v>
      </c>
    </row>
    <row r="37" spans="1:9">
      <c r="A37" t="s">
        <v>144</v>
      </c>
      <c r="B37" t="str">
        <f>Gear!A37</f>
        <v>Warriorxz</v>
      </c>
      <c r="C37" t="s">
        <v>141</v>
      </c>
      <c r="D37" t="str">
        <f>'Members Data'!D37</f>
        <v>MDPS</v>
      </c>
      <c r="E37" t="str">
        <f t="shared" si="1"/>
        <v>D</v>
      </c>
      <c r="F37" t="s">
        <v>142</v>
      </c>
      <c r="G37">
        <f>Gear!L37</f>
        <v>5</v>
      </c>
      <c r="H37" t="s">
        <v>143</v>
      </c>
      <c r="I37" t="str">
        <f t="shared" si="0"/>
        <v>,["Warriorxz"] = { ["note"] = "D(5)"}</v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 t="str">
        <f>Gear!A39</f>
        <v>Wainesha</v>
      </c>
      <c r="C39" t="s">
        <v>141</v>
      </c>
      <c r="D39" t="str">
        <f>'Members Data'!D39</f>
        <v>RDPS</v>
      </c>
      <c r="E39" t="str">
        <f t="shared" si="1"/>
        <v>D</v>
      </c>
      <c r="F39" t="s">
        <v>142</v>
      </c>
      <c r="G39">
        <f>Gear!L39</f>
        <v>5</v>
      </c>
      <c r="H39" t="s">
        <v>143</v>
      </c>
      <c r="I39" t="str">
        <f t="shared" si="0"/>
        <v>,["Wainesha"] = { ["note"] = "D(5)"}</v>
      </c>
    </row>
    <row r="40" spans="1:9">
      <c r="A40" t="s">
        <v>144</v>
      </c>
      <c r="B40" t="str">
        <f>Gear!A40</f>
        <v>Birdeeh</v>
      </c>
      <c r="C40" t="s">
        <v>141</v>
      </c>
      <c r="D40" t="str">
        <f>'Members Data'!D40</f>
        <v>RDPS</v>
      </c>
      <c r="E40" t="str">
        <f t="shared" si="1"/>
        <v>D</v>
      </c>
      <c r="F40" t="s">
        <v>142</v>
      </c>
      <c r="G40">
        <f>Gear!L40</f>
        <v>5</v>
      </c>
      <c r="H40" t="s">
        <v>143</v>
      </c>
      <c r="I40" t="str">
        <f t="shared" si="0"/>
        <v>,["Birdeeh"] = { ["note"] = "D(5)"}</v>
      </c>
    </row>
    <row r="41" spans="1:9">
      <c r="A41" t="s">
        <v>144</v>
      </c>
      <c r="B41" t="str">
        <f>Gear!A41</f>
        <v>Bishamonten</v>
      </c>
      <c r="C41" t="s">
        <v>141</v>
      </c>
      <c r="D41" t="str">
        <f>'Members Data'!D41</f>
        <v>MDPS</v>
      </c>
      <c r="E41" t="str">
        <f t="shared" si="1"/>
        <v>D</v>
      </c>
      <c r="F41" t="s">
        <v>142</v>
      </c>
      <c r="G41">
        <f>Gear!L41</f>
        <v>5</v>
      </c>
      <c r="H41" t="s">
        <v>143</v>
      </c>
      <c r="I41" t="str">
        <f t="shared" si="0"/>
        <v>,["Bishamonten"] = { ["note"] = "D(5)"}</v>
      </c>
    </row>
    <row r="42" spans="1:9">
      <c r="A42" t="s">
        <v>144</v>
      </c>
      <c r="B42" t="str">
        <f>Gear!A42</f>
        <v xml:space="preserve"> Sensés</v>
      </c>
      <c r="C42" t="s">
        <v>141</v>
      </c>
      <c r="D42" t="str">
        <f>'Members Data'!D42</f>
        <v>Healer</v>
      </c>
      <c r="E42" t="str">
        <f t="shared" si="1"/>
        <v>H</v>
      </c>
      <c r="F42" t="s">
        <v>142</v>
      </c>
      <c r="G42">
        <f>Gear!L42</f>
        <v>5</v>
      </c>
      <c r="H42" t="s">
        <v>143</v>
      </c>
      <c r="I42" t="str">
        <f t="shared" si="0"/>
        <v>,[" Sensés"] = { ["note"] = "H(5)"}</v>
      </c>
    </row>
    <row r="43" spans="1:9">
      <c r="A43" t="s">
        <v>144</v>
      </c>
      <c r="B43" t="str">
        <f>Gear!A43</f>
        <v>Zerika</v>
      </c>
      <c r="C43" t="s">
        <v>141</v>
      </c>
      <c r="D43" t="str">
        <f>'Members Data'!D43</f>
        <v>RDPS</v>
      </c>
      <c r="E43" t="str">
        <f t="shared" si="1"/>
        <v>D</v>
      </c>
      <c r="F43" t="s">
        <v>142</v>
      </c>
      <c r="G43">
        <f>Gear!L43</f>
        <v>5</v>
      </c>
      <c r="H43" t="s">
        <v>143</v>
      </c>
      <c r="I43" t="str">
        <f t="shared" si="0"/>
        <v>,["Zerika"] = { ["note"] = "D(5)"}</v>
      </c>
    </row>
    <row r="44" spans="1:9">
      <c r="A44" t="s">
        <v>144</v>
      </c>
      <c r="B44" t="str">
        <f>Gear!A44</f>
        <v>Atlanthia</v>
      </c>
      <c r="C44" t="s">
        <v>141</v>
      </c>
      <c r="D44" t="str">
        <f>'Members Data'!D44</f>
        <v>RDPS</v>
      </c>
      <c r="E44" t="str">
        <f t="shared" si="1"/>
        <v>D</v>
      </c>
      <c r="F44" t="s">
        <v>142</v>
      </c>
      <c r="G44">
        <f>Gear!L44</f>
        <v>5</v>
      </c>
      <c r="H44" t="s">
        <v>143</v>
      </c>
      <c r="I44" t="str">
        <f t="shared" si="0"/>
        <v>,["Atlanthia"] = { ["note"] = "D(5)"}</v>
      </c>
    </row>
    <row r="45" spans="1:9">
      <c r="A45" t="s">
        <v>144</v>
      </c>
      <c r="B45" t="str">
        <f>Gear!A45</f>
        <v>Shalist</v>
      </c>
      <c r="C45" t="s">
        <v>141</v>
      </c>
      <c r="D45" t="str">
        <f>'Members Data'!D45</f>
        <v>Healer</v>
      </c>
      <c r="E45" t="str">
        <f t="shared" si="1"/>
        <v>H</v>
      </c>
      <c r="F45" t="s">
        <v>142</v>
      </c>
      <c r="G45">
        <f>Gear!L45</f>
        <v>5</v>
      </c>
      <c r="H45" t="s">
        <v>143</v>
      </c>
      <c r="I45" t="str">
        <f t="shared" si="0"/>
        <v>,["Shalist"] = { ["note"] = "H(5)"}</v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Greenhazee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Megamind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Punyelf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Eviwon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Nixyin</v>
      </c>
      <c r="C66" t="s">
        <v>141</v>
      </c>
      <c r="D66" t="str">
        <f>'Members Data'!D66</f>
        <v>MDPS</v>
      </c>
      <c r="E66" t="str">
        <f t="shared" si="1"/>
        <v>D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Hyperïon</v>
      </c>
      <c r="C67" t="s">
        <v>141</v>
      </c>
      <c r="D67" t="str">
        <f>'Members Data'!D67</f>
        <v>MDPS</v>
      </c>
      <c r="E67" t="str">
        <f t="shared" ref="E67:E100" si="3">IF(D67="MDPS","D",IF(D67="RDPS","D",IF(D67="Healer","H",IF(D67="Tank","T","Error"))))</f>
        <v>D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Kradios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Kyusu</v>
      </c>
      <c r="C69" t="s">
        <v>141</v>
      </c>
      <c r="D69">
        <f>'Members Data'!D69</f>
        <v>0</v>
      </c>
      <c r="E69" t="str">
        <f t="shared" si="3"/>
        <v>Error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 t="str">
        <f>Gear!A70</f>
        <v>Blondesaint</v>
      </c>
      <c r="C70" t="s">
        <v>141</v>
      </c>
      <c r="D70" t="str">
        <f>'Members Data'!D70</f>
        <v>Healer</v>
      </c>
      <c r="E70" t="str">
        <f t="shared" si="3"/>
        <v>H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Katjá</v>
      </c>
      <c r="C71" t="s">
        <v>141</v>
      </c>
      <c r="D71" t="str">
        <f>'Members Data'!D71</f>
        <v>MDPS</v>
      </c>
      <c r="E71" t="str">
        <f t="shared" si="3"/>
        <v>D</v>
      </c>
      <c r="F71" t="s">
        <v>142</v>
      </c>
      <c r="G71" t="e">
        <f>Gear!L71</f>
        <v>#N/A</v>
      </c>
      <c r="H71" t="s">
        <v>143</v>
      </c>
      <c r="I71" t="e">
        <f t="shared" si="2"/>
        <v>#N/A</v>
      </c>
    </row>
    <row r="72" spans="1:9">
      <c r="A72" t="s">
        <v>144</v>
      </c>
      <c r="B72" t="str">
        <f>Gear!A72</f>
        <v>Kristofix</v>
      </c>
      <c r="C72" t="s">
        <v>141</v>
      </c>
      <c r="D72" t="str">
        <f>'Members Data'!D72</f>
        <v>MDPS</v>
      </c>
      <c r="E72" t="str">
        <f t="shared" si="3"/>
        <v>D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 t="str">
        <f>Gear!A73</f>
        <v>Yardk</v>
      </c>
      <c r="C73" t="s">
        <v>141</v>
      </c>
      <c r="D73" t="str">
        <f>'Members Data'!D73</f>
        <v>MDPS</v>
      </c>
      <c r="E73" t="str">
        <f t="shared" si="3"/>
        <v>D</v>
      </c>
      <c r="F73" t="s">
        <v>142</v>
      </c>
      <c r="G73" t="e">
        <f>Gear!L73</f>
        <v>#N/A</v>
      </c>
      <c r="H73" t="s">
        <v>143</v>
      </c>
      <c r="I73" t="e">
        <f t="shared" si="2"/>
        <v>#N/A</v>
      </c>
    </row>
    <row r="74" spans="1:9">
      <c r="A74" t="s">
        <v>144</v>
      </c>
      <c r="B74" t="str">
        <f>Gear!A74</f>
        <v>Calaelen</v>
      </c>
      <c r="C74" t="s">
        <v>141</v>
      </c>
      <c r="D74" t="str">
        <f>'Members Data'!D74</f>
        <v>RDPS</v>
      </c>
      <c r="E74" t="str">
        <f t="shared" si="3"/>
        <v>D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8:C44"/>
  <sheetViews>
    <sheetView topLeftCell="A6" workbookViewId="0">
      <selection activeCell="F22" sqref="F22"/>
    </sheetView>
  </sheetViews>
  <sheetFormatPr defaultRowHeight="12.75"/>
  <sheetData>
    <row r="8" spans="1:3">
      <c r="A8" t="s">
        <v>225</v>
      </c>
      <c r="B8" t="s">
        <v>31</v>
      </c>
      <c r="C8" t="s">
        <v>19</v>
      </c>
    </row>
    <row r="9" spans="1:3">
      <c r="A9" t="s">
        <v>198</v>
      </c>
      <c r="B9" t="s">
        <v>31</v>
      </c>
      <c r="C9" t="s">
        <v>22</v>
      </c>
    </row>
    <row r="10" spans="1:3">
      <c r="A10" t="s">
        <v>226</v>
      </c>
      <c r="B10" t="s">
        <v>31</v>
      </c>
      <c r="C10" t="s">
        <v>21</v>
      </c>
    </row>
    <row r="11" spans="1:3">
      <c r="A11" t="s">
        <v>231</v>
      </c>
      <c r="B11" t="s">
        <v>31</v>
      </c>
      <c r="C11" t="s">
        <v>18</v>
      </c>
    </row>
    <row r="12" spans="1:3">
      <c r="A12" t="s">
        <v>227</v>
      </c>
      <c r="B12" t="s">
        <v>31</v>
      </c>
      <c r="C12" t="s">
        <v>15</v>
      </c>
    </row>
    <row r="13" spans="1:3">
      <c r="A13" t="s">
        <v>242</v>
      </c>
      <c r="B13" t="s">
        <v>31</v>
      </c>
      <c r="C13" t="s">
        <v>24</v>
      </c>
    </row>
    <row r="14" spans="1:3">
      <c r="A14" t="s">
        <v>228</v>
      </c>
      <c r="B14" t="s">
        <v>31</v>
      </c>
      <c r="C14" t="s">
        <v>19</v>
      </c>
    </row>
    <row r="15" spans="1:3">
      <c r="A15" t="s">
        <v>254</v>
      </c>
      <c r="B15" t="s">
        <v>31</v>
      </c>
      <c r="C15" t="s">
        <v>22</v>
      </c>
    </row>
    <row r="16" spans="1:3">
      <c r="A16" t="s">
        <v>229</v>
      </c>
      <c r="B16" t="s">
        <v>31</v>
      </c>
      <c r="C16" t="s">
        <v>182</v>
      </c>
    </row>
    <row r="17" spans="1:3">
      <c r="A17" t="s">
        <v>199</v>
      </c>
      <c r="B17" t="s">
        <v>31</v>
      </c>
      <c r="C17" t="s">
        <v>22</v>
      </c>
    </row>
    <row r="18" spans="1:3">
      <c r="A18" t="s">
        <v>232</v>
      </c>
      <c r="B18" t="s">
        <v>31</v>
      </c>
      <c r="C18" t="s">
        <v>16</v>
      </c>
    </row>
    <row r="19" spans="1:3">
      <c r="A19" t="s">
        <v>234</v>
      </c>
      <c r="B19" t="s">
        <v>31</v>
      </c>
      <c r="C19" t="s">
        <v>30</v>
      </c>
    </row>
    <row r="20" spans="1:3">
      <c r="A20" t="s">
        <v>200</v>
      </c>
      <c r="B20" t="s">
        <v>31</v>
      </c>
      <c r="C20" t="s">
        <v>15</v>
      </c>
    </row>
    <row r="21" spans="1:3">
      <c r="A21" t="s">
        <v>256</v>
      </c>
      <c r="B21" t="s">
        <v>31</v>
      </c>
      <c r="C21" t="s">
        <v>20</v>
      </c>
    </row>
    <row r="22" spans="1:3">
      <c r="A22" t="s">
        <v>241</v>
      </c>
      <c r="B22" t="s">
        <v>31</v>
      </c>
      <c r="C22" t="s">
        <v>18</v>
      </c>
    </row>
    <row r="23" spans="1:3">
      <c r="A23" t="s">
        <v>201</v>
      </c>
      <c r="B23" t="s">
        <v>31</v>
      </c>
      <c r="C23" t="s">
        <v>20</v>
      </c>
    </row>
    <row r="24" spans="1:3">
      <c r="A24" t="s">
        <v>245</v>
      </c>
      <c r="B24" t="s">
        <v>31</v>
      </c>
      <c r="C24" t="s">
        <v>182</v>
      </c>
    </row>
    <row r="25" spans="1:3">
      <c r="A25" t="s">
        <v>202</v>
      </c>
      <c r="B25" t="s">
        <v>31</v>
      </c>
      <c r="C25" t="s">
        <v>19</v>
      </c>
    </row>
    <row r="26" spans="1:3">
      <c r="A26" t="s">
        <v>224</v>
      </c>
      <c r="B26" t="s">
        <v>31</v>
      </c>
      <c r="C26" t="s">
        <v>182</v>
      </c>
    </row>
    <row r="27" spans="1:3">
      <c r="A27" t="s">
        <v>244</v>
      </c>
      <c r="B27" t="s">
        <v>31</v>
      </c>
      <c r="C27" t="s">
        <v>20</v>
      </c>
    </row>
    <row r="28" spans="1:3">
      <c r="A28" t="s">
        <v>246</v>
      </c>
      <c r="B28" t="s">
        <v>31</v>
      </c>
      <c r="C28" t="s">
        <v>19</v>
      </c>
    </row>
    <row r="29" spans="1:3">
      <c r="A29" t="s">
        <v>240</v>
      </c>
      <c r="B29" t="s">
        <v>31</v>
      </c>
      <c r="C29" t="s">
        <v>30</v>
      </c>
    </row>
    <row r="30" spans="1:3">
      <c r="A30" t="s">
        <v>134</v>
      </c>
      <c r="B30" t="s">
        <v>31</v>
      </c>
      <c r="C30" t="s">
        <v>15</v>
      </c>
    </row>
    <row r="31" spans="1:3">
      <c r="A31" t="s">
        <v>258</v>
      </c>
      <c r="B31" t="s">
        <v>31</v>
      </c>
      <c r="C31" t="s">
        <v>22</v>
      </c>
    </row>
    <row r="32" spans="1:3">
      <c r="A32" t="s">
        <v>253</v>
      </c>
      <c r="B32" t="s">
        <v>31</v>
      </c>
      <c r="C32" t="s">
        <v>17</v>
      </c>
    </row>
    <row r="33" spans="1:3">
      <c r="A33" t="s">
        <v>257</v>
      </c>
      <c r="B33" t="s">
        <v>31</v>
      </c>
      <c r="C33" t="s">
        <v>19</v>
      </c>
    </row>
    <row r="34" spans="1:3">
      <c r="A34" t="s">
        <v>255</v>
      </c>
      <c r="B34" t="s">
        <v>31</v>
      </c>
      <c r="C34" t="s">
        <v>16</v>
      </c>
    </row>
    <row r="35" spans="1:3">
      <c r="A35" t="s">
        <v>203</v>
      </c>
      <c r="B35" t="s">
        <v>31</v>
      </c>
      <c r="C35" t="s">
        <v>24</v>
      </c>
    </row>
    <row r="36" spans="1:3">
      <c r="A36" t="s">
        <v>259</v>
      </c>
      <c r="B36" t="s">
        <v>31</v>
      </c>
      <c r="C36" t="s">
        <v>16</v>
      </c>
    </row>
    <row r="37" spans="1:3">
      <c r="A37" t="s">
        <v>204</v>
      </c>
      <c r="B37" t="s">
        <v>31</v>
      </c>
      <c r="C37" t="s">
        <v>20</v>
      </c>
    </row>
    <row r="38" spans="1:3">
      <c r="A38" t="s">
        <v>205</v>
      </c>
      <c r="B38" t="s">
        <v>31</v>
      </c>
      <c r="C38" t="s">
        <v>24</v>
      </c>
    </row>
    <row r="39" spans="1:3">
      <c r="A39" t="s">
        <v>221</v>
      </c>
      <c r="B39" t="s">
        <v>31</v>
      </c>
      <c r="C39" t="s">
        <v>16</v>
      </c>
    </row>
    <row r="40" spans="1:3">
      <c r="A40" t="s">
        <v>260</v>
      </c>
      <c r="B40" t="s">
        <v>31</v>
      </c>
      <c r="C40" t="s">
        <v>21</v>
      </c>
    </row>
    <row r="41" spans="1:3">
      <c r="A41" t="s">
        <v>206</v>
      </c>
      <c r="B41" t="s">
        <v>31</v>
      </c>
      <c r="C41" t="s">
        <v>20</v>
      </c>
    </row>
    <row r="42" spans="1:3">
      <c r="A42" t="s">
        <v>243</v>
      </c>
      <c r="B42" t="s">
        <v>31</v>
      </c>
      <c r="C42" t="s">
        <v>16</v>
      </c>
    </row>
    <row r="43" spans="1:3">
      <c r="A43" t="s">
        <v>222</v>
      </c>
      <c r="B43" t="s">
        <v>31</v>
      </c>
      <c r="C43" t="s">
        <v>24</v>
      </c>
    </row>
    <row r="44" spans="1:3">
      <c r="A44" t="s">
        <v>207</v>
      </c>
      <c r="B44" t="s">
        <v>31</v>
      </c>
      <c r="C44" t="s">
        <v>15</v>
      </c>
    </row>
  </sheetData>
  <sortState ref="A8:C54">
    <sortCondition ref="A8:A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12" sqref="C12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7"/>
      <c r="B2" s="125"/>
      <c r="C2" s="36"/>
      <c r="D2" s="38"/>
      <c r="E2" s="187">
        <f>Gear!L2</f>
        <v>0</v>
      </c>
      <c r="F2" s="187">
        <f>Gear!J2</f>
        <v>0</v>
      </c>
      <c r="G2" s="188" t="e">
        <f>Gear!Q2</f>
        <v>#N/A</v>
      </c>
      <c r="H2" s="187">
        <f>DCC!B2</f>
        <v>0</v>
      </c>
      <c r="I2" s="187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e">
        <f>IF(E2&gt;=$AD$8," ","Gear, ")&amp;IF(F2&lt;=$AE$8," ","Gear Quality, ")&amp;IF(G2&gt;=$AF$8," ","Raid Output, ")&amp;IF(H2&gt;=$AC$8,IF(I2&gt;=$AC$8," ","Attendance"),"Attendance")</f>
        <v>#N/A</v>
      </c>
      <c r="X2" s="193" t="e">
        <f>IF(E2&gt;=$AD$9," ","Gear, ")&amp;IF(F2=$AE$9," ","Gear Quality, ")&amp;IF(G2&gt;=$AF$9," ","Raid Output, ")&amp;IF(H2&gt;=$AC$9,IF(I2&gt;=$AC$9," ","Attendance"),"Attendance")</f>
        <v>#N/A</v>
      </c>
      <c r="AH2" s="1" t="e">
        <f>VLOOKUP(A2,'Look-up'!E:F,2,FALSE)</f>
        <v>#N/A</v>
      </c>
    </row>
    <row r="3" spans="1:247" ht="15" customHeight="1">
      <c r="A3" s="445" t="s">
        <v>198</v>
      </c>
      <c r="B3" s="126" t="s">
        <v>31</v>
      </c>
      <c r="C3" s="38" t="s">
        <v>22</v>
      </c>
      <c r="D3" s="38" t="s">
        <v>13</v>
      </c>
      <c r="E3" s="189">
        <f>Gear!L3</f>
        <v>5</v>
      </c>
      <c r="F3" s="189">
        <f>Gear!J3</f>
        <v>0</v>
      </c>
      <c r="G3" s="190">
        <f>Gear!Q3</f>
        <v>0.41200660389987059</v>
      </c>
      <c r="H3" s="189">
        <f>DCC!B3</f>
        <v>6</v>
      </c>
      <c r="I3" s="189">
        <f t="shared" ref="I3:I66" si="13">IF(ISNA(AH3),0,AH3)</f>
        <v>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1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Raid Output, Attendance</v>
      </c>
      <c r="X3" s="194" t="str">
        <f>IF(E3&gt;=$AD$9," ","Gear, ")&amp;IF(F3=$AE$9," ","Gear Quality, ")&amp;IF(G3&gt;=$AF$9," ","Raid Output, ")&amp;IF(H3&gt;=$AC$9,IF(I3&gt;=$AC$9," ","Attendance"),"Attendance")</f>
        <v xml:space="preserve">  Raid Output, Attendance</v>
      </c>
      <c r="Z3" s="174" t="s">
        <v>77</v>
      </c>
      <c r="AA3" s="175"/>
      <c r="AH3" s="1" t="e">
        <f>VLOOKUP(A3,'Look-up'!E:F,2,FALSE)</f>
        <v>#N/A</v>
      </c>
      <c r="AJ3" s="1" t="s">
        <v>33</v>
      </c>
    </row>
    <row r="4" spans="1:247" ht="15" customHeight="1">
      <c r="A4" s="443" t="s">
        <v>226</v>
      </c>
      <c r="B4" s="126" t="s">
        <v>31</v>
      </c>
      <c r="C4" s="38" t="s">
        <v>21</v>
      </c>
      <c r="D4" s="38" t="s">
        <v>77</v>
      </c>
      <c r="E4" s="189">
        <f>Gear!L4</f>
        <v>5</v>
      </c>
      <c r="F4" s="189">
        <f>Gear!J4</f>
        <v>0</v>
      </c>
      <c r="G4" s="190">
        <f>Gear!Q4</f>
        <v>0.73249639002073053</v>
      </c>
      <c r="H4" s="189">
        <f>DCC!B4</f>
        <v>11</v>
      </c>
      <c r="I4" s="189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1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 xml:space="preserve">   Attendance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 xml:space="preserve">  Raid Output, Attendance</v>
      </c>
      <c r="Z4" t="s">
        <v>76</v>
      </c>
      <c r="AH4" s="1" t="e">
        <f>VLOOKUP(A4,'Look-up'!E:F,2,FALSE)</f>
        <v>#N/A</v>
      </c>
      <c r="AJ4" s="1" t="s">
        <v>31</v>
      </c>
    </row>
    <row r="5" spans="1:247" ht="15" customHeight="1" thickBot="1">
      <c r="A5" s="443" t="s">
        <v>231</v>
      </c>
      <c r="B5" s="126" t="s">
        <v>31</v>
      </c>
      <c r="C5" s="38" t="s">
        <v>18</v>
      </c>
      <c r="D5" s="38" t="s">
        <v>76</v>
      </c>
      <c r="E5" s="189">
        <f>Gear!L5</f>
        <v>5</v>
      </c>
      <c r="F5" s="189">
        <f>Gear!J5</f>
        <v>0.1</v>
      </c>
      <c r="G5" s="190">
        <f>Gear!Q5</f>
        <v>0.52347013361661487</v>
      </c>
      <c r="H5" s="189">
        <f>DCC!B5</f>
        <v>8</v>
      </c>
      <c r="I5" s="189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1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str">
        <f t="shared" si="14"/>
        <v xml:space="preserve">  Raid Output, Attendance</v>
      </c>
      <c r="X5" s="194" t="str">
        <f t="shared" si="15"/>
        <v xml:space="preserve"> Gear Quality, Raid Output, Attendance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43"/>
      <c r="B6" s="126"/>
      <c r="C6" s="38"/>
      <c r="D6" s="38"/>
      <c r="E6" s="189">
        <f>Gear!L6</f>
        <v>0</v>
      </c>
      <c r="F6" s="189">
        <f>Gear!J6</f>
        <v>0</v>
      </c>
      <c r="G6" s="190" t="e">
        <f>Gear!Q6</f>
        <v>#N/A</v>
      </c>
      <c r="H6" s="189">
        <f>DCC!B6</f>
        <v>0</v>
      </c>
      <c r="I6" s="189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e">
        <f t="shared" si="14"/>
        <v>#N/A</v>
      </c>
      <c r="X6" s="194" t="e">
        <f t="shared" si="15"/>
        <v>#N/A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43" t="s">
        <v>242</v>
      </c>
      <c r="B7" s="126" t="s">
        <v>31</v>
      </c>
      <c r="C7" s="38" t="s">
        <v>24</v>
      </c>
      <c r="D7" s="38" t="s">
        <v>77</v>
      </c>
      <c r="E7" s="189">
        <f>Gear!L7</f>
        <v>5</v>
      </c>
      <c r="F7" s="189">
        <f>Gear!J7</f>
        <v>0.1</v>
      </c>
      <c r="G7" s="190">
        <f>Gear!Q7</f>
        <v>0.7806090728438202</v>
      </c>
      <c r="H7" s="189">
        <f>DCC!B7</f>
        <v>11</v>
      </c>
      <c r="I7" s="189">
        <f t="shared" si="13"/>
        <v>0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1</v>
      </c>
      <c r="W7" s="194" t="str">
        <f t="shared" si="14"/>
        <v xml:space="preserve">   Attendance</v>
      </c>
      <c r="X7" s="194" t="str">
        <f t="shared" si="15"/>
        <v xml:space="preserve"> Gear Quality, Raid Output, Attendance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 t="e">
        <f>VLOOKUP(A7,'Look-up'!E:F,2,FALSE)</f>
        <v>#N/A</v>
      </c>
    </row>
    <row r="8" spans="1:247" ht="15" customHeight="1">
      <c r="A8" s="443"/>
      <c r="B8" s="126"/>
      <c r="C8" s="38"/>
      <c r="D8" s="38"/>
      <c r="E8" s="189">
        <f>Gear!L8</f>
        <v>0</v>
      </c>
      <c r="F8" s="189">
        <f>Gear!J8</f>
        <v>0</v>
      </c>
      <c r="G8" s="190" t="e">
        <f>Gear!Q8</f>
        <v>#N/A</v>
      </c>
      <c r="H8" s="189">
        <f>DCC!B8</f>
        <v>0</v>
      </c>
      <c r="I8" s="189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e">
        <f t="shared" si="14"/>
        <v>#N/A</v>
      </c>
      <c r="X8" s="194" t="e">
        <f t="shared" si="15"/>
        <v>#N/A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0.65</v>
      </c>
      <c r="AG8" s="336"/>
      <c r="AH8" s="1" t="e">
        <f>VLOOKUP(A8,'Look-up'!E:F,2,FALSE)</f>
        <v>#N/A</v>
      </c>
    </row>
    <row r="9" spans="1:247" ht="15" customHeight="1" thickBot="1">
      <c r="A9" s="443"/>
      <c r="B9" s="126"/>
      <c r="C9" s="38"/>
      <c r="D9" s="38"/>
      <c r="E9" s="189">
        <f>Gear!L9</f>
        <v>0</v>
      </c>
      <c r="F9" s="189">
        <f>Gear!J9</f>
        <v>0</v>
      </c>
      <c r="G9" s="190" t="e">
        <f>Gear!Q9</f>
        <v>#N/A</v>
      </c>
      <c r="H9" s="189">
        <f>DCC!B9</f>
        <v>0</v>
      </c>
      <c r="I9" s="189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e">
        <f t="shared" si="14"/>
        <v>#N/A</v>
      </c>
      <c r="X9" s="194" t="e">
        <f t="shared" si="15"/>
        <v>#N/A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 t="e">
        <f>VLOOKUP(A9,'Look-up'!E:F,2,FALSE)</f>
        <v>#N/A</v>
      </c>
    </row>
    <row r="10" spans="1:247" ht="15" customHeight="1">
      <c r="A10" s="443" t="s">
        <v>229</v>
      </c>
      <c r="B10" s="126" t="s">
        <v>31</v>
      </c>
      <c r="C10" s="38" t="s">
        <v>182</v>
      </c>
      <c r="D10" s="38" t="s">
        <v>77</v>
      </c>
      <c r="E10" s="189">
        <f>Gear!L10</f>
        <v>5</v>
      </c>
      <c r="F10" s="189">
        <f>Gear!J10</f>
        <v>0.1</v>
      </c>
      <c r="G10" s="190">
        <f>Gear!Q10</f>
        <v>0.71878849413974355</v>
      </c>
      <c r="H10" s="189">
        <f>DCC!B10</f>
        <v>13</v>
      </c>
      <c r="I10" s="189">
        <f t="shared" si="13"/>
        <v>0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4" t="str">
        <f t="shared" si="14"/>
        <v xml:space="preserve">   Attendance</v>
      </c>
      <c r="X10" s="194" t="str">
        <f t="shared" si="15"/>
        <v xml:space="preserve"> Gear Quality, Raid Output, Attendance</v>
      </c>
      <c r="AB10"/>
      <c r="AG10"/>
      <c r="AH10" s="1" t="e">
        <f>VLOOKUP(A10,'Look-up'!E:F,2,FALSE)</f>
        <v>#N/A</v>
      </c>
    </row>
    <row r="11" spans="1:247" ht="15" customHeight="1">
      <c r="A11" s="443" t="s">
        <v>199</v>
      </c>
      <c r="B11" s="126" t="s">
        <v>31</v>
      </c>
      <c r="C11" s="38" t="s">
        <v>22</v>
      </c>
      <c r="D11" s="38" t="s">
        <v>77</v>
      </c>
      <c r="E11" s="189">
        <f>Gear!L11</f>
        <v>5</v>
      </c>
      <c r="F11" s="189">
        <f>Gear!J11</f>
        <v>0</v>
      </c>
      <c r="G11" s="190">
        <f>Gear!Q11</f>
        <v>0.61833732167733735</v>
      </c>
      <c r="H11" s="189">
        <f>DCC!B11</f>
        <v>9</v>
      </c>
      <c r="I11" s="189">
        <f t="shared" si="13"/>
        <v>0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1</v>
      </c>
      <c r="U11" s="1">
        <f t="shared" si="27"/>
        <v>0</v>
      </c>
      <c r="V11" s="1">
        <f t="shared" si="28"/>
        <v>0</v>
      </c>
      <c r="W11" s="194" t="str">
        <f t="shared" si="14"/>
        <v xml:space="preserve">  Raid Output, Attendance</v>
      </c>
      <c r="X11" s="194" t="str">
        <f t="shared" si="15"/>
        <v xml:space="preserve">  Raid Output, Attendance</v>
      </c>
      <c r="AB11"/>
      <c r="AG11"/>
      <c r="AH11" s="1" t="e">
        <f>VLOOKUP(A11,'Look-up'!E:F,2,FALSE)</f>
        <v>#N/A</v>
      </c>
    </row>
    <row r="12" spans="1:247" ht="15" customHeight="1">
      <c r="A12" s="443" t="s">
        <v>232</v>
      </c>
      <c r="B12" s="126" t="s">
        <v>31</v>
      </c>
      <c r="C12" s="38" t="s">
        <v>16</v>
      </c>
      <c r="D12" s="38" t="s">
        <v>76</v>
      </c>
      <c r="E12" s="189">
        <f>Gear!L12</f>
        <v>5</v>
      </c>
      <c r="F12" s="189">
        <f>Gear!J12</f>
        <v>0</v>
      </c>
      <c r="G12" s="190">
        <f>Gear!Q12</f>
        <v>0.89770063511575493</v>
      </c>
      <c r="H12" s="189">
        <f>DCC!B12</f>
        <v>12</v>
      </c>
      <c r="I12" s="189">
        <f t="shared" si="13"/>
        <v>0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1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str">
        <f t="shared" si="14"/>
        <v xml:space="preserve">   Attendance</v>
      </c>
      <c r="X12" s="194" t="str">
        <f t="shared" si="15"/>
        <v xml:space="preserve">   Attendance</v>
      </c>
      <c r="AB12"/>
      <c r="AH12" s="1" t="e">
        <f>VLOOKUP(A12,'Look-up'!E:F,2,FALSE)</f>
        <v>#N/A</v>
      </c>
    </row>
    <row r="13" spans="1:247" ht="15" customHeight="1">
      <c r="A13" s="443" t="s">
        <v>234</v>
      </c>
      <c r="B13" s="126" t="s">
        <v>31</v>
      </c>
      <c r="C13" s="38" t="s">
        <v>30</v>
      </c>
      <c r="D13" s="38" t="s">
        <v>76</v>
      </c>
      <c r="E13" s="189">
        <f>Gear!L13</f>
        <v>5</v>
      </c>
      <c r="F13" s="189">
        <f>Gear!J13</f>
        <v>0</v>
      </c>
      <c r="G13" s="190">
        <f>Gear!Q13</f>
        <v>0.63239625001548039</v>
      </c>
      <c r="H13" s="189">
        <f>DCC!B13</f>
        <v>9</v>
      </c>
      <c r="I13" s="189">
        <f t="shared" si="13"/>
        <v>0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1</v>
      </c>
      <c r="V13" s="1">
        <f t="shared" si="28"/>
        <v>0</v>
      </c>
      <c r="W13" s="194" t="str">
        <f t="shared" si="14"/>
        <v xml:space="preserve">  Raid Output, Attendance</v>
      </c>
      <c r="X13" s="194" t="str">
        <f t="shared" si="15"/>
        <v xml:space="preserve">  Raid Output, Attendance</v>
      </c>
      <c r="AB13"/>
      <c r="AH13" s="1" t="e">
        <f>VLOOKUP(A13,'Look-up'!E:F,2,FALSE)</f>
        <v>#N/A</v>
      </c>
    </row>
    <row r="14" spans="1:247" ht="15" customHeight="1">
      <c r="A14" s="443" t="s">
        <v>200</v>
      </c>
      <c r="B14" s="126" t="s">
        <v>31</v>
      </c>
      <c r="C14" s="38" t="s">
        <v>15</v>
      </c>
      <c r="D14" s="38" t="s">
        <v>77</v>
      </c>
      <c r="E14" s="189">
        <f>Gear!L14</f>
        <v>5</v>
      </c>
      <c r="F14" s="189">
        <f>Gear!J14</f>
        <v>0.2</v>
      </c>
      <c r="G14" s="190">
        <f>Gear!Q14</f>
        <v>0.6140282242479661</v>
      </c>
      <c r="H14" s="189">
        <f>DCC!B14</f>
        <v>8</v>
      </c>
      <c r="I14" s="189">
        <f t="shared" si="13"/>
        <v>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1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4" t="str">
        <f t="shared" si="14"/>
        <v xml:space="preserve">  Raid Output, Attendance</v>
      </c>
      <c r="X14" s="194" t="str">
        <f t="shared" si="15"/>
        <v xml:space="preserve"> Gear Quality, Raid Output, Attendance</v>
      </c>
      <c r="AB14"/>
      <c r="AG14"/>
      <c r="AH14" s="1" t="e">
        <f>VLOOKUP(A14,'Look-up'!E:F,2,FALSE)</f>
        <v>#N/A</v>
      </c>
    </row>
    <row r="15" spans="1:247" ht="15" customHeight="1">
      <c r="A15" s="443"/>
      <c r="B15" s="126"/>
      <c r="C15" s="38"/>
      <c r="D15" s="38"/>
      <c r="E15" s="189">
        <f>Gear!L15</f>
        <v>0</v>
      </c>
      <c r="F15" s="189">
        <f>Gear!J15</f>
        <v>0</v>
      </c>
      <c r="G15" s="190" t="e">
        <f>Gear!Q15</f>
        <v>#N/A</v>
      </c>
      <c r="H15" s="189">
        <f>DCC!B15</f>
        <v>0</v>
      </c>
      <c r="I15" s="189">
        <f t="shared" si="13"/>
        <v>0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e">
        <f t="shared" si="14"/>
        <v>#N/A</v>
      </c>
      <c r="X15" s="194" t="e">
        <f t="shared" si="15"/>
        <v>#N/A</v>
      </c>
      <c r="AB15"/>
      <c r="AH15" s="1" t="e">
        <f>VLOOKUP(A15,'Look-up'!E:F,2,FALSE)</f>
        <v>#N/A</v>
      </c>
    </row>
    <row r="16" spans="1:247" ht="15" customHeight="1">
      <c r="A16" s="443" t="s">
        <v>241</v>
      </c>
      <c r="B16" s="126" t="s">
        <v>31</v>
      </c>
      <c r="C16" s="38" t="s">
        <v>18</v>
      </c>
      <c r="D16" s="38" t="s">
        <v>76</v>
      </c>
      <c r="E16" s="189">
        <f>Gear!L16</f>
        <v>5</v>
      </c>
      <c r="F16" s="189">
        <f>Gear!J16</f>
        <v>0</v>
      </c>
      <c r="G16" s="190">
        <f>Gear!Q16</f>
        <v>0.704434308504996</v>
      </c>
      <c r="H16" s="189">
        <f>DCC!B16</f>
        <v>9</v>
      </c>
      <c r="I16" s="189">
        <f t="shared" si="13"/>
        <v>0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1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str">
        <f t="shared" si="14"/>
        <v xml:space="preserve">   Attendance</v>
      </c>
      <c r="X16" s="194" t="str">
        <f t="shared" si="15"/>
        <v xml:space="preserve">  Raid Output, Attendance</v>
      </c>
      <c r="AB16"/>
      <c r="AH16" s="1" t="e">
        <f>VLOOKUP(A16,'Look-up'!E:F,2,FALSE)</f>
        <v>#N/A</v>
      </c>
      <c r="AI16"/>
    </row>
    <row r="17" spans="1:41" ht="15" customHeight="1">
      <c r="A17" s="443" t="s">
        <v>201</v>
      </c>
      <c r="B17" s="126" t="s">
        <v>31</v>
      </c>
      <c r="C17" s="38" t="s">
        <v>20</v>
      </c>
      <c r="D17" s="38" t="s">
        <v>13</v>
      </c>
      <c r="E17" s="189">
        <f>Gear!L17</f>
        <v>5</v>
      </c>
      <c r="F17" s="189">
        <f>Gear!J17</f>
        <v>0</v>
      </c>
      <c r="G17" s="190">
        <f>Gear!Q17</f>
        <v>0.67946630846648903</v>
      </c>
      <c r="H17" s="189">
        <f>DCC!B17</f>
        <v>5</v>
      </c>
      <c r="I17" s="189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1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str">
        <f t="shared" si="14"/>
        <v xml:space="preserve">   Attendance</v>
      </c>
      <c r="X17" s="194" t="str">
        <f t="shared" si="15"/>
        <v xml:space="preserve">  Raid Output, Attendance</v>
      </c>
      <c r="AB17"/>
      <c r="AH17" s="1" t="e">
        <f>VLOOKUP(A17,'Look-up'!E:F,2,FALSE)</f>
        <v>#N/A</v>
      </c>
    </row>
    <row r="18" spans="1:41" ht="15" customHeight="1">
      <c r="A18" s="443"/>
      <c r="B18" s="126"/>
      <c r="C18" s="38"/>
      <c r="D18" s="38"/>
      <c r="E18" s="189">
        <f>Gear!L18</f>
        <v>0</v>
      </c>
      <c r="F18" s="189">
        <f>Gear!J18</f>
        <v>0</v>
      </c>
      <c r="G18" s="190" t="e">
        <f>Gear!Q18</f>
        <v>#N/A</v>
      </c>
      <c r="H18" s="189">
        <f>DCC!B18</f>
        <v>0</v>
      </c>
      <c r="I18" s="189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e">
        <f t="shared" si="14"/>
        <v>#N/A</v>
      </c>
      <c r="X18" s="194" t="e">
        <f t="shared" si="15"/>
        <v>#N/A</v>
      </c>
      <c r="AB18"/>
      <c r="AH18" s="1" t="e">
        <f>VLOOKUP(A18,'Look-up'!E:F,2,FALSE)</f>
        <v>#N/A</v>
      </c>
    </row>
    <row r="19" spans="1:41" ht="15" customHeight="1">
      <c r="A19" s="443"/>
      <c r="B19" s="126"/>
      <c r="C19" s="38"/>
      <c r="D19" s="38"/>
      <c r="E19" s="189">
        <f>Gear!L19</f>
        <v>0</v>
      </c>
      <c r="F19" s="189">
        <f>Gear!J19</f>
        <v>0</v>
      </c>
      <c r="G19" s="190" t="e">
        <f>Gear!Q19</f>
        <v>#N/A</v>
      </c>
      <c r="H19" s="189">
        <f>DCC!B19</f>
        <v>0</v>
      </c>
      <c r="I19" s="189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e">
        <f t="shared" si="14"/>
        <v>#N/A</v>
      </c>
      <c r="X19" s="194" t="e">
        <f t="shared" si="15"/>
        <v>#N/A</v>
      </c>
      <c r="AB19"/>
      <c r="AH19" s="1" t="e">
        <f>VLOOKUP(A19,'Look-up'!E:F,2,FALSE)</f>
        <v>#N/A</v>
      </c>
    </row>
    <row r="20" spans="1:41" ht="15" customHeight="1">
      <c r="A20" s="443" t="s">
        <v>224</v>
      </c>
      <c r="B20" s="126" t="s">
        <v>31</v>
      </c>
      <c r="C20" s="38" t="s">
        <v>182</v>
      </c>
      <c r="D20" s="38" t="s">
        <v>13</v>
      </c>
      <c r="E20" s="189">
        <f>Gear!L20</f>
        <v>5</v>
      </c>
      <c r="F20" s="189">
        <f>Gear!J20</f>
        <v>0</v>
      </c>
      <c r="G20" s="190">
        <f>Gear!Q20</f>
        <v>0.5936889751050759</v>
      </c>
      <c r="H20" s="189">
        <f>DCC!B20</f>
        <v>10</v>
      </c>
      <c r="I20" s="189">
        <f t="shared" si="13"/>
        <v>0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4" t="str">
        <f t="shared" si="14"/>
        <v xml:space="preserve">  Raid Output, Attendance</v>
      </c>
      <c r="X20" s="194" t="str">
        <f t="shared" si="15"/>
        <v xml:space="preserve">  Raid Output, Attendance</v>
      </c>
      <c r="AB20"/>
      <c r="AH20" s="1" t="e">
        <f>VLOOKUP(A20,'Look-up'!E:F,2,FALSE)</f>
        <v>#N/A</v>
      </c>
    </row>
    <row r="21" spans="1:41" ht="15" customHeight="1">
      <c r="A21" s="443" t="s">
        <v>244</v>
      </c>
      <c r="B21" s="126" t="s">
        <v>31</v>
      </c>
      <c r="C21" s="38" t="s">
        <v>20</v>
      </c>
      <c r="D21" s="38" t="s">
        <v>76</v>
      </c>
      <c r="E21" s="189">
        <f>Gear!L21</f>
        <v>5</v>
      </c>
      <c r="F21" s="189">
        <f>Gear!J21</f>
        <v>0</v>
      </c>
      <c r="G21" s="190">
        <f>Gear!Q21</f>
        <v>0.65240675399003467</v>
      </c>
      <c r="H21" s="189">
        <f>DCC!B21</f>
        <v>10</v>
      </c>
      <c r="I21" s="189">
        <f t="shared" si="13"/>
        <v>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1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str">
        <f t="shared" si="14"/>
        <v xml:space="preserve">   Attendance</v>
      </c>
      <c r="X21" s="194" t="str">
        <f t="shared" si="15"/>
        <v xml:space="preserve">  Raid Output, Attendance</v>
      </c>
      <c r="AB21"/>
      <c r="AH21" s="1" t="e">
        <f>VLOOKUP(A21,'Look-up'!E:F,2,FALSE)</f>
        <v>#N/A</v>
      </c>
    </row>
    <row r="22" spans="1:41" ht="15" customHeight="1">
      <c r="A22" s="443"/>
      <c r="B22" s="126"/>
      <c r="C22" s="38"/>
      <c r="D22" s="38"/>
      <c r="E22" s="189">
        <f>Gear!L22</f>
        <v>0</v>
      </c>
      <c r="F22" s="189">
        <f>Gear!J22</f>
        <v>0</v>
      </c>
      <c r="G22" s="190" t="e">
        <f>Gear!Q22</f>
        <v>#N/A</v>
      </c>
      <c r="H22" s="189">
        <f>DCC!B22</f>
        <v>0</v>
      </c>
      <c r="I22" s="189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e">
        <f t="shared" si="14"/>
        <v>#N/A</v>
      </c>
      <c r="X22" s="194" t="e">
        <f t="shared" si="15"/>
        <v>#N/A</v>
      </c>
      <c r="AB22"/>
      <c r="AH22" s="1" t="e">
        <f>VLOOKUP(A22,'Look-up'!E:F,2,FALSE)</f>
        <v>#N/A</v>
      </c>
    </row>
    <row r="23" spans="1:41" ht="15" customHeight="1">
      <c r="A23" s="443" t="s">
        <v>240</v>
      </c>
      <c r="B23" s="126" t="s">
        <v>31</v>
      </c>
      <c r="C23" s="38" t="s">
        <v>30</v>
      </c>
      <c r="D23" s="38" t="s">
        <v>76</v>
      </c>
      <c r="E23" s="189">
        <f>Gear!L23</f>
        <v>5</v>
      </c>
      <c r="F23" s="189">
        <f>Gear!J23</f>
        <v>0</v>
      </c>
      <c r="G23" s="190">
        <f>Gear!Q23</f>
        <v>0.83229235898684928</v>
      </c>
      <c r="H23" s="189">
        <f>DCC!B23</f>
        <v>10</v>
      </c>
      <c r="I23" s="189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1</v>
      </c>
      <c r="V23" s="1">
        <f t="shared" si="28"/>
        <v>0</v>
      </c>
      <c r="W23" s="194" t="str">
        <f t="shared" si="14"/>
        <v xml:space="preserve">   Attendance</v>
      </c>
      <c r="X23" s="194" t="str">
        <f t="shared" si="15"/>
        <v xml:space="preserve">   Attendance</v>
      </c>
      <c r="AB23"/>
      <c r="AH23" s="1" t="e">
        <f>VLOOKUP(A23,'Look-up'!E:F,2,FALSE)</f>
        <v>#N/A</v>
      </c>
    </row>
    <row r="24" spans="1:41" ht="15" customHeight="1">
      <c r="A24" s="443" t="s">
        <v>134</v>
      </c>
      <c r="B24" s="126" t="s">
        <v>31</v>
      </c>
      <c r="C24" s="38" t="s">
        <v>15</v>
      </c>
      <c r="D24" s="38" t="s">
        <v>77</v>
      </c>
      <c r="E24" s="189">
        <f>Gear!L24</f>
        <v>5</v>
      </c>
      <c r="F24" s="189">
        <f>Gear!J24</f>
        <v>0.4</v>
      </c>
      <c r="G24" s="190">
        <f>Gear!Q24</f>
        <v>0.88692986673454077</v>
      </c>
      <c r="H24" s="189">
        <f>DCC!B24</f>
        <v>12</v>
      </c>
      <c r="I24" s="189">
        <f t="shared" si="13"/>
        <v>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1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str">
        <f t="shared" si="14"/>
        <v xml:space="preserve">   Attendance</v>
      </c>
      <c r="X24" s="194" t="str">
        <f t="shared" si="15"/>
        <v xml:space="preserve"> Gear Quality,  Attendance</v>
      </c>
      <c r="AB24"/>
      <c r="AH24" s="1" t="e">
        <f>VLOOKUP(A24,'Look-up'!E:F,2,FALSE)</f>
        <v>#N/A</v>
      </c>
    </row>
    <row r="25" spans="1:41" ht="15" customHeight="1">
      <c r="A25" s="443" t="s">
        <v>258</v>
      </c>
      <c r="B25" s="126" t="s">
        <v>31</v>
      </c>
      <c r="C25" s="38" t="s">
        <v>22</v>
      </c>
      <c r="D25" s="38" t="s">
        <v>13</v>
      </c>
      <c r="E25" s="189">
        <f>Gear!L25</f>
        <v>5</v>
      </c>
      <c r="F25" s="189">
        <f>Gear!J25</f>
        <v>0.4</v>
      </c>
      <c r="G25" s="190">
        <f>Gear!Q25</f>
        <v>0.70525188523492932</v>
      </c>
      <c r="H25" s="189">
        <f>DCC!B25</f>
        <v>13</v>
      </c>
      <c r="I25" s="189">
        <f t="shared" si="13"/>
        <v>0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1</v>
      </c>
      <c r="U25" s="1">
        <f t="shared" si="27"/>
        <v>0</v>
      </c>
      <c r="V25" s="1">
        <f t="shared" si="28"/>
        <v>0</v>
      </c>
      <c r="W25" s="194" t="str">
        <f t="shared" si="14"/>
        <v xml:space="preserve">   Attendance</v>
      </c>
      <c r="X25" s="194" t="str">
        <f t="shared" si="15"/>
        <v xml:space="preserve"> Gear Quality, Raid Output, Attendance</v>
      </c>
      <c r="AB25"/>
      <c r="AH25" s="1" t="e">
        <f>VLOOKUP(A25,'Look-up'!E:F,2,FALSE)</f>
        <v>#N/A</v>
      </c>
    </row>
    <row r="26" spans="1:41" ht="15" customHeight="1">
      <c r="A26" s="443" t="s">
        <v>253</v>
      </c>
      <c r="B26" s="126" t="s">
        <v>31</v>
      </c>
      <c r="C26" s="38" t="s">
        <v>17</v>
      </c>
      <c r="D26" s="38" t="s">
        <v>76</v>
      </c>
      <c r="E26" s="189">
        <f>Gear!L26</f>
        <v>5</v>
      </c>
      <c r="F26" s="189">
        <f>Gear!J26</f>
        <v>0</v>
      </c>
      <c r="G26" s="190">
        <f>Gear!Q26</f>
        <v>0.77876532995832126</v>
      </c>
      <c r="H26" s="189">
        <f>DCC!B26</f>
        <v>12</v>
      </c>
      <c r="I26" s="189">
        <f t="shared" si="13"/>
        <v>0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1</v>
      </c>
      <c r="P26" s="1">
        <f t="shared" si="22"/>
        <v>0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str">
        <f t="shared" si="14"/>
        <v xml:space="preserve">   Attendance</v>
      </c>
      <c r="X26" s="194" t="str">
        <f t="shared" si="15"/>
        <v xml:space="preserve">  Raid Output, Attendance</v>
      </c>
      <c r="AB26"/>
      <c r="AH26" s="1" t="e">
        <f>VLOOKUP(A26,'Look-up'!E:F,2,FALSE)</f>
        <v>#N/A</v>
      </c>
    </row>
    <row r="27" spans="1:41" ht="15" customHeight="1">
      <c r="A27" s="443" t="s">
        <v>257</v>
      </c>
      <c r="B27" s="126" t="s">
        <v>31</v>
      </c>
      <c r="C27" s="38" t="s">
        <v>19</v>
      </c>
      <c r="D27" s="38" t="s">
        <v>13</v>
      </c>
      <c r="E27" s="189">
        <f>Gear!L27</f>
        <v>5</v>
      </c>
      <c r="F27" s="189">
        <f>Gear!J27</f>
        <v>0.2</v>
      </c>
      <c r="G27" s="190">
        <f>Gear!Q27</f>
        <v>0.90213011040948587</v>
      </c>
      <c r="H27" s="189">
        <f>DCC!B27</f>
        <v>13</v>
      </c>
      <c r="I27" s="189">
        <f t="shared" si="13"/>
        <v>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1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str">
        <f t="shared" si="14"/>
        <v xml:space="preserve">   Attendance</v>
      </c>
      <c r="X27" s="194" t="str">
        <f t="shared" si="15"/>
        <v xml:space="preserve"> Gear Quality,  Attendance</v>
      </c>
      <c r="AB27"/>
      <c r="AH27" s="1" t="e">
        <f>VLOOKUP(A27,'Look-up'!E:F,2,FALSE)</f>
        <v>#N/A</v>
      </c>
    </row>
    <row r="28" spans="1:41" ht="15" customHeight="1">
      <c r="A28" s="443" t="s">
        <v>255</v>
      </c>
      <c r="B28" s="126" t="s">
        <v>31</v>
      </c>
      <c r="C28" s="38" t="s">
        <v>16</v>
      </c>
      <c r="D28" s="38" t="s">
        <v>14</v>
      </c>
      <c r="E28" s="189">
        <f>Gear!L28</f>
        <v>5</v>
      </c>
      <c r="F28" s="189">
        <f>Gear!J28</f>
        <v>0.8</v>
      </c>
      <c r="G28" s="190">
        <f>Gear!Q28</f>
        <v>0.71621889298069419</v>
      </c>
      <c r="H28" s="189">
        <f>DCC!B28</f>
        <v>13</v>
      </c>
      <c r="I28" s="189">
        <f t="shared" si="13"/>
        <v>0</v>
      </c>
      <c r="J28" s="1">
        <f t="shared" si="16"/>
        <v>0</v>
      </c>
      <c r="K28" s="1">
        <f t="shared" si="17"/>
        <v>0</v>
      </c>
      <c r="L28" s="1">
        <f t="shared" si="18"/>
        <v>1</v>
      </c>
      <c r="M28" s="1">
        <f t="shared" si="19"/>
        <v>0</v>
      </c>
      <c r="N28" s="1">
        <f t="shared" si="20"/>
        <v>1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 xml:space="preserve"> Gear Quality,  Attendance</v>
      </c>
      <c r="X28" s="194" t="str">
        <f t="shared" si="15"/>
        <v xml:space="preserve"> Gear Quality, Raid Output, Attendance</v>
      </c>
      <c r="AB28"/>
      <c r="AH28" s="1" t="e">
        <f>VLOOKUP(A28,'Look-up'!E:F,2,FALSE)</f>
        <v>#N/A</v>
      </c>
    </row>
    <row r="29" spans="1:41" ht="15" customHeight="1">
      <c r="A29" s="443" t="s">
        <v>203</v>
      </c>
      <c r="B29" s="126" t="s">
        <v>31</v>
      </c>
      <c r="C29" s="38" t="s">
        <v>24</v>
      </c>
      <c r="D29" s="38" t="s">
        <v>14</v>
      </c>
      <c r="E29" s="189">
        <f>Gear!L29</f>
        <v>5</v>
      </c>
      <c r="F29" s="189">
        <f>Gear!J29</f>
        <v>0</v>
      </c>
      <c r="G29" s="190">
        <f>Gear!Q29</f>
        <v>0.86145530041522833</v>
      </c>
      <c r="H29" s="189">
        <f>DCC!B29</f>
        <v>10</v>
      </c>
      <c r="I29" s="189">
        <f t="shared" si="13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4"/>
        <v xml:space="preserve">   Attendance</v>
      </c>
      <c r="X29" s="194" t="str">
        <f t="shared" si="15"/>
        <v xml:space="preserve">   Attendance</v>
      </c>
      <c r="AB29"/>
      <c r="AH29" s="1" t="e">
        <f>VLOOKUP(A29,'Look-up'!E:F,2,FALSE)</f>
        <v>#N/A</v>
      </c>
    </row>
    <row r="30" spans="1:41" ht="15" customHeight="1">
      <c r="A30" s="443" t="s">
        <v>259</v>
      </c>
      <c r="B30" s="126" t="s">
        <v>31</v>
      </c>
      <c r="C30" s="38" t="s">
        <v>16</v>
      </c>
      <c r="D30" s="38" t="s">
        <v>76</v>
      </c>
      <c r="E30" s="189">
        <f>Gear!L30</f>
        <v>5</v>
      </c>
      <c r="F30" s="189">
        <f>Gear!J30</f>
        <v>0.4</v>
      </c>
      <c r="G30" s="190">
        <f>Gear!Q30</f>
        <v>0.59362556853103865</v>
      </c>
      <c r="H30" s="189">
        <f>DCC!B30</f>
        <v>10</v>
      </c>
      <c r="I30" s="189">
        <f t="shared" si="13"/>
        <v>0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1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4" t="str">
        <f t="shared" si="14"/>
        <v xml:space="preserve">  Raid Output, Attendance</v>
      </c>
      <c r="X30" s="194" t="str">
        <f t="shared" si="15"/>
        <v xml:space="preserve"> Gear Quality, Raid Output, Attendance</v>
      </c>
      <c r="AB30"/>
      <c r="AC30"/>
      <c r="AD30"/>
      <c r="AE30"/>
      <c r="AH30" s="1" t="e">
        <f>VLOOKUP(A30,'Look-up'!E:F,2,FALSE)</f>
        <v>#N/A</v>
      </c>
    </row>
    <row r="31" spans="1:41" ht="15" customHeight="1">
      <c r="A31" s="443" t="s">
        <v>204</v>
      </c>
      <c r="B31" s="126" t="s">
        <v>31</v>
      </c>
      <c r="C31" s="38" t="s">
        <v>20</v>
      </c>
      <c r="D31" s="38" t="s">
        <v>13</v>
      </c>
      <c r="E31" s="189">
        <f>Gear!L31</f>
        <v>5</v>
      </c>
      <c r="F31" s="189">
        <f>Gear!J31</f>
        <v>0</v>
      </c>
      <c r="G31" s="190">
        <f>Gear!Q31</f>
        <v>0.62986296707806566</v>
      </c>
      <c r="H31" s="189">
        <f>DCC!B31</f>
        <v>12</v>
      </c>
      <c r="I31" s="189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1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str">
        <f t="shared" si="14"/>
        <v xml:space="preserve">  Raid Output, Attendance</v>
      </c>
      <c r="X31" s="194" t="str">
        <f t="shared" si="15"/>
        <v xml:space="preserve">  Raid Output, Attendance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43" t="s">
        <v>205</v>
      </c>
      <c r="B32" s="126" t="s">
        <v>31</v>
      </c>
      <c r="C32" s="38" t="s">
        <v>24</v>
      </c>
      <c r="D32" s="38" t="s">
        <v>14</v>
      </c>
      <c r="E32" s="189">
        <f>Gear!L32</f>
        <v>5</v>
      </c>
      <c r="F32" s="189">
        <f>Gear!J32</f>
        <v>0.2</v>
      </c>
      <c r="G32" s="190">
        <f>Gear!Q32</f>
        <v>0</v>
      </c>
      <c r="H32" s="189">
        <f>DCC!B32</f>
        <v>4</v>
      </c>
      <c r="I32" s="189">
        <f t="shared" si="13"/>
        <v>0</v>
      </c>
      <c r="J32" s="1">
        <f t="shared" si="29"/>
        <v>0</v>
      </c>
      <c r="K32" s="1">
        <f t="shared" si="30"/>
        <v>0</v>
      </c>
      <c r="L32" s="1">
        <f t="shared" si="31"/>
        <v>1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1</v>
      </c>
      <c r="W32" s="194" t="str">
        <f t="shared" si="14"/>
        <v xml:space="preserve">  Raid Output, Attendance</v>
      </c>
      <c r="X32" s="194" t="str">
        <f t="shared" si="15"/>
        <v xml:space="preserve"> Gear Quality, Raid Output, Attendance</v>
      </c>
      <c r="AB32"/>
      <c r="AC32"/>
      <c r="AD32"/>
      <c r="AE32"/>
      <c r="AH32" s="1" t="e">
        <f>VLOOKUP(A32,'Look-up'!E:F,2,FALSE)</f>
        <v>#N/A</v>
      </c>
    </row>
    <row r="33" spans="1:34" ht="15" customHeight="1">
      <c r="A33" s="444" t="s">
        <v>221</v>
      </c>
      <c r="B33" s="126" t="s">
        <v>31</v>
      </c>
      <c r="C33" s="38" t="s">
        <v>16</v>
      </c>
      <c r="D33" s="38" t="s">
        <v>13</v>
      </c>
      <c r="E33" s="189">
        <f>Gear!L33</f>
        <v>5</v>
      </c>
      <c r="F33" s="189">
        <f>Gear!J33</f>
        <v>0.5</v>
      </c>
      <c r="G33" s="190">
        <f>Gear!Q33</f>
        <v>0.65056613598911917</v>
      </c>
      <c r="H33" s="189">
        <f>DCC!B33</f>
        <v>9</v>
      </c>
      <c r="I33" s="189">
        <f t="shared" si="13"/>
        <v>0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1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str">
        <f t="shared" si="14"/>
        <v xml:space="preserve">   Attendance</v>
      </c>
      <c r="X33" s="194" t="str">
        <f t="shared" si="15"/>
        <v xml:space="preserve"> Gear Quality, Raid Output, Attendance</v>
      </c>
      <c r="AB33"/>
      <c r="AC33"/>
      <c r="AD33"/>
      <c r="AE33"/>
      <c r="AH33" s="1" t="e">
        <f>VLOOKUP(A33,'Look-up'!E:F,2,FALSE)</f>
        <v>#N/A</v>
      </c>
    </row>
    <row r="34" spans="1:34" ht="15" customHeight="1">
      <c r="A34" s="443" t="s">
        <v>260</v>
      </c>
      <c r="B34" s="126" t="s">
        <v>31</v>
      </c>
      <c r="C34" s="38" t="s">
        <v>21</v>
      </c>
      <c r="D34" s="38" t="s">
        <v>77</v>
      </c>
      <c r="E34" s="189">
        <f>Gear!L34</f>
        <v>5</v>
      </c>
      <c r="F34" s="189">
        <f>Gear!J34</f>
        <v>0</v>
      </c>
      <c r="G34" s="190">
        <f>Gear!Q34</f>
        <v>0.65133862320394598</v>
      </c>
      <c r="H34" s="189">
        <f>DCC!B34</f>
        <v>9</v>
      </c>
      <c r="I34" s="189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1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str">
        <f t="shared" si="14"/>
        <v xml:space="preserve">   Attendance</v>
      </c>
      <c r="X34" s="194" t="str">
        <f t="shared" si="15"/>
        <v xml:space="preserve">  Raid Output, Attendance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45" t="s">
        <v>206</v>
      </c>
      <c r="B35" s="126" t="s">
        <v>31</v>
      </c>
      <c r="C35" s="38" t="s">
        <v>20</v>
      </c>
      <c r="D35" s="38" t="s">
        <v>76</v>
      </c>
      <c r="E35" s="189">
        <f>Gear!L35</f>
        <v>5</v>
      </c>
      <c r="F35" s="189">
        <f>Gear!J35</f>
        <v>0</v>
      </c>
      <c r="G35" s="190">
        <f>Gear!Q35</f>
        <v>0.68497039516672198</v>
      </c>
      <c r="H35" s="189">
        <f>DCC!B35</f>
        <v>10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1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str">
        <f t="shared" si="14"/>
        <v xml:space="preserve">   Attendance</v>
      </c>
      <c r="X35" s="194" t="str">
        <f t="shared" si="15"/>
        <v xml:space="preserve">  Raid Output, Attendance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3" t="s">
        <v>243</v>
      </c>
      <c r="B36" s="126" t="s">
        <v>31</v>
      </c>
      <c r="C36" s="38" t="s">
        <v>16</v>
      </c>
      <c r="D36" s="38" t="s">
        <v>13</v>
      </c>
      <c r="E36" s="189">
        <f>Gear!L36</f>
        <v>5</v>
      </c>
      <c r="F36" s="189">
        <f>Gear!J36</f>
        <v>0.1</v>
      </c>
      <c r="G36" s="190">
        <f>Gear!Q36</f>
        <v>0.84526895313661621</v>
      </c>
      <c r="H36" s="189">
        <f>DCC!B36</f>
        <v>12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1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str">
        <f t="shared" si="14"/>
        <v xml:space="preserve">   Attendance</v>
      </c>
      <c r="X36" s="194" t="str">
        <f t="shared" si="15"/>
        <v xml:space="preserve"> Gear Quality,  Attendance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45" t="s">
        <v>222</v>
      </c>
      <c r="B37" s="126" t="s">
        <v>31</v>
      </c>
      <c r="C37" s="38" t="s">
        <v>24</v>
      </c>
      <c r="D37" s="38" t="s">
        <v>77</v>
      </c>
      <c r="E37" s="189">
        <f>Gear!L37</f>
        <v>5</v>
      </c>
      <c r="F37" s="189">
        <f>Gear!J37</f>
        <v>0</v>
      </c>
      <c r="G37" s="190">
        <f>Gear!Q37</f>
        <v>0.54626046857968236</v>
      </c>
      <c r="H37" s="189">
        <f>DCC!B37</f>
        <v>8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1</v>
      </c>
      <c r="W37" s="194" t="str">
        <f t="shared" si="14"/>
        <v xml:space="preserve">  Raid Output, Attendance</v>
      </c>
      <c r="X37" s="194" t="str">
        <f t="shared" si="15"/>
        <v xml:space="preserve">  Raid Output, Attendance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43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3" t="s">
        <v>263</v>
      </c>
      <c r="B39" s="126" t="s">
        <v>31</v>
      </c>
      <c r="C39" s="38" t="s">
        <v>17</v>
      </c>
      <c r="D39" s="38" t="s">
        <v>76</v>
      </c>
      <c r="E39" s="189">
        <f>Gear!L39</f>
        <v>5</v>
      </c>
      <c r="F39" s="189">
        <f>Gear!J39</f>
        <v>0</v>
      </c>
      <c r="G39" s="190">
        <f>Gear!Q39</f>
        <v>0.77570221099406911</v>
      </c>
      <c r="H39" s="189">
        <f>DCC!B39</f>
        <v>12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1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str">
        <f t="shared" si="14"/>
        <v xml:space="preserve">   Attendance</v>
      </c>
      <c r="X39" s="194" t="str">
        <f t="shared" si="15"/>
        <v xml:space="preserve">  Raid Output, Attendance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5" t="s">
        <v>266</v>
      </c>
      <c r="B40" s="126" t="s">
        <v>31</v>
      </c>
      <c r="C40" s="38" t="s">
        <v>16</v>
      </c>
      <c r="D40" s="38" t="s">
        <v>76</v>
      </c>
      <c r="E40" s="189">
        <f>Gear!L40</f>
        <v>5</v>
      </c>
      <c r="F40" s="189">
        <f>Gear!J40</f>
        <v>0</v>
      </c>
      <c r="G40" s="190">
        <f>Gear!Q40</f>
        <v>0.65714501126818281</v>
      </c>
      <c r="H40" s="189">
        <f>DCC!B40</f>
        <v>11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1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str">
        <f t="shared" si="14"/>
        <v xml:space="preserve">   Attendance</v>
      </c>
      <c r="X40" s="194" t="str">
        <f t="shared" si="15"/>
        <v xml:space="preserve">  Raid Output, Attendance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3" t="s">
        <v>271</v>
      </c>
      <c r="B41" s="126" t="s">
        <v>31</v>
      </c>
      <c r="C41" s="38" t="s">
        <v>15</v>
      </c>
      <c r="D41" s="38" t="s">
        <v>77</v>
      </c>
      <c r="E41" s="189">
        <f>Gear!L41</f>
        <v>5</v>
      </c>
      <c r="F41" s="189">
        <f>Gear!J41</f>
        <v>0</v>
      </c>
      <c r="G41" s="190">
        <f>Gear!Q41</f>
        <v>0.60602899725676151</v>
      </c>
      <c r="H41" s="189">
        <f>DCC!B41</f>
        <v>9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1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str">
        <f t="shared" si="14"/>
        <v xml:space="preserve">  Raid Output, Attendance</v>
      </c>
      <c r="X41" s="194" t="str">
        <f t="shared" si="15"/>
        <v xml:space="preserve">  Raid Output, Attendance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3" t="s">
        <v>267</v>
      </c>
      <c r="B42" s="127" t="s">
        <v>31</v>
      </c>
      <c r="C42" s="42" t="s">
        <v>182</v>
      </c>
      <c r="D42" s="38" t="s">
        <v>13</v>
      </c>
      <c r="E42" s="189">
        <f>Gear!L42</f>
        <v>5</v>
      </c>
      <c r="F42" s="189">
        <f>Gear!J42</f>
        <v>0.1</v>
      </c>
      <c r="G42" s="190">
        <f>Gear!Q42</f>
        <v>0.72979775119445345</v>
      </c>
      <c r="H42" s="189">
        <f>DCC!B42</f>
        <v>11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str">
        <f t="shared" si="14"/>
        <v xml:space="preserve">   Attendance</v>
      </c>
      <c r="X42" s="194" t="str">
        <f t="shared" si="15"/>
        <v xml:space="preserve"> Gear Quality, Raid Output, Attendance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3" t="s">
        <v>268</v>
      </c>
      <c r="B43" s="126" t="s">
        <v>31</v>
      </c>
      <c r="C43" s="38" t="s">
        <v>30</v>
      </c>
      <c r="D43" s="38" t="s">
        <v>76</v>
      </c>
      <c r="E43" s="189">
        <f>Gear!L43</f>
        <v>5</v>
      </c>
      <c r="F43" s="189">
        <f>Gear!J43</f>
        <v>0</v>
      </c>
      <c r="G43" s="190">
        <f>Gear!Q43</f>
        <v>0.66932682741567284</v>
      </c>
      <c r="H43" s="189">
        <f>DCC!B43</f>
        <v>8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1</v>
      </c>
      <c r="V43" s="1">
        <f t="shared" si="54"/>
        <v>0</v>
      </c>
      <c r="W43" s="194" t="str">
        <f t="shared" si="14"/>
        <v xml:space="preserve">   Attendance</v>
      </c>
      <c r="X43" s="194" t="str">
        <f t="shared" si="15"/>
        <v xml:space="preserve">  Raid Output, Attendance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3" t="s">
        <v>249</v>
      </c>
      <c r="B44" s="126" t="s">
        <v>31</v>
      </c>
      <c r="C44" s="38" t="s">
        <v>17</v>
      </c>
      <c r="D44" s="38" t="s">
        <v>76</v>
      </c>
      <c r="E44" s="189">
        <f>Gear!L44</f>
        <v>5</v>
      </c>
      <c r="F44" s="189">
        <f>Gear!J44</f>
        <v>0</v>
      </c>
      <c r="G44" s="190">
        <f>Gear!Q44</f>
        <v>0.81817023784314402</v>
      </c>
      <c r="H44" s="189">
        <f>DCC!B44</f>
        <v>7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1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str">
        <f t="shared" si="14"/>
        <v xml:space="preserve">   Attendance</v>
      </c>
      <c r="X44" s="194" t="str">
        <f t="shared" si="15"/>
        <v xml:space="preserve">   Attendance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3" t="s">
        <v>269</v>
      </c>
      <c r="B45" s="126" t="s">
        <v>31</v>
      </c>
      <c r="C45" s="38" t="s">
        <v>22</v>
      </c>
      <c r="D45" s="38" t="s">
        <v>13</v>
      </c>
      <c r="E45" s="189">
        <f>Gear!L45</f>
        <v>5</v>
      </c>
      <c r="F45" s="189">
        <f>Gear!J45</f>
        <v>0</v>
      </c>
      <c r="G45" s="190">
        <f>Gear!Q45</f>
        <v>0.58203461932444689</v>
      </c>
      <c r="H45" s="189">
        <f>DCC!B45</f>
        <v>7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1</v>
      </c>
      <c r="U45" s="1">
        <f t="shared" si="53"/>
        <v>0</v>
      </c>
      <c r="V45" s="1">
        <f t="shared" si="54"/>
        <v>0</v>
      </c>
      <c r="W45" s="194" t="str">
        <f t="shared" si="14"/>
        <v xml:space="preserve">  Raid Output, Attendance</v>
      </c>
      <c r="X45" s="194" t="str">
        <f t="shared" si="15"/>
        <v xml:space="preserve">  Raid Output, Attendance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6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3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3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3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247</v>
      </c>
      <c r="B62" s="127"/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 t="e">
        <f>VLOOKUP(A62,'Look-up'!E:F,2,FALSE)</f>
        <v>#N/A</v>
      </c>
    </row>
    <row r="63" spans="1:34" ht="15" customHeight="1">
      <c r="A63" s="41" t="s">
        <v>220</v>
      </c>
      <c r="B63" s="126"/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 t="e">
        <f>VLOOKUP(A63,'Look-up'!E:F,2,FALSE)</f>
        <v>#N/A</v>
      </c>
    </row>
    <row r="64" spans="1:34" ht="15" customHeight="1">
      <c r="A64" s="37" t="s">
        <v>250</v>
      </c>
      <c r="B64" s="126"/>
      <c r="C64" s="38"/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1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0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 t="e">
        <f>VLOOKUP(A64,'Look-up'!E:F,2,FALSE)</f>
        <v>#N/A</v>
      </c>
    </row>
    <row r="65" spans="1:34" ht="15" customHeight="1">
      <c r="A65" s="37" t="s">
        <v>233</v>
      </c>
      <c r="B65" s="126"/>
      <c r="C65" s="38"/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1</v>
      </c>
      <c r="I65" s="189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0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 t="e">
        <f>VLOOKUP(A65,'Look-up'!E:F,2,FALSE)</f>
        <v>#N/A</v>
      </c>
    </row>
    <row r="66" spans="1:34" ht="15" customHeight="1">
      <c r="A66" s="37" t="s">
        <v>248</v>
      </c>
      <c r="B66" s="126" t="s">
        <v>31</v>
      </c>
      <c r="C66" s="38" t="s">
        <v>182</v>
      </c>
      <c r="D66" s="42" t="s">
        <v>77</v>
      </c>
      <c r="E66" s="189" t="e">
        <f>Gear!L66</f>
        <v>#N/A</v>
      </c>
      <c r="F66" s="189">
        <f>Gear!J66</f>
        <v>0.4</v>
      </c>
      <c r="G66" s="190">
        <f>Gear!Q66</f>
        <v>0.62631764296952186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0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 t="e">
        <f>VLOOKUP(A66,'Look-up'!E:F,2,FALSE)</f>
        <v>#N/A</v>
      </c>
    </row>
    <row r="67" spans="1:34" ht="15" customHeight="1">
      <c r="A67" s="37" t="s">
        <v>223</v>
      </c>
      <c r="B67" s="126" t="s">
        <v>31</v>
      </c>
      <c r="C67" s="38" t="s">
        <v>19</v>
      </c>
      <c r="D67" s="38" t="s">
        <v>77</v>
      </c>
      <c r="E67" s="189" t="e">
        <f>Gear!L67</f>
        <v>#N/A</v>
      </c>
      <c r="F67" s="189">
        <f>Gear!J67</f>
        <v>0</v>
      </c>
      <c r="G67" s="190">
        <f>Gear!Q67</f>
        <v>0.44599026059837188</v>
      </c>
      <c r="H67" s="189">
        <f>DCC!B67</f>
        <v>1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0</v>
      </c>
      <c r="Q67" s="1">
        <f t="shared" si="49"/>
        <v>1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 t="e">
        <f>VLOOKUP(A67,'Look-up'!E:F,2,FALSE)</f>
        <v>#N/A</v>
      </c>
    </row>
    <row r="68" spans="1:34" ht="15" customHeight="1">
      <c r="A68" s="37" t="s">
        <v>230</v>
      </c>
      <c r="B68" s="126"/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443" t="s">
        <v>264</v>
      </c>
      <c r="B69" s="126"/>
      <c r="C69" s="38"/>
      <c r="D69" s="38"/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1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0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 t="e">
        <f>VLOOKUP(A69,'Look-up'!E:F,2,FALSE)</f>
        <v>#N/A</v>
      </c>
    </row>
    <row r="70" spans="1:34" ht="15" customHeight="1">
      <c r="A70" s="37" t="s">
        <v>228</v>
      </c>
      <c r="B70" s="126" t="s">
        <v>31</v>
      </c>
      <c r="C70" s="38" t="s">
        <v>19</v>
      </c>
      <c r="D70" s="38" t="s">
        <v>13</v>
      </c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1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 t="s">
        <v>245</v>
      </c>
      <c r="B71" s="126" t="s">
        <v>31</v>
      </c>
      <c r="C71" s="38" t="s">
        <v>182</v>
      </c>
      <c r="D71" s="38" t="s">
        <v>77</v>
      </c>
      <c r="E71" s="189" t="e">
        <f>Gear!L71</f>
        <v>#N/A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 t="s">
        <v>202</v>
      </c>
      <c r="B72" s="126" t="s">
        <v>31</v>
      </c>
      <c r="C72" s="38" t="s">
        <v>19</v>
      </c>
      <c r="D72" s="38" t="s">
        <v>77</v>
      </c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1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1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 t="s">
        <v>207</v>
      </c>
      <c r="B73" s="126" t="s">
        <v>31</v>
      </c>
      <c r="C73" s="38" t="s">
        <v>15</v>
      </c>
      <c r="D73" s="38" t="s">
        <v>77</v>
      </c>
      <c r="E73" s="189" t="e">
        <f>Gear!L73</f>
        <v>#N/A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1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 t="s">
        <v>254</v>
      </c>
      <c r="B74" s="126" t="s">
        <v>31</v>
      </c>
      <c r="C74" s="38" t="s">
        <v>22</v>
      </c>
      <c r="D74" s="38" t="s">
        <v>76</v>
      </c>
      <c r="E74" s="189" t="e">
        <f>Gear!L74</f>
        <v>#N/A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1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8" priority="30" stopIfTrue="1">
      <formula>NOT(ISERROR(SEARCH("Warrior",C1)))</formula>
    </cfRule>
    <cfRule type="expression" dxfId="47" priority="31" stopIfTrue="1">
      <formula>NOT(ISERROR(SEARCH("Warlock",C1)))</formula>
    </cfRule>
    <cfRule type="expression" dxfId="46" priority="32" stopIfTrue="1">
      <formula>NOT(ISERROR(SEARCH("Paladin",C1)))</formula>
    </cfRule>
  </conditionalFormatting>
  <conditionalFormatting sqref="W2:X100">
    <cfRule type="expression" dxfId="45" priority="27" stopIfTrue="1">
      <formula>IF(W2="    ",TRUE)</formula>
    </cfRule>
  </conditionalFormatting>
  <conditionalFormatting sqref="W2:X100">
    <cfRule type="expression" dxfId="44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17" sqref="D17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>
        <f>'Members Data'!A2</f>
        <v>0</v>
      </c>
      <c r="B2" s="68">
        <f t="shared" ref="B2:B33" si="0">SUM(C2:F2)</f>
        <v>0</v>
      </c>
      <c r="C2" s="49">
        <f>'wk1'!K10+'wk2'!K10+'wk3'!K10+'wk4'!K10+'wk5'!K10</f>
        <v>0</v>
      </c>
      <c r="D2" s="49">
        <f>'wk1'!I10+'wk2'!I10+'wk3'!I10+'wk4'!I10+'wk5'!I10</f>
        <v>0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0</v>
      </c>
      <c r="J2" s="69">
        <f>SUM(E2:F2)</f>
        <v>0</v>
      </c>
      <c r="K2" s="47"/>
      <c r="L2" s="47"/>
    </row>
    <row r="3" spans="1:12" ht="15" customHeight="1">
      <c r="A3" s="48" t="str">
        <f>'Members Data'!A3</f>
        <v>Altrezza</v>
      </c>
      <c r="B3" s="43">
        <f t="shared" si="0"/>
        <v>6</v>
      </c>
      <c r="C3" s="49">
        <f>'wk1'!K11+'wk2'!K11+'wk3'!K11+'wk4'!K11+'wk5'!K11</f>
        <v>0</v>
      </c>
      <c r="D3" s="49">
        <f>'wk1'!I11+'wk2'!I11+'wk3'!I11+'wk4'!I11+'wk5'!I11</f>
        <v>4</v>
      </c>
      <c r="E3" s="49">
        <f>'wk1'!L11+'wk2'!L11+'wk3'!L11+'wk4'!L11+'wk5'!L11</f>
        <v>0</v>
      </c>
      <c r="F3" s="50">
        <f>'wk1'!J11+'wk2'!J11+'wk3'!J11+'wk4'!J11+'wk5'!J11</f>
        <v>2</v>
      </c>
      <c r="G3" s="51">
        <f>'wk1'!O11+'wk2'!O11+'wk3'!O11+'wk4'!O11+'wk5'!O11</f>
        <v>0</v>
      </c>
      <c r="H3" s="139"/>
      <c r="I3" s="137">
        <f t="shared" ref="I3:I66" si="1">SUM(C3:D3)</f>
        <v>4</v>
      </c>
      <c r="J3" s="133">
        <f t="shared" ref="J3:J66" si="2">SUM(E3:F3)</f>
        <v>2</v>
      </c>
      <c r="K3" s="47"/>
      <c r="L3" s="47"/>
    </row>
    <row r="4" spans="1:12" ht="15" customHeight="1">
      <c r="A4" s="48" t="str">
        <f>'Members Data'!A4</f>
        <v>Ambú</v>
      </c>
      <c r="B4" s="43">
        <f t="shared" si="0"/>
        <v>11</v>
      </c>
      <c r="C4" s="49">
        <f>'wk1'!K12+'wk2'!K12+'wk3'!K12+'wk4'!K12+'wk5'!K12</f>
        <v>0</v>
      </c>
      <c r="D4" s="49">
        <f>'wk1'!I12+'wk2'!I12+'wk3'!I12+'wk4'!I12+'wk5'!I12</f>
        <v>11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11</v>
      </c>
      <c r="J4" s="133">
        <f t="shared" si="2"/>
        <v>0</v>
      </c>
      <c r="K4" s="47"/>
      <c r="L4" s="47"/>
    </row>
    <row r="5" spans="1:12" ht="15" customHeight="1">
      <c r="A5" s="48" t="str">
        <f>'Members Data'!A5</f>
        <v>Andreah</v>
      </c>
      <c r="B5" s="43">
        <f t="shared" si="0"/>
        <v>8</v>
      </c>
      <c r="C5" s="49">
        <f>'wk1'!K13+'wk2'!K13+'wk3'!K13+'wk4'!K13+'wk5'!K13</f>
        <v>0</v>
      </c>
      <c r="D5" s="49">
        <f>'wk1'!I13+'wk2'!I13+'wk3'!I13+'wk4'!I13+'wk5'!I13</f>
        <v>7</v>
      </c>
      <c r="E5" s="49">
        <f>'wk1'!L13+'wk2'!L13+'wk3'!L13+'wk4'!L13+'wk5'!L13</f>
        <v>0</v>
      </c>
      <c r="F5" s="50">
        <f>'wk1'!J13+'wk2'!J13+'wk3'!J13+'wk4'!J13+'wk5'!J13</f>
        <v>1</v>
      </c>
      <c r="G5" s="51">
        <f>'wk1'!O13+'wk2'!O13+'wk3'!O13+'wk4'!O13+'wk5'!O13</f>
        <v>0</v>
      </c>
      <c r="H5" s="140"/>
      <c r="I5" s="137">
        <f t="shared" si="1"/>
        <v>7</v>
      </c>
      <c r="J5" s="133">
        <f t="shared" si="2"/>
        <v>1</v>
      </c>
      <c r="K5" s="47"/>
      <c r="L5" s="47"/>
    </row>
    <row r="6" spans="1:12" ht="15" customHeight="1">
      <c r="A6" s="48">
        <f>'Members Data'!A6</f>
        <v>0</v>
      </c>
      <c r="B6" s="43">
        <f t="shared" si="0"/>
        <v>0</v>
      </c>
      <c r="C6" s="49">
        <f>'wk1'!K14+'wk2'!K14+'wk3'!K14+'wk4'!K14+'wk5'!K14</f>
        <v>0</v>
      </c>
      <c r="D6" s="49">
        <f>'wk1'!I14+'wk2'!I14+'wk3'!I14+'wk4'!I14+'wk5'!I14</f>
        <v>0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0</v>
      </c>
      <c r="J6" s="133">
        <f t="shared" si="2"/>
        <v>0</v>
      </c>
      <c r="K6" s="47"/>
      <c r="L6" s="47"/>
    </row>
    <row r="7" spans="1:12" ht="15" customHeight="1">
      <c r="A7" s="48" t="str">
        <f>'Members Data'!A7</f>
        <v>Axium</v>
      </c>
      <c r="B7" s="43">
        <f t="shared" si="0"/>
        <v>11</v>
      </c>
      <c r="C7" s="49">
        <f>'wk1'!K15+'wk2'!K15+'wk3'!K15+'wk4'!K15+'wk5'!K15</f>
        <v>0</v>
      </c>
      <c r="D7" s="49">
        <f>'wk1'!I15+'wk2'!I15+'wk3'!I15+'wk4'!I15+'wk5'!I15</f>
        <v>11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11</v>
      </c>
      <c r="J7" s="133">
        <f t="shared" si="2"/>
        <v>0</v>
      </c>
      <c r="K7" s="47"/>
      <c r="L7" s="47"/>
    </row>
    <row r="8" spans="1:12" ht="15" customHeight="1">
      <c r="A8" s="48">
        <f>'Members Data'!A8</f>
        <v>0</v>
      </c>
      <c r="B8" s="43">
        <f t="shared" si="0"/>
        <v>0</v>
      </c>
      <c r="C8" s="49">
        <f>'wk1'!K16+'wk2'!K16+'wk3'!K16+'wk4'!K16+'wk5'!K16</f>
        <v>0</v>
      </c>
      <c r="D8" s="49">
        <f>'wk1'!I16+'wk2'!I16+'wk3'!I16+'wk4'!I16+'wk5'!I16</f>
        <v>0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0</v>
      </c>
      <c r="J8" s="133">
        <f t="shared" si="2"/>
        <v>0</v>
      </c>
      <c r="K8" s="47"/>
      <c r="L8" s="47"/>
    </row>
    <row r="9" spans="1:12" ht="15" customHeight="1">
      <c r="A9" s="48">
        <f>'Members Data'!A9</f>
        <v>0</v>
      </c>
      <c r="B9" s="43">
        <f t="shared" si="0"/>
        <v>0</v>
      </c>
      <c r="C9" s="49">
        <f>'wk1'!K17+'wk2'!K17+'wk3'!K17+'wk4'!K17+'wk5'!K17</f>
        <v>0</v>
      </c>
      <c r="D9" s="49">
        <f>'wk1'!I17+'wk2'!I17+'wk3'!I17+'wk4'!I17+'wk5'!I17</f>
        <v>0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0</v>
      </c>
      <c r="H9" s="140"/>
      <c r="I9" s="137">
        <f t="shared" si="1"/>
        <v>0</v>
      </c>
      <c r="J9" s="133">
        <f t="shared" si="2"/>
        <v>0</v>
      </c>
      <c r="K9" s="47"/>
      <c r="L9" s="47"/>
    </row>
    <row r="10" spans="1:12" ht="15" customHeight="1">
      <c r="A10" s="48" t="str">
        <f>'Members Data'!A10</f>
        <v>Craving</v>
      </c>
      <c r="B10" s="43">
        <f t="shared" si="0"/>
        <v>13</v>
      </c>
      <c r="C10" s="49">
        <f>'wk1'!K18+'wk2'!K18+'wk3'!K18+'wk4'!K18+'wk5'!K18</f>
        <v>0</v>
      </c>
      <c r="D10" s="49">
        <f>'wk1'!I18+'wk2'!I18+'wk3'!I18+'wk4'!I18+'wk5'!I18</f>
        <v>11</v>
      </c>
      <c r="E10" s="49">
        <f>'wk1'!L18+'wk2'!L18+'wk3'!L18+'wk4'!L18+'wk5'!L18</f>
        <v>0</v>
      </c>
      <c r="F10" s="50">
        <f>'wk1'!J18+'wk2'!J18+'wk3'!J18+'wk4'!J18+'wk5'!J18</f>
        <v>2</v>
      </c>
      <c r="G10" s="51">
        <f>'wk1'!O18+'wk2'!O18+'wk3'!O18+'wk4'!O18+'wk5'!O18</f>
        <v>0</v>
      </c>
      <c r="H10" s="140"/>
      <c r="I10" s="137">
        <f t="shared" si="1"/>
        <v>11</v>
      </c>
      <c r="J10" s="133">
        <f t="shared" si="2"/>
        <v>2</v>
      </c>
      <c r="K10" s="47"/>
      <c r="L10" s="47"/>
    </row>
    <row r="11" spans="1:12" ht="15" customHeight="1">
      <c r="A11" s="48" t="str">
        <f>'Members Data'!A11</f>
        <v>Darsid</v>
      </c>
      <c r="B11" s="43">
        <f t="shared" si="0"/>
        <v>9</v>
      </c>
      <c r="C11" s="49">
        <f>'wk1'!K19+'wk2'!K19+'wk3'!K19+'wk4'!K19+'wk5'!K19</f>
        <v>0</v>
      </c>
      <c r="D11" s="49">
        <f>'wk1'!I19+'wk2'!I19+'wk3'!I19+'wk4'!I19+'wk5'!I19</f>
        <v>7</v>
      </c>
      <c r="E11" s="49">
        <f>'wk1'!L19+'wk2'!L19+'wk3'!L19+'wk4'!L19+'wk5'!L19</f>
        <v>0</v>
      </c>
      <c r="F11" s="50">
        <f>'wk1'!J19+'wk2'!J19+'wk3'!J19+'wk4'!J19+'wk5'!J19</f>
        <v>2</v>
      </c>
      <c r="G11" s="51">
        <f>'wk1'!O19+'wk2'!O19+'wk3'!O19+'wk4'!O19+'wk5'!O19</f>
        <v>0</v>
      </c>
      <c r="H11" s="140"/>
      <c r="I11" s="137">
        <f t="shared" si="1"/>
        <v>7</v>
      </c>
      <c r="J11" s="133">
        <f t="shared" si="2"/>
        <v>2</v>
      </c>
      <c r="K11" s="47"/>
      <c r="L11" s="47"/>
    </row>
    <row r="12" spans="1:12" ht="15" customHeight="1">
      <c r="A12" s="48" t="str">
        <f>'Members Data'!A12</f>
        <v>Droodcaster</v>
      </c>
      <c r="B12" s="43">
        <f t="shared" si="0"/>
        <v>12</v>
      </c>
      <c r="C12" s="49">
        <f>'wk1'!K20+'wk2'!K20+'wk3'!K20+'wk4'!K20+'wk5'!K20</f>
        <v>0</v>
      </c>
      <c r="D12" s="49">
        <f>'wk1'!I20+'wk2'!I20+'wk3'!I20+'wk4'!I20+'wk5'!I20</f>
        <v>12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12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Gloríus</v>
      </c>
      <c r="B13" s="43">
        <f t="shared" si="0"/>
        <v>9</v>
      </c>
      <c r="C13" s="49">
        <f>'wk1'!K21+'wk2'!K21+'wk3'!K21+'wk4'!K21+'wk5'!K21</f>
        <v>0</v>
      </c>
      <c r="D13" s="49">
        <f>'wk1'!I21+'wk2'!I21+'wk3'!I21+'wk4'!I21+'wk5'!I21</f>
        <v>8</v>
      </c>
      <c r="E13" s="49">
        <f>'wk1'!L21+'wk2'!L21+'wk3'!L21+'wk4'!L21+'wk5'!L21</f>
        <v>0</v>
      </c>
      <c r="F13" s="50">
        <f>'wk1'!J21+'wk2'!J21+'wk3'!J21+'wk4'!J21+'wk5'!J21</f>
        <v>1</v>
      </c>
      <c r="G13" s="51">
        <f>'wk1'!O21+'wk2'!O21+'wk3'!O21+'wk4'!O21+'wk5'!O21</f>
        <v>0</v>
      </c>
      <c r="H13" s="140"/>
      <c r="I13" s="137">
        <f t="shared" si="1"/>
        <v>8</v>
      </c>
      <c r="J13" s="133">
        <f t="shared" si="2"/>
        <v>1</v>
      </c>
      <c r="K13" s="47"/>
      <c r="L13" s="47"/>
    </row>
    <row r="14" spans="1:12" ht="15" customHeight="1">
      <c r="A14" s="48" t="str">
        <f>'Members Data'!A14</f>
        <v>Halfhorns</v>
      </c>
      <c r="B14" s="43">
        <f t="shared" si="0"/>
        <v>8</v>
      </c>
      <c r="C14" s="49">
        <f>'wk1'!K22+'wk2'!K22+'wk3'!K22+'wk4'!K22+'wk5'!K22</f>
        <v>0</v>
      </c>
      <c r="D14" s="49">
        <f>'wk1'!I22+'wk2'!I22+'wk3'!I22+'wk4'!I22+'wk5'!I22</f>
        <v>7</v>
      </c>
      <c r="E14" s="49">
        <f>'wk1'!L22+'wk2'!L22+'wk3'!L22+'wk4'!L22+'wk5'!L22</f>
        <v>0</v>
      </c>
      <c r="F14" s="50">
        <f>'wk1'!J22+'wk2'!J22+'wk3'!J22+'wk4'!J22+'wk5'!J22</f>
        <v>1</v>
      </c>
      <c r="G14" s="51">
        <f>'wk1'!O22+'wk2'!O22+'wk3'!O22+'wk4'!O22+'wk5'!O22</f>
        <v>0</v>
      </c>
      <c r="H14" s="140"/>
      <c r="I14" s="137">
        <f t="shared" si="1"/>
        <v>7</v>
      </c>
      <c r="J14" s="133">
        <f t="shared" si="2"/>
        <v>1</v>
      </c>
      <c r="K14" s="47"/>
      <c r="L14" s="47"/>
    </row>
    <row r="15" spans="1:12" ht="15" customHeight="1">
      <c r="A15" s="48">
        <f>'Members Data'!A15</f>
        <v>0</v>
      </c>
      <c r="B15" s="43">
        <f t="shared" si="0"/>
        <v>0</v>
      </c>
      <c r="C15" s="49">
        <f>'wk1'!K23+'wk2'!K23+'wk3'!K23+'wk4'!K23+'wk5'!K23</f>
        <v>0</v>
      </c>
      <c r="D15" s="49">
        <f>'wk1'!I23+'wk2'!I23+'wk3'!I23+'wk4'!I23+'wk5'!I23</f>
        <v>0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0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Incharge</v>
      </c>
      <c r="B16" s="43">
        <f t="shared" si="0"/>
        <v>9</v>
      </c>
      <c r="C16" s="49">
        <f>'wk1'!K24+'wk2'!K24+'wk3'!K24+'wk4'!K24+'wk5'!K24</f>
        <v>0</v>
      </c>
      <c r="D16" s="49">
        <f>'wk1'!I24+'wk2'!I24+'wk3'!I24+'wk4'!I24+'wk5'!I24</f>
        <v>8</v>
      </c>
      <c r="E16" s="49">
        <f>'wk1'!L24+'wk2'!L24+'wk3'!L24+'wk4'!L24+'wk5'!L24</f>
        <v>0</v>
      </c>
      <c r="F16" s="50">
        <f>'wk1'!J24+'wk2'!J24+'wk3'!J24+'wk4'!J24+'wk5'!J24</f>
        <v>1</v>
      </c>
      <c r="G16" s="51">
        <f>'wk1'!O24+'wk2'!O24+'wk3'!O24+'wk4'!O24+'wk5'!O24</f>
        <v>0</v>
      </c>
      <c r="H16" s="140"/>
      <c r="I16" s="137">
        <f t="shared" si="1"/>
        <v>8</v>
      </c>
      <c r="J16" s="133">
        <f t="shared" si="2"/>
        <v>1</v>
      </c>
      <c r="K16" s="47"/>
      <c r="L16" s="47"/>
    </row>
    <row r="17" spans="1:12" ht="15" customHeight="1">
      <c r="A17" s="48" t="str">
        <f>'Members Data'!A17</f>
        <v>Izzabelle</v>
      </c>
      <c r="B17" s="43">
        <f t="shared" si="0"/>
        <v>5</v>
      </c>
      <c r="C17" s="49">
        <f>'wk1'!K25+'wk2'!K25+'wk3'!K25+'wk4'!K25+'wk5'!K25</f>
        <v>0</v>
      </c>
      <c r="D17" s="49">
        <f>'wk1'!I25+'wk2'!I25+'wk3'!I25+'wk4'!I25+'wk5'!I25</f>
        <v>5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5</v>
      </c>
      <c r="J17" s="133">
        <f t="shared" si="2"/>
        <v>0</v>
      </c>
      <c r="K17" s="47"/>
      <c r="L17" s="47"/>
    </row>
    <row r="18" spans="1:12" ht="15" customHeight="1">
      <c r="A18" s="48">
        <f>'Members Data'!A18</f>
        <v>0</v>
      </c>
      <c r="B18" s="43">
        <f t="shared" si="0"/>
        <v>0</v>
      </c>
      <c r="C18" s="49">
        <f>'wk1'!K26+'wk2'!K26+'wk3'!K26+'wk4'!K26+'wk5'!K26</f>
        <v>0</v>
      </c>
      <c r="D18" s="49">
        <f>'wk1'!I26+'wk2'!I26+'wk3'!I26+'wk4'!I26+'wk5'!I26</f>
        <v>0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0</v>
      </c>
      <c r="J18" s="133">
        <f t="shared" si="2"/>
        <v>0</v>
      </c>
      <c r="K18" s="47"/>
      <c r="L18" s="47"/>
    </row>
    <row r="19" spans="1:12" ht="15" customHeight="1">
      <c r="A19" s="48">
        <f>'Members Data'!A19</f>
        <v>0</v>
      </c>
      <c r="B19" s="43">
        <f t="shared" si="0"/>
        <v>0</v>
      </c>
      <c r="C19" s="49">
        <f>'wk1'!K27+'wk2'!K27+'wk3'!K27+'wk4'!K27+'wk5'!K27</f>
        <v>0</v>
      </c>
      <c r="D19" s="49">
        <f>'wk1'!I27+'wk2'!I27+'wk3'!I27+'wk4'!I27+'wk5'!I27</f>
        <v>0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0</v>
      </c>
      <c r="J19" s="133">
        <f t="shared" si="2"/>
        <v>0</v>
      </c>
      <c r="K19" s="47"/>
      <c r="L19" s="47"/>
    </row>
    <row r="20" spans="1:12" ht="15" customHeight="1">
      <c r="A20" s="48" t="str">
        <f>'Members Data'!A20</f>
        <v>Lychi</v>
      </c>
      <c r="B20" s="43">
        <f t="shared" si="0"/>
        <v>10</v>
      </c>
      <c r="C20" s="49">
        <f>'wk1'!K28+'wk2'!K28+'wk3'!K28+'wk4'!K28+'wk5'!K28</f>
        <v>0</v>
      </c>
      <c r="D20" s="49">
        <f>'wk1'!I28+'wk2'!I28+'wk3'!I28+'wk4'!I28+'wk5'!I28</f>
        <v>8</v>
      </c>
      <c r="E20" s="49">
        <f>'wk1'!L28+'wk2'!L28+'wk3'!L28+'wk4'!L28+'wk5'!L28</f>
        <v>0</v>
      </c>
      <c r="F20" s="50">
        <f>'wk1'!J28+'wk2'!J28+'wk3'!J28+'wk4'!J28+'wk5'!J28</f>
        <v>2</v>
      </c>
      <c r="G20" s="51">
        <f>'wk1'!O28+'wk2'!O28+'wk3'!O28+'wk4'!O28+'wk5'!O28</f>
        <v>0</v>
      </c>
      <c r="H20" s="140"/>
      <c r="I20" s="137">
        <f t="shared" si="1"/>
        <v>8</v>
      </c>
      <c r="J20" s="133">
        <f t="shared" si="2"/>
        <v>2</v>
      </c>
      <c r="K20" s="47"/>
      <c r="L20" s="47"/>
    </row>
    <row r="21" spans="1:12" ht="15" customHeight="1">
      <c r="A21" s="48" t="str">
        <f>'Members Data'!A21</f>
        <v>Meltface</v>
      </c>
      <c r="B21" s="43">
        <f t="shared" si="0"/>
        <v>10</v>
      </c>
      <c r="C21" s="49">
        <f>'wk1'!K29+'wk2'!K29+'wk3'!K29+'wk4'!K29+'wk5'!K29</f>
        <v>0</v>
      </c>
      <c r="D21" s="49">
        <f>'wk1'!I29+'wk2'!I29+'wk3'!I29+'wk4'!I29+'wk5'!I29</f>
        <v>10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10</v>
      </c>
      <c r="J21" s="133">
        <f t="shared" si="2"/>
        <v>0</v>
      </c>
      <c r="K21" s="47"/>
      <c r="L21" s="47"/>
    </row>
    <row r="22" spans="1:12" ht="15" customHeight="1">
      <c r="A22" s="48">
        <f>'Members Data'!A22</f>
        <v>0</v>
      </c>
      <c r="B22" s="43">
        <f t="shared" si="0"/>
        <v>0</v>
      </c>
      <c r="C22" s="49">
        <f>'wk1'!K30+'wk2'!K30+'wk3'!K30+'wk4'!K30+'wk5'!K30</f>
        <v>0</v>
      </c>
      <c r="D22" s="49">
        <f>'wk1'!I30+'wk2'!I30+'wk3'!I30+'wk4'!I30+'wk5'!I30</f>
        <v>0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0</v>
      </c>
      <c r="J22" s="133">
        <f t="shared" si="2"/>
        <v>0</v>
      </c>
      <c r="K22" s="47"/>
      <c r="L22" s="47"/>
    </row>
    <row r="23" spans="1:12" ht="15" customHeight="1">
      <c r="A23" s="48" t="str">
        <f>'Members Data'!A23</f>
        <v>Mortali</v>
      </c>
      <c r="B23" s="43">
        <f t="shared" si="0"/>
        <v>10</v>
      </c>
      <c r="C23" s="49">
        <f>'wk1'!K31+'wk2'!K31+'wk3'!K31+'wk4'!K31+'wk5'!K31</f>
        <v>0</v>
      </c>
      <c r="D23" s="49">
        <f>'wk1'!I31+'wk2'!I31+'wk3'!I31+'wk4'!I31+'wk5'!I31</f>
        <v>10</v>
      </c>
      <c r="E23" s="49">
        <f>'wk1'!L31+'wk2'!L31+'wk3'!L31+'wk4'!L31+'wk5'!L31</f>
        <v>0</v>
      </c>
      <c r="F23" s="50">
        <f>'wk1'!J31+'wk2'!J31+'wk3'!J31+'wk4'!J31+'wk5'!J31</f>
        <v>0</v>
      </c>
      <c r="G23" s="51">
        <f>'wk1'!O31+'wk2'!O31+'wk3'!O31+'wk4'!O31+'wk5'!O31</f>
        <v>0</v>
      </c>
      <c r="H23" s="140"/>
      <c r="I23" s="137">
        <f t="shared" si="1"/>
        <v>10</v>
      </c>
      <c r="J23" s="133">
        <f t="shared" si="2"/>
        <v>0</v>
      </c>
      <c r="K23" s="47"/>
      <c r="L23" s="47"/>
    </row>
    <row r="24" spans="1:12" ht="15" customHeight="1">
      <c r="A24" s="48" t="str">
        <f>'Members Data'!A24</f>
        <v>Muckyfloor</v>
      </c>
      <c r="B24" s="43">
        <f t="shared" si="0"/>
        <v>12</v>
      </c>
      <c r="C24" s="49">
        <f>'wk1'!K32+'wk2'!K32+'wk3'!K32+'wk4'!K32+'wk5'!K32</f>
        <v>0</v>
      </c>
      <c r="D24" s="49">
        <f>'wk1'!I32+'wk2'!I32+'wk3'!I32+'wk4'!I32+'wk5'!I32</f>
        <v>11</v>
      </c>
      <c r="E24" s="49">
        <f>'wk1'!L32+'wk2'!L32+'wk3'!L32+'wk4'!L32+'wk5'!L32</f>
        <v>0</v>
      </c>
      <c r="F24" s="50">
        <f>'wk1'!J32+'wk2'!J32+'wk3'!J32+'wk4'!J32+'wk5'!J32</f>
        <v>1</v>
      </c>
      <c r="G24" s="51">
        <f>'wk1'!O32+'wk2'!O32+'wk3'!O32+'wk4'!O32+'wk5'!O32</f>
        <v>0</v>
      </c>
      <c r="H24" s="140"/>
      <c r="I24" s="137">
        <f t="shared" si="1"/>
        <v>11</v>
      </c>
      <c r="J24" s="133">
        <f t="shared" si="2"/>
        <v>1</v>
      </c>
      <c r="K24" s="47"/>
      <c r="L24" s="47"/>
    </row>
    <row r="25" spans="1:12" ht="15" customHeight="1">
      <c r="A25" s="48" t="str">
        <f>'Members Data'!A25</f>
        <v>Müfti</v>
      </c>
      <c r="B25" s="43">
        <f t="shared" si="0"/>
        <v>13</v>
      </c>
      <c r="C25" s="49">
        <f>'wk1'!K33+'wk2'!K33+'wk3'!K33+'wk4'!K33+'wk5'!K33</f>
        <v>0</v>
      </c>
      <c r="D25" s="49">
        <f>'wk1'!I33+'wk2'!I33+'wk3'!I33+'wk4'!I33+'wk5'!I33</f>
        <v>12</v>
      </c>
      <c r="E25" s="49">
        <f>'wk1'!L33+'wk2'!L33+'wk3'!L33+'wk4'!L33+'wk5'!L33</f>
        <v>0</v>
      </c>
      <c r="F25" s="50">
        <f>'wk1'!J33+'wk2'!J33+'wk3'!J33+'wk4'!J33+'wk5'!J33</f>
        <v>1</v>
      </c>
      <c r="G25" s="51">
        <f>'wk1'!O33+'wk2'!O33+'wk3'!O33+'wk4'!O33+'wk5'!O33</f>
        <v>0</v>
      </c>
      <c r="H25" s="140"/>
      <c r="I25" s="137">
        <f t="shared" si="1"/>
        <v>12</v>
      </c>
      <c r="J25" s="133">
        <f t="shared" si="2"/>
        <v>1</v>
      </c>
      <c r="K25" s="47"/>
      <c r="L25" s="47"/>
    </row>
    <row r="26" spans="1:12" ht="15" customHeight="1">
      <c r="A26" s="48" t="str">
        <f>'Members Data'!A26</f>
        <v>Niiwa</v>
      </c>
      <c r="B26" s="43">
        <f t="shared" si="0"/>
        <v>12</v>
      </c>
      <c r="C26" s="49">
        <f>'wk1'!K34+'wk2'!K34+'wk3'!K34+'wk4'!K34+'wk5'!K34</f>
        <v>0</v>
      </c>
      <c r="D26" s="49">
        <f>'wk1'!I34+'wk2'!I34+'wk3'!I34+'wk4'!I34+'wk5'!I34</f>
        <v>10</v>
      </c>
      <c r="E26" s="49">
        <f>'wk1'!L34+'wk2'!L34+'wk3'!L34+'wk4'!L34+'wk5'!L34</f>
        <v>0</v>
      </c>
      <c r="F26" s="50">
        <f>'wk1'!J34+'wk2'!J34+'wk3'!J34+'wk4'!J34+'wk5'!J34</f>
        <v>2</v>
      </c>
      <c r="G26" s="51">
        <f>'wk1'!O34+'wk2'!O34+'wk3'!O34+'wk4'!O34+'wk5'!O34</f>
        <v>0</v>
      </c>
      <c r="H26" s="140"/>
      <c r="I26" s="137">
        <f t="shared" si="1"/>
        <v>10</v>
      </c>
      <c r="J26" s="133">
        <f t="shared" si="2"/>
        <v>2</v>
      </c>
      <c r="K26" s="47"/>
      <c r="L26" s="47"/>
    </row>
    <row r="27" spans="1:12" ht="15" customHeight="1">
      <c r="A27" s="48" t="str">
        <f>'Members Data'!A27</f>
        <v>Niklaus</v>
      </c>
      <c r="B27" s="43">
        <f t="shared" si="0"/>
        <v>13</v>
      </c>
      <c r="C27" s="49">
        <f>'wk1'!K35+'wk2'!K35+'wk3'!K35+'wk4'!K35+'wk5'!K35</f>
        <v>0</v>
      </c>
      <c r="D27" s="49">
        <f>'wk1'!I35+'wk2'!I35+'wk3'!I35+'wk4'!I35+'wk5'!I35</f>
        <v>13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13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Onemanforest</v>
      </c>
      <c r="B28" s="43">
        <f t="shared" si="0"/>
        <v>13</v>
      </c>
      <c r="C28" s="49">
        <f>'wk1'!K36+'wk2'!K36+'wk3'!K36+'wk4'!K36+'wk5'!K36</f>
        <v>0</v>
      </c>
      <c r="D28" s="49">
        <f>'wk1'!I36+'wk2'!I36+'wk3'!I36+'wk4'!I36+'wk5'!I36</f>
        <v>11</v>
      </c>
      <c r="E28" s="49">
        <f>'wk1'!L36+'wk2'!L36+'wk3'!L36+'wk4'!L36+'wk5'!L36</f>
        <v>0</v>
      </c>
      <c r="F28" s="50">
        <f>'wk1'!J36+'wk2'!J36+'wk3'!J36+'wk4'!J36+'wk5'!J36</f>
        <v>2</v>
      </c>
      <c r="G28" s="51">
        <f>'wk1'!O36+'wk2'!O36+'wk3'!O36+'wk4'!O36+'wk5'!O36</f>
        <v>0</v>
      </c>
      <c r="H28" s="140"/>
      <c r="I28" s="137">
        <f t="shared" si="1"/>
        <v>11</v>
      </c>
      <c r="J28" s="133">
        <f t="shared" si="2"/>
        <v>2</v>
      </c>
      <c r="K28" s="47"/>
      <c r="L28" s="47"/>
    </row>
    <row r="29" spans="1:12" ht="15" customHeight="1">
      <c r="A29" s="48" t="str">
        <f>'Members Data'!A29</f>
        <v>Rcane</v>
      </c>
      <c r="B29" s="43">
        <f t="shared" si="0"/>
        <v>10</v>
      </c>
      <c r="C29" s="49">
        <f>'wk1'!K37+'wk2'!K37+'wk3'!K37+'wk4'!K37+'wk5'!K37</f>
        <v>0</v>
      </c>
      <c r="D29" s="49">
        <f>'wk1'!I37+'wk2'!I37+'wk3'!I37+'wk4'!I37+'wk5'!I37</f>
        <v>10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1</v>
      </c>
      <c r="H29" s="140"/>
      <c r="I29" s="137">
        <f t="shared" si="1"/>
        <v>10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Revlash</v>
      </c>
      <c r="B30" s="43">
        <f t="shared" si="0"/>
        <v>10</v>
      </c>
      <c r="C30" s="49">
        <f>'wk1'!K38+'wk2'!K38+'wk3'!K38+'wk4'!K38+'wk5'!K38</f>
        <v>0</v>
      </c>
      <c r="D30" s="49">
        <f>'wk1'!I38+'wk2'!I38+'wk3'!I38+'wk4'!I38+'wk5'!I38</f>
        <v>8</v>
      </c>
      <c r="E30" s="49">
        <f>'wk1'!L38+'wk2'!L38+'wk3'!L38+'wk4'!L38+'wk5'!L38</f>
        <v>0</v>
      </c>
      <c r="F30" s="50">
        <f>'wk1'!J38+'wk2'!J38+'wk3'!J38+'wk4'!J38+'wk5'!J38</f>
        <v>2</v>
      </c>
      <c r="G30" s="51">
        <f>'wk1'!O38+'wk2'!O38+'wk3'!O38+'wk4'!O38+'wk5'!O38</f>
        <v>2</v>
      </c>
      <c r="H30" s="140"/>
      <c r="I30" s="137">
        <f t="shared" si="1"/>
        <v>8</v>
      </c>
      <c r="J30" s="133">
        <f t="shared" si="2"/>
        <v>2</v>
      </c>
      <c r="K30" s="47"/>
      <c r="L30" s="47"/>
    </row>
    <row r="31" spans="1:12" ht="15" customHeight="1">
      <c r="A31" s="48" t="str">
        <f>'Members Data'!A31</f>
        <v>Seraphÿm</v>
      </c>
      <c r="B31" s="43">
        <f t="shared" si="0"/>
        <v>12</v>
      </c>
      <c r="C31" s="49">
        <f>'wk1'!K39+'wk2'!K39+'wk3'!K39+'wk4'!K39+'wk5'!K39</f>
        <v>0</v>
      </c>
      <c r="D31" s="49">
        <f>'wk1'!I39+'wk2'!I39+'wk3'!I39+'wk4'!I39+'wk5'!I39</f>
        <v>11</v>
      </c>
      <c r="E31" s="49">
        <f>'wk1'!L39+'wk2'!L39+'wk3'!L39+'wk4'!L39+'wk5'!L39</f>
        <v>0</v>
      </c>
      <c r="F31" s="50">
        <f>'wk1'!J39+'wk2'!J39+'wk3'!J39+'wk4'!J39+'wk5'!J39</f>
        <v>1</v>
      </c>
      <c r="G31" s="51">
        <f>'wk1'!O39+'wk2'!O39+'wk3'!O39+'wk4'!O39+'wk5'!O39</f>
        <v>0</v>
      </c>
      <c r="H31" s="140"/>
      <c r="I31" s="137">
        <f t="shared" si="1"/>
        <v>11</v>
      </c>
      <c r="J31" s="133">
        <f t="shared" si="2"/>
        <v>1</v>
      </c>
      <c r="K31" s="47"/>
      <c r="L31" s="47"/>
    </row>
    <row r="32" spans="1:12" ht="15" customHeight="1">
      <c r="A32" s="48" t="str">
        <f>'Members Data'!A32</f>
        <v>Shinkai</v>
      </c>
      <c r="B32" s="43">
        <f t="shared" si="0"/>
        <v>4</v>
      </c>
      <c r="C32" s="49">
        <f>'wk1'!K40+'wk2'!K40+'wk3'!K40+'wk4'!K40+'wk5'!K40</f>
        <v>0</v>
      </c>
      <c r="D32" s="49">
        <f>'wk1'!I40+'wk2'!I40+'wk3'!I40+'wk4'!I40+'wk5'!I40</f>
        <v>4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4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Spudsux</v>
      </c>
      <c r="B33" s="43">
        <f t="shared" si="0"/>
        <v>9</v>
      </c>
      <c r="C33" s="49">
        <f>'wk1'!K41+'wk2'!K41+'wk3'!K41+'wk4'!K41+'wk5'!K41</f>
        <v>0</v>
      </c>
      <c r="D33" s="49">
        <f>'wk1'!I41+'wk2'!I41+'wk3'!I41+'wk4'!I41+'wk5'!I41</f>
        <v>8</v>
      </c>
      <c r="E33" s="49">
        <f>'wk1'!L41+'wk2'!L41+'wk3'!L41+'wk4'!L41+'wk5'!L41</f>
        <v>0</v>
      </c>
      <c r="F33" s="50">
        <f>'wk1'!J41+'wk2'!J41+'wk3'!J41+'wk4'!J41+'wk5'!J41</f>
        <v>1</v>
      </c>
      <c r="G33" s="51">
        <f>'wk1'!O41+'wk2'!O41+'wk3'!O41+'wk4'!O41+'wk5'!O41</f>
        <v>0</v>
      </c>
      <c r="H33" s="140"/>
      <c r="I33" s="137">
        <f t="shared" si="1"/>
        <v>8</v>
      </c>
      <c r="J33" s="133">
        <f t="shared" si="2"/>
        <v>1</v>
      </c>
      <c r="K33" s="47"/>
      <c r="L33" s="47"/>
    </row>
    <row r="34" spans="1:12" ht="15" customHeight="1">
      <c r="A34" s="48" t="str">
        <f>'Members Data'!A34</f>
        <v>Szion</v>
      </c>
      <c r="B34" s="43">
        <f t="shared" ref="B34:B65" si="3">SUM(C34:F34)</f>
        <v>9</v>
      </c>
      <c r="C34" s="49">
        <f>'wk1'!K42+'wk2'!K42+'wk3'!K42+'wk4'!K42+'wk5'!K42</f>
        <v>0</v>
      </c>
      <c r="D34" s="49">
        <f>'wk1'!I42+'wk2'!I42+'wk3'!I42+'wk4'!I42+'wk5'!I42</f>
        <v>8</v>
      </c>
      <c r="E34" s="49">
        <f>'wk1'!L42+'wk2'!L42+'wk3'!L42+'wk4'!L42+'wk5'!L42</f>
        <v>0</v>
      </c>
      <c r="F34" s="50">
        <f>'wk1'!J42+'wk2'!J42+'wk3'!J42+'wk4'!J42+'wk5'!J42</f>
        <v>1</v>
      </c>
      <c r="G34" s="51">
        <f>'wk1'!O42+'wk2'!O42+'wk3'!O42+'wk4'!O42+'wk5'!O42</f>
        <v>1</v>
      </c>
      <c r="H34" s="140"/>
      <c r="I34" s="137">
        <f t="shared" si="1"/>
        <v>8</v>
      </c>
      <c r="J34" s="133">
        <f t="shared" si="2"/>
        <v>1</v>
      </c>
      <c r="K34" s="47"/>
      <c r="L34" s="47"/>
    </row>
    <row r="35" spans="1:12" ht="15" customHeight="1">
      <c r="A35" s="48" t="str">
        <f>'Members Data'!A35</f>
        <v>Torwen</v>
      </c>
      <c r="B35" s="43">
        <f t="shared" si="3"/>
        <v>10</v>
      </c>
      <c r="C35" s="49">
        <f>'wk1'!K43+'wk2'!K43+'wk3'!K43+'wk4'!K43+'wk5'!K43</f>
        <v>0</v>
      </c>
      <c r="D35" s="49">
        <f>'wk1'!I43+'wk2'!I43+'wk3'!I43+'wk4'!I43+'wk5'!I43</f>
        <v>8</v>
      </c>
      <c r="E35" s="49">
        <f>'wk1'!L43+'wk2'!L43+'wk3'!L43+'wk4'!L43+'wk5'!L43</f>
        <v>0</v>
      </c>
      <c r="F35" s="50">
        <f>'wk1'!J43+'wk2'!J43+'wk3'!J43+'wk4'!J43+'wk5'!J43</f>
        <v>2</v>
      </c>
      <c r="G35" s="51">
        <f>'wk1'!O43+'wk2'!O43+'wk3'!O43+'wk4'!O43+'wk5'!O43</f>
        <v>0</v>
      </c>
      <c r="H35" s="140"/>
      <c r="I35" s="137">
        <f t="shared" si="1"/>
        <v>8</v>
      </c>
      <c r="J35" s="133">
        <f t="shared" si="2"/>
        <v>2</v>
      </c>
      <c r="K35" s="47"/>
      <c r="L35" s="47"/>
    </row>
    <row r="36" spans="1:12" ht="15" customHeight="1">
      <c r="A36" s="48" t="str">
        <f>'Members Data'!A36</f>
        <v>Vakama</v>
      </c>
      <c r="B36" s="43">
        <f t="shared" si="3"/>
        <v>12</v>
      </c>
      <c r="C36" s="49">
        <f>'wk1'!K44+'wk2'!K44+'wk3'!K44+'wk4'!K44+'wk5'!K44</f>
        <v>0</v>
      </c>
      <c r="D36" s="49">
        <f>'wk1'!I44+'wk2'!I44+'wk3'!I44+'wk4'!I44+'wk5'!I44</f>
        <v>12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12</v>
      </c>
      <c r="J36" s="133">
        <f t="shared" si="2"/>
        <v>0</v>
      </c>
      <c r="K36" s="47"/>
      <c r="L36" s="47"/>
    </row>
    <row r="37" spans="1:12" ht="15" customHeight="1">
      <c r="A37" s="48" t="str">
        <f>'Members Data'!A37</f>
        <v>Warriorxz</v>
      </c>
      <c r="B37" s="43">
        <f t="shared" si="3"/>
        <v>8</v>
      </c>
      <c r="C37" s="49">
        <f>'wk1'!K45+'wk2'!K45+'wk3'!K45+'wk4'!K45+'wk5'!K45</f>
        <v>0</v>
      </c>
      <c r="D37" s="49">
        <f>'wk1'!I45+'wk2'!I45+'wk3'!I45+'wk4'!I45+'wk5'!I45</f>
        <v>6</v>
      </c>
      <c r="E37" s="49">
        <f>'wk1'!L45+'wk2'!L45+'wk3'!L45+'wk4'!L45+'wk5'!L45</f>
        <v>0</v>
      </c>
      <c r="F37" s="50">
        <f>'wk1'!J45+'wk2'!J45+'wk3'!J45+'wk4'!J45+'wk5'!J45</f>
        <v>2</v>
      </c>
      <c r="G37" s="51">
        <f>'wk1'!O45+'wk2'!O45+'wk3'!O45+'wk4'!O45+'wk5'!O45</f>
        <v>0</v>
      </c>
      <c r="H37" s="140"/>
      <c r="I37" s="137">
        <f t="shared" si="1"/>
        <v>6</v>
      </c>
      <c r="J37" s="133">
        <f t="shared" si="2"/>
        <v>2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 t="str">
        <f>'Members Data'!A39</f>
        <v>Wainesha</v>
      </c>
      <c r="B39" s="43">
        <f t="shared" si="3"/>
        <v>12</v>
      </c>
      <c r="C39" s="49">
        <f>'wk1'!K47+'wk2'!K47+'wk3'!K47+'wk4'!K47+'wk5'!K47</f>
        <v>0</v>
      </c>
      <c r="D39" s="49">
        <f>'wk1'!I47+'wk2'!I47+'wk3'!I47+'wk4'!I47+'wk5'!I47</f>
        <v>11</v>
      </c>
      <c r="E39" s="49">
        <f>'wk1'!L47+'wk2'!L47+'wk3'!L47+'wk4'!L47+'wk5'!L47</f>
        <v>0</v>
      </c>
      <c r="F39" s="50">
        <f>'wk1'!J47+'wk2'!J47+'wk3'!J47+'wk4'!J47+'wk5'!J47</f>
        <v>1</v>
      </c>
      <c r="G39" s="51">
        <f>'wk1'!O47+'wk2'!O47+'wk3'!O47+'wk4'!O47+'wk5'!O47</f>
        <v>0</v>
      </c>
      <c r="H39" s="140"/>
      <c r="I39" s="137">
        <f t="shared" si="1"/>
        <v>11</v>
      </c>
      <c r="J39" s="133">
        <f t="shared" si="2"/>
        <v>1</v>
      </c>
      <c r="K39" s="47"/>
      <c r="L39" s="47"/>
    </row>
    <row r="40" spans="1:12" ht="15" customHeight="1">
      <c r="A40" s="48" t="str">
        <f>'Members Data'!A40</f>
        <v>Birdeeh</v>
      </c>
      <c r="B40" s="43">
        <f t="shared" si="3"/>
        <v>11</v>
      </c>
      <c r="C40" s="49">
        <f>'wk1'!K48+'wk2'!K48+'wk3'!K48+'wk4'!K48+'wk5'!K48</f>
        <v>0</v>
      </c>
      <c r="D40" s="49">
        <f>'wk1'!I48+'wk2'!I48+'wk3'!I48+'wk4'!I48+'wk5'!I48</f>
        <v>11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11</v>
      </c>
      <c r="J40" s="133">
        <f t="shared" si="2"/>
        <v>0</v>
      </c>
      <c r="K40" s="47"/>
      <c r="L40" s="47"/>
    </row>
    <row r="41" spans="1:12" ht="15" customHeight="1">
      <c r="A41" s="48" t="str">
        <f>'Members Data'!A41</f>
        <v>Bishamonten</v>
      </c>
      <c r="B41" s="43">
        <f t="shared" si="3"/>
        <v>9</v>
      </c>
      <c r="C41" s="49">
        <f>'wk1'!K49+'wk2'!K49+'wk3'!K49+'wk4'!K49+'wk5'!K49</f>
        <v>0</v>
      </c>
      <c r="D41" s="49">
        <f>'wk1'!I49+'wk2'!I49+'wk3'!I49+'wk4'!I49+'wk5'!I49</f>
        <v>9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9</v>
      </c>
      <c r="J41" s="133">
        <f t="shared" si="2"/>
        <v>0</v>
      </c>
      <c r="K41" s="47"/>
      <c r="L41" s="47"/>
    </row>
    <row r="42" spans="1:12" ht="15" customHeight="1">
      <c r="A42" s="48" t="str">
        <f>'Members Data'!A42</f>
        <v xml:space="preserve"> Sensés</v>
      </c>
      <c r="B42" s="43">
        <f t="shared" si="3"/>
        <v>11</v>
      </c>
      <c r="C42" s="49">
        <f>'wk1'!K50+'wk2'!K50+'wk3'!K50+'wk4'!K50+'wk5'!K50</f>
        <v>0</v>
      </c>
      <c r="D42" s="49">
        <f>'wk1'!I50+'wk2'!I50+'wk3'!I50+'wk4'!I50+'wk5'!I50</f>
        <v>11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11</v>
      </c>
      <c r="J42" s="133">
        <f t="shared" si="2"/>
        <v>0</v>
      </c>
      <c r="K42" s="47"/>
      <c r="L42" s="47"/>
    </row>
    <row r="43" spans="1:12" ht="15" customHeight="1">
      <c r="A43" s="48" t="str">
        <f>'Members Data'!A43</f>
        <v>Zerika</v>
      </c>
      <c r="B43" s="43">
        <f t="shared" si="3"/>
        <v>8</v>
      </c>
      <c r="C43" s="49">
        <f>'wk1'!K51+'wk2'!K51+'wk3'!K51+'wk4'!K51+'wk5'!K51</f>
        <v>0</v>
      </c>
      <c r="D43" s="49">
        <f>'wk1'!I51+'wk2'!I51+'wk3'!I51+'wk4'!I51+'wk5'!I51</f>
        <v>8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8</v>
      </c>
      <c r="J43" s="133">
        <f t="shared" si="2"/>
        <v>0</v>
      </c>
      <c r="K43" s="47"/>
      <c r="L43" s="47"/>
    </row>
    <row r="44" spans="1:12" ht="15" customHeight="1">
      <c r="A44" s="48" t="str">
        <f>'Members Data'!A44</f>
        <v>Atlanthia</v>
      </c>
      <c r="B44" s="43">
        <f t="shared" si="3"/>
        <v>7</v>
      </c>
      <c r="C44" s="49">
        <f>'wk1'!K52+'wk2'!K52+'wk3'!K52+'wk4'!K52+'wk5'!K52</f>
        <v>0</v>
      </c>
      <c r="D44" s="49">
        <f>'wk1'!I52+'wk2'!I52+'wk3'!I52+'wk4'!I52+'wk5'!I52</f>
        <v>7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7</v>
      </c>
      <c r="J44" s="133">
        <f t="shared" si="2"/>
        <v>0</v>
      </c>
      <c r="K44" s="47"/>
      <c r="L44" s="47"/>
    </row>
    <row r="45" spans="1:12" ht="15" customHeight="1">
      <c r="A45" s="48" t="str">
        <f>'Members Data'!A45</f>
        <v>Shalist</v>
      </c>
      <c r="B45" s="43">
        <f t="shared" si="3"/>
        <v>7</v>
      </c>
      <c r="C45" s="49">
        <f>'wk1'!K53+'wk2'!K53+'wk3'!K53+'wk4'!K53+'wk5'!K53</f>
        <v>0</v>
      </c>
      <c r="D45" s="49">
        <f>'wk1'!I53+'wk2'!I53+'wk3'!I53+'wk4'!I53+'wk5'!I53</f>
        <v>5</v>
      </c>
      <c r="E45" s="49">
        <f>'wk1'!L53+'wk2'!L53+'wk3'!L53+'wk4'!L53+'wk5'!L53</f>
        <v>0</v>
      </c>
      <c r="F45" s="50">
        <f>'wk1'!J53+'wk2'!J53+'wk3'!J53+'wk4'!J53+'wk5'!J53</f>
        <v>2</v>
      </c>
      <c r="G45" s="51">
        <f>'wk1'!O53+'wk2'!O53+'wk3'!O53+'wk4'!O53+'wk5'!O53</f>
        <v>0</v>
      </c>
      <c r="H45" s="140"/>
      <c r="I45" s="137">
        <f t="shared" si="1"/>
        <v>5</v>
      </c>
      <c r="J45" s="133">
        <f t="shared" si="2"/>
        <v>2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Greenhazee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Megamind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Punyelf</v>
      </c>
      <c r="B64" s="43">
        <f t="shared" si="3"/>
        <v>1</v>
      </c>
      <c r="C64" s="49">
        <f>'wk1'!K72+'wk2'!K72+'wk3'!K72+'wk4'!K72+'wk5'!K72</f>
        <v>0</v>
      </c>
      <c r="D64" s="49">
        <f>'wk1'!I72+'wk2'!I72+'wk3'!I72+'wk4'!I72+'wk5'!I72</f>
        <v>1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1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Eviwon</v>
      </c>
      <c r="B65" s="43">
        <f t="shared" si="3"/>
        <v>1</v>
      </c>
      <c r="C65" s="49">
        <f>'wk1'!K73+'wk2'!K73+'wk3'!K73+'wk4'!K73+'wk5'!K73</f>
        <v>0</v>
      </c>
      <c r="D65" s="49">
        <f>'wk1'!I73+'wk2'!I73+'wk3'!I73+'wk4'!I73+'wk5'!I73</f>
        <v>1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1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Nixyin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Hyperïon</v>
      </c>
      <c r="B67" s="43">
        <f>SUM(C67:F67)</f>
        <v>1</v>
      </c>
      <c r="C67" s="49">
        <f>'wk1'!K75+'wk2'!K75+'wk3'!K75+'wk4'!K75+'wk5'!K75</f>
        <v>0</v>
      </c>
      <c r="D67" s="49">
        <f>'wk1'!I75+'wk2'!I75+'wk3'!I75+'wk4'!I75+'wk5'!I75</f>
        <v>1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1</v>
      </c>
      <c r="H67" s="140"/>
      <c r="I67" s="137">
        <f>SUM(C67:D67)</f>
        <v>1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Kradios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Kyusu</v>
      </c>
      <c r="B69" s="43">
        <f>SUM(C69:F69)</f>
        <v>1</v>
      </c>
      <c r="C69" s="49">
        <f>'wk1'!K77+'wk2'!K77+'wk3'!K77+'wk4'!K77+'wk5'!K77</f>
        <v>0</v>
      </c>
      <c r="D69" s="49">
        <f>'wk1'!I77+'wk2'!I77+'wk3'!I77+'wk4'!I77+'wk5'!I77</f>
        <v>1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1</v>
      </c>
      <c r="J69" s="133">
        <f>SUM(E69:F69)</f>
        <v>0</v>
      </c>
      <c r="K69" s="47"/>
      <c r="L69" s="47"/>
    </row>
    <row r="70" spans="1:12" ht="15" customHeight="1">
      <c r="A70" s="48" t="str">
        <f>'Members Data'!A70</f>
        <v>Blondesaint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Katjá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Kristofix</v>
      </c>
      <c r="B72" s="43">
        <f t="shared" si="4"/>
        <v>1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1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1</v>
      </c>
      <c r="K72" s="47"/>
      <c r="L72" s="47"/>
    </row>
    <row r="73" spans="1:12" ht="15" customHeight="1">
      <c r="A73" s="48" t="str">
        <f>'Members Data'!A73</f>
        <v>Yardk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 t="str">
        <f>'Members Data'!A74</f>
        <v>Calaelen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3" priority="4" stopIfTrue="1">
      <formula>IF(G2&gt;0,TRUE)</formula>
    </cfRule>
    <cfRule type="expression" dxfId="42" priority="5" stopIfTrue="1">
      <formula>IF(B2&gt;7,TRUE)</formula>
    </cfRule>
    <cfRule type="expression" dxfId="41" priority="6" stopIfTrue="1">
      <formula>IF(B2&lt;8,TRUE)</formula>
    </cfRule>
  </conditionalFormatting>
  <conditionalFormatting sqref="A71:A100">
    <cfRule type="expression" dxfId="40" priority="1" stopIfTrue="1">
      <formula>IF(G71&gt;0,TRUE)</formula>
    </cfRule>
    <cfRule type="expression" dxfId="39" priority="2" stopIfTrue="1">
      <formula>IF(B71&gt;7,TRUE)</formula>
    </cfRule>
    <cfRule type="expression" dxfId="38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4"/>
  <sheetViews>
    <sheetView topLeftCell="C1" workbookViewId="0">
      <selection activeCell="T91" sqref="T91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1" max="22" width="9.140625" hidden="1" customWidth="1"/>
    <col min="23" max="24" width="0" hidden="1" customWidth="1"/>
    <col min="26" max="26" width="0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  <c r="X3" t="s">
        <v>14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239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239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>
      <c r="A6" t="s">
        <v>154</v>
      </c>
      <c r="B6" t="str">
        <f>IF(R6 &gt;0, "[color=red]", IF(R6 =0, "[color=orange]", IF(R6 &lt;-11,  "[color=blue]", "[color=green]")))</f>
        <v>[color=red]</v>
      </c>
      <c r="C6" s="294">
        <f>'Members Data'!A8</f>
        <v>0</v>
      </c>
      <c r="D6" s="320" t="s">
        <v>156</v>
      </c>
      <c r="E6" s="295">
        <f>'Members Data'!D8</f>
        <v>0</v>
      </c>
      <c r="F6" s="320" t="s">
        <v>156</v>
      </c>
      <c r="G6" s="296">
        <f>'Members Data'!B8</f>
        <v>0</v>
      </c>
      <c r="H6" s="320" t="s">
        <v>156</v>
      </c>
      <c r="I6" s="286">
        <f>DCC!I8</f>
        <v>0</v>
      </c>
      <c r="J6" s="320" t="s">
        <v>156</v>
      </c>
      <c r="K6" s="287">
        <f>DCC!J8</f>
        <v>0</v>
      </c>
      <c r="L6" s="320" t="s">
        <v>156</v>
      </c>
      <c r="M6" s="287">
        <f t="shared" ref="M6:M37" si="5">IF(ISNA(U6),0,U6)</f>
        <v>0</v>
      </c>
      <c r="N6" s="320" t="s">
        <v>156</v>
      </c>
      <c r="O6" s="287">
        <f t="shared" ref="O6:O37" si="6">IF(ISNA(V6),0,V6)</f>
        <v>0</v>
      </c>
      <c r="P6" s="320" t="s">
        <v>156</v>
      </c>
      <c r="Q6" s="119" t="s">
        <v>239</v>
      </c>
      <c r="R6" s="288" t="str">
        <f>IF(W6 =0, "Has not Signed",(I6*-2)+(K6*2)+(M6*-1)+(O6))</f>
        <v>Has not Signed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[color=red]</v>
      </c>
    </row>
    <row r="7" spans="1:27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Data'!A18</f>
        <v>0</v>
      </c>
      <c r="D7" s="320" t="s">
        <v>156</v>
      </c>
      <c r="E7" s="295">
        <f>'Members Data'!D18</f>
        <v>0</v>
      </c>
      <c r="F7" s="320" t="s">
        <v>156</v>
      </c>
      <c r="G7" s="296">
        <f>'Members Data'!B18</f>
        <v>0</v>
      </c>
      <c r="H7" s="320" t="s">
        <v>156</v>
      </c>
      <c r="I7" s="286">
        <f>DCC!I18</f>
        <v>0</v>
      </c>
      <c r="J7" s="320" t="s">
        <v>156</v>
      </c>
      <c r="K7" s="287">
        <f>DCC!J18</f>
        <v>0</v>
      </c>
      <c r="L7" s="320" t="s">
        <v>156</v>
      </c>
      <c r="M7" s="287">
        <f t="shared" si="5"/>
        <v>0</v>
      </c>
      <c r="N7" s="320" t="s">
        <v>156</v>
      </c>
      <c r="O7" s="287">
        <f t="shared" si="6"/>
        <v>0</v>
      </c>
      <c r="P7" s="320" t="s">
        <v>156</v>
      </c>
      <c r="Q7" s="119" t="s">
        <v>239</v>
      </c>
      <c r="R7" s="288" t="str">
        <f>IF(W7 =0, "Has not Signed",(I7*-2)+(K7*2)+(M7*-1)+(O7))</f>
        <v>Has not Signed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7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5"/>
        <v>0</v>
      </c>
      <c r="N8" s="320" t="s">
        <v>156</v>
      </c>
      <c r="O8" s="287">
        <f t="shared" si="6"/>
        <v>0</v>
      </c>
      <c r="P8" s="320" t="s">
        <v>156</v>
      </c>
      <c r="Q8" s="119" t="s">
        <v>239</v>
      </c>
      <c r="R8" s="288">
        <f t="shared" ref="R8:R39" si="8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7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5"/>
        <v>0</v>
      </c>
      <c r="N9" s="320" t="s">
        <v>156</v>
      </c>
      <c r="O9" s="287">
        <f t="shared" si="6"/>
        <v>0</v>
      </c>
      <c r="P9" s="320" t="s">
        <v>156</v>
      </c>
      <c r="Q9" s="119" t="s">
        <v>239</v>
      </c>
      <c r="R9" s="288">
        <f t="shared" si="8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7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5"/>
        <v>0</v>
      </c>
      <c r="N10" s="320" t="s">
        <v>156</v>
      </c>
      <c r="O10" s="287">
        <f t="shared" si="6"/>
        <v>0</v>
      </c>
      <c r="P10" s="320" t="s">
        <v>156</v>
      </c>
      <c r="Q10" s="119" t="s">
        <v>239</v>
      </c>
      <c r="R10" s="288">
        <f t="shared" si="8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7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5"/>
        <v>0</v>
      </c>
      <c r="N11" s="320" t="s">
        <v>156</v>
      </c>
      <c r="O11" s="287">
        <f t="shared" si="6"/>
        <v>0</v>
      </c>
      <c r="P11" s="320" t="s">
        <v>156</v>
      </c>
      <c r="Q11" s="119" t="s">
        <v>239</v>
      </c>
      <c r="R11" s="288">
        <f t="shared" si="8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7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5"/>
        <v>0</v>
      </c>
      <c r="N12" s="320" t="s">
        <v>156</v>
      </c>
      <c r="O12" s="287">
        <f t="shared" si="6"/>
        <v>0</v>
      </c>
      <c r="P12" s="320" t="s">
        <v>156</v>
      </c>
      <c r="Q12" s="119" t="s">
        <v>239</v>
      </c>
      <c r="R12" s="288">
        <f t="shared" si="8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7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5"/>
        <v>0</v>
      </c>
      <c r="N13" s="320" t="s">
        <v>156</v>
      </c>
      <c r="O13" s="287">
        <f t="shared" si="6"/>
        <v>0</v>
      </c>
      <c r="P13" s="320" t="s">
        <v>156</v>
      </c>
      <c r="Q13" s="119" t="s">
        <v>239</v>
      </c>
      <c r="R13" s="288">
        <f t="shared" si="8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7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5"/>
        <v>0</v>
      </c>
      <c r="N14" s="320" t="s">
        <v>156</v>
      </c>
      <c r="O14" s="287">
        <f t="shared" si="6"/>
        <v>0</v>
      </c>
      <c r="P14" s="320" t="s">
        <v>156</v>
      </c>
      <c r="Q14" s="119" t="s">
        <v>239</v>
      </c>
      <c r="R14" s="288">
        <f t="shared" si="8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7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5"/>
        <v>0</v>
      </c>
      <c r="N15" s="320" t="s">
        <v>156</v>
      </c>
      <c r="O15" s="287">
        <f t="shared" si="6"/>
        <v>0</v>
      </c>
      <c r="P15" s="320" t="s">
        <v>156</v>
      </c>
      <c r="Q15" s="119" t="s">
        <v>239</v>
      </c>
      <c r="R15" s="288">
        <f t="shared" si="8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7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5"/>
        <v>0</v>
      </c>
      <c r="N16" s="320" t="s">
        <v>156</v>
      </c>
      <c r="O16" s="287">
        <f t="shared" si="6"/>
        <v>0</v>
      </c>
      <c r="P16" s="320" t="s">
        <v>156</v>
      </c>
      <c r="Q16" s="119" t="s">
        <v>239</v>
      </c>
      <c r="R16" s="288">
        <f t="shared" si="8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7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5"/>
        <v>0</v>
      </c>
      <c r="N17" s="320" t="s">
        <v>156</v>
      </c>
      <c r="O17" s="287">
        <f t="shared" si="6"/>
        <v>0</v>
      </c>
      <c r="P17" s="320" t="s">
        <v>156</v>
      </c>
      <c r="Q17" s="119" t="s">
        <v>239</v>
      </c>
      <c r="R17" s="288">
        <f t="shared" si="8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7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5"/>
        <v>0</v>
      </c>
      <c r="N18" s="320" t="s">
        <v>156</v>
      </c>
      <c r="O18" s="287">
        <f t="shared" si="6"/>
        <v>0</v>
      </c>
      <c r="P18" s="320" t="s">
        <v>156</v>
      </c>
      <c r="Q18" s="119" t="s">
        <v>239</v>
      </c>
      <c r="R18" s="288">
        <f t="shared" si="8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7"/>
        <v>[color=orange]</v>
      </c>
      <c r="C19" s="294" t="str">
        <f>'Members Data'!A62</f>
        <v>Greenhazee</v>
      </c>
      <c r="D19" s="320" t="s">
        <v>156</v>
      </c>
      <c r="E19" s="295">
        <f>'Members Data'!D62</f>
        <v>0</v>
      </c>
      <c r="F19" s="320" t="s">
        <v>156</v>
      </c>
      <c r="G19" s="296">
        <f>'Members Data'!B62</f>
        <v>0</v>
      </c>
      <c r="H19" s="320" t="s">
        <v>156</v>
      </c>
      <c r="I19" s="286">
        <f>DCC!I62</f>
        <v>0</v>
      </c>
      <c r="J19" s="320" t="s">
        <v>156</v>
      </c>
      <c r="K19" s="287">
        <f>DCC!J62</f>
        <v>0</v>
      </c>
      <c r="L19" s="320" t="s">
        <v>156</v>
      </c>
      <c r="M19" s="287">
        <f t="shared" si="5"/>
        <v>0</v>
      </c>
      <c r="N19" s="320" t="s">
        <v>156</v>
      </c>
      <c r="O19" s="287">
        <f t="shared" si="6"/>
        <v>0</v>
      </c>
      <c r="P19" s="320" t="s">
        <v>156</v>
      </c>
      <c r="Q19" s="119" t="s">
        <v>239</v>
      </c>
      <c r="R19" s="288">
        <f t="shared" si="8"/>
        <v>0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AA19" t="str">
        <f t="shared" si="4"/>
        <v>[color=orange]</v>
      </c>
    </row>
    <row r="20" spans="1:27" hidden="1">
      <c r="A20" t="s">
        <v>154</v>
      </c>
      <c r="B20" t="str">
        <f t="shared" si="7"/>
        <v>[color=orange]</v>
      </c>
      <c r="C20" s="294" t="str">
        <f>'Members Data'!A63</f>
        <v>Megamind</v>
      </c>
      <c r="D20" s="320" t="s">
        <v>156</v>
      </c>
      <c r="E20" s="295">
        <f>'Members Data'!D63</f>
        <v>0</v>
      </c>
      <c r="F20" s="320" t="s">
        <v>156</v>
      </c>
      <c r="G20" s="296">
        <f>'Members Data'!B63</f>
        <v>0</v>
      </c>
      <c r="H20" s="320" t="s">
        <v>156</v>
      </c>
      <c r="I20" s="286">
        <f>DCC!I63</f>
        <v>0</v>
      </c>
      <c r="J20" s="320" t="s">
        <v>156</v>
      </c>
      <c r="K20" s="287">
        <f>DCC!J63</f>
        <v>0</v>
      </c>
      <c r="L20" s="320" t="s">
        <v>156</v>
      </c>
      <c r="M20" s="287">
        <f t="shared" si="5"/>
        <v>0</v>
      </c>
      <c r="N20" s="320" t="s">
        <v>156</v>
      </c>
      <c r="O20" s="287">
        <f t="shared" si="6"/>
        <v>0</v>
      </c>
      <c r="P20" s="320" t="s">
        <v>156</v>
      </c>
      <c r="Q20" s="119" t="s">
        <v>239</v>
      </c>
      <c r="R20" s="288">
        <f t="shared" si="8"/>
        <v>0</v>
      </c>
      <c r="S20" t="s">
        <v>158</v>
      </c>
      <c r="U20" t="e">
        <f>VLOOKUP($C20,'Look-up'!$E:$H,3,FALSE)</f>
        <v>#N/A</v>
      </c>
      <c r="V20" t="e">
        <f>VLOOKUP($C20,'Look-up'!$E:$H,4,FALSE)</f>
        <v>#N/A</v>
      </c>
      <c r="AA20" t="str">
        <f t="shared" si="4"/>
        <v>[color=orange]</v>
      </c>
    </row>
    <row r="21" spans="1:27" hidden="1">
      <c r="A21" t="s">
        <v>154</v>
      </c>
      <c r="B21" t="str">
        <f t="shared" si="7"/>
        <v>[color=green]</v>
      </c>
      <c r="C21" s="294" t="str">
        <f>'Members Data'!A64</f>
        <v>Punyelf</v>
      </c>
      <c r="D21" s="320" t="s">
        <v>156</v>
      </c>
      <c r="E21" s="295">
        <f>'Members Data'!D64</f>
        <v>0</v>
      </c>
      <c r="F21" s="320" t="s">
        <v>156</v>
      </c>
      <c r="G21" s="296">
        <f>'Members Data'!B64</f>
        <v>0</v>
      </c>
      <c r="H21" s="320" t="s">
        <v>156</v>
      </c>
      <c r="I21" s="286">
        <f>DCC!I64</f>
        <v>1</v>
      </c>
      <c r="J21" s="320" t="s">
        <v>156</v>
      </c>
      <c r="K21" s="287">
        <f>DCC!J64</f>
        <v>0</v>
      </c>
      <c r="L21" s="320" t="s">
        <v>156</v>
      </c>
      <c r="M21" s="287">
        <f t="shared" si="5"/>
        <v>0</v>
      </c>
      <c r="N21" s="320" t="s">
        <v>156</v>
      </c>
      <c r="O21" s="287">
        <f t="shared" si="6"/>
        <v>0</v>
      </c>
      <c r="P21" s="320" t="s">
        <v>156</v>
      </c>
      <c r="Q21" s="119" t="s">
        <v>239</v>
      </c>
      <c r="R21" s="288">
        <f t="shared" si="8"/>
        <v>-2</v>
      </c>
      <c r="S21" t="s">
        <v>158</v>
      </c>
      <c r="U21" t="e">
        <f>VLOOKUP($C21,'Look-up'!$E:$H,3,FALSE)</f>
        <v>#N/A</v>
      </c>
      <c r="V21" t="e">
        <f>VLOOKUP($C21,'Look-up'!$E:$H,4,FALSE)</f>
        <v>#N/A</v>
      </c>
      <c r="AA21" t="str">
        <f t="shared" si="4"/>
        <v>[color=green]</v>
      </c>
    </row>
    <row r="22" spans="1:27" hidden="1">
      <c r="A22" t="s">
        <v>154</v>
      </c>
      <c r="B22" t="str">
        <f t="shared" si="7"/>
        <v>[color=green]</v>
      </c>
      <c r="C22" s="294" t="str">
        <f>'Members Data'!A65</f>
        <v>Eviwon</v>
      </c>
      <c r="D22" s="320" t="s">
        <v>156</v>
      </c>
      <c r="E22" s="295">
        <f>'Members Data'!D65</f>
        <v>0</v>
      </c>
      <c r="F22" s="320" t="s">
        <v>156</v>
      </c>
      <c r="G22" s="296">
        <f>'Members Data'!B65</f>
        <v>0</v>
      </c>
      <c r="H22" s="320" t="s">
        <v>156</v>
      </c>
      <c r="I22" s="286">
        <f>DCC!I65</f>
        <v>1</v>
      </c>
      <c r="J22" s="320" t="s">
        <v>156</v>
      </c>
      <c r="K22" s="287">
        <f>DCC!J65</f>
        <v>0</v>
      </c>
      <c r="L22" s="320" t="s">
        <v>156</v>
      </c>
      <c r="M22" s="287">
        <f t="shared" si="5"/>
        <v>0</v>
      </c>
      <c r="N22" s="320" t="s">
        <v>156</v>
      </c>
      <c r="O22" s="287">
        <f t="shared" si="6"/>
        <v>0</v>
      </c>
      <c r="P22" s="320" t="s">
        <v>156</v>
      </c>
      <c r="Q22" s="119" t="s">
        <v>239</v>
      </c>
      <c r="R22" s="288">
        <f t="shared" si="8"/>
        <v>-2</v>
      </c>
      <c r="S22" t="s">
        <v>158</v>
      </c>
      <c r="U22" t="e">
        <f>VLOOKUP($C22,'Look-up'!$E:$H,3,FALSE)</f>
        <v>#N/A</v>
      </c>
      <c r="V22" t="e">
        <f>VLOOKUP($C22,'Look-up'!$E:$H,4,FALSE)</f>
        <v>#N/A</v>
      </c>
      <c r="AA22" t="str">
        <f t="shared" si="4"/>
        <v>[color=green]</v>
      </c>
    </row>
    <row r="23" spans="1:27" hidden="1">
      <c r="A23" t="s">
        <v>154</v>
      </c>
      <c r="B23" t="str">
        <f t="shared" si="7"/>
        <v>[color=orange]</v>
      </c>
      <c r="C23" s="294" t="str">
        <f>'Members Data'!A66</f>
        <v>Nixyin</v>
      </c>
      <c r="D23" s="320" t="s">
        <v>156</v>
      </c>
      <c r="E23" s="295" t="str">
        <f>'Members Data'!D66</f>
        <v>MDPS</v>
      </c>
      <c r="F23" s="320" t="s">
        <v>156</v>
      </c>
      <c r="G23" s="296" t="str">
        <f>'Members Data'!B66</f>
        <v>Venturer</v>
      </c>
      <c r="H23" s="320" t="s">
        <v>156</v>
      </c>
      <c r="I23" s="286">
        <f>DCC!I66</f>
        <v>0</v>
      </c>
      <c r="J23" s="320" t="s">
        <v>156</v>
      </c>
      <c r="K23" s="287">
        <f>DCC!J66</f>
        <v>0</v>
      </c>
      <c r="L23" s="320" t="s">
        <v>156</v>
      </c>
      <c r="M23" s="287">
        <f t="shared" si="5"/>
        <v>0</v>
      </c>
      <c r="N23" s="320" t="s">
        <v>156</v>
      </c>
      <c r="O23" s="287">
        <f t="shared" si="6"/>
        <v>0</v>
      </c>
      <c r="P23" s="320" t="s">
        <v>156</v>
      </c>
      <c r="Q23" s="119" t="s">
        <v>239</v>
      </c>
      <c r="R23" s="288">
        <f t="shared" si="8"/>
        <v>0</v>
      </c>
      <c r="S23" t="s">
        <v>158</v>
      </c>
      <c r="U23" t="e">
        <f>VLOOKUP($C23,'Look-up'!$E:$H,3,FALSE)</f>
        <v>#N/A</v>
      </c>
      <c r="V23" t="e">
        <f>VLOOKUP($C23,'Look-up'!$E:$H,4,FALSE)</f>
        <v>#N/A</v>
      </c>
      <c r="AA23" t="str">
        <f t="shared" si="4"/>
        <v>[color=orange]</v>
      </c>
    </row>
    <row r="24" spans="1:27" hidden="1">
      <c r="A24" t="s">
        <v>154</v>
      </c>
      <c r="B24" t="str">
        <f t="shared" si="7"/>
        <v>[color=green]</v>
      </c>
      <c r="C24" s="294" t="str">
        <f>'Members Data'!A67</f>
        <v>Hyperïon</v>
      </c>
      <c r="D24" s="320" t="s">
        <v>156</v>
      </c>
      <c r="E24" s="295" t="str">
        <f>'Members Data'!D67</f>
        <v>MDPS</v>
      </c>
      <c r="F24" s="320" t="s">
        <v>156</v>
      </c>
      <c r="G24" s="296" t="str">
        <f>'Members Data'!B67</f>
        <v>Venturer</v>
      </c>
      <c r="H24" s="320" t="s">
        <v>156</v>
      </c>
      <c r="I24" s="286">
        <f>DCC!I67</f>
        <v>1</v>
      </c>
      <c r="J24" s="320" t="s">
        <v>156</v>
      </c>
      <c r="K24" s="287">
        <f>DCC!J67</f>
        <v>0</v>
      </c>
      <c r="L24" s="320" t="s">
        <v>156</v>
      </c>
      <c r="M24" s="287">
        <f t="shared" si="5"/>
        <v>0</v>
      </c>
      <c r="N24" s="320" t="s">
        <v>156</v>
      </c>
      <c r="O24" s="287">
        <f t="shared" si="6"/>
        <v>0</v>
      </c>
      <c r="P24" s="320" t="s">
        <v>156</v>
      </c>
      <c r="Q24" s="119" t="s">
        <v>239</v>
      </c>
      <c r="R24" s="288">
        <f t="shared" si="8"/>
        <v>-2</v>
      </c>
      <c r="S24" t="s">
        <v>158</v>
      </c>
      <c r="U24" t="e">
        <f>VLOOKUP($C24,'Look-up'!$E:$H,3,FALSE)</f>
        <v>#N/A</v>
      </c>
      <c r="V24" t="e">
        <f>VLOOKUP($C24,'Look-up'!$E:$H,4,FALSE)</f>
        <v>#N/A</v>
      </c>
      <c r="AA24" t="str">
        <f t="shared" si="4"/>
        <v>[color=green]</v>
      </c>
    </row>
    <row r="25" spans="1:27" hidden="1">
      <c r="A25" t="s">
        <v>154</v>
      </c>
      <c r="B25" t="str">
        <f t="shared" si="7"/>
        <v>[color=orange]</v>
      </c>
      <c r="C25" s="294" t="str">
        <f>'Members Data'!A68</f>
        <v>Kradios</v>
      </c>
      <c r="D25" s="320" t="s">
        <v>156</v>
      </c>
      <c r="E25" s="295">
        <f>'Members Data'!D68</f>
        <v>0</v>
      </c>
      <c r="F25" s="320" t="s">
        <v>156</v>
      </c>
      <c r="G25" s="296">
        <f>'Members Data'!B68</f>
        <v>0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5"/>
        <v>0</v>
      </c>
      <c r="N25" s="320" t="s">
        <v>156</v>
      </c>
      <c r="O25" s="287">
        <f t="shared" si="6"/>
        <v>0</v>
      </c>
      <c r="P25" s="320" t="s">
        <v>156</v>
      </c>
      <c r="Q25" s="119" t="s">
        <v>239</v>
      </c>
      <c r="R25" s="288">
        <f t="shared" si="8"/>
        <v>0</v>
      </c>
      <c r="S25" t="s">
        <v>158</v>
      </c>
      <c r="U25" t="e">
        <f>VLOOKUP($C25,'Look-up'!$E:$H,3,FALSE)</f>
        <v>#N/A</v>
      </c>
      <c r="V25" t="e">
        <f>VLOOKUP($C25,'Look-up'!$E:$H,4,FALSE)</f>
        <v>#N/A</v>
      </c>
      <c r="AA25" t="str">
        <f t="shared" si="4"/>
        <v>[color=orange]</v>
      </c>
    </row>
    <row r="26" spans="1:27" hidden="1">
      <c r="A26" t="s">
        <v>154</v>
      </c>
      <c r="B26" t="str">
        <f t="shared" si="7"/>
        <v>[color=green]</v>
      </c>
      <c r="C26" s="294" t="str">
        <f>'Members Data'!A69</f>
        <v>Kyusu</v>
      </c>
      <c r="D26" s="320" t="s">
        <v>156</v>
      </c>
      <c r="E26" s="295">
        <f>'Members Data'!D69</f>
        <v>0</v>
      </c>
      <c r="F26" s="320" t="s">
        <v>156</v>
      </c>
      <c r="G26" s="296">
        <f>'Members Data'!B69</f>
        <v>0</v>
      </c>
      <c r="H26" s="320" t="s">
        <v>156</v>
      </c>
      <c r="I26" s="286">
        <f>DCC!I69</f>
        <v>1</v>
      </c>
      <c r="J26" s="320" t="s">
        <v>156</v>
      </c>
      <c r="K26" s="287">
        <f>DCC!J69</f>
        <v>0</v>
      </c>
      <c r="L26" s="320" t="s">
        <v>156</v>
      </c>
      <c r="M26" s="287">
        <f t="shared" si="5"/>
        <v>0</v>
      </c>
      <c r="N26" s="320" t="s">
        <v>156</v>
      </c>
      <c r="O26" s="287">
        <f t="shared" si="6"/>
        <v>0</v>
      </c>
      <c r="P26" s="320" t="s">
        <v>156</v>
      </c>
      <c r="Q26" s="119" t="s">
        <v>239</v>
      </c>
      <c r="R26" s="288">
        <f t="shared" si="8"/>
        <v>-2</v>
      </c>
      <c r="S26" t="s">
        <v>158</v>
      </c>
      <c r="U26" t="e">
        <f>VLOOKUP($C26,'Look-up'!$E:$H,3,FALSE)</f>
        <v>#N/A</v>
      </c>
      <c r="V26" t="e">
        <f>VLOOKUP($C26,'Look-up'!$E:$H,4,FALSE)</f>
        <v>#N/A</v>
      </c>
      <c r="AA26" t="str">
        <f t="shared" si="4"/>
        <v>[color=green]</v>
      </c>
    </row>
    <row r="27" spans="1:27" hidden="1">
      <c r="A27" t="s">
        <v>154</v>
      </c>
      <c r="B27" t="str">
        <f t="shared" si="7"/>
        <v>[color=orange]</v>
      </c>
      <c r="C27" s="294" t="str">
        <f>'Members Data'!A70</f>
        <v>Blondesaint</v>
      </c>
      <c r="D27" s="320" t="s">
        <v>156</v>
      </c>
      <c r="E27" s="295" t="str">
        <f>'Members Data'!D70</f>
        <v>Healer</v>
      </c>
      <c r="F27" s="320" t="s">
        <v>156</v>
      </c>
      <c r="G27" s="296" t="str">
        <f>'Members Data'!B70</f>
        <v>Venturer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5"/>
        <v>0</v>
      </c>
      <c r="N27" s="320" t="s">
        <v>156</v>
      </c>
      <c r="O27" s="287">
        <f t="shared" si="6"/>
        <v>0</v>
      </c>
      <c r="P27" s="320" t="s">
        <v>156</v>
      </c>
      <c r="Q27" s="119" t="s">
        <v>239</v>
      </c>
      <c r="R27" s="288">
        <f t="shared" si="8"/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7"/>
        <v>[color=orange]</v>
      </c>
      <c r="C28" s="294" t="str">
        <f>'Members Data'!A71</f>
        <v>Katjá</v>
      </c>
      <c r="D28" s="320" t="s">
        <v>156</v>
      </c>
      <c r="E28" s="295" t="str">
        <f>'Members Data'!D71</f>
        <v>MDPS</v>
      </c>
      <c r="F28" s="320" t="s">
        <v>156</v>
      </c>
      <c r="G28" s="296" t="str">
        <f>'Members Data'!B71</f>
        <v>Venturer</v>
      </c>
      <c r="H28" s="320" t="s">
        <v>156</v>
      </c>
      <c r="I28" s="286">
        <f>DCC!I71</f>
        <v>0</v>
      </c>
      <c r="J28" s="320" t="s">
        <v>156</v>
      </c>
      <c r="K28" s="287">
        <f>DCC!J71</f>
        <v>0</v>
      </c>
      <c r="L28" s="320" t="s">
        <v>156</v>
      </c>
      <c r="M28" s="287">
        <f t="shared" si="5"/>
        <v>0</v>
      </c>
      <c r="N28" s="320" t="s">
        <v>156</v>
      </c>
      <c r="O28" s="287">
        <f t="shared" si="6"/>
        <v>0</v>
      </c>
      <c r="P28" s="320" t="s">
        <v>156</v>
      </c>
      <c r="Q28" s="119" t="s">
        <v>239</v>
      </c>
      <c r="R28" s="288">
        <f t="shared" si="8"/>
        <v>0</v>
      </c>
      <c r="S28" t="s">
        <v>158</v>
      </c>
      <c r="U28" t="e">
        <f>VLOOKUP($C28,'Look-up'!$E:$H,3,FALSE)</f>
        <v>#N/A</v>
      </c>
      <c r="V28" t="e">
        <f>VLOOKUP($C28,'Look-up'!$E:$H,4,FALSE)</f>
        <v>#N/A</v>
      </c>
      <c r="AA28" t="str">
        <f t="shared" si="4"/>
        <v>[color=orange]</v>
      </c>
    </row>
    <row r="29" spans="1:27" hidden="1">
      <c r="A29" t="s">
        <v>154</v>
      </c>
      <c r="B29" t="str">
        <f t="shared" si="7"/>
        <v>[color=red]</v>
      </c>
      <c r="C29" s="294" t="str">
        <f>'Members Data'!A72</f>
        <v>Kristofix</v>
      </c>
      <c r="D29" s="320" t="s">
        <v>156</v>
      </c>
      <c r="E29" s="295" t="str">
        <f>'Members Data'!D72</f>
        <v>MDPS</v>
      </c>
      <c r="F29" s="320" t="s">
        <v>156</v>
      </c>
      <c r="G29" s="296" t="str">
        <f>'Members Data'!B72</f>
        <v>Venturer</v>
      </c>
      <c r="H29" s="320" t="s">
        <v>156</v>
      </c>
      <c r="I29" s="286">
        <f>DCC!I72</f>
        <v>0</v>
      </c>
      <c r="J29" s="320" t="s">
        <v>156</v>
      </c>
      <c r="K29" s="287">
        <f>DCC!J72</f>
        <v>1</v>
      </c>
      <c r="L29" s="320" t="s">
        <v>156</v>
      </c>
      <c r="M29" s="287">
        <f t="shared" si="5"/>
        <v>0</v>
      </c>
      <c r="N29" s="320" t="s">
        <v>156</v>
      </c>
      <c r="O29" s="287">
        <f t="shared" si="6"/>
        <v>0</v>
      </c>
      <c r="P29" s="320" t="s">
        <v>156</v>
      </c>
      <c r="Q29" s="119" t="s">
        <v>239</v>
      </c>
      <c r="R29" s="288">
        <f t="shared" si="8"/>
        <v>2</v>
      </c>
      <c r="S29" t="s">
        <v>158</v>
      </c>
      <c r="U29" t="e">
        <f>VLOOKUP($C29,'Look-up'!$E:$H,3,FALSE)</f>
        <v>#N/A</v>
      </c>
      <c r="V29" t="e">
        <f>VLOOKUP($C29,'Look-up'!$E:$H,4,FALSE)</f>
        <v>#N/A</v>
      </c>
      <c r="AA29" t="str">
        <f t="shared" si="4"/>
        <v>[color=red]</v>
      </c>
    </row>
    <row r="30" spans="1:27" hidden="1">
      <c r="A30" t="s">
        <v>154</v>
      </c>
      <c r="B30" t="str">
        <f t="shared" si="7"/>
        <v>[color=orange]</v>
      </c>
      <c r="C30" s="294" t="str">
        <f>'Members Data'!A73</f>
        <v>Yardk</v>
      </c>
      <c r="D30" s="320" t="s">
        <v>156</v>
      </c>
      <c r="E30" s="295" t="str">
        <f>'Members Data'!D73</f>
        <v>MDPS</v>
      </c>
      <c r="F30" s="320" t="s">
        <v>156</v>
      </c>
      <c r="G30" s="296" t="str">
        <f>'Members Data'!B73</f>
        <v>Venturer</v>
      </c>
      <c r="H30" s="320" t="s">
        <v>156</v>
      </c>
      <c r="I30" s="286">
        <f>DCC!I73</f>
        <v>0</v>
      </c>
      <c r="J30" s="320" t="s">
        <v>156</v>
      </c>
      <c r="K30" s="287">
        <f>DCC!J73</f>
        <v>0</v>
      </c>
      <c r="L30" s="320" t="s">
        <v>156</v>
      </c>
      <c r="M30" s="287">
        <f t="shared" si="5"/>
        <v>0</v>
      </c>
      <c r="N30" s="320" t="s">
        <v>156</v>
      </c>
      <c r="O30" s="287">
        <f t="shared" si="6"/>
        <v>0</v>
      </c>
      <c r="P30" s="320" t="s">
        <v>156</v>
      </c>
      <c r="Q30" s="119" t="s">
        <v>239</v>
      </c>
      <c r="R30" s="288">
        <f t="shared" si="8"/>
        <v>0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AA30" t="str">
        <f t="shared" si="4"/>
        <v>[color=orange]</v>
      </c>
    </row>
    <row r="31" spans="1:27" hidden="1">
      <c r="A31" t="s">
        <v>154</v>
      </c>
      <c r="B31" t="str">
        <f t="shared" si="7"/>
        <v>[color=orange]</v>
      </c>
      <c r="C31" s="294" t="str">
        <f>'Members Data'!A74</f>
        <v>Calaelen</v>
      </c>
      <c r="D31" s="320" t="s">
        <v>156</v>
      </c>
      <c r="E31" s="295" t="str">
        <f>'Members Data'!D74</f>
        <v>RDPS</v>
      </c>
      <c r="F31" s="320" t="s">
        <v>156</v>
      </c>
      <c r="G31" s="296" t="str">
        <f>'Members Data'!B74</f>
        <v>Venturer</v>
      </c>
      <c r="H31" s="320" t="s">
        <v>156</v>
      </c>
      <c r="I31" s="286">
        <f>DCC!I74</f>
        <v>0</v>
      </c>
      <c r="J31" s="320" t="s">
        <v>156</v>
      </c>
      <c r="K31" s="287">
        <f>DCC!J74</f>
        <v>0</v>
      </c>
      <c r="L31" s="320" t="s">
        <v>156</v>
      </c>
      <c r="M31" s="287">
        <f t="shared" si="5"/>
        <v>0</v>
      </c>
      <c r="N31" s="320" t="s">
        <v>156</v>
      </c>
      <c r="O31" s="287">
        <f t="shared" si="6"/>
        <v>0</v>
      </c>
      <c r="P31" s="320" t="s">
        <v>156</v>
      </c>
      <c r="Q31" s="119" t="s">
        <v>239</v>
      </c>
      <c r="R31" s="288">
        <f t="shared" si="8"/>
        <v>0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[color=orange]</v>
      </c>
    </row>
    <row r="32" spans="1:27" hidden="1">
      <c r="A32" t="s">
        <v>154</v>
      </c>
      <c r="B32" t="str">
        <f t="shared" si="7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5"/>
        <v>0</v>
      </c>
      <c r="N32" s="320" t="s">
        <v>156</v>
      </c>
      <c r="O32" s="287">
        <f t="shared" si="6"/>
        <v>0</v>
      </c>
      <c r="P32" s="320" t="s">
        <v>156</v>
      </c>
      <c r="Q32" s="119" t="s">
        <v>239</v>
      </c>
      <c r="R32" s="288">
        <f t="shared" si="8"/>
        <v>0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[color=orange]</v>
      </c>
    </row>
    <row r="33" spans="1:27" hidden="1">
      <c r="A33" t="s">
        <v>154</v>
      </c>
      <c r="B33" t="str">
        <f t="shared" si="7"/>
        <v>[color=orange]</v>
      </c>
      <c r="C33" s="294">
        <f>'Members Data'!A76</f>
        <v>0</v>
      </c>
      <c r="D33" s="320" t="s">
        <v>156</v>
      </c>
      <c r="E33" s="295">
        <f>'Members Data'!D76</f>
        <v>0</v>
      </c>
      <c r="F33" s="320" t="s">
        <v>156</v>
      </c>
      <c r="G33" s="296">
        <f>'Members Data'!B76</f>
        <v>0</v>
      </c>
      <c r="H33" s="320" t="s">
        <v>156</v>
      </c>
      <c r="I33" s="286">
        <f>DCC!I76</f>
        <v>0</v>
      </c>
      <c r="J33" s="320" t="s">
        <v>156</v>
      </c>
      <c r="K33" s="287">
        <f>DCC!J76</f>
        <v>0</v>
      </c>
      <c r="L33" s="320" t="s">
        <v>156</v>
      </c>
      <c r="M33" s="287">
        <f t="shared" si="5"/>
        <v>0</v>
      </c>
      <c r="N33" s="320" t="s">
        <v>156</v>
      </c>
      <c r="O33" s="287">
        <f t="shared" si="6"/>
        <v>0</v>
      </c>
      <c r="P33" s="320" t="s">
        <v>156</v>
      </c>
      <c r="Q33" s="119" t="s">
        <v>239</v>
      </c>
      <c r="R33" s="288">
        <f t="shared" si="8"/>
        <v>0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[color=orange]</v>
      </c>
    </row>
    <row r="34" spans="1:27" hidden="1">
      <c r="A34" t="s">
        <v>154</v>
      </c>
      <c r="B34" t="str">
        <f t="shared" si="7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5"/>
        <v>0</v>
      </c>
      <c r="N34" s="320" t="s">
        <v>156</v>
      </c>
      <c r="O34" s="287">
        <f t="shared" si="6"/>
        <v>0</v>
      </c>
      <c r="P34" s="320" t="s">
        <v>156</v>
      </c>
      <c r="Q34" s="119" t="s">
        <v>239</v>
      </c>
      <c r="R34" s="288">
        <f t="shared" si="8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7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5"/>
        <v>0</v>
      </c>
      <c r="N35" s="320" t="s">
        <v>156</v>
      </c>
      <c r="O35" s="287">
        <f t="shared" si="6"/>
        <v>0</v>
      </c>
      <c r="P35" s="320" t="s">
        <v>156</v>
      </c>
      <c r="Q35" s="119" t="s">
        <v>239</v>
      </c>
      <c r="R35" s="288">
        <f t="shared" si="8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7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5"/>
        <v>0</v>
      </c>
      <c r="N36" s="320" t="s">
        <v>156</v>
      </c>
      <c r="O36" s="287">
        <f t="shared" si="6"/>
        <v>0</v>
      </c>
      <c r="P36" s="320" t="s">
        <v>156</v>
      </c>
      <c r="Q36" s="119" t="s">
        <v>239</v>
      </c>
      <c r="R36" s="288">
        <f t="shared" si="8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7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5"/>
        <v>0</v>
      </c>
      <c r="N37" s="320" t="s">
        <v>156</v>
      </c>
      <c r="O37" s="287">
        <f t="shared" si="6"/>
        <v>0</v>
      </c>
      <c r="P37" s="320" t="s">
        <v>156</v>
      </c>
      <c r="Q37" s="119" t="s">
        <v>239</v>
      </c>
      <c r="R37" s="288">
        <f t="shared" si="8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7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ref="M38:M69" si="9">IF(ISNA(U38),0,U38)</f>
        <v>0</v>
      </c>
      <c r="N38" s="320" t="s">
        <v>156</v>
      </c>
      <c r="O38" s="287">
        <f t="shared" ref="O38:O69" si="10">IF(ISNA(V38),0,V38)</f>
        <v>0</v>
      </c>
      <c r="P38" s="320" t="s">
        <v>156</v>
      </c>
      <c r="Q38" s="119" t="s">
        <v>239</v>
      </c>
      <c r="R38" s="288">
        <f t="shared" si="8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7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9"/>
        <v>0</v>
      </c>
      <c r="N39" s="320" t="s">
        <v>156</v>
      </c>
      <c r="O39" s="287">
        <f t="shared" si="10"/>
        <v>0</v>
      </c>
      <c r="P39" s="320" t="s">
        <v>156</v>
      </c>
      <c r="Q39" s="119" t="s">
        <v>239</v>
      </c>
      <c r="R39" s="288">
        <f t="shared" si="8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7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9"/>
        <v>0</v>
      </c>
      <c r="N40" s="320" t="s">
        <v>156</v>
      </c>
      <c r="O40" s="287">
        <f t="shared" si="10"/>
        <v>0</v>
      </c>
      <c r="P40" s="320" t="s">
        <v>156</v>
      </c>
      <c r="Q40" s="119" t="s">
        <v>239</v>
      </c>
      <c r="R40" s="288">
        <f t="shared" ref="R40:R56" si="11">(I40*-2)+(K40*2)+(M40*-1)+(O40)</f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7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9"/>
        <v>0</v>
      </c>
      <c r="N41" s="320" t="s">
        <v>156</v>
      </c>
      <c r="O41" s="287">
        <f t="shared" si="10"/>
        <v>0</v>
      </c>
      <c r="P41" s="320" t="s">
        <v>156</v>
      </c>
      <c r="Q41" s="119" t="s">
        <v>239</v>
      </c>
      <c r="R41" s="288">
        <f t="shared" si="11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7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9"/>
        <v>0</v>
      </c>
      <c r="N42" s="320" t="s">
        <v>156</v>
      </c>
      <c r="O42" s="287">
        <f t="shared" si="10"/>
        <v>0</v>
      </c>
      <c r="P42" s="320" t="s">
        <v>156</v>
      </c>
      <c r="Q42" s="119" t="s">
        <v>239</v>
      </c>
      <c r="R42" s="288">
        <f t="shared" si="11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7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9"/>
        <v>0</v>
      </c>
      <c r="N43" s="320" t="s">
        <v>156</v>
      </c>
      <c r="O43" s="287">
        <f t="shared" si="10"/>
        <v>0</v>
      </c>
      <c r="P43" s="320" t="s">
        <v>156</v>
      </c>
      <c r="Q43" s="119" t="s">
        <v>239</v>
      </c>
      <c r="R43" s="288">
        <f t="shared" si="11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7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9"/>
        <v>0</v>
      </c>
      <c r="N44" s="320" t="s">
        <v>156</v>
      </c>
      <c r="O44" s="287">
        <f t="shared" si="10"/>
        <v>0</v>
      </c>
      <c r="P44" s="320" t="s">
        <v>156</v>
      </c>
      <c r="Q44" s="119" t="s">
        <v>239</v>
      </c>
      <c r="R44" s="288">
        <f t="shared" si="11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7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9"/>
        <v>0</v>
      </c>
      <c r="N45" s="320" t="s">
        <v>156</v>
      </c>
      <c r="O45" s="287">
        <f t="shared" si="10"/>
        <v>0</v>
      </c>
      <c r="P45" s="320" t="s">
        <v>156</v>
      </c>
      <c r="Q45" s="119" t="s">
        <v>239</v>
      </c>
      <c r="R45" s="288">
        <f t="shared" si="11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7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9"/>
        <v>0</v>
      </c>
      <c r="N46" s="320" t="s">
        <v>156</v>
      </c>
      <c r="O46" s="287">
        <f t="shared" si="10"/>
        <v>0</v>
      </c>
      <c r="P46" s="320" t="s">
        <v>156</v>
      </c>
      <c r="Q46" s="119" t="s">
        <v>239</v>
      </c>
      <c r="R46" s="288">
        <f t="shared" si="11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7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9"/>
        <v>0</v>
      </c>
      <c r="N47" s="320" t="s">
        <v>156</v>
      </c>
      <c r="O47" s="287">
        <f t="shared" si="10"/>
        <v>0</v>
      </c>
      <c r="P47" s="320" t="s">
        <v>156</v>
      </c>
      <c r="Q47" s="119" t="s">
        <v>239</v>
      </c>
      <c r="R47" s="288">
        <f t="shared" si="11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7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9"/>
        <v>0</v>
      </c>
      <c r="N48" s="320" t="s">
        <v>156</v>
      </c>
      <c r="O48" s="287">
        <f t="shared" si="10"/>
        <v>0</v>
      </c>
      <c r="P48" s="320" t="s">
        <v>156</v>
      </c>
      <c r="Q48" s="119" t="s">
        <v>239</v>
      </c>
      <c r="R48" s="288">
        <f t="shared" si="11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7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9"/>
        <v>0</v>
      </c>
      <c r="N49" s="320" t="s">
        <v>156</v>
      </c>
      <c r="O49" s="287">
        <f t="shared" si="10"/>
        <v>0</v>
      </c>
      <c r="P49" s="320" t="s">
        <v>156</v>
      </c>
      <c r="Q49" s="119" t="s">
        <v>239</v>
      </c>
      <c r="R49" s="288">
        <f t="shared" si="11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7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9"/>
        <v>0</v>
      </c>
      <c r="N50" s="320" t="s">
        <v>156</v>
      </c>
      <c r="O50" s="287">
        <f t="shared" si="10"/>
        <v>0</v>
      </c>
      <c r="P50" s="320" t="s">
        <v>156</v>
      </c>
      <c r="Q50" s="119" t="s">
        <v>239</v>
      </c>
      <c r="R50" s="288">
        <f t="shared" si="11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7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9"/>
        <v>0</v>
      </c>
      <c r="N51" s="320" t="s">
        <v>156</v>
      </c>
      <c r="O51" s="287">
        <f t="shared" si="10"/>
        <v>0</v>
      </c>
      <c r="P51" s="320" t="s">
        <v>156</v>
      </c>
      <c r="Q51" s="119" t="s">
        <v>239</v>
      </c>
      <c r="R51" s="288">
        <f t="shared" si="11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7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9"/>
        <v>0</v>
      </c>
      <c r="N52" s="320" t="s">
        <v>156</v>
      </c>
      <c r="O52" s="287">
        <f t="shared" si="10"/>
        <v>0</v>
      </c>
      <c r="P52" s="320" t="s">
        <v>156</v>
      </c>
      <c r="Q52" s="119" t="s">
        <v>239</v>
      </c>
      <c r="R52" s="288">
        <f t="shared" si="11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7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9"/>
        <v>0</v>
      </c>
      <c r="N53" s="320" t="s">
        <v>156</v>
      </c>
      <c r="O53" s="287">
        <f t="shared" si="10"/>
        <v>0</v>
      </c>
      <c r="P53" s="320" t="s">
        <v>156</v>
      </c>
      <c r="Q53" s="119" t="s">
        <v>239</v>
      </c>
      <c r="R53" s="288">
        <f t="shared" si="11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7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9"/>
        <v>0</v>
      </c>
      <c r="N54" s="320" t="s">
        <v>156</v>
      </c>
      <c r="O54" s="287">
        <f t="shared" si="10"/>
        <v>0</v>
      </c>
      <c r="P54" s="320" t="s">
        <v>156</v>
      </c>
      <c r="Q54" s="119" t="s">
        <v>239</v>
      </c>
      <c r="R54" s="288">
        <f t="shared" si="11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7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9"/>
        <v>0</v>
      </c>
      <c r="N55" s="320" t="s">
        <v>156</v>
      </c>
      <c r="O55" s="287">
        <f t="shared" si="10"/>
        <v>0</v>
      </c>
      <c r="P55" s="320" t="s">
        <v>156</v>
      </c>
      <c r="Q55" s="119" t="s">
        <v>239</v>
      </c>
      <c r="R55" s="288">
        <f t="shared" si="11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7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9"/>
        <v>0</v>
      </c>
      <c r="N56" s="320" t="s">
        <v>156</v>
      </c>
      <c r="O56" s="287">
        <f t="shared" si="10"/>
        <v>0</v>
      </c>
      <c r="P56" s="320" t="s">
        <v>156</v>
      </c>
      <c r="Q56" s="119" t="s">
        <v>239</v>
      </c>
      <c r="R56" s="288">
        <f t="shared" si="11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>
      <c r="A57" t="s">
        <v>154</v>
      </c>
      <c r="B57" t="str">
        <f t="shared" si="7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9"/>
        <v>0</v>
      </c>
      <c r="N57" s="320" t="s">
        <v>156</v>
      </c>
      <c r="O57" s="287">
        <f t="shared" si="10"/>
        <v>0</v>
      </c>
      <c r="P57" s="320" t="s">
        <v>156</v>
      </c>
      <c r="Q57" s="119" t="s">
        <v>239</v>
      </c>
      <c r="R57" s="288" t="str">
        <f t="shared" ref="R57:R103" si="12"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3">I57+K57+M57+O57</f>
        <v>0</v>
      </c>
      <c r="AA57" t="str">
        <f t="shared" si="4"/>
        <v>[color=red]</v>
      </c>
    </row>
    <row r="58" spans="1:27">
      <c r="A58" t="s">
        <v>154</v>
      </c>
      <c r="B58" t="str">
        <f t="shared" si="7"/>
        <v>[color=red]</v>
      </c>
      <c r="C58" s="294">
        <f>'Members Data'!A9</f>
        <v>0</v>
      </c>
      <c r="D58" s="320" t="s">
        <v>156</v>
      </c>
      <c r="E58" s="295">
        <f>'Members Data'!D9</f>
        <v>0</v>
      </c>
      <c r="F58" s="320" t="s">
        <v>156</v>
      </c>
      <c r="G58" s="296">
        <f>'Members Data'!B9</f>
        <v>0</v>
      </c>
      <c r="H58" s="320" t="s">
        <v>156</v>
      </c>
      <c r="I58" s="286">
        <f>DCC!I9</f>
        <v>0</v>
      </c>
      <c r="J58" s="320" t="s">
        <v>156</v>
      </c>
      <c r="K58" s="287">
        <f>DCC!J9</f>
        <v>0</v>
      </c>
      <c r="L58" s="320" t="s">
        <v>156</v>
      </c>
      <c r="M58" s="287">
        <f t="shared" si="9"/>
        <v>0</v>
      </c>
      <c r="N58" s="320" t="s">
        <v>156</v>
      </c>
      <c r="O58" s="287">
        <f t="shared" si="10"/>
        <v>0</v>
      </c>
      <c r="P58" s="320" t="s">
        <v>156</v>
      </c>
      <c r="Q58" s="119" t="s">
        <v>239</v>
      </c>
      <c r="R58" s="288" t="str">
        <f t="shared" si="12"/>
        <v>Has not Signed</v>
      </c>
      <c r="S58" t="s">
        <v>158</v>
      </c>
      <c r="U58" t="e">
        <f>VLOOKUP($C58,'Look-up'!$E:$H,3,FALSE)</f>
        <v>#N/A</v>
      </c>
      <c r="V58" t="e">
        <f>VLOOKUP($C58,'Look-up'!$E:$H,4,FALSE)</f>
        <v>#N/A</v>
      </c>
      <c r="W58">
        <f t="shared" si="13"/>
        <v>0</v>
      </c>
      <c r="AA58" t="str">
        <f t="shared" si="4"/>
        <v>[color=red]</v>
      </c>
    </row>
    <row r="59" spans="1:27">
      <c r="A59" t="s">
        <v>154</v>
      </c>
      <c r="B59" t="str">
        <f t="shared" si="7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9"/>
        <v>0</v>
      </c>
      <c r="N59" s="320" t="s">
        <v>156</v>
      </c>
      <c r="O59" s="287">
        <f t="shared" si="10"/>
        <v>0</v>
      </c>
      <c r="P59" s="320" t="s">
        <v>156</v>
      </c>
      <c r="Q59" s="119" t="s">
        <v>239</v>
      </c>
      <c r="R59" s="288" t="str">
        <f t="shared" si="12"/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3"/>
        <v>0</v>
      </c>
      <c r="AA59" t="str">
        <f t="shared" si="4"/>
        <v>[color=red]</v>
      </c>
    </row>
    <row r="60" spans="1:27">
      <c r="A60" t="s">
        <v>154</v>
      </c>
      <c r="B60" t="str">
        <f t="shared" si="7"/>
        <v>[color=red]</v>
      </c>
      <c r="C60" s="294">
        <f>'Members Data'!A19</f>
        <v>0</v>
      </c>
      <c r="D60" s="320" t="s">
        <v>156</v>
      </c>
      <c r="E60" s="295">
        <f>'Members Data'!D19</f>
        <v>0</v>
      </c>
      <c r="F60" s="320" t="s">
        <v>156</v>
      </c>
      <c r="G60" s="296">
        <f>'Members Data'!B19</f>
        <v>0</v>
      </c>
      <c r="H60" s="320" t="s">
        <v>156</v>
      </c>
      <c r="I60" s="286">
        <f>DCC!I19</f>
        <v>0</v>
      </c>
      <c r="J60" s="320" t="s">
        <v>156</v>
      </c>
      <c r="K60" s="287">
        <f>DCC!J19</f>
        <v>0</v>
      </c>
      <c r="L60" s="320" t="s">
        <v>156</v>
      </c>
      <c r="M60" s="287">
        <f t="shared" si="9"/>
        <v>0</v>
      </c>
      <c r="N60" s="320" t="s">
        <v>156</v>
      </c>
      <c r="O60" s="287">
        <f t="shared" si="10"/>
        <v>0</v>
      </c>
      <c r="P60" s="320" t="s">
        <v>156</v>
      </c>
      <c r="Q60" s="119" t="s">
        <v>239</v>
      </c>
      <c r="R60" s="288" t="str">
        <f t="shared" si="12"/>
        <v>Has not Signed</v>
      </c>
      <c r="S60" t="s">
        <v>158</v>
      </c>
      <c r="U60" t="e">
        <f>VLOOKUP($C60,'Look-up'!$E:$H,3,FALSE)</f>
        <v>#N/A</v>
      </c>
      <c r="V60" t="e">
        <f>VLOOKUP($C60,'Look-up'!$E:$H,4,FALSE)</f>
        <v>#N/A</v>
      </c>
      <c r="W60">
        <f t="shared" si="13"/>
        <v>0</v>
      </c>
      <c r="Z60" t="s">
        <v>235</v>
      </c>
      <c r="AA60" t="str">
        <f t="shared" si="4"/>
        <v>[color=red]</v>
      </c>
    </row>
    <row r="61" spans="1:27">
      <c r="A61" t="s">
        <v>154</v>
      </c>
      <c r="B61" t="str">
        <f t="shared" si="7"/>
        <v>[color=red]</v>
      </c>
      <c r="C61" s="294">
        <f>'Members Data'!A38</f>
        <v>0</v>
      </c>
      <c r="D61" s="320" t="s">
        <v>156</v>
      </c>
      <c r="E61" s="295">
        <f>'Members Data'!D38</f>
        <v>0</v>
      </c>
      <c r="F61" s="320" t="s">
        <v>156</v>
      </c>
      <c r="G61" s="296">
        <f>'Members Data'!B38</f>
        <v>0</v>
      </c>
      <c r="H61" s="320" t="s">
        <v>156</v>
      </c>
      <c r="I61" s="286">
        <f>DCC!I38</f>
        <v>0</v>
      </c>
      <c r="J61" s="320" t="s">
        <v>156</v>
      </c>
      <c r="K61" s="287">
        <f>DCC!J38</f>
        <v>0</v>
      </c>
      <c r="L61" s="320" t="s">
        <v>156</v>
      </c>
      <c r="M61" s="287">
        <f t="shared" si="9"/>
        <v>0</v>
      </c>
      <c r="N61" s="320" t="s">
        <v>156</v>
      </c>
      <c r="O61" s="287">
        <f t="shared" si="10"/>
        <v>0</v>
      </c>
      <c r="P61" s="320" t="s">
        <v>156</v>
      </c>
      <c r="Q61" s="119" t="s">
        <v>239</v>
      </c>
      <c r="R61" s="288" t="str">
        <f t="shared" si="12"/>
        <v>Has not Signed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13"/>
        <v>0</v>
      </c>
      <c r="Z61" t="s">
        <v>236</v>
      </c>
      <c r="AA61" t="str">
        <f t="shared" si="4"/>
        <v>[color=red]</v>
      </c>
    </row>
    <row r="62" spans="1:27">
      <c r="A62" t="s">
        <v>154</v>
      </c>
      <c r="B62" t="str">
        <f t="shared" si="7"/>
        <v>[color=red]</v>
      </c>
      <c r="C62" s="294">
        <f>'Members Data'!A22</f>
        <v>0</v>
      </c>
      <c r="D62" s="320" t="s">
        <v>156</v>
      </c>
      <c r="E62" s="295">
        <f>'Members Data'!D22</f>
        <v>0</v>
      </c>
      <c r="F62" s="320" t="s">
        <v>156</v>
      </c>
      <c r="G62" s="296">
        <f>'Members Data'!B22</f>
        <v>0</v>
      </c>
      <c r="H62" s="320" t="s">
        <v>156</v>
      </c>
      <c r="I62" s="286">
        <f>DCC!I22</f>
        <v>0</v>
      </c>
      <c r="J62" s="320" t="s">
        <v>156</v>
      </c>
      <c r="K62" s="287">
        <f>DCC!J22</f>
        <v>0</v>
      </c>
      <c r="L62" s="320" t="s">
        <v>156</v>
      </c>
      <c r="M62" s="287">
        <f t="shared" si="9"/>
        <v>0</v>
      </c>
      <c r="N62" s="320" t="s">
        <v>156</v>
      </c>
      <c r="O62" s="287">
        <f t="shared" si="10"/>
        <v>0</v>
      </c>
      <c r="P62" s="320" t="s">
        <v>156</v>
      </c>
      <c r="Q62" s="119" t="s">
        <v>239</v>
      </c>
      <c r="R62" s="288" t="str">
        <f t="shared" si="12"/>
        <v>Has not Signed</v>
      </c>
      <c r="S62" t="s">
        <v>158</v>
      </c>
      <c r="U62" t="e">
        <f>VLOOKUP($C62,'Look-up'!$E:$H,3,FALSE)</f>
        <v>#N/A</v>
      </c>
      <c r="V62" t="e">
        <f>VLOOKUP($C62,'Look-up'!$E:$H,4,FALSE)</f>
        <v>#N/A</v>
      </c>
      <c r="W62">
        <f t="shared" si="13"/>
        <v>0</v>
      </c>
      <c r="Z62" t="s">
        <v>237</v>
      </c>
      <c r="AA62" t="str">
        <f t="shared" si="4"/>
        <v>[color=red]</v>
      </c>
    </row>
    <row r="63" spans="1:27">
      <c r="A63" t="s">
        <v>154</v>
      </c>
      <c r="B63" t="str">
        <f t="shared" si="7"/>
        <v>[color=red]</v>
      </c>
      <c r="C63" s="294">
        <f>'Members Data'!A15</f>
        <v>0</v>
      </c>
      <c r="D63" s="320" t="s">
        <v>156</v>
      </c>
      <c r="E63" s="295">
        <f>'Members Data'!D15</f>
        <v>0</v>
      </c>
      <c r="F63" s="320" t="s">
        <v>156</v>
      </c>
      <c r="G63" s="296">
        <f>'Members Data'!B15</f>
        <v>0</v>
      </c>
      <c r="H63" s="320" t="s">
        <v>156</v>
      </c>
      <c r="I63" s="286">
        <f>DCC!I15</f>
        <v>0</v>
      </c>
      <c r="J63" s="320" t="s">
        <v>156</v>
      </c>
      <c r="K63" s="287">
        <f>DCC!J15</f>
        <v>0</v>
      </c>
      <c r="L63" s="320" t="s">
        <v>156</v>
      </c>
      <c r="M63" s="287">
        <f t="shared" si="9"/>
        <v>0</v>
      </c>
      <c r="N63" s="320" t="s">
        <v>156</v>
      </c>
      <c r="O63" s="287">
        <f t="shared" si="10"/>
        <v>0</v>
      </c>
      <c r="P63" s="320" t="s">
        <v>156</v>
      </c>
      <c r="Q63" s="119" t="s">
        <v>239</v>
      </c>
      <c r="R63" s="288" t="str">
        <f t="shared" si="12"/>
        <v>Has not Signed</v>
      </c>
      <c r="S63" t="s">
        <v>158</v>
      </c>
      <c r="U63" t="e">
        <f>VLOOKUP($C63,'Look-up'!$E:$H,3,FALSE)</f>
        <v>#N/A</v>
      </c>
      <c r="V63" t="e">
        <f>VLOOKUP($C63,'Look-up'!$E:$H,4,FALSE)</f>
        <v>#N/A</v>
      </c>
      <c r="W63">
        <f t="shared" si="13"/>
        <v>0</v>
      </c>
      <c r="Z63" t="s">
        <v>238</v>
      </c>
      <c r="AA63" t="str">
        <f t="shared" si="4"/>
        <v>[color=red]</v>
      </c>
    </row>
    <row r="64" spans="1:27">
      <c r="A64" t="s">
        <v>154</v>
      </c>
      <c r="B64" t="str">
        <f t="shared" si="7"/>
        <v>[color=green]</v>
      </c>
      <c r="C64" s="294" t="str">
        <f>'Members Data'!A3</f>
        <v>Altrezza</v>
      </c>
      <c r="D64" s="440" t="s">
        <v>156</v>
      </c>
      <c r="E64" s="295" t="str">
        <f>'Members Data'!D3</f>
        <v>Healer</v>
      </c>
      <c r="F64" s="441" t="s">
        <v>156</v>
      </c>
      <c r="G64" s="296" t="str">
        <f>'Members Data'!B3</f>
        <v>Venturer</v>
      </c>
      <c r="H64" s="441" t="s">
        <v>156</v>
      </c>
      <c r="I64" s="286">
        <f>DCC!I3</f>
        <v>4</v>
      </c>
      <c r="J64" s="441" t="s">
        <v>156</v>
      </c>
      <c r="K64" s="287">
        <f>DCC!J3</f>
        <v>2</v>
      </c>
      <c r="L64" s="441" t="s">
        <v>156</v>
      </c>
      <c r="M64" s="287">
        <f t="shared" si="9"/>
        <v>0</v>
      </c>
      <c r="N64" s="441" t="s">
        <v>156</v>
      </c>
      <c r="O64" s="287">
        <f t="shared" si="10"/>
        <v>0</v>
      </c>
      <c r="P64" s="441" t="s">
        <v>156</v>
      </c>
      <c r="Q64" s="119" t="s">
        <v>239</v>
      </c>
      <c r="R64" s="288">
        <f t="shared" si="12"/>
        <v>-4</v>
      </c>
      <c r="S64" t="s">
        <v>158</v>
      </c>
      <c r="U64" t="e">
        <f>VLOOKUP($C64,'Look-up'!$E:$H,3,FALSE)</f>
        <v>#N/A</v>
      </c>
      <c r="V64" t="e">
        <f>VLOOKUP($C64,'Look-up'!$E:$H,4,FALSE)</f>
        <v>#N/A</v>
      </c>
      <c r="W64">
        <f t="shared" si="13"/>
        <v>6</v>
      </c>
      <c r="AA64" t="str">
        <f t="shared" si="4"/>
        <v>[color=green]</v>
      </c>
    </row>
    <row r="65" spans="1:27">
      <c r="A65" t="s">
        <v>154</v>
      </c>
      <c r="B65" t="str">
        <f t="shared" si="7"/>
        <v>[color=green]</v>
      </c>
      <c r="C65" s="294" t="str">
        <f>'Members Data'!A32</f>
        <v>Shinkai</v>
      </c>
      <c r="D65" s="440" t="s">
        <v>156</v>
      </c>
      <c r="E65" s="295" t="str">
        <f>'Members Data'!D32</f>
        <v>Tank</v>
      </c>
      <c r="F65" s="441" t="s">
        <v>156</v>
      </c>
      <c r="G65" s="296" t="str">
        <f>'Members Data'!B32</f>
        <v>Venturer</v>
      </c>
      <c r="H65" s="441" t="s">
        <v>156</v>
      </c>
      <c r="I65" s="286">
        <f>DCC!I32</f>
        <v>4</v>
      </c>
      <c r="J65" s="441" t="s">
        <v>156</v>
      </c>
      <c r="K65" s="287">
        <f>DCC!J32</f>
        <v>0</v>
      </c>
      <c r="L65" s="441" t="s">
        <v>156</v>
      </c>
      <c r="M65" s="287">
        <f t="shared" si="9"/>
        <v>0</v>
      </c>
      <c r="N65" s="441" t="s">
        <v>156</v>
      </c>
      <c r="O65" s="287">
        <f t="shared" si="10"/>
        <v>0</v>
      </c>
      <c r="P65" s="441" t="s">
        <v>156</v>
      </c>
      <c r="Q65" s="119" t="s">
        <v>239</v>
      </c>
      <c r="R65" s="288">
        <f t="shared" si="12"/>
        <v>-8</v>
      </c>
      <c r="S65" t="s">
        <v>158</v>
      </c>
      <c r="U65" t="e">
        <f>VLOOKUP($C65,'Look-up'!$E:$H,3,FALSE)</f>
        <v>#N/A</v>
      </c>
      <c r="V65" t="e">
        <f>VLOOKUP($C65,'Look-up'!$E:$H,4,FALSE)</f>
        <v>#N/A</v>
      </c>
      <c r="W65">
        <f t="shared" si="13"/>
        <v>4</v>
      </c>
      <c r="AA65" t="str">
        <f t="shared" si="4"/>
        <v>[color=green]</v>
      </c>
    </row>
    <row r="66" spans="1:27">
      <c r="A66" t="s">
        <v>154</v>
      </c>
      <c r="B66" t="str">
        <f t="shared" si="7"/>
        <v>[color=red]</v>
      </c>
      <c r="C66" s="294">
        <f>'Members Data'!A2</f>
        <v>0</v>
      </c>
      <c r="D66" s="440" t="s">
        <v>156</v>
      </c>
      <c r="E66" s="295">
        <f>'Members Data'!D2</f>
        <v>0</v>
      </c>
      <c r="F66" s="441" t="s">
        <v>156</v>
      </c>
      <c r="G66" s="296">
        <f>'Members Data'!B2</f>
        <v>0</v>
      </c>
      <c r="H66" s="441" t="s">
        <v>156</v>
      </c>
      <c r="I66" s="286">
        <f>DCC!I2</f>
        <v>0</v>
      </c>
      <c r="J66" s="441" t="s">
        <v>156</v>
      </c>
      <c r="K66" s="287">
        <f>DCC!J2</f>
        <v>0</v>
      </c>
      <c r="L66" s="441" t="s">
        <v>156</v>
      </c>
      <c r="M66" s="287">
        <f t="shared" si="9"/>
        <v>0</v>
      </c>
      <c r="N66" s="441" t="s">
        <v>156</v>
      </c>
      <c r="O66" s="287">
        <f t="shared" si="10"/>
        <v>0</v>
      </c>
      <c r="P66" s="441" t="s">
        <v>156</v>
      </c>
      <c r="Q66" s="119" t="s">
        <v>239</v>
      </c>
      <c r="R66" s="288" t="str">
        <f t="shared" si="12"/>
        <v>Has not Signed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3"/>
        <v>0</v>
      </c>
      <c r="AA66" t="str">
        <f t="shared" si="4"/>
        <v>[color=red]</v>
      </c>
    </row>
    <row r="67" spans="1:27">
      <c r="A67" t="s">
        <v>154</v>
      </c>
      <c r="B67" t="str">
        <f t="shared" si="7"/>
        <v>[color=green]</v>
      </c>
      <c r="C67" s="294" t="str">
        <f>'Members Data'!A17</f>
        <v>Izzabelle</v>
      </c>
      <c r="D67" s="440" t="s">
        <v>156</v>
      </c>
      <c r="E67" s="295" t="str">
        <f>'Members Data'!D17</f>
        <v>Healer</v>
      </c>
      <c r="F67" s="441" t="s">
        <v>156</v>
      </c>
      <c r="G67" s="296" t="str">
        <f>'Members Data'!B17</f>
        <v>Venturer</v>
      </c>
      <c r="H67" s="441" t="s">
        <v>156</v>
      </c>
      <c r="I67" s="286">
        <f>DCC!I17</f>
        <v>5</v>
      </c>
      <c r="J67" s="441" t="s">
        <v>156</v>
      </c>
      <c r="K67" s="287">
        <f>DCC!J17</f>
        <v>0</v>
      </c>
      <c r="L67" s="441" t="s">
        <v>156</v>
      </c>
      <c r="M67" s="287">
        <f t="shared" si="9"/>
        <v>0</v>
      </c>
      <c r="N67" s="441" t="s">
        <v>156</v>
      </c>
      <c r="O67" s="287">
        <f t="shared" si="10"/>
        <v>0</v>
      </c>
      <c r="P67" s="441" t="s">
        <v>156</v>
      </c>
      <c r="Q67" s="119" t="s">
        <v>239</v>
      </c>
      <c r="R67" s="288">
        <f t="shared" si="12"/>
        <v>-10</v>
      </c>
      <c r="S67" t="s">
        <v>158</v>
      </c>
      <c r="U67" t="e">
        <f>VLOOKUP($C67,'Look-up'!$E:$H,3,FALSE)</f>
        <v>#N/A</v>
      </c>
      <c r="V67" t="e">
        <f>VLOOKUP($C67,'Look-up'!$E:$H,4,FALSE)</f>
        <v>#N/A</v>
      </c>
      <c r="W67">
        <f t="shared" si="13"/>
        <v>5</v>
      </c>
      <c r="AA67" t="str">
        <f t="shared" si="4"/>
        <v>[color=green]</v>
      </c>
    </row>
    <row r="68" spans="1:27">
      <c r="A68" t="s">
        <v>154</v>
      </c>
      <c r="B68" t="str">
        <f t="shared" si="7"/>
        <v>[color=green]</v>
      </c>
      <c r="C68" s="294" t="str">
        <f>'Members Data'!A45</f>
        <v>Shalist</v>
      </c>
      <c r="D68" s="440" t="s">
        <v>156</v>
      </c>
      <c r="E68" s="295" t="str">
        <f>'Members Data'!D45</f>
        <v>Healer</v>
      </c>
      <c r="F68" s="441" t="s">
        <v>156</v>
      </c>
      <c r="G68" s="296" t="str">
        <f>'Members Data'!B45</f>
        <v>Venturer</v>
      </c>
      <c r="H68" s="441" t="s">
        <v>156</v>
      </c>
      <c r="I68" s="286">
        <f>DCC!I45</f>
        <v>5</v>
      </c>
      <c r="J68" s="441" t="s">
        <v>156</v>
      </c>
      <c r="K68" s="287">
        <f>DCC!J45</f>
        <v>2</v>
      </c>
      <c r="L68" s="441" t="s">
        <v>156</v>
      </c>
      <c r="M68" s="287">
        <f t="shared" si="9"/>
        <v>0</v>
      </c>
      <c r="N68" s="441" t="s">
        <v>156</v>
      </c>
      <c r="O68" s="287">
        <f t="shared" si="10"/>
        <v>0</v>
      </c>
      <c r="P68" s="441" t="s">
        <v>156</v>
      </c>
      <c r="Q68" s="119" t="s">
        <v>239</v>
      </c>
      <c r="R68" s="288">
        <f t="shared" si="12"/>
        <v>-6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3"/>
        <v>7</v>
      </c>
      <c r="AA68" t="str">
        <f t="shared" ref="AA68:AA103" si="14">IF(R68 &gt;0, "[color=red]", IF(R68 =0, "[color=orange]", IF(R68 &lt;-11,  "[color=blue]", "[color=green]")))</f>
        <v>[color=green]</v>
      </c>
    </row>
    <row r="69" spans="1:27" hidden="1">
      <c r="B69" t="str">
        <f t="shared" si="7"/>
        <v>[color=red]</v>
      </c>
      <c r="C69" s="294">
        <f>'Members Data'!A50</f>
        <v>0</v>
      </c>
      <c r="D69" s="440" t="s">
        <v>156</v>
      </c>
      <c r="E69" s="295">
        <f>'Members Data'!D50</f>
        <v>0</v>
      </c>
      <c r="F69" s="441" t="s">
        <v>156</v>
      </c>
      <c r="G69" s="296">
        <f>'Members Data'!B50</f>
        <v>0</v>
      </c>
      <c r="H69" s="441" t="s">
        <v>156</v>
      </c>
      <c r="I69" s="286">
        <f>DCC!I50</f>
        <v>0</v>
      </c>
      <c r="J69" s="441" t="s">
        <v>156</v>
      </c>
      <c r="K69" s="287">
        <f>DCC!J50</f>
        <v>0</v>
      </c>
      <c r="L69" s="441" t="s">
        <v>156</v>
      </c>
      <c r="M69" s="287">
        <f t="shared" si="9"/>
        <v>0</v>
      </c>
      <c r="N69" s="441" t="s">
        <v>156</v>
      </c>
      <c r="O69" s="287">
        <f t="shared" si="10"/>
        <v>0</v>
      </c>
      <c r="P69" s="441" t="s">
        <v>156</v>
      </c>
      <c r="Q69" s="119" t="s">
        <v>239</v>
      </c>
      <c r="R69" s="288" t="str">
        <f t="shared" si="12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3"/>
        <v>0</v>
      </c>
      <c r="AA69" t="str">
        <f t="shared" si="14"/>
        <v>[color=red]</v>
      </c>
    </row>
    <row r="70" spans="1:27">
      <c r="A70" t="s">
        <v>154</v>
      </c>
      <c r="B70" t="str">
        <f t="shared" si="7"/>
        <v>[color=green]</v>
      </c>
      <c r="C70" s="294" t="str">
        <f>'Members Data'!A37</f>
        <v>Warriorxz</v>
      </c>
      <c r="D70" s="440" t="s">
        <v>156</v>
      </c>
      <c r="E70" s="295" t="str">
        <f>'Members Data'!D37</f>
        <v>MDPS</v>
      </c>
      <c r="F70" s="441" t="s">
        <v>156</v>
      </c>
      <c r="G70" s="296" t="str">
        <f>'Members Data'!B37</f>
        <v>Venturer</v>
      </c>
      <c r="H70" s="441" t="s">
        <v>156</v>
      </c>
      <c r="I70" s="286">
        <f>DCC!I37</f>
        <v>6</v>
      </c>
      <c r="J70" s="441" t="s">
        <v>156</v>
      </c>
      <c r="K70" s="287">
        <f>DCC!J37</f>
        <v>2</v>
      </c>
      <c r="L70" s="441" t="s">
        <v>156</v>
      </c>
      <c r="M70" s="287">
        <f t="shared" ref="M70:M103" si="15">IF(ISNA(U70),0,U70)</f>
        <v>0</v>
      </c>
      <c r="N70" s="441" t="s">
        <v>156</v>
      </c>
      <c r="O70" s="287">
        <f t="shared" ref="O70:O103" si="16">IF(ISNA(V70),0,V70)</f>
        <v>0</v>
      </c>
      <c r="P70" s="441" t="s">
        <v>156</v>
      </c>
      <c r="Q70" s="119" t="s">
        <v>239</v>
      </c>
      <c r="R70" s="288">
        <f t="shared" si="12"/>
        <v>-8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13"/>
        <v>8</v>
      </c>
      <c r="AA70" t="str">
        <f t="shared" si="14"/>
        <v>[color=green]</v>
      </c>
    </row>
    <row r="71" spans="1:27">
      <c r="A71" t="s">
        <v>154</v>
      </c>
      <c r="B71" t="str">
        <f t="shared" si="7"/>
        <v>[color=blue]</v>
      </c>
      <c r="C71" s="294" t="str">
        <f>'Members Data'!A5</f>
        <v>Andreah</v>
      </c>
      <c r="D71" s="440" t="s">
        <v>156</v>
      </c>
      <c r="E71" s="295" t="str">
        <f>'Members Data'!D5</f>
        <v>RDPS</v>
      </c>
      <c r="F71" s="441" t="s">
        <v>156</v>
      </c>
      <c r="G71" s="296" t="str">
        <f>'Members Data'!B5</f>
        <v>Venturer</v>
      </c>
      <c r="H71" s="441" t="s">
        <v>156</v>
      </c>
      <c r="I71" s="286">
        <f>DCC!I5</f>
        <v>7</v>
      </c>
      <c r="J71" s="441" t="s">
        <v>156</v>
      </c>
      <c r="K71" s="287">
        <f>DCC!J5</f>
        <v>1</v>
      </c>
      <c r="L71" s="441" t="s">
        <v>156</v>
      </c>
      <c r="M71" s="287">
        <f t="shared" si="15"/>
        <v>0</v>
      </c>
      <c r="N71" s="441" t="s">
        <v>156</v>
      </c>
      <c r="O71" s="287">
        <f t="shared" si="16"/>
        <v>0</v>
      </c>
      <c r="P71" s="441" t="s">
        <v>156</v>
      </c>
      <c r="Q71" s="119" t="s">
        <v>239</v>
      </c>
      <c r="R71" s="288">
        <f t="shared" si="12"/>
        <v>-12</v>
      </c>
      <c r="S71" t="s">
        <v>158</v>
      </c>
      <c r="U71" t="e">
        <f>VLOOKUP($C71,'Look-up'!$E:$H,3,FALSE)</f>
        <v>#N/A</v>
      </c>
      <c r="V71" t="e">
        <f>VLOOKUP($C71,'Look-up'!$E:$H,4,FALSE)</f>
        <v>#N/A</v>
      </c>
      <c r="W71">
        <f t="shared" si="13"/>
        <v>8</v>
      </c>
      <c r="AA71" t="str">
        <f t="shared" si="14"/>
        <v>[color=blue]</v>
      </c>
    </row>
    <row r="72" spans="1:27">
      <c r="A72" t="s">
        <v>154</v>
      </c>
      <c r="B72" t="str">
        <f t="shared" ref="B72:B103" si="17">IF(R72 &gt;0, "[color=red]", IF(R72 =0, "[color=orange]", IF(R72 &lt;-11,  "[color=blue]", "[color=green]")))</f>
        <v>[color=blue]</v>
      </c>
      <c r="C72" s="294" t="str">
        <f>'Members Data'!A44</f>
        <v>Atlanthia</v>
      </c>
      <c r="D72" s="440" t="s">
        <v>156</v>
      </c>
      <c r="E72" s="295" t="str">
        <f>'Members Data'!D44</f>
        <v>RDPS</v>
      </c>
      <c r="F72" s="441" t="s">
        <v>156</v>
      </c>
      <c r="G72" s="296" t="str">
        <f>'Members Data'!B44</f>
        <v>Venturer</v>
      </c>
      <c r="H72" s="441" t="s">
        <v>156</v>
      </c>
      <c r="I72" s="286">
        <f>DCC!I44</f>
        <v>7</v>
      </c>
      <c r="J72" s="441" t="s">
        <v>156</v>
      </c>
      <c r="K72" s="287">
        <f>DCC!J44</f>
        <v>0</v>
      </c>
      <c r="L72" s="441" t="s">
        <v>156</v>
      </c>
      <c r="M72" s="287">
        <f t="shared" si="15"/>
        <v>0</v>
      </c>
      <c r="N72" s="441" t="s">
        <v>156</v>
      </c>
      <c r="O72" s="287">
        <f t="shared" si="16"/>
        <v>0</v>
      </c>
      <c r="P72" s="441" t="s">
        <v>156</v>
      </c>
      <c r="Q72" s="119" t="s">
        <v>239</v>
      </c>
      <c r="R72" s="288">
        <f t="shared" si="12"/>
        <v>-14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3"/>
        <v>7</v>
      </c>
      <c r="AA72" t="str">
        <f t="shared" si="14"/>
        <v>[color=blue]</v>
      </c>
    </row>
    <row r="73" spans="1:27">
      <c r="A73" t="s">
        <v>154</v>
      </c>
      <c r="B73" t="str">
        <f t="shared" si="17"/>
        <v>[color=green]</v>
      </c>
      <c r="C73" s="294" t="str">
        <f>'Members Data'!A11</f>
        <v>Darsid</v>
      </c>
      <c r="D73" s="440" t="s">
        <v>156</v>
      </c>
      <c r="E73" s="295" t="str">
        <f>'Members Data'!D11</f>
        <v>MDPS</v>
      </c>
      <c r="F73" s="441" t="s">
        <v>156</v>
      </c>
      <c r="G73" s="296" t="str">
        <f>'Members Data'!B11</f>
        <v>Venturer</v>
      </c>
      <c r="H73" s="441" t="s">
        <v>156</v>
      </c>
      <c r="I73" s="286">
        <f>DCC!I11</f>
        <v>7</v>
      </c>
      <c r="J73" s="441" t="s">
        <v>156</v>
      </c>
      <c r="K73" s="287">
        <f>DCC!J11</f>
        <v>2</v>
      </c>
      <c r="L73" s="441" t="s">
        <v>156</v>
      </c>
      <c r="M73" s="287">
        <f t="shared" si="15"/>
        <v>0</v>
      </c>
      <c r="N73" s="441" t="s">
        <v>156</v>
      </c>
      <c r="O73" s="287">
        <f t="shared" si="16"/>
        <v>0</v>
      </c>
      <c r="P73" s="441" t="s">
        <v>156</v>
      </c>
      <c r="Q73" s="119" t="s">
        <v>239</v>
      </c>
      <c r="R73" s="288">
        <f t="shared" si="12"/>
        <v>-10</v>
      </c>
      <c r="S73" t="s">
        <v>158</v>
      </c>
      <c r="U73" t="e">
        <f>VLOOKUP($C73,'Look-up'!$E:$H,3,FALSE)</f>
        <v>#N/A</v>
      </c>
      <c r="V73" t="e">
        <f>VLOOKUP($C73,'Look-up'!$E:$H,4,FALSE)</f>
        <v>#N/A</v>
      </c>
      <c r="W73">
        <f t="shared" si="13"/>
        <v>9</v>
      </c>
      <c r="AA73" t="str">
        <f t="shared" si="14"/>
        <v>[color=green]</v>
      </c>
    </row>
    <row r="74" spans="1:27">
      <c r="A74" t="s">
        <v>154</v>
      </c>
      <c r="B74" t="str">
        <f t="shared" si="17"/>
        <v>[color=red]</v>
      </c>
      <c r="C74" s="294">
        <f>'Members Data'!A6</f>
        <v>0</v>
      </c>
      <c r="D74" s="440" t="s">
        <v>156</v>
      </c>
      <c r="E74" s="295">
        <f>'Members Data'!D6</f>
        <v>0</v>
      </c>
      <c r="F74" s="441" t="s">
        <v>156</v>
      </c>
      <c r="G74" s="296">
        <f>'Members Data'!B6</f>
        <v>0</v>
      </c>
      <c r="H74" s="441" t="s">
        <v>156</v>
      </c>
      <c r="I74" s="286">
        <f>DCC!I6</f>
        <v>0</v>
      </c>
      <c r="J74" s="441" t="s">
        <v>156</v>
      </c>
      <c r="K74" s="287">
        <f>DCC!J6</f>
        <v>0</v>
      </c>
      <c r="L74" s="441" t="s">
        <v>156</v>
      </c>
      <c r="M74" s="287">
        <f t="shared" si="15"/>
        <v>0</v>
      </c>
      <c r="N74" s="441" t="s">
        <v>156</v>
      </c>
      <c r="O74" s="287">
        <f t="shared" si="16"/>
        <v>0</v>
      </c>
      <c r="P74" s="441" t="s">
        <v>156</v>
      </c>
      <c r="Q74" s="119" t="s">
        <v>239</v>
      </c>
      <c r="R74" s="288" t="str">
        <f t="shared" si="12"/>
        <v>Has not Signed</v>
      </c>
      <c r="S74" t="s">
        <v>158</v>
      </c>
      <c r="U74" t="e">
        <f>VLOOKUP($C74,'Look-up'!$E:$H,3,FALSE)</f>
        <v>#N/A</v>
      </c>
      <c r="V74" t="e">
        <f>VLOOKUP($C74,'Look-up'!$E:$H,4,FALSE)</f>
        <v>#N/A</v>
      </c>
      <c r="W74">
        <f t="shared" si="13"/>
        <v>0</v>
      </c>
      <c r="AA74" t="str">
        <f t="shared" si="14"/>
        <v>[color=red]</v>
      </c>
    </row>
    <row r="75" spans="1:27">
      <c r="A75" t="s">
        <v>154</v>
      </c>
      <c r="B75" t="str">
        <f t="shared" si="17"/>
        <v>[color=blue]</v>
      </c>
      <c r="C75" s="294" t="str">
        <f>'Members Data'!A20</f>
        <v>Lychi</v>
      </c>
      <c r="D75" s="440" t="s">
        <v>156</v>
      </c>
      <c r="E75" s="295" t="str">
        <f>'Members Data'!D20</f>
        <v>Healer</v>
      </c>
      <c r="F75" s="441" t="s">
        <v>156</v>
      </c>
      <c r="G75" s="296" t="str">
        <f>'Members Data'!B20</f>
        <v>Venturer</v>
      </c>
      <c r="H75" s="441" t="s">
        <v>156</v>
      </c>
      <c r="I75" s="286">
        <f>DCC!I20</f>
        <v>8</v>
      </c>
      <c r="J75" s="441" t="s">
        <v>156</v>
      </c>
      <c r="K75" s="287">
        <f>DCC!J20</f>
        <v>2</v>
      </c>
      <c r="L75" s="441" t="s">
        <v>156</v>
      </c>
      <c r="M75" s="287">
        <f t="shared" si="15"/>
        <v>0</v>
      </c>
      <c r="N75" s="441" t="s">
        <v>156</v>
      </c>
      <c r="O75" s="287">
        <f t="shared" si="16"/>
        <v>0</v>
      </c>
      <c r="P75" s="441" t="s">
        <v>156</v>
      </c>
      <c r="Q75" s="119" t="s">
        <v>239</v>
      </c>
      <c r="R75" s="288">
        <f t="shared" si="12"/>
        <v>-12</v>
      </c>
      <c r="S75" t="s">
        <v>158</v>
      </c>
      <c r="U75" t="e">
        <f>VLOOKUP($C75,'Look-up'!$E:$H,3,FALSE)</f>
        <v>#N/A</v>
      </c>
      <c r="V75" t="e">
        <f>VLOOKUP($C75,'Look-up'!$E:$H,4,FALSE)</f>
        <v>#N/A</v>
      </c>
      <c r="W75">
        <f t="shared" si="13"/>
        <v>10</v>
      </c>
      <c r="AA75" t="str">
        <f t="shared" si="14"/>
        <v>[color=blue]</v>
      </c>
    </row>
    <row r="76" spans="1:27">
      <c r="A76" t="s">
        <v>154</v>
      </c>
      <c r="B76" t="str">
        <f t="shared" si="17"/>
        <v>[color=blue]</v>
      </c>
      <c r="C76" s="294" t="str">
        <f>'Members Data'!A16</f>
        <v>Incharge</v>
      </c>
      <c r="D76" s="440" t="s">
        <v>156</v>
      </c>
      <c r="E76" s="295" t="str">
        <f>'Members Data'!D16</f>
        <v>RDPS</v>
      </c>
      <c r="F76" s="441" t="s">
        <v>156</v>
      </c>
      <c r="G76" s="296" t="str">
        <f>'Members Data'!B16</f>
        <v>Venturer</v>
      </c>
      <c r="H76" s="441" t="s">
        <v>156</v>
      </c>
      <c r="I76" s="286">
        <f>DCC!I16</f>
        <v>8</v>
      </c>
      <c r="J76" s="441" t="s">
        <v>156</v>
      </c>
      <c r="K76" s="287">
        <f>DCC!J16</f>
        <v>1</v>
      </c>
      <c r="L76" s="441" t="s">
        <v>156</v>
      </c>
      <c r="M76" s="287">
        <f t="shared" si="15"/>
        <v>0</v>
      </c>
      <c r="N76" s="441" t="s">
        <v>156</v>
      </c>
      <c r="O76" s="287">
        <f t="shared" si="16"/>
        <v>0</v>
      </c>
      <c r="P76" s="441" t="s">
        <v>156</v>
      </c>
      <c r="Q76" s="119" t="s">
        <v>239</v>
      </c>
      <c r="R76" s="288">
        <f t="shared" si="12"/>
        <v>-14</v>
      </c>
      <c r="S76" t="s">
        <v>158</v>
      </c>
      <c r="U76" t="e">
        <f>VLOOKUP($C76,'Look-up'!$E:$H,3,FALSE)</f>
        <v>#N/A</v>
      </c>
      <c r="V76" t="e">
        <f>VLOOKUP($C76,'Look-up'!$E:$H,4,FALSE)</f>
        <v>#N/A</v>
      </c>
      <c r="W76">
        <f t="shared" si="13"/>
        <v>9</v>
      </c>
      <c r="AA76" t="str">
        <f t="shared" si="14"/>
        <v>[color=blue]</v>
      </c>
    </row>
    <row r="77" spans="1:27">
      <c r="A77" t="s">
        <v>154</v>
      </c>
      <c r="B77" t="str">
        <f t="shared" si="17"/>
        <v>[color=blue]</v>
      </c>
      <c r="C77" s="294" t="str">
        <f>'Members Data'!A35</f>
        <v>Torwen</v>
      </c>
      <c r="D77" s="440" t="s">
        <v>156</v>
      </c>
      <c r="E77" s="295" t="str">
        <f>'Members Data'!D35</f>
        <v>RDPS</v>
      </c>
      <c r="F77" s="441" t="s">
        <v>156</v>
      </c>
      <c r="G77" s="296" t="str">
        <f>'Members Data'!B35</f>
        <v>Venturer</v>
      </c>
      <c r="H77" s="441" t="s">
        <v>156</v>
      </c>
      <c r="I77" s="286">
        <f>DCC!I35</f>
        <v>8</v>
      </c>
      <c r="J77" s="441" t="s">
        <v>156</v>
      </c>
      <c r="K77" s="287">
        <f>DCC!J35</f>
        <v>2</v>
      </c>
      <c r="L77" s="441" t="s">
        <v>156</v>
      </c>
      <c r="M77" s="287">
        <f t="shared" si="15"/>
        <v>0</v>
      </c>
      <c r="N77" s="441" t="s">
        <v>156</v>
      </c>
      <c r="O77" s="287">
        <f t="shared" si="16"/>
        <v>0</v>
      </c>
      <c r="P77" s="441" t="s">
        <v>156</v>
      </c>
      <c r="Q77" s="119" t="s">
        <v>239</v>
      </c>
      <c r="R77" s="288">
        <f t="shared" si="12"/>
        <v>-12</v>
      </c>
      <c r="S77" t="s">
        <v>158</v>
      </c>
      <c r="U77" t="e">
        <f>VLOOKUP($C77,'Look-up'!$E:$H,3,FALSE)</f>
        <v>#N/A</v>
      </c>
      <c r="V77" t="e">
        <f>VLOOKUP($C77,'Look-up'!$E:$H,4,FALSE)</f>
        <v>#N/A</v>
      </c>
      <c r="W77">
        <f t="shared" si="13"/>
        <v>10</v>
      </c>
      <c r="AA77" t="str">
        <f t="shared" si="14"/>
        <v>[color=blue]</v>
      </c>
    </row>
    <row r="78" spans="1:27">
      <c r="A78" t="s">
        <v>154</v>
      </c>
      <c r="B78" t="str">
        <f t="shared" si="17"/>
        <v>[color=blue]</v>
      </c>
      <c r="C78" s="294" t="str">
        <f>'Members Data'!A26</f>
        <v>Niiwa</v>
      </c>
      <c r="D78" s="440" t="s">
        <v>156</v>
      </c>
      <c r="E78" s="295" t="str">
        <f>'Members Data'!D26</f>
        <v>RDPS</v>
      </c>
      <c r="F78" s="441" t="s">
        <v>156</v>
      </c>
      <c r="G78" s="296" t="str">
        <f>'Members Data'!B26</f>
        <v>Venturer</v>
      </c>
      <c r="H78" s="441" t="s">
        <v>156</v>
      </c>
      <c r="I78" s="286">
        <f>DCC!I26</f>
        <v>10</v>
      </c>
      <c r="J78" s="441" t="s">
        <v>156</v>
      </c>
      <c r="K78" s="287">
        <f>DCC!J26</f>
        <v>2</v>
      </c>
      <c r="L78" s="441" t="s">
        <v>156</v>
      </c>
      <c r="M78" s="287">
        <f t="shared" si="15"/>
        <v>0</v>
      </c>
      <c r="N78" s="441" t="s">
        <v>156</v>
      </c>
      <c r="O78" s="287">
        <f t="shared" si="16"/>
        <v>0</v>
      </c>
      <c r="P78" s="441" t="s">
        <v>156</v>
      </c>
      <c r="Q78" s="119" t="s">
        <v>239</v>
      </c>
      <c r="R78" s="288">
        <f t="shared" si="12"/>
        <v>-16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3"/>
        <v>12</v>
      </c>
      <c r="AA78" t="str">
        <f t="shared" si="14"/>
        <v>[color=blue]</v>
      </c>
    </row>
    <row r="79" spans="1:27">
      <c r="A79" t="s">
        <v>154</v>
      </c>
      <c r="B79" t="str">
        <f t="shared" si="17"/>
        <v>[color=blue]</v>
      </c>
      <c r="C79" s="294" t="str">
        <f>'Members Data'!A14</f>
        <v>Halfhorns</v>
      </c>
      <c r="D79" s="440" t="s">
        <v>156</v>
      </c>
      <c r="E79" s="295" t="str">
        <f>'Members Data'!D14</f>
        <v>MDPS</v>
      </c>
      <c r="F79" s="441" t="s">
        <v>156</v>
      </c>
      <c r="G79" s="296" t="str">
        <f>'Members Data'!B14</f>
        <v>Venturer</v>
      </c>
      <c r="H79" s="441" t="s">
        <v>156</v>
      </c>
      <c r="I79" s="286">
        <f>DCC!I14</f>
        <v>7</v>
      </c>
      <c r="J79" s="441" t="s">
        <v>156</v>
      </c>
      <c r="K79" s="287">
        <f>DCC!J14</f>
        <v>1</v>
      </c>
      <c r="L79" s="441" t="s">
        <v>156</v>
      </c>
      <c r="M79" s="287">
        <f t="shared" si="15"/>
        <v>0</v>
      </c>
      <c r="N79" s="441" t="s">
        <v>156</v>
      </c>
      <c r="O79" s="287">
        <f t="shared" si="16"/>
        <v>0</v>
      </c>
      <c r="P79" s="441" t="s">
        <v>156</v>
      </c>
      <c r="Q79" s="119" t="s">
        <v>239</v>
      </c>
      <c r="R79" s="288">
        <f t="shared" si="12"/>
        <v>-12</v>
      </c>
      <c r="S79" t="s">
        <v>158</v>
      </c>
      <c r="U79" t="e">
        <f>VLOOKUP($C79,'Look-up'!$E:$H,3,FALSE)</f>
        <v>#N/A</v>
      </c>
      <c r="V79" t="e">
        <f>VLOOKUP($C79,'Look-up'!$E:$H,4,FALSE)</f>
        <v>#N/A</v>
      </c>
      <c r="W79">
        <f t="shared" si="13"/>
        <v>8</v>
      </c>
      <c r="AA79" t="str">
        <f t="shared" si="14"/>
        <v>[color=blue]</v>
      </c>
    </row>
    <row r="80" spans="1:27">
      <c r="A80" t="s">
        <v>154</v>
      </c>
      <c r="B80" t="str">
        <f t="shared" si="17"/>
        <v>[color=blue]</v>
      </c>
      <c r="C80" s="294" t="str">
        <f>'Members Data'!A28</f>
        <v>Onemanforest</v>
      </c>
      <c r="D80" s="440" t="s">
        <v>156</v>
      </c>
      <c r="E80" s="295" t="str">
        <f>'Members Data'!D28</f>
        <v>Tank</v>
      </c>
      <c r="F80" s="441" t="s">
        <v>156</v>
      </c>
      <c r="G80" s="296" t="str">
        <f>'Members Data'!B28</f>
        <v>Venturer</v>
      </c>
      <c r="H80" s="441" t="s">
        <v>156</v>
      </c>
      <c r="I80" s="286">
        <f>DCC!I28</f>
        <v>11</v>
      </c>
      <c r="J80" s="441" t="s">
        <v>156</v>
      </c>
      <c r="K80" s="287">
        <f>DCC!J28</f>
        <v>2</v>
      </c>
      <c r="L80" s="441" t="s">
        <v>156</v>
      </c>
      <c r="M80" s="287">
        <f t="shared" si="15"/>
        <v>0</v>
      </c>
      <c r="N80" s="441" t="s">
        <v>156</v>
      </c>
      <c r="O80" s="287">
        <f t="shared" si="16"/>
        <v>0</v>
      </c>
      <c r="P80" s="441" t="s">
        <v>156</v>
      </c>
      <c r="Q80" s="119" t="s">
        <v>239</v>
      </c>
      <c r="R80" s="288">
        <f t="shared" si="12"/>
        <v>-18</v>
      </c>
      <c r="S80" t="s">
        <v>158</v>
      </c>
      <c r="U80" t="e">
        <f>VLOOKUP($C80,'Look-up'!$E:$H,3,FALSE)</f>
        <v>#N/A</v>
      </c>
      <c r="V80" t="e">
        <f>VLOOKUP($C80,'Look-up'!$E:$H,4,FALSE)</f>
        <v>#N/A</v>
      </c>
      <c r="W80">
        <f t="shared" si="13"/>
        <v>13</v>
      </c>
      <c r="AA80" t="str">
        <f t="shared" si="14"/>
        <v>[color=blue]</v>
      </c>
    </row>
    <row r="81" spans="1:27">
      <c r="A81" t="s">
        <v>154</v>
      </c>
      <c r="B81" t="str">
        <f t="shared" si="17"/>
        <v>[color=blue]</v>
      </c>
      <c r="C81" s="294" t="str">
        <f>'Members Data'!A30</f>
        <v>Revlash</v>
      </c>
      <c r="D81" s="440" t="s">
        <v>156</v>
      </c>
      <c r="E81" s="295" t="str">
        <f>'Members Data'!D30</f>
        <v>RDPS</v>
      </c>
      <c r="F81" s="441" t="s">
        <v>156</v>
      </c>
      <c r="G81" s="296" t="str">
        <f>'Members Data'!B30</f>
        <v>Venturer</v>
      </c>
      <c r="H81" s="441" t="s">
        <v>156</v>
      </c>
      <c r="I81" s="286">
        <f>DCC!I30</f>
        <v>8</v>
      </c>
      <c r="J81" s="441" t="s">
        <v>156</v>
      </c>
      <c r="K81" s="287">
        <f>DCC!J30</f>
        <v>2</v>
      </c>
      <c r="L81" s="441" t="s">
        <v>156</v>
      </c>
      <c r="M81" s="287">
        <f t="shared" si="15"/>
        <v>0</v>
      </c>
      <c r="N81" s="441" t="s">
        <v>156</v>
      </c>
      <c r="O81" s="287">
        <f t="shared" si="16"/>
        <v>0</v>
      </c>
      <c r="P81" s="441" t="s">
        <v>156</v>
      </c>
      <c r="Q81" s="119" t="s">
        <v>239</v>
      </c>
      <c r="R81" s="288">
        <f t="shared" si="12"/>
        <v>-12</v>
      </c>
      <c r="S81" t="s">
        <v>158</v>
      </c>
      <c r="U81" t="e">
        <f>VLOOKUP($C81,'Look-up'!$E:$H,3,FALSE)</f>
        <v>#N/A</v>
      </c>
      <c r="V81" t="e">
        <f>VLOOKUP($C81,'Look-up'!$E:$H,4,FALSE)</f>
        <v>#N/A</v>
      </c>
      <c r="W81">
        <f t="shared" si="13"/>
        <v>10</v>
      </c>
      <c r="AA81" t="str">
        <f t="shared" si="14"/>
        <v>[color=blue]</v>
      </c>
    </row>
    <row r="82" spans="1:27">
      <c r="A82" t="s">
        <v>154</v>
      </c>
      <c r="B82" t="str">
        <f t="shared" si="17"/>
        <v>[color=blue]</v>
      </c>
      <c r="C82" s="294" t="str">
        <f>'Members Data'!A10</f>
        <v>Craving</v>
      </c>
      <c r="D82" s="440" t="s">
        <v>156</v>
      </c>
      <c r="E82" s="295" t="str">
        <f>'Members Data'!D10</f>
        <v>MDPS</v>
      </c>
      <c r="F82" s="441" t="s">
        <v>156</v>
      </c>
      <c r="G82" s="296" t="str">
        <f>'Members Data'!B10</f>
        <v>Venturer</v>
      </c>
      <c r="H82" s="441" t="s">
        <v>156</v>
      </c>
      <c r="I82" s="286">
        <f>DCC!I10</f>
        <v>11</v>
      </c>
      <c r="J82" s="441" t="s">
        <v>156</v>
      </c>
      <c r="K82" s="287">
        <f>DCC!J10</f>
        <v>2</v>
      </c>
      <c r="L82" s="441" t="s">
        <v>156</v>
      </c>
      <c r="M82" s="287">
        <f t="shared" si="15"/>
        <v>0</v>
      </c>
      <c r="N82" s="441" t="s">
        <v>156</v>
      </c>
      <c r="O82" s="287">
        <f t="shared" si="16"/>
        <v>0</v>
      </c>
      <c r="P82" s="441" t="s">
        <v>156</v>
      </c>
      <c r="Q82" s="119" t="s">
        <v>239</v>
      </c>
      <c r="R82" s="288">
        <f t="shared" si="12"/>
        <v>-18</v>
      </c>
      <c r="S82" t="s">
        <v>158</v>
      </c>
      <c r="U82" t="e">
        <f>VLOOKUP($C82,'Look-up'!$E:$H,3,FALSE)</f>
        <v>#N/A</v>
      </c>
      <c r="V82" t="e">
        <f>VLOOKUP($C82,'Look-up'!$E:$H,4,FALSE)</f>
        <v>#N/A</v>
      </c>
      <c r="W82">
        <f t="shared" si="13"/>
        <v>13</v>
      </c>
      <c r="AA82" t="str">
        <f t="shared" si="14"/>
        <v>[color=blue]</v>
      </c>
    </row>
    <row r="83" spans="1:27" hidden="1">
      <c r="B83" t="str">
        <f t="shared" si="17"/>
        <v>[color=red]</v>
      </c>
      <c r="C83" s="294">
        <f>'Members Data'!A48</f>
        <v>0</v>
      </c>
      <c r="D83" s="440" t="s">
        <v>156</v>
      </c>
      <c r="E83" s="295">
        <f>'Members Data'!D48</f>
        <v>0</v>
      </c>
      <c r="F83" s="441" t="s">
        <v>156</v>
      </c>
      <c r="G83" s="296">
        <f>'Members Data'!B48</f>
        <v>0</v>
      </c>
      <c r="H83" s="441" t="s">
        <v>156</v>
      </c>
      <c r="I83" s="286">
        <f>DCC!I48</f>
        <v>0</v>
      </c>
      <c r="J83" s="441" t="s">
        <v>156</v>
      </c>
      <c r="K83" s="287">
        <f>DCC!J48</f>
        <v>0</v>
      </c>
      <c r="L83" s="441" t="s">
        <v>156</v>
      </c>
      <c r="M83" s="287">
        <f t="shared" si="15"/>
        <v>0</v>
      </c>
      <c r="N83" s="441" t="s">
        <v>156</v>
      </c>
      <c r="O83" s="287">
        <f t="shared" si="16"/>
        <v>0</v>
      </c>
      <c r="P83" s="441" t="s">
        <v>156</v>
      </c>
      <c r="Q83" s="119" t="s">
        <v>239</v>
      </c>
      <c r="R83" s="288" t="str">
        <f t="shared" si="12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3"/>
        <v>0</v>
      </c>
      <c r="AA83" t="str">
        <f t="shared" si="14"/>
        <v>[color=red]</v>
      </c>
    </row>
    <row r="84" spans="1:27">
      <c r="A84" t="s">
        <v>154</v>
      </c>
      <c r="B84" t="str">
        <f t="shared" si="17"/>
        <v>[color=blue]</v>
      </c>
      <c r="C84" s="294" t="str">
        <f>'Members Data'!A41</f>
        <v>Bishamonten</v>
      </c>
      <c r="D84" s="440" t="s">
        <v>156</v>
      </c>
      <c r="E84" s="295" t="str">
        <f>'Members Data'!D41</f>
        <v>MDPS</v>
      </c>
      <c r="F84" s="441" t="s">
        <v>156</v>
      </c>
      <c r="G84" s="296" t="str">
        <f>'Members Data'!B41</f>
        <v>Venturer</v>
      </c>
      <c r="H84" s="441" t="s">
        <v>156</v>
      </c>
      <c r="I84" s="286">
        <f>DCC!I41</f>
        <v>9</v>
      </c>
      <c r="J84" s="441" t="s">
        <v>156</v>
      </c>
      <c r="K84" s="287">
        <f>DCC!J41</f>
        <v>0</v>
      </c>
      <c r="L84" s="441" t="s">
        <v>156</v>
      </c>
      <c r="M84" s="287">
        <f t="shared" si="15"/>
        <v>0</v>
      </c>
      <c r="N84" s="441" t="s">
        <v>156</v>
      </c>
      <c r="O84" s="287">
        <f t="shared" si="16"/>
        <v>0</v>
      </c>
      <c r="P84" s="441" t="s">
        <v>156</v>
      </c>
      <c r="Q84" s="119" t="s">
        <v>239</v>
      </c>
      <c r="R84" s="288">
        <f t="shared" si="12"/>
        <v>-18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3"/>
        <v>9</v>
      </c>
      <c r="AA84" t="str">
        <f t="shared" si="14"/>
        <v>[color=blue]</v>
      </c>
    </row>
    <row r="85" spans="1:27">
      <c r="A85" t="s">
        <v>154</v>
      </c>
      <c r="B85" t="str">
        <f t="shared" si="17"/>
        <v>[color=blue]</v>
      </c>
      <c r="C85" s="294" t="str">
        <f>'Members Data'!A43</f>
        <v>Zerika</v>
      </c>
      <c r="D85" s="440" t="s">
        <v>156</v>
      </c>
      <c r="E85" s="295" t="str">
        <f>'Members Data'!D43</f>
        <v>RDPS</v>
      </c>
      <c r="F85" s="441" t="s">
        <v>156</v>
      </c>
      <c r="G85" s="296" t="str">
        <f>'Members Data'!B43</f>
        <v>Venturer</v>
      </c>
      <c r="H85" s="441" t="s">
        <v>156</v>
      </c>
      <c r="I85" s="286">
        <f>DCC!I43</f>
        <v>8</v>
      </c>
      <c r="J85" s="441" t="s">
        <v>156</v>
      </c>
      <c r="K85" s="287">
        <f>DCC!J43</f>
        <v>0</v>
      </c>
      <c r="L85" s="441" t="s">
        <v>156</v>
      </c>
      <c r="M85" s="287">
        <f t="shared" si="15"/>
        <v>0</v>
      </c>
      <c r="N85" s="441" t="s">
        <v>156</v>
      </c>
      <c r="O85" s="287">
        <f t="shared" si="16"/>
        <v>0</v>
      </c>
      <c r="P85" s="441" t="s">
        <v>156</v>
      </c>
      <c r="Q85" s="119" t="s">
        <v>239</v>
      </c>
      <c r="R85" s="288">
        <f t="shared" si="12"/>
        <v>-16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3"/>
        <v>8</v>
      </c>
      <c r="AA85" t="str">
        <f t="shared" si="14"/>
        <v>[color=blue]</v>
      </c>
    </row>
    <row r="86" spans="1:27">
      <c r="A86" t="s">
        <v>154</v>
      </c>
      <c r="B86" t="str">
        <f t="shared" si="17"/>
        <v>[color=blue]</v>
      </c>
      <c r="C86" s="294" t="str">
        <f>'Members Data'!A33</f>
        <v>Spudsux</v>
      </c>
      <c r="D86" s="440" t="s">
        <v>156</v>
      </c>
      <c r="E86" s="295" t="str">
        <f>'Members Data'!D33</f>
        <v>Healer</v>
      </c>
      <c r="F86" s="441" t="s">
        <v>156</v>
      </c>
      <c r="G86" s="296" t="str">
        <f>'Members Data'!B33</f>
        <v>Venturer</v>
      </c>
      <c r="H86" s="441" t="s">
        <v>156</v>
      </c>
      <c r="I86" s="286">
        <f>DCC!I33</f>
        <v>8</v>
      </c>
      <c r="J86" s="441" t="s">
        <v>156</v>
      </c>
      <c r="K86" s="287">
        <f>DCC!J33</f>
        <v>1</v>
      </c>
      <c r="L86" s="441" t="s">
        <v>156</v>
      </c>
      <c r="M86" s="287">
        <f t="shared" si="15"/>
        <v>0</v>
      </c>
      <c r="N86" s="441" t="s">
        <v>156</v>
      </c>
      <c r="O86" s="287">
        <f t="shared" si="16"/>
        <v>0</v>
      </c>
      <c r="P86" s="441" t="s">
        <v>156</v>
      </c>
      <c r="Q86" s="119" t="s">
        <v>239</v>
      </c>
      <c r="R86" s="288">
        <f t="shared" si="12"/>
        <v>-14</v>
      </c>
      <c r="S86" t="s">
        <v>158</v>
      </c>
      <c r="U86" t="e">
        <f>VLOOKUP($C86,'Look-up'!$E:$H,3,FALSE)</f>
        <v>#N/A</v>
      </c>
      <c r="V86" t="e">
        <f>VLOOKUP($C86,'Look-up'!$E:$H,4,FALSE)</f>
        <v>#N/A</v>
      </c>
      <c r="W86">
        <f t="shared" si="13"/>
        <v>9</v>
      </c>
      <c r="AA86" t="str">
        <f t="shared" si="14"/>
        <v>[color=blue]</v>
      </c>
    </row>
    <row r="87" spans="1:27">
      <c r="A87" t="s">
        <v>154</v>
      </c>
      <c r="B87" t="str">
        <f t="shared" si="17"/>
        <v>[color=blue]</v>
      </c>
      <c r="C87" s="294" t="str">
        <f>'Members Data'!A34</f>
        <v>Szion</v>
      </c>
      <c r="D87" s="440" t="s">
        <v>156</v>
      </c>
      <c r="E87" s="295" t="str">
        <f>'Members Data'!D34</f>
        <v>MDPS</v>
      </c>
      <c r="F87" s="441" t="s">
        <v>156</v>
      </c>
      <c r="G87" s="296" t="str">
        <f>'Members Data'!B34</f>
        <v>Venturer</v>
      </c>
      <c r="H87" s="441" t="s">
        <v>156</v>
      </c>
      <c r="I87" s="286">
        <f>DCC!I34</f>
        <v>8</v>
      </c>
      <c r="J87" s="441" t="s">
        <v>156</v>
      </c>
      <c r="K87" s="287">
        <f>DCC!J34</f>
        <v>1</v>
      </c>
      <c r="L87" s="441" t="s">
        <v>156</v>
      </c>
      <c r="M87" s="287">
        <f t="shared" si="15"/>
        <v>0</v>
      </c>
      <c r="N87" s="441" t="s">
        <v>156</v>
      </c>
      <c r="O87" s="287">
        <f t="shared" si="16"/>
        <v>0</v>
      </c>
      <c r="P87" s="441" t="s">
        <v>156</v>
      </c>
      <c r="Q87" s="119" t="s">
        <v>239</v>
      </c>
      <c r="R87" s="288">
        <f t="shared" si="12"/>
        <v>-14</v>
      </c>
      <c r="S87" t="s">
        <v>158</v>
      </c>
      <c r="U87" t="e">
        <f>VLOOKUP($C87,'Look-up'!$E:$H,3,FALSE)</f>
        <v>#N/A</v>
      </c>
      <c r="V87" t="e">
        <f>VLOOKUP($C87,'Look-up'!$E:$H,4,FALSE)</f>
        <v>#N/A</v>
      </c>
      <c r="W87">
        <f t="shared" si="13"/>
        <v>9</v>
      </c>
      <c r="AA87" t="str">
        <f t="shared" si="14"/>
        <v>[color=blue]</v>
      </c>
    </row>
    <row r="88" spans="1:27">
      <c r="A88" t="s">
        <v>154</v>
      </c>
      <c r="B88" t="str">
        <f t="shared" si="17"/>
        <v>[color=blue]</v>
      </c>
      <c r="C88" s="294" t="str">
        <f>'Members Data'!A29</f>
        <v>Rcane</v>
      </c>
      <c r="D88" s="440" t="s">
        <v>156</v>
      </c>
      <c r="E88" s="295" t="str">
        <f>'Members Data'!D29</f>
        <v>Tank</v>
      </c>
      <c r="F88" s="441" t="s">
        <v>156</v>
      </c>
      <c r="G88" s="296" t="str">
        <f>'Members Data'!B29</f>
        <v>Venturer</v>
      </c>
      <c r="H88" s="441" t="s">
        <v>156</v>
      </c>
      <c r="I88" s="286">
        <f>DCC!I29</f>
        <v>10</v>
      </c>
      <c r="J88" s="441" t="s">
        <v>156</v>
      </c>
      <c r="K88" s="287">
        <f>DCC!J29</f>
        <v>0</v>
      </c>
      <c r="L88" s="441" t="s">
        <v>156</v>
      </c>
      <c r="M88" s="287">
        <f t="shared" si="15"/>
        <v>0</v>
      </c>
      <c r="N88" s="441" t="s">
        <v>156</v>
      </c>
      <c r="O88" s="287">
        <f t="shared" si="16"/>
        <v>0</v>
      </c>
      <c r="P88" s="441" t="s">
        <v>156</v>
      </c>
      <c r="Q88" s="119" t="s">
        <v>239</v>
      </c>
      <c r="R88" s="288">
        <f t="shared" si="12"/>
        <v>-20</v>
      </c>
      <c r="S88" t="s">
        <v>158</v>
      </c>
      <c r="U88" t="e">
        <f>VLOOKUP($C88,'Look-up'!$E:$H,3,FALSE)</f>
        <v>#N/A</v>
      </c>
      <c r="V88" t="e">
        <f>VLOOKUP($C88,'Look-up'!$E:$H,4,FALSE)</f>
        <v>#N/A</v>
      </c>
      <c r="W88">
        <f t="shared" si="13"/>
        <v>10</v>
      </c>
      <c r="AA88" t="str">
        <f t="shared" si="14"/>
        <v>[color=blue]</v>
      </c>
    </row>
    <row r="89" spans="1:27">
      <c r="A89" t="s">
        <v>154</v>
      </c>
      <c r="B89" t="str">
        <f t="shared" si="17"/>
        <v>[color=blue]</v>
      </c>
      <c r="C89" s="294" t="str">
        <f>'Members Data'!A24</f>
        <v>Muckyfloor</v>
      </c>
      <c r="D89" s="440" t="s">
        <v>156</v>
      </c>
      <c r="E89" s="295" t="str">
        <f>'Members Data'!D24</f>
        <v>MDPS</v>
      </c>
      <c r="F89" s="441" t="s">
        <v>156</v>
      </c>
      <c r="G89" s="296" t="str">
        <f>'Members Data'!B24</f>
        <v>Venturer</v>
      </c>
      <c r="H89" s="441" t="s">
        <v>156</v>
      </c>
      <c r="I89" s="286">
        <f>DCC!I24</f>
        <v>11</v>
      </c>
      <c r="J89" s="441" t="s">
        <v>156</v>
      </c>
      <c r="K89" s="287">
        <f>DCC!J24</f>
        <v>1</v>
      </c>
      <c r="L89" s="441" t="s">
        <v>156</v>
      </c>
      <c r="M89" s="287">
        <f t="shared" si="15"/>
        <v>0</v>
      </c>
      <c r="N89" s="441" t="s">
        <v>156</v>
      </c>
      <c r="O89" s="287">
        <f t="shared" si="16"/>
        <v>0</v>
      </c>
      <c r="P89" s="441" t="s">
        <v>156</v>
      </c>
      <c r="Q89" s="119" t="s">
        <v>239</v>
      </c>
      <c r="R89" s="288">
        <f t="shared" si="12"/>
        <v>-20</v>
      </c>
      <c r="S89" t="s">
        <v>158</v>
      </c>
      <c r="U89" t="e">
        <f>VLOOKUP($C89,'Look-up'!$E:$H,3,FALSE)</f>
        <v>#N/A</v>
      </c>
      <c r="V89" t="e">
        <f>VLOOKUP($C89,'Look-up'!$E:$H,4,FALSE)</f>
        <v>#N/A</v>
      </c>
      <c r="W89">
        <f t="shared" si="13"/>
        <v>12</v>
      </c>
      <c r="AA89" t="str">
        <f t="shared" si="14"/>
        <v>[color=blue]</v>
      </c>
    </row>
    <row r="90" spans="1:27" hidden="1">
      <c r="B90" t="str">
        <f t="shared" si="17"/>
        <v>[color=red]</v>
      </c>
      <c r="C90" s="294">
        <f>'Members Data'!A49</f>
        <v>0</v>
      </c>
      <c r="D90" s="440" t="s">
        <v>156</v>
      </c>
      <c r="E90" s="295">
        <f>'Members Data'!D49</f>
        <v>0</v>
      </c>
      <c r="F90" s="441" t="s">
        <v>156</v>
      </c>
      <c r="G90" s="296">
        <f>'Members Data'!B49</f>
        <v>0</v>
      </c>
      <c r="H90" s="441" t="s">
        <v>156</v>
      </c>
      <c r="I90" s="286">
        <f>DCC!I49</f>
        <v>0</v>
      </c>
      <c r="J90" s="441" t="s">
        <v>156</v>
      </c>
      <c r="K90" s="287">
        <f>DCC!J49</f>
        <v>0</v>
      </c>
      <c r="L90" s="441" t="s">
        <v>156</v>
      </c>
      <c r="M90" s="287">
        <f t="shared" si="15"/>
        <v>0</v>
      </c>
      <c r="N90" s="441" t="s">
        <v>156</v>
      </c>
      <c r="O90" s="287">
        <f t="shared" si="16"/>
        <v>0</v>
      </c>
      <c r="P90" s="441" t="s">
        <v>156</v>
      </c>
      <c r="Q90" s="119" t="s">
        <v>239</v>
      </c>
      <c r="R90" s="288" t="str">
        <f t="shared" si="12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3"/>
        <v>0</v>
      </c>
      <c r="AA90" t="str">
        <f t="shared" si="14"/>
        <v>[color=red]</v>
      </c>
    </row>
    <row r="91" spans="1:27">
      <c r="A91" t="s">
        <v>154</v>
      </c>
      <c r="B91" t="str">
        <f t="shared" si="17"/>
        <v>[color=blue]</v>
      </c>
      <c r="C91" s="294" t="str">
        <f>'Members Data'!A23</f>
        <v>Mortali</v>
      </c>
      <c r="D91" s="440" t="s">
        <v>156</v>
      </c>
      <c r="E91" s="295" t="str">
        <f>'Members Data'!D23</f>
        <v>RDPS</v>
      </c>
      <c r="F91" s="441" t="s">
        <v>156</v>
      </c>
      <c r="G91" s="296" t="str">
        <f>'Members Data'!B23</f>
        <v>Venturer</v>
      </c>
      <c r="H91" s="441" t="s">
        <v>156</v>
      </c>
      <c r="I91" s="286">
        <f>DCC!I23</f>
        <v>10</v>
      </c>
      <c r="J91" s="441" t="s">
        <v>156</v>
      </c>
      <c r="K91" s="287">
        <f>DCC!J23</f>
        <v>0</v>
      </c>
      <c r="L91" s="441" t="s">
        <v>156</v>
      </c>
      <c r="M91" s="287">
        <f t="shared" si="15"/>
        <v>0</v>
      </c>
      <c r="N91" s="441" t="s">
        <v>156</v>
      </c>
      <c r="O91" s="287">
        <f t="shared" si="16"/>
        <v>0</v>
      </c>
      <c r="P91" s="441" t="s">
        <v>156</v>
      </c>
      <c r="Q91" s="119" t="s">
        <v>239</v>
      </c>
      <c r="R91" s="288">
        <f t="shared" si="12"/>
        <v>-20</v>
      </c>
      <c r="S91" t="s">
        <v>158</v>
      </c>
      <c r="U91" t="e">
        <f>VLOOKUP($C91,'Look-up'!$E:$H,3,FALSE)</f>
        <v>#N/A</v>
      </c>
      <c r="V91" t="e">
        <f>VLOOKUP($C91,'Look-up'!$E:$H,4,FALSE)</f>
        <v>#N/A</v>
      </c>
      <c r="W91">
        <f t="shared" si="13"/>
        <v>10</v>
      </c>
      <c r="AA91" t="str">
        <f t="shared" si="14"/>
        <v>[color=blue]</v>
      </c>
    </row>
    <row r="92" spans="1:27">
      <c r="A92" t="s">
        <v>154</v>
      </c>
      <c r="B92" t="str">
        <f t="shared" si="17"/>
        <v>[color=blue]</v>
      </c>
      <c r="C92" s="294" t="str">
        <f>'Members Data'!A39</f>
        <v>Wainesha</v>
      </c>
      <c r="D92" s="440" t="s">
        <v>156</v>
      </c>
      <c r="E92" s="295" t="str">
        <f>'Members Data'!D39</f>
        <v>RDPS</v>
      </c>
      <c r="F92" s="441" t="s">
        <v>156</v>
      </c>
      <c r="G92" s="296" t="str">
        <f>'Members Data'!B39</f>
        <v>Venturer</v>
      </c>
      <c r="H92" s="441" t="s">
        <v>156</v>
      </c>
      <c r="I92" s="286">
        <f>DCC!I39</f>
        <v>11</v>
      </c>
      <c r="J92" s="441" t="s">
        <v>156</v>
      </c>
      <c r="K92" s="287">
        <f>DCC!J39</f>
        <v>1</v>
      </c>
      <c r="L92" s="441" t="s">
        <v>156</v>
      </c>
      <c r="M92" s="287">
        <f t="shared" si="15"/>
        <v>0</v>
      </c>
      <c r="N92" s="441" t="s">
        <v>156</v>
      </c>
      <c r="O92" s="287">
        <f t="shared" si="16"/>
        <v>0</v>
      </c>
      <c r="P92" s="441" t="s">
        <v>156</v>
      </c>
      <c r="Q92" s="119" t="s">
        <v>239</v>
      </c>
      <c r="R92" s="288">
        <f t="shared" si="12"/>
        <v>-20</v>
      </c>
      <c r="S92" t="s">
        <v>158</v>
      </c>
      <c r="U92" t="e">
        <f>VLOOKUP($C92,'Look-up'!$E:$H,3,FALSE)</f>
        <v>#N/A</v>
      </c>
      <c r="V92" t="e">
        <f>VLOOKUP($C92,'Look-up'!$E:$H,4,FALSE)</f>
        <v>#N/A</v>
      </c>
      <c r="W92">
        <f t="shared" si="13"/>
        <v>12</v>
      </c>
      <c r="AA92" t="str">
        <f t="shared" si="14"/>
        <v>[color=blue]</v>
      </c>
    </row>
    <row r="93" spans="1:27">
      <c r="A93" t="s">
        <v>154</v>
      </c>
      <c r="B93" t="str">
        <f t="shared" si="17"/>
        <v>[color=blue]</v>
      </c>
      <c r="C93" s="294" t="str">
        <f>'Members Data'!A21</f>
        <v>Meltface</v>
      </c>
      <c r="D93" s="440" t="s">
        <v>156</v>
      </c>
      <c r="E93" s="295" t="str">
        <f>'Members Data'!D21</f>
        <v>RDPS</v>
      </c>
      <c r="F93" s="441" t="s">
        <v>156</v>
      </c>
      <c r="G93" s="296" t="str">
        <f>'Members Data'!B21</f>
        <v>Venturer</v>
      </c>
      <c r="H93" s="441" t="s">
        <v>156</v>
      </c>
      <c r="I93" s="286">
        <f>DCC!I21</f>
        <v>10</v>
      </c>
      <c r="J93" s="441" t="s">
        <v>156</v>
      </c>
      <c r="K93" s="287">
        <f>DCC!J21</f>
        <v>0</v>
      </c>
      <c r="L93" s="441" t="s">
        <v>156</v>
      </c>
      <c r="M93" s="287">
        <f t="shared" si="15"/>
        <v>0</v>
      </c>
      <c r="N93" s="441" t="s">
        <v>156</v>
      </c>
      <c r="O93" s="287">
        <f t="shared" si="16"/>
        <v>0</v>
      </c>
      <c r="P93" s="441" t="s">
        <v>156</v>
      </c>
      <c r="Q93" s="119" t="s">
        <v>239</v>
      </c>
      <c r="R93" s="288">
        <f t="shared" si="12"/>
        <v>-20</v>
      </c>
      <c r="S93" t="s">
        <v>158</v>
      </c>
      <c r="U93" t="e">
        <f>VLOOKUP($C93,'Look-up'!$E:$H,3,FALSE)</f>
        <v>#N/A</v>
      </c>
      <c r="V93" t="e">
        <f>VLOOKUP($C93,'Look-up'!$E:$H,4,FALSE)</f>
        <v>#N/A</v>
      </c>
      <c r="W93">
        <f t="shared" si="13"/>
        <v>10</v>
      </c>
      <c r="AA93" t="str">
        <f t="shared" si="14"/>
        <v>[color=blue]</v>
      </c>
    </row>
    <row r="94" spans="1:27">
      <c r="A94" t="s">
        <v>154</v>
      </c>
      <c r="B94" t="str">
        <f t="shared" si="17"/>
        <v>[color=blue]</v>
      </c>
      <c r="C94" s="294" t="str">
        <f>'Members Data'!A13</f>
        <v>Gloríus</v>
      </c>
      <c r="D94" s="440" t="s">
        <v>156</v>
      </c>
      <c r="E94" s="295" t="str">
        <f>'Members Data'!D13</f>
        <v>RDPS</v>
      </c>
      <c r="F94" s="441" t="s">
        <v>156</v>
      </c>
      <c r="G94" s="296" t="str">
        <f>'Members Data'!B13</f>
        <v>Venturer</v>
      </c>
      <c r="H94" s="441" t="s">
        <v>156</v>
      </c>
      <c r="I94" s="286">
        <f>DCC!I13</f>
        <v>8</v>
      </c>
      <c r="J94" s="441" t="s">
        <v>156</v>
      </c>
      <c r="K94" s="287">
        <f>DCC!J13</f>
        <v>1</v>
      </c>
      <c r="L94" s="441" t="s">
        <v>156</v>
      </c>
      <c r="M94" s="287">
        <f t="shared" si="15"/>
        <v>0</v>
      </c>
      <c r="N94" s="441" t="s">
        <v>156</v>
      </c>
      <c r="O94" s="287">
        <f t="shared" si="16"/>
        <v>0</v>
      </c>
      <c r="P94" s="441" t="s">
        <v>156</v>
      </c>
      <c r="Q94" s="119" t="s">
        <v>239</v>
      </c>
      <c r="R94" s="288">
        <f t="shared" si="12"/>
        <v>-14</v>
      </c>
      <c r="S94" t="s">
        <v>158</v>
      </c>
      <c r="U94" t="e">
        <f>VLOOKUP($C94,'Look-up'!$E:$H,3,FALSE)</f>
        <v>#N/A</v>
      </c>
      <c r="V94" t="e">
        <f>VLOOKUP($C94,'Look-up'!$E:$H,4,FALSE)</f>
        <v>#N/A</v>
      </c>
      <c r="W94">
        <f t="shared" si="13"/>
        <v>9</v>
      </c>
      <c r="AA94" t="str">
        <f t="shared" si="14"/>
        <v>[color=blue]</v>
      </c>
    </row>
    <row r="95" spans="1:27">
      <c r="A95" t="s">
        <v>154</v>
      </c>
      <c r="B95" t="str">
        <f t="shared" si="17"/>
        <v>[color=blue]</v>
      </c>
      <c r="C95" s="294" t="str">
        <f>'Members Data'!A31</f>
        <v>Seraphÿm</v>
      </c>
      <c r="D95" s="440" t="s">
        <v>156</v>
      </c>
      <c r="E95" s="295" t="str">
        <f>'Members Data'!D31</f>
        <v>Healer</v>
      </c>
      <c r="F95" s="441" t="s">
        <v>156</v>
      </c>
      <c r="G95" s="296" t="str">
        <f>'Members Data'!B31</f>
        <v>Venturer</v>
      </c>
      <c r="H95" s="441" t="s">
        <v>156</v>
      </c>
      <c r="I95" s="286">
        <f>DCC!I31</f>
        <v>11</v>
      </c>
      <c r="J95" s="441" t="s">
        <v>156</v>
      </c>
      <c r="K95" s="287">
        <f>DCC!J31</f>
        <v>1</v>
      </c>
      <c r="L95" s="441" t="s">
        <v>156</v>
      </c>
      <c r="M95" s="287">
        <f t="shared" si="15"/>
        <v>0</v>
      </c>
      <c r="N95" s="441" t="s">
        <v>156</v>
      </c>
      <c r="O95" s="287">
        <f t="shared" si="16"/>
        <v>0</v>
      </c>
      <c r="P95" s="441" t="s">
        <v>156</v>
      </c>
      <c r="Q95" s="119" t="s">
        <v>239</v>
      </c>
      <c r="R95" s="288">
        <f t="shared" si="12"/>
        <v>-20</v>
      </c>
      <c r="S95" t="s">
        <v>158</v>
      </c>
      <c r="U95" t="e">
        <f>VLOOKUP($C95,'Look-up'!$E:$H,3,FALSE)</f>
        <v>#N/A</v>
      </c>
      <c r="V95" t="e">
        <f>VLOOKUP($C95,'Look-up'!$E:$H,4,FALSE)</f>
        <v>#N/A</v>
      </c>
      <c r="W95">
        <f t="shared" si="13"/>
        <v>12</v>
      </c>
      <c r="AA95" t="str">
        <f t="shared" si="14"/>
        <v>[color=blue]</v>
      </c>
    </row>
    <row r="96" spans="1:27">
      <c r="A96" t="s">
        <v>154</v>
      </c>
      <c r="B96" t="str">
        <f t="shared" si="17"/>
        <v>[color=blue]</v>
      </c>
      <c r="C96" s="294" t="str">
        <f>'Members Data'!A40</f>
        <v>Birdeeh</v>
      </c>
      <c r="D96" s="440" t="s">
        <v>156</v>
      </c>
      <c r="E96" s="295" t="str">
        <f>'Members Data'!D40</f>
        <v>RDPS</v>
      </c>
      <c r="F96" s="441" t="s">
        <v>156</v>
      </c>
      <c r="G96" s="296" t="str">
        <f>'Members Data'!B40</f>
        <v>Venturer</v>
      </c>
      <c r="H96" s="441" t="s">
        <v>156</v>
      </c>
      <c r="I96" s="286">
        <f>DCC!I40</f>
        <v>11</v>
      </c>
      <c r="J96" s="441" t="s">
        <v>156</v>
      </c>
      <c r="K96" s="287">
        <f>DCC!J40</f>
        <v>0</v>
      </c>
      <c r="L96" s="441" t="s">
        <v>156</v>
      </c>
      <c r="M96" s="287">
        <f t="shared" si="15"/>
        <v>0</v>
      </c>
      <c r="N96" s="441" t="s">
        <v>156</v>
      </c>
      <c r="O96" s="287">
        <f t="shared" si="16"/>
        <v>0</v>
      </c>
      <c r="P96" s="441" t="s">
        <v>156</v>
      </c>
      <c r="Q96" s="119" t="s">
        <v>239</v>
      </c>
      <c r="R96" s="288">
        <f t="shared" si="12"/>
        <v>-22</v>
      </c>
      <c r="S96" t="s">
        <v>158</v>
      </c>
      <c r="U96" t="e">
        <f>VLOOKUP($C96,'Look-up'!$E:$H,3,FALSE)</f>
        <v>#N/A</v>
      </c>
      <c r="V96" t="e">
        <f>VLOOKUP($C96,'Look-up'!$E:$H,4,FALSE)</f>
        <v>#N/A</v>
      </c>
      <c r="W96">
        <f t="shared" si="13"/>
        <v>11</v>
      </c>
      <c r="AA96" t="str">
        <f t="shared" si="14"/>
        <v>[color=blue]</v>
      </c>
    </row>
    <row r="97" spans="1:27">
      <c r="A97" t="s">
        <v>154</v>
      </c>
      <c r="B97" t="str">
        <f t="shared" si="17"/>
        <v>[color=blue]</v>
      </c>
      <c r="C97" s="294" t="str">
        <f>'Members Data'!A4</f>
        <v>Ambú</v>
      </c>
      <c r="D97" s="440" t="s">
        <v>156</v>
      </c>
      <c r="E97" s="295" t="str">
        <f>'Members Data'!D4</f>
        <v>MDPS</v>
      </c>
      <c r="F97" s="441" t="s">
        <v>156</v>
      </c>
      <c r="G97" s="296" t="str">
        <f>'Members Data'!B4</f>
        <v>Venturer</v>
      </c>
      <c r="H97" s="441" t="s">
        <v>156</v>
      </c>
      <c r="I97" s="286">
        <f>DCC!I4</f>
        <v>11</v>
      </c>
      <c r="J97" s="441" t="s">
        <v>156</v>
      </c>
      <c r="K97" s="287">
        <f>DCC!J4</f>
        <v>0</v>
      </c>
      <c r="L97" s="441" t="s">
        <v>156</v>
      </c>
      <c r="M97" s="287">
        <f t="shared" si="15"/>
        <v>0</v>
      </c>
      <c r="N97" s="441" t="s">
        <v>156</v>
      </c>
      <c r="O97" s="287">
        <f t="shared" si="16"/>
        <v>0</v>
      </c>
      <c r="P97" s="441" t="s">
        <v>156</v>
      </c>
      <c r="Q97" s="119" t="s">
        <v>239</v>
      </c>
      <c r="R97" s="288">
        <f t="shared" si="12"/>
        <v>-22</v>
      </c>
      <c r="S97" t="s">
        <v>158</v>
      </c>
      <c r="U97" t="e">
        <f>VLOOKUP($C97,'Look-up'!$E:$H,3,FALSE)</f>
        <v>#N/A</v>
      </c>
      <c r="V97" t="e">
        <f>VLOOKUP($C97,'Look-up'!$E:$H,4,FALSE)</f>
        <v>#N/A</v>
      </c>
      <c r="W97">
        <f t="shared" si="13"/>
        <v>11</v>
      </c>
      <c r="AA97" t="str">
        <f t="shared" si="14"/>
        <v>[color=blue]</v>
      </c>
    </row>
    <row r="98" spans="1:27">
      <c r="A98" t="s">
        <v>154</v>
      </c>
      <c r="B98" t="str">
        <f t="shared" si="17"/>
        <v>[color=blue]</v>
      </c>
      <c r="C98" s="294" t="str">
        <f>'Members Data'!A42</f>
        <v xml:space="preserve"> Sensés</v>
      </c>
      <c r="D98" s="440" t="s">
        <v>156</v>
      </c>
      <c r="E98" s="295" t="str">
        <f>'Members Data'!D42</f>
        <v>Healer</v>
      </c>
      <c r="F98" s="441" t="s">
        <v>156</v>
      </c>
      <c r="G98" s="296" t="str">
        <f>'Members Data'!B42</f>
        <v>Venturer</v>
      </c>
      <c r="H98" s="441" t="s">
        <v>156</v>
      </c>
      <c r="I98" s="286">
        <f>DCC!I42</f>
        <v>11</v>
      </c>
      <c r="J98" s="441" t="s">
        <v>156</v>
      </c>
      <c r="K98" s="287">
        <f>DCC!J42</f>
        <v>0</v>
      </c>
      <c r="L98" s="441" t="s">
        <v>156</v>
      </c>
      <c r="M98" s="287">
        <f t="shared" si="15"/>
        <v>0</v>
      </c>
      <c r="N98" s="441" t="s">
        <v>156</v>
      </c>
      <c r="O98" s="287">
        <f t="shared" si="16"/>
        <v>0</v>
      </c>
      <c r="P98" s="441" t="s">
        <v>156</v>
      </c>
      <c r="Q98" s="119" t="s">
        <v>239</v>
      </c>
      <c r="R98" s="288">
        <f t="shared" si="12"/>
        <v>-22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3"/>
        <v>11</v>
      </c>
      <c r="AA98" t="str">
        <f t="shared" si="14"/>
        <v>[color=blue]</v>
      </c>
    </row>
    <row r="99" spans="1:27">
      <c r="A99" t="s">
        <v>154</v>
      </c>
      <c r="B99" t="str">
        <f t="shared" si="17"/>
        <v>[color=blue]</v>
      </c>
      <c r="C99" s="294" t="str">
        <f>'Members Data'!A36</f>
        <v>Vakama</v>
      </c>
      <c r="D99" s="440" t="s">
        <v>156</v>
      </c>
      <c r="E99" s="295" t="str">
        <f>'Members Data'!D36</f>
        <v>Healer</v>
      </c>
      <c r="F99" s="441" t="s">
        <v>156</v>
      </c>
      <c r="G99" s="296" t="str">
        <f>'Members Data'!B36</f>
        <v>Venturer</v>
      </c>
      <c r="H99" s="441" t="s">
        <v>156</v>
      </c>
      <c r="I99" s="286">
        <f>DCC!I36</f>
        <v>12</v>
      </c>
      <c r="J99" s="441" t="s">
        <v>156</v>
      </c>
      <c r="K99" s="287">
        <f>DCC!J36</f>
        <v>0</v>
      </c>
      <c r="L99" s="441" t="s">
        <v>156</v>
      </c>
      <c r="M99" s="287">
        <f t="shared" si="15"/>
        <v>0</v>
      </c>
      <c r="N99" s="441" t="s">
        <v>156</v>
      </c>
      <c r="O99" s="287">
        <f t="shared" si="16"/>
        <v>0</v>
      </c>
      <c r="P99" s="441" t="s">
        <v>156</v>
      </c>
      <c r="Q99" s="119" t="s">
        <v>239</v>
      </c>
      <c r="R99" s="288">
        <f t="shared" si="12"/>
        <v>-24</v>
      </c>
      <c r="S99" t="s">
        <v>158</v>
      </c>
      <c r="U99" t="e">
        <f>VLOOKUP($C99,'Look-up'!$E:$H,3,FALSE)</f>
        <v>#N/A</v>
      </c>
      <c r="V99" t="e">
        <f>VLOOKUP($C99,'Look-up'!$E:$H,4,FALSE)</f>
        <v>#N/A</v>
      </c>
      <c r="W99">
        <f t="shared" si="13"/>
        <v>12</v>
      </c>
      <c r="AA99" t="str">
        <f t="shared" si="14"/>
        <v>[color=blue]</v>
      </c>
    </row>
    <row r="100" spans="1:27">
      <c r="A100" t="s">
        <v>154</v>
      </c>
      <c r="B100" t="str">
        <f t="shared" si="17"/>
        <v>[color=blue]</v>
      </c>
      <c r="C100" s="294" t="str">
        <f>'Members Data'!A12</f>
        <v>Droodcaster</v>
      </c>
      <c r="D100" s="440" t="s">
        <v>156</v>
      </c>
      <c r="E100" s="295" t="str">
        <f>'Members Data'!D12</f>
        <v>RDPS</v>
      </c>
      <c r="F100" s="441" t="s">
        <v>156</v>
      </c>
      <c r="G100" s="296" t="str">
        <f>'Members Data'!B12</f>
        <v>Venturer</v>
      </c>
      <c r="H100" s="441" t="s">
        <v>156</v>
      </c>
      <c r="I100" s="286">
        <f>DCC!I12</f>
        <v>12</v>
      </c>
      <c r="J100" s="441" t="s">
        <v>156</v>
      </c>
      <c r="K100" s="287">
        <f>DCC!J12</f>
        <v>0</v>
      </c>
      <c r="L100" s="441" t="s">
        <v>156</v>
      </c>
      <c r="M100" s="287">
        <f t="shared" si="15"/>
        <v>0</v>
      </c>
      <c r="N100" s="441" t="s">
        <v>156</v>
      </c>
      <c r="O100" s="287">
        <f t="shared" si="16"/>
        <v>0</v>
      </c>
      <c r="P100" s="441" t="s">
        <v>156</v>
      </c>
      <c r="Q100" s="119" t="s">
        <v>239</v>
      </c>
      <c r="R100" s="288">
        <f t="shared" si="12"/>
        <v>-24</v>
      </c>
      <c r="S100" t="s">
        <v>158</v>
      </c>
      <c r="U100" t="e">
        <f>VLOOKUP($C100,'Look-up'!$E:$H,3,FALSE)</f>
        <v>#N/A</v>
      </c>
      <c r="V100" t="e">
        <f>VLOOKUP($C100,'Look-up'!$E:$H,4,FALSE)</f>
        <v>#N/A</v>
      </c>
      <c r="W100">
        <f t="shared" si="13"/>
        <v>12</v>
      </c>
      <c r="AA100" t="str">
        <f t="shared" si="14"/>
        <v>[color=blue]</v>
      </c>
    </row>
    <row r="101" spans="1:27">
      <c r="A101" t="s">
        <v>154</v>
      </c>
      <c r="B101" t="str">
        <f t="shared" si="17"/>
        <v>[color=blue]</v>
      </c>
      <c r="C101" s="294" t="str">
        <f>'Members Data'!A7</f>
        <v>Axium</v>
      </c>
      <c r="D101" s="440" t="s">
        <v>156</v>
      </c>
      <c r="E101" s="295" t="str">
        <f>'Members Data'!D7</f>
        <v>MDPS</v>
      </c>
      <c r="F101" s="441" t="s">
        <v>156</v>
      </c>
      <c r="G101" s="296" t="str">
        <f>'Members Data'!B7</f>
        <v>Venturer</v>
      </c>
      <c r="H101" s="441" t="s">
        <v>156</v>
      </c>
      <c r="I101" s="286">
        <f>DCC!I7</f>
        <v>11</v>
      </c>
      <c r="J101" s="441" t="s">
        <v>156</v>
      </c>
      <c r="K101" s="287">
        <f>DCC!J7</f>
        <v>0</v>
      </c>
      <c r="L101" s="441" t="s">
        <v>156</v>
      </c>
      <c r="M101" s="287">
        <f t="shared" si="15"/>
        <v>0</v>
      </c>
      <c r="N101" s="441" t="s">
        <v>156</v>
      </c>
      <c r="O101" s="287">
        <f t="shared" si="16"/>
        <v>0</v>
      </c>
      <c r="P101" s="441" t="s">
        <v>156</v>
      </c>
      <c r="Q101" s="119" t="s">
        <v>239</v>
      </c>
      <c r="R101" s="288">
        <f t="shared" si="12"/>
        <v>-22</v>
      </c>
      <c r="S101" t="s">
        <v>158</v>
      </c>
      <c r="U101" t="e">
        <f>VLOOKUP($C101,'Look-up'!$E:$H,3,FALSE)</f>
        <v>#N/A</v>
      </c>
      <c r="V101" t="e">
        <f>VLOOKUP($C101,'Look-up'!$E:$H,4,FALSE)</f>
        <v>#N/A</v>
      </c>
      <c r="W101">
        <f t="shared" si="13"/>
        <v>11</v>
      </c>
      <c r="AA101" t="str">
        <f t="shared" si="14"/>
        <v>[color=blue]</v>
      </c>
    </row>
    <row r="102" spans="1:27">
      <c r="A102" t="s">
        <v>154</v>
      </c>
      <c r="B102" t="str">
        <f t="shared" si="17"/>
        <v>[color=blue]</v>
      </c>
      <c r="C102" s="294" t="str">
        <f>'Members Data'!A27</f>
        <v>Niklaus</v>
      </c>
      <c r="D102" s="440" t="s">
        <v>156</v>
      </c>
      <c r="E102" s="295" t="str">
        <f>'Members Data'!D27</f>
        <v>Healer</v>
      </c>
      <c r="F102" s="441" t="s">
        <v>156</v>
      </c>
      <c r="G102" s="296" t="str">
        <f>'Members Data'!B27</f>
        <v>Venturer</v>
      </c>
      <c r="H102" s="441" t="s">
        <v>156</v>
      </c>
      <c r="I102" s="286">
        <f>DCC!I27</f>
        <v>13</v>
      </c>
      <c r="J102" s="441" t="s">
        <v>156</v>
      </c>
      <c r="K102" s="287">
        <f>DCC!J27</f>
        <v>0</v>
      </c>
      <c r="L102" s="441" t="s">
        <v>156</v>
      </c>
      <c r="M102" s="287">
        <f t="shared" si="15"/>
        <v>0</v>
      </c>
      <c r="N102" s="441" t="s">
        <v>156</v>
      </c>
      <c r="O102" s="287">
        <f t="shared" si="16"/>
        <v>0</v>
      </c>
      <c r="P102" s="441" t="s">
        <v>156</v>
      </c>
      <c r="Q102" s="119" t="s">
        <v>239</v>
      </c>
      <c r="R102" s="288">
        <f t="shared" si="12"/>
        <v>-26</v>
      </c>
      <c r="S102" t="s">
        <v>158</v>
      </c>
      <c r="U102" t="e">
        <f>VLOOKUP($C102,'Look-up'!$E:$H,3,FALSE)</f>
        <v>#N/A</v>
      </c>
      <c r="V102" t="e">
        <f>VLOOKUP($C102,'Look-up'!$E:$H,4,FALSE)</f>
        <v>#N/A</v>
      </c>
      <c r="W102">
        <f t="shared" si="13"/>
        <v>13</v>
      </c>
      <c r="AA102" t="str">
        <f t="shared" si="14"/>
        <v>[color=blue]</v>
      </c>
    </row>
    <row r="103" spans="1:27" ht="13.5" thickBot="1">
      <c r="A103" t="s">
        <v>154</v>
      </c>
      <c r="B103" t="str">
        <f t="shared" si="17"/>
        <v>[color=blue]</v>
      </c>
      <c r="C103" s="297" t="str">
        <f>'Members Data'!A25</f>
        <v>Müfti</v>
      </c>
      <c r="D103" s="442" t="s">
        <v>156</v>
      </c>
      <c r="E103" s="298" t="str">
        <f>'Members Data'!D25</f>
        <v>Healer</v>
      </c>
      <c r="F103" s="441" t="s">
        <v>156</v>
      </c>
      <c r="G103" s="299" t="str">
        <f>'Members Data'!B25</f>
        <v>Venturer</v>
      </c>
      <c r="H103" s="441" t="s">
        <v>156</v>
      </c>
      <c r="I103" s="289">
        <f>DCC!I25</f>
        <v>12</v>
      </c>
      <c r="J103" s="441" t="s">
        <v>156</v>
      </c>
      <c r="K103" s="290">
        <f>DCC!J25</f>
        <v>1</v>
      </c>
      <c r="L103" s="441" t="s">
        <v>156</v>
      </c>
      <c r="M103" s="290">
        <f t="shared" si="15"/>
        <v>0</v>
      </c>
      <c r="N103" s="441" t="s">
        <v>156</v>
      </c>
      <c r="O103" s="290">
        <f t="shared" si="16"/>
        <v>0</v>
      </c>
      <c r="P103" s="441" t="s">
        <v>156</v>
      </c>
      <c r="Q103" s="119" t="s">
        <v>239</v>
      </c>
      <c r="R103" s="288">
        <f t="shared" si="12"/>
        <v>-22</v>
      </c>
      <c r="S103" t="s">
        <v>158</v>
      </c>
      <c r="U103" t="e">
        <f>VLOOKUP($C103,'Look-up'!$E:$H,3,FALSE)</f>
        <v>#N/A</v>
      </c>
      <c r="V103" t="e">
        <f>VLOOKUP($C103,'Look-up'!$E:$H,4,FALSE)</f>
        <v>#N/A</v>
      </c>
      <c r="W103">
        <f t="shared" si="13"/>
        <v>13</v>
      </c>
      <c r="AA103" t="str">
        <f t="shared" si="14"/>
        <v>[color=blue]</v>
      </c>
    </row>
    <row r="104" spans="1:27" ht="15.75" thickTop="1">
      <c r="A104" s="260" t="s">
        <v>160</v>
      </c>
      <c r="B104" s="260"/>
    </row>
  </sheetData>
  <sheetProtection autoFilter="0"/>
  <autoFilter ref="C3:R104">
    <filterColumn colId="0">
      <filters blank="1">
        <filter val="Acidman"/>
        <filter val="Altrezza"/>
        <filter val="Ambú"/>
        <filter val="Anabollika"/>
        <filter val="Andreah"/>
        <filter val="Apophîs"/>
        <filter val="Arneia"/>
        <filter val="Artaios"/>
        <filter val="Bauser"/>
        <filter val="Blondesaint"/>
        <filter val="Craving"/>
        <filter val="Darsid"/>
        <filter val="Drakoman"/>
        <filter val="Droodcaster"/>
        <filter val="Elyiana"/>
        <filter val="Ercassiel"/>
        <filter val="Eviwon"/>
        <filter val="Fiskie"/>
        <filter val="Fluzzump"/>
        <filter val="Foolock"/>
        <filter val="Gloríus"/>
        <filter val="Groruk"/>
        <filter val="Halfhorns"/>
        <filter val="Hyperïon"/>
        <filter val="Izzabelle"/>
        <filter val="Kiralandrah"/>
        <filter val="Kristofix"/>
        <filter val="Lemonztree"/>
        <filter val="Lychi"/>
        <filter val="Macrel"/>
        <filter val="Mayday"/>
        <filter val="Méatshield"/>
        <filter val="Megamind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1"/>
    <filterColumn colId="3"/>
    <filterColumn colId="4"/>
    <filterColumn colId="5"/>
    <filterColumn colId="7"/>
    <filterColumn colId="9"/>
    <filterColumn colId="11"/>
    <filterColumn colId="13"/>
    <filterColumn colId="14"/>
    <sortState ref="C6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Q6" sqref="Q6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0" t="str">
        <f>'Short &amp; Simple'!H31</f>
        <v>25 Man Normal HOF - Imperial Vizier Zor'lok</v>
      </c>
      <c r="AC2" s="491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Altrezza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Andreah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Darsid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Gloríus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Halfhorns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Lychi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0" t="str">
        <f>'Short &amp; Simple'!H55</f>
        <v>25 Man Normal HOF - Imperial Vizier Zor'lok</v>
      </c>
      <c r="AC26" s="491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Revlash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0" t="str">
        <f>'Short &amp; Simple'!H62</f>
        <v>25 Man Normal HOF - Imperial Vizier Zor'lok</v>
      </c>
      <c r="AC33" s="491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Seraphÿm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Warriorxz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Bishamonten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Shalist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F51" sqref="F47:F51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0" hidden="1" customWidth="1"/>
    <col min="11" max="11" width="12.5703125" bestFit="1" customWidth="1"/>
    <col min="12" max="12" width="0" hidden="1" customWidth="1"/>
    <col min="13" max="13" width="15.7109375" customWidth="1"/>
    <col min="14" max="14" width="0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2" t="s">
        <v>177</v>
      </c>
      <c r="D1" s="492"/>
      <c r="E1" s="492"/>
      <c r="K1" s="492" t="s">
        <v>179</v>
      </c>
      <c r="L1" s="492"/>
      <c r="M1" s="492"/>
      <c r="S1" s="492" t="s">
        <v>180</v>
      </c>
      <c r="T1" s="492"/>
      <c r="U1" s="492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 t="str">
        <f>IF(Gear!J5&gt;=$Y$2,Gear!A5,0)</f>
        <v>Andreah</v>
      </c>
      <c r="T6" s="320" t="s">
        <v>156</v>
      </c>
      <c r="U6" s="350">
        <f>IF(S6=0,"",VLOOKUP(S6,Gear!A:J,10,FALSE))</f>
        <v>0.1</v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 t="str">
        <f>IF(Gear!J7&gt;=$Y$2,Gear!A7,0)</f>
        <v>Axium</v>
      </c>
      <c r="T8" s="320" t="s">
        <v>156</v>
      </c>
      <c r="U8" s="350">
        <f>IF(S8=0,"",VLOOKUP(S8,Gear!A:J,10,FALSE))</f>
        <v>0.1</v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 t="str">
        <f>IF(Gear!J10&gt;=$Y$2,Gear!A10,0)</f>
        <v>Craving</v>
      </c>
      <c r="T11" s="320" t="s">
        <v>156</v>
      </c>
      <c r="U11" s="350">
        <f>IF(S11=0,"",VLOOKUP(S11,Gear!A:J,10,FALSE))</f>
        <v>0.1</v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 t="str">
        <f>IF(Gear!J14&gt;=$Y$2,Gear!A14,0)</f>
        <v>Halfhorns</v>
      </c>
      <c r="T15" s="320" t="s">
        <v>156</v>
      </c>
      <c r="U15" s="350">
        <f>IF(S15=0,"",VLOOKUP(S15,Gear!A:J,10,FALSE))</f>
        <v>0.2</v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 t="str">
        <f>IF(Gear!J24&gt;=$Y$2,Gear!A24,0)</f>
        <v>Muckyfloor</v>
      </c>
      <c r="T25" s="320" t="s">
        <v>156</v>
      </c>
      <c r="U25" s="350">
        <f>IF(S25=0,"",VLOOKUP(S25,Gear!A:J,10,FALSE))</f>
        <v>0.4</v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 t="str">
        <f>IF(Gear!J25&gt;=$Y$2,Gear!A25,0)</f>
        <v>Müfti</v>
      </c>
      <c r="T26" s="320" t="s">
        <v>156</v>
      </c>
      <c r="U26" s="350">
        <f>IF(S26=0,"",VLOOKUP(S26,Gear!A:J,10,FALSE))</f>
        <v>0.4</v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 t="str">
        <f>IF(Gear!J27&gt;=$Y$2,Gear!A27,0)</f>
        <v>Niklaus</v>
      </c>
      <c r="T28" s="320" t="s">
        <v>156</v>
      </c>
      <c r="U28" s="350">
        <f>IF(S28=0,"",VLOOKUP(S28,Gear!A:J,10,FALSE))</f>
        <v>0.2</v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 t="str">
        <f>IF(Gear!J28&gt;=$Y$2,Gear!A28,0)</f>
        <v>Onemanforest</v>
      </c>
      <c r="T29" s="320" t="s">
        <v>156</v>
      </c>
      <c r="U29" s="350">
        <f>IF(S29=0,"",VLOOKUP(S29,Gear!A:J,10,FALSE))</f>
        <v>0.8</v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 t="str">
        <f>IF(DCC!G29&gt;0,DCC!A29,0)</f>
        <v>Rcane</v>
      </c>
      <c r="L30" s="320" t="s">
        <v>156</v>
      </c>
      <c r="M30" s="350">
        <f>IF(K30=0,"",VLOOKUP(K30,DCC!A:G,7,FALSE))</f>
        <v>1</v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 t="str">
        <f>IF(DCC!G30&gt;0,DCC!A30,0)</f>
        <v>Revlash</v>
      </c>
      <c r="L31" s="320" t="s">
        <v>156</v>
      </c>
      <c r="M31" s="350">
        <f>IF(K31=0,"",VLOOKUP(K31,DCC!A:G,7,FALSE))</f>
        <v>2</v>
      </c>
      <c r="N31" t="s">
        <v>158</v>
      </c>
      <c r="R31" t="s">
        <v>154</v>
      </c>
      <c r="S31" s="346" t="str">
        <f>IF(Gear!J30&gt;=$Y$2,Gear!A30,0)</f>
        <v>Revlash</v>
      </c>
      <c r="T31" s="320" t="s">
        <v>156</v>
      </c>
      <c r="U31" s="350">
        <f>IF(S31=0,"",VLOOKUP(S31,Gear!A:J,10,FALSE))</f>
        <v>0.4</v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 t="str">
        <f>IF(Gear!J32&gt;=$Y$2,Gear!A32,0)</f>
        <v>Shinkai</v>
      </c>
      <c r="T33" s="320" t="s">
        <v>156</v>
      </c>
      <c r="U33" s="350">
        <f>IF(S33=0,"",VLOOKUP(S33,Gear!A:J,10,FALSE))</f>
        <v>0.2</v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 t="str">
        <f>IF(Gear!J33&gt;=$Y$2,Gear!A33,0)</f>
        <v>Spudsux</v>
      </c>
      <c r="T34" s="320" t="s">
        <v>156</v>
      </c>
      <c r="U34" s="350">
        <f>IF(S34=0,"",VLOOKUP(S34,Gear!A:J,10,FALSE))</f>
        <v>0.5</v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 t="str">
        <f>IF(DCC!G34&gt;0,DCC!A34,0)</f>
        <v>Szion</v>
      </c>
      <c r="L35" s="320" t="s">
        <v>156</v>
      </c>
      <c r="M35" s="350">
        <f>IF(K35=0,"",VLOOKUP(K35,DCC!A:G,7,FALSE))</f>
        <v>1</v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 t="str">
        <f>IF(Gear!J36&gt;=$Y$2,Gear!A36,0)</f>
        <v>Vakama</v>
      </c>
      <c r="T37" s="320" t="s">
        <v>156</v>
      </c>
      <c r="U37" s="350">
        <f>IF(S37=0,"",VLOOKUP(S37,Gear!A:J,10,FALSE))</f>
        <v>0.1</v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 t="str">
        <f>IF(Gear!J42&gt;=$Y$2,Gear!A42,0)</f>
        <v xml:space="preserve"> Sensés</v>
      </c>
      <c r="T43" s="320" t="s">
        <v>156</v>
      </c>
      <c r="U43" s="350">
        <f>IF(S43=0,"",VLOOKUP(S43,Gear!A:J,10,FALSE))</f>
        <v>0.1</v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22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22</v>
      </c>
      <c r="J3" s="359">
        <f>SUM(J4:J16)</f>
        <v>218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3</v>
      </c>
      <c r="J4" s="359">
        <f>Sign!B10</f>
        <v>29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0</v>
      </c>
      <c r="H5" t="s">
        <v>158</v>
      </c>
      <c r="I5" s="358">
        <f>COUNTIFS('Members Data'!$C$2:$C$61,Rec!C5,'Members Data'!$D$2:$D$61,Rec!E5)</f>
        <v>3</v>
      </c>
      <c r="J5" s="359">
        <f>Sign!B14</f>
        <v>33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31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2</v>
      </c>
      <c r="J8" s="359">
        <f>Sign!B22</f>
        <v>17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1</v>
      </c>
      <c r="H9" t="s">
        <v>158</v>
      </c>
      <c r="I9" s="358">
        <f>COUNTIFS('Members Data'!$C$2:$C$61,Rec!C9,'Members Data'!$D$2:$D$61,Rec!E9)</f>
        <v>1</v>
      </c>
      <c r="J9" s="359">
        <f>Sign!B26</f>
        <v>13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2</v>
      </c>
      <c r="H10" t="s">
        <v>158</v>
      </c>
      <c r="I10" s="358">
        <f>COUNTIFS('Members Data'!$C$2:$C$61,Rec!C10,'Members Data'!$D$2:$D$61,Rec!E10)</f>
        <v>0</v>
      </c>
      <c r="J10" s="359">
        <f>Sign!B31</f>
        <v>0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0</v>
      </c>
      <c r="H11" t="s">
        <v>158</v>
      </c>
      <c r="I11" s="358">
        <f>COUNTIFS('Members Data'!$C$2:$C$61,Rec!C11,'Members Data'!$D$2:$D$61,Rec!E11)</f>
        <v>2</v>
      </c>
      <c r="J11" s="359">
        <f>Sign!B35</f>
        <v>20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0</v>
      </c>
      <c r="H12" t="s">
        <v>158</v>
      </c>
      <c r="I12" s="358">
        <f>COUNTIFS('Members Data'!$C$2:$C$61,Rec!C12,'Members Data'!$D$2:$D$61,Rec!E12)</f>
        <v>2</v>
      </c>
      <c r="J12" s="359">
        <f>Sign!B39</f>
        <v>20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2</v>
      </c>
      <c r="H13" t="s">
        <v>158</v>
      </c>
      <c r="I13" s="358">
        <f>COUNTIFS('Members Data'!$C$2:$C$61,Rec!C13,'Members Data'!$D$2:$D$61,Rec!E13)</f>
        <v>0</v>
      </c>
      <c r="J13" s="359">
        <f>Sign!B42</f>
        <v>0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1</v>
      </c>
      <c r="H14" t="s">
        <v>158</v>
      </c>
      <c r="I14" s="358">
        <f>COUNTIFS('Members Data'!$C$2:$C$61,Rec!C14,'Members Data'!$D$2:$D$61,Rec!E14)</f>
        <v>1</v>
      </c>
      <c r="J14" s="359">
        <f>Sign!B43</f>
        <v>9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3</v>
      </c>
      <c r="J15" s="359">
        <f>Sign!B47</f>
        <v>27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0</v>
      </c>
      <c r="H16" t="s">
        <v>158</v>
      </c>
      <c r="I16" s="358">
        <f>COUNTIFS('Members Data'!$C$2:$C$61,Rec!C16,'Members Data'!$D$2:$D$61,Rec!E16)</f>
        <v>2</v>
      </c>
      <c r="J16" s="359">
        <f>Sign!B51</f>
        <v>19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10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10</v>
      </c>
      <c r="J18" s="359">
        <f>SUM(J19:J23)</f>
        <v>98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0</v>
      </c>
      <c r="H19" t="s">
        <v>158</v>
      </c>
      <c r="I19" s="358">
        <f>COUNTIFS('Members Data'!$C$2:$C$61,Rec!C19,'Members Data'!$D$2:$D$61,Rec!E19)</f>
        <v>2</v>
      </c>
      <c r="J19" s="359">
        <f>Sign!B16</f>
        <v>21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0</v>
      </c>
      <c r="H20" t="s">
        <v>158</v>
      </c>
      <c r="I20" s="358">
        <f>COUNTIFS('Members Data'!$C$2:$C$61,Rec!C20,'Members Data'!$D$2:$D$61,Rec!E20)</f>
        <v>2</v>
      </c>
      <c r="J20" s="359">
        <f>Sign!B27</f>
        <v>21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1</v>
      </c>
      <c r="H21" t="s">
        <v>158</v>
      </c>
      <c r="I21" s="358">
        <f>COUNTIFS('Members Data'!$C$2:$C$61,Rec!C21,'Members Data'!$D$2:$D$61,Rec!E21)</f>
        <v>1</v>
      </c>
      <c r="J21" s="359">
        <f>Sign!B32</f>
        <v>13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2</v>
      </c>
      <c r="J22" s="359">
        <f>Sign!B36</f>
        <v>17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0</v>
      </c>
      <c r="H23" t="s">
        <v>158</v>
      </c>
      <c r="I23" s="358">
        <f>COUNTIFS('Members Data'!$C$2:$C$61,Rec!C23,'Members Data'!$D$2:$D$61,Rec!E23)</f>
        <v>3</v>
      </c>
      <c r="J23" s="359">
        <f>Sign!B44</f>
        <v>26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3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3</v>
      </c>
      <c r="J25" s="359">
        <f>SUM(J26:J30)</f>
        <v>27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13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2</v>
      </c>
      <c r="J30" s="361">
        <f>Sign!B50</f>
        <v>14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14</v>
      </c>
    </row>
    <row r="34" spans="5:7">
      <c r="E34" s="231" t="s">
        <v>189</v>
      </c>
      <c r="G34" s="231">
        <f>G33+E25+E18+E3</f>
        <v>49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28" sqref="A28:XFD28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60" t="s">
        <v>124</v>
      </c>
      <c r="D1" s="468" t="s">
        <v>54</v>
      </c>
      <c r="E1" s="467" t="s">
        <v>55</v>
      </c>
      <c r="F1" s="467" t="s">
        <v>56</v>
      </c>
      <c r="G1" s="80" t="s">
        <v>57</v>
      </c>
      <c r="H1" s="467" t="s">
        <v>58</v>
      </c>
      <c r="I1" s="471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>
        <f>'Members Data'!A2</f>
        <v>0</v>
      </c>
      <c r="B2" s="221">
        <v>40774</v>
      </c>
      <c r="C2" s="461"/>
      <c r="D2" s="455" t="s">
        <v>60</v>
      </c>
      <c r="E2" s="458">
        <v>0</v>
      </c>
      <c r="F2" s="457">
        <v>0</v>
      </c>
      <c r="G2" s="455" t="s">
        <v>60</v>
      </c>
      <c r="H2" s="457">
        <v>0</v>
      </c>
      <c r="I2" s="456">
        <v>0</v>
      </c>
      <c r="J2" s="9">
        <f t="shared" ref="J2:J33" si="0">(IF(D2="no",TRUE)*0.1)+(E2*0.4)+(F2*0.1)+(IF(G2="no",TRUE)*0.2)+(H2*0.4)+(I2*0.1)</f>
        <v>0</v>
      </c>
      <c r="K2" s="9">
        <f>VLOOKUP(Gear!A2,'Look-up'!A:B,2,FALSE)</f>
        <v>0</v>
      </c>
      <c r="L2" s="8">
        <f>IF(K2&lt;'Short &amp; Simple'!$E$49,0,VLOOKUP(K2,'Short &amp; Simple'!$E$49:$F$58,2))</f>
        <v>0</v>
      </c>
      <c r="M2" s="377"/>
      <c r="N2" s="377"/>
      <c r="O2" s="377"/>
      <c r="P2" s="157">
        <f>IF(SUM($M2:$O2)=0,0,SUM($M2:$O2)/COUNTIF($M2:$O2, "&gt;0"))</f>
        <v>0</v>
      </c>
      <c r="Q2" s="164" t="e">
        <f>Gear!P2/VLOOKUP(C2,'Short &amp; Simple'!$H$32:$I$67,2,FALSE)</f>
        <v>#N/A</v>
      </c>
      <c r="R2" s="8" t="e">
        <f t="shared" ref="R2:R33" si="1">IF(Q2&gt;=$X$4,"Gladiator",IF(Q2&gt;=$X$3,"Venturer","Traveler"))</f>
        <v>#N/A</v>
      </c>
      <c r="T2" s="341" t="s">
        <v>83</v>
      </c>
      <c r="V2" s="271">
        <f>COUNTIF(R2:R61,"Traveler")</f>
        <v>12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Altrezza</v>
      </c>
      <c r="B3" s="221">
        <v>40774</v>
      </c>
      <c r="C3" s="462" t="s">
        <v>109</v>
      </c>
      <c r="D3" s="455" t="s">
        <v>60</v>
      </c>
      <c r="E3" s="458">
        <v>0</v>
      </c>
      <c r="F3" s="457">
        <v>0</v>
      </c>
      <c r="G3" s="455" t="s">
        <v>60</v>
      </c>
      <c r="H3" s="457">
        <v>0</v>
      </c>
      <c r="I3" s="456">
        <v>0</v>
      </c>
      <c r="J3" s="9">
        <f t="shared" si="0"/>
        <v>0</v>
      </c>
      <c r="K3" s="9">
        <f>VLOOKUP(Gear!A3,'Look-up'!A:B,2,FALSE)</f>
        <v>7043</v>
      </c>
      <c r="L3" s="8">
        <f>IF(K3&lt;'Short &amp; Simple'!$E$49,0,VLOOKUP(K3,'Short &amp; Simple'!$E$49:$F$58,2))</f>
        <v>5</v>
      </c>
      <c r="M3" s="377">
        <v>23083.7</v>
      </c>
      <c r="N3" s="377"/>
      <c r="O3" s="377"/>
      <c r="P3" s="157">
        <f t="shared" ref="P3:P66" si="2">IF(SUM($M3:$O3)=0,0,SUM($M3:$O3)/COUNTIF($M3:$O3, "&gt;0"))</f>
        <v>23083.7</v>
      </c>
      <c r="Q3" s="160">
        <f>Gear!P3/VLOOKUP(C3,'Short &amp; Simple'!$H$32:$I$67,2,FALSE)</f>
        <v>0.41200660389987059</v>
      </c>
      <c r="R3" s="8" t="str">
        <f t="shared" si="1"/>
        <v>Traveler</v>
      </c>
      <c r="T3" s="341" t="s">
        <v>84</v>
      </c>
      <c r="V3" s="274">
        <f>COUNTIF(R2:R61,"Venturer")</f>
        <v>16</v>
      </c>
      <c r="W3" s="275" t="s">
        <v>31</v>
      </c>
      <c r="X3" s="276">
        <f>'Short &amp; Simple'!F68/100</f>
        <v>0.65</v>
      </c>
    </row>
    <row r="4" spans="1:28" ht="15" customHeight="1">
      <c r="A4" s="48" t="str">
        <f>'Members Data'!A4</f>
        <v>Ambú</v>
      </c>
      <c r="B4" s="221">
        <v>40774</v>
      </c>
      <c r="C4" s="462" t="s">
        <v>95</v>
      </c>
      <c r="D4" s="455" t="s">
        <v>60</v>
      </c>
      <c r="E4" s="458">
        <v>0</v>
      </c>
      <c r="F4" s="457">
        <v>0</v>
      </c>
      <c r="G4" s="455" t="s">
        <v>60</v>
      </c>
      <c r="H4" s="457">
        <v>0</v>
      </c>
      <c r="I4" s="456">
        <v>0</v>
      </c>
      <c r="J4" s="9">
        <f t="shared" si="0"/>
        <v>0</v>
      </c>
      <c r="K4" s="9">
        <f>VLOOKUP(Gear!A4,'Look-up'!A:B,2,FALSE)</f>
        <v>7174</v>
      </c>
      <c r="L4" s="8">
        <f>IF(K4&lt;'Short &amp; Simple'!$E$49,0,VLOOKUP(K4,'Short &amp; Simple'!$E$49:$F$58,2))</f>
        <v>5</v>
      </c>
      <c r="M4" s="377">
        <v>91165.3</v>
      </c>
      <c r="N4" s="377">
        <v>85280.3</v>
      </c>
      <c r="O4" s="377">
        <v>79726.7</v>
      </c>
      <c r="P4" s="157">
        <f t="shared" si="2"/>
        <v>85390.766666666663</v>
      </c>
      <c r="Q4" s="160">
        <f>Gear!P4/VLOOKUP(C4,'Short &amp; Simple'!$H$32:$I$67,2,FALSE)</f>
        <v>0.73249639002073053</v>
      </c>
      <c r="R4" s="8" t="str">
        <f t="shared" si="1"/>
        <v>Venturer</v>
      </c>
      <c r="T4" s="341" t="s">
        <v>85</v>
      </c>
      <c r="V4" s="274">
        <f>COUNTIF(R2:R61,"Gladiator")</f>
        <v>7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Andreah</v>
      </c>
      <c r="B5" s="221">
        <v>40774</v>
      </c>
      <c r="C5" s="462" t="s">
        <v>90</v>
      </c>
      <c r="D5" s="455" t="s">
        <v>60</v>
      </c>
      <c r="E5" s="458">
        <v>0</v>
      </c>
      <c r="F5" s="457">
        <v>0</v>
      </c>
      <c r="G5" s="455" t="s">
        <v>60</v>
      </c>
      <c r="H5" s="457">
        <v>0</v>
      </c>
      <c r="I5" s="456">
        <v>1</v>
      </c>
      <c r="J5" s="9">
        <f t="shared" si="0"/>
        <v>0.1</v>
      </c>
      <c r="K5" s="9">
        <f>VLOOKUP(Gear!A5,'Look-up'!A:B,2,FALSE)</f>
        <v>7161</v>
      </c>
      <c r="L5" s="8">
        <f>IF(K5&lt;'Short &amp; Simple'!$E$49,0,VLOOKUP(K5,'Short &amp; Simple'!$E$49:$F$58,2))</f>
        <v>5</v>
      </c>
      <c r="M5" s="377">
        <v>53860.1</v>
      </c>
      <c r="N5" s="377">
        <v>57272.1</v>
      </c>
      <c r="O5" s="377">
        <v>50002.9</v>
      </c>
      <c r="P5" s="157">
        <f t="shared" si="2"/>
        <v>53711.700000000004</v>
      </c>
      <c r="Q5" s="160">
        <f>Gear!P5/VLOOKUP(C5,'Short &amp; Simple'!$H$32:$I$67,2,FALSE)</f>
        <v>0.52347013361661487</v>
      </c>
      <c r="R5" s="8" t="str">
        <f t="shared" si="1"/>
        <v>Traveler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>
        <f>'Members Data'!A6</f>
        <v>0</v>
      </c>
      <c r="B6" s="221">
        <v>40774</v>
      </c>
      <c r="C6" s="462"/>
      <c r="D6" s="455" t="s">
        <v>60</v>
      </c>
      <c r="E6" s="458">
        <v>0</v>
      </c>
      <c r="F6" s="457">
        <v>0</v>
      </c>
      <c r="G6" s="455" t="s">
        <v>60</v>
      </c>
      <c r="H6" s="457">
        <v>0</v>
      </c>
      <c r="I6" s="456">
        <v>0</v>
      </c>
      <c r="J6" s="9">
        <f t="shared" si="0"/>
        <v>0</v>
      </c>
      <c r="K6" s="9">
        <f>VLOOKUP(Gear!A6,'Look-up'!A:B,2,FALSE)</f>
        <v>0</v>
      </c>
      <c r="L6" s="8">
        <f>IF(K6&lt;'Short &amp; Simple'!$E$49,0,VLOOKUP(K6,'Short &amp; Simple'!$E$49:$F$58,2))</f>
        <v>0</v>
      </c>
      <c r="M6" s="377"/>
      <c r="N6" s="377"/>
      <c r="O6" s="377"/>
      <c r="P6" s="157">
        <f t="shared" si="2"/>
        <v>0</v>
      </c>
      <c r="Q6" s="160" t="e">
        <f>Gear!P6/VLOOKUP(C6,'Short &amp; Simple'!$H$32:$I$67,2,FALSE)</f>
        <v>#N/A</v>
      </c>
      <c r="R6" s="8" t="e">
        <f t="shared" si="1"/>
        <v>#N/A</v>
      </c>
      <c r="T6" s="341" t="s">
        <v>88</v>
      </c>
      <c r="V6" s="278">
        <f>(100/X6)*W6</f>
        <v>37.142857142857146</v>
      </c>
      <c r="W6" s="279">
        <f>COUNTIF(J2:J61,"&gt;0")</f>
        <v>13</v>
      </c>
      <c r="X6" s="280">
        <f>60 -COUNTIF(A2:A61, "=0")</f>
        <v>35</v>
      </c>
      <c r="AB6" s="173"/>
    </row>
    <row r="7" spans="1:28" ht="15" customHeight="1" thickTop="1">
      <c r="A7" s="48" t="str">
        <f>'Members Data'!A7</f>
        <v>Axium</v>
      </c>
      <c r="B7" s="221">
        <v>40774</v>
      </c>
      <c r="C7" s="462" t="s">
        <v>104</v>
      </c>
      <c r="D7" s="455" t="s">
        <v>60</v>
      </c>
      <c r="E7" s="458">
        <v>0</v>
      </c>
      <c r="F7" s="457">
        <v>0</v>
      </c>
      <c r="G7" s="455" t="s">
        <v>60</v>
      </c>
      <c r="H7" s="457">
        <v>0</v>
      </c>
      <c r="I7" s="456">
        <v>1</v>
      </c>
      <c r="J7" s="9">
        <f t="shared" si="0"/>
        <v>0.1</v>
      </c>
      <c r="K7" s="9">
        <f>VLOOKUP(Gear!A7,'Look-up'!A:B,2,FALSE)</f>
        <v>7153</v>
      </c>
      <c r="L7" s="8">
        <f>IF(K7&lt;'Short &amp; Simple'!$E$49,0,VLOOKUP(K7,'Short &amp; Simple'!$E$49:$F$58,2))</f>
        <v>5</v>
      </c>
      <c r="M7" s="377">
        <v>95208</v>
      </c>
      <c r="N7" s="377">
        <v>84876.1</v>
      </c>
      <c r="O7" s="377">
        <v>80946.5</v>
      </c>
      <c r="P7" s="157">
        <f t="shared" si="2"/>
        <v>87010.2</v>
      </c>
      <c r="Q7" s="160">
        <f>Gear!P7/VLOOKUP(C7,'Short &amp; Simple'!$H$32:$I$67,2,FALSE)</f>
        <v>0.7806090728438202</v>
      </c>
      <c r="R7" s="8" t="str">
        <f t="shared" si="1"/>
        <v>Venturer</v>
      </c>
      <c r="T7" s="341" t="s">
        <v>87</v>
      </c>
      <c r="V7" s="231"/>
    </row>
    <row r="8" spans="1:28" ht="15" customHeight="1">
      <c r="A8" s="48">
        <f>'Members Data'!A8</f>
        <v>0</v>
      </c>
      <c r="B8" s="221">
        <v>40774</v>
      </c>
      <c r="C8" s="462"/>
      <c r="D8" s="455"/>
      <c r="E8" s="458"/>
      <c r="F8" s="457"/>
      <c r="G8" s="455"/>
      <c r="H8" s="457"/>
      <c r="I8" s="456"/>
      <c r="J8" s="9"/>
      <c r="K8" s="9">
        <f>VLOOKUP(Gear!A8,'Look-up'!A:B,2,FALSE)</f>
        <v>0</v>
      </c>
      <c r="L8" s="8">
        <f>IF(K8&lt;'Short &amp; Simple'!$E$49,0,VLOOKUP(K8,'Short &amp; Simple'!$E$49:$F$58,2))</f>
        <v>0</v>
      </c>
      <c r="M8" s="377"/>
      <c r="N8" s="377"/>
      <c r="O8" s="377"/>
      <c r="P8" s="157">
        <f t="shared" si="2"/>
        <v>0</v>
      </c>
      <c r="Q8" s="160" t="e">
        <f>Gear!P8/VLOOKUP(C8,'Short &amp; Simple'!$H$32:$I$67,2,FALSE)</f>
        <v>#N/A</v>
      </c>
      <c r="R8" s="8" t="e">
        <f t="shared" si="1"/>
        <v>#N/A</v>
      </c>
      <c r="T8" s="341" t="s">
        <v>89</v>
      </c>
      <c r="V8" s="439">
        <f>COUNTIF(L2:L61,"6")</f>
        <v>0</v>
      </c>
      <c r="W8" s="275" t="s">
        <v>213</v>
      </c>
    </row>
    <row r="9" spans="1:28" ht="15" customHeight="1">
      <c r="A9" s="48">
        <f>'Members Data'!A9</f>
        <v>0</v>
      </c>
      <c r="B9" s="221">
        <v>40774</v>
      </c>
      <c r="C9" s="462"/>
      <c r="D9" s="455"/>
      <c r="E9" s="458"/>
      <c r="F9" s="457"/>
      <c r="G9" s="455"/>
      <c r="H9" s="457"/>
      <c r="I9" s="456"/>
      <c r="J9" s="9"/>
      <c r="K9" s="9">
        <f>VLOOKUP(Gear!A9,'Look-up'!A:B,2,FALSE)</f>
        <v>0</v>
      </c>
      <c r="L9" s="8">
        <f>IF(K9&lt;'Short &amp; Simple'!$E$49,0,VLOOKUP(K9,'Short &amp; Simple'!$E$49:$F$58,2))</f>
        <v>0</v>
      </c>
      <c r="M9" s="377"/>
      <c r="N9" s="377"/>
      <c r="O9" s="377"/>
      <c r="P9" s="157">
        <f t="shared" si="2"/>
        <v>0</v>
      </c>
      <c r="Q9" s="160" t="e">
        <f>Gear!P9/VLOOKUP(C9,'Short &amp; Simple'!$H$32:$I$67,2,FALSE)</f>
        <v>#N/A</v>
      </c>
      <c r="R9" s="8" t="e">
        <f t="shared" si="1"/>
        <v>#N/A</v>
      </c>
      <c r="T9" s="341" t="s">
        <v>91</v>
      </c>
      <c r="V9" s="439">
        <f>COUNTIF(L2:L61,"5")</f>
        <v>35</v>
      </c>
      <c r="W9" s="275" t="s">
        <v>214</v>
      </c>
    </row>
    <row r="10" spans="1:28" ht="15" customHeight="1">
      <c r="A10" s="48" t="str">
        <f>'Members Data'!A10</f>
        <v>Craving</v>
      </c>
      <c r="B10" s="221">
        <v>40774</v>
      </c>
      <c r="C10" s="462" t="s">
        <v>173</v>
      </c>
      <c r="D10" s="455" t="s">
        <v>60</v>
      </c>
      <c r="E10" s="458">
        <v>0</v>
      </c>
      <c r="F10" s="457">
        <v>0</v>
      </c>
      <c r="G10" s="455" t="s">
        <v>60</v>
      </c>
      <c r="H10" s="457">
        <v>0</v>
      </c>
      <c r="I10" s="456">
        <v>1</v>
      </c>
      <c r="J10" s="9">
        <f t="shared" si="0"/>
        <v>0.1</v>
      </c>
      <c r="K10" s="9">
        <f>VLOOKUP(Gear!A10,'Look-up'!A:B,2,FALSE)</f>
        <v>7106</v>
      </c>
      <c r="L10" s="8">
        <f>IF(K10&lt;'Short &amp; Simple'!$E$49,0,VLOOKUP(K10,'Short &amp; Simple'!$E$49:$F$58,2))</f>
        <v>5</v>
      </c>
      <c r="M10" s="377">
        <v>76534.3</v>
      </c>
      <c r="N10" s="377">
        <v>80433</v>
      </c>
      <c r="O10" s="377">
        <v>78775.199999999997</v>
      </c>
      <c r="P10" s="157">
        <f t="shared" si="2"/>
        <v>78580.833333333328</v>
      </c>
      <c r="Q10" s="160">
        <f>Gear!P10/VLOOKUP(C10,'Short &amp; Simple'!$H$32:$I$67,2,FALSE)</f>
        <v>0.71878849413974355</v>
      </c>
      <c r="R10" s="8" t="str">
        <f t="shared" si="1"/>
        <v>Venturer</v>
      </c>
      <c r="T10" s="341" t="s">
        <v>90</v>
      </c>
      <c r="V10" s="439">
        <f>COUNTIF(L2:L61,"4")</f>
        <v>0</v>
      </c>
      <c r="W10" s="275" t="s">
        <v>215</v>
      </c>
    </row>
    <row r="11" spans="1:28" ht="15" customHeight="1">
      <c r="A11" s="48" t="str">
        <f>'Members Data'!A11</f>
        <v>Darsid</v>
      </c>
      <c r="B11" s="221">
        <v>40774</v>
      </c>
      <c r="C11" s="462" t="s">
        <v>99</v>
      </c>
      <c r="D11" s="455" t="s">
        <v>60</v>
      </c>
      <c r="E11" s="458">
        <v>0</v>
      </c>
      <c r="F11" s="457">
        <v>0</v>
      </c>
      <c r="G11" s="455" t="s">
        <v>60</v>
      </c>
      <c r="H11" s="457">
        <v>0</v>
      </c>
      <c r="I11" s="456">
        <v>0</v>
      </c>
      <c r="J11" s="9">
        <f t="shared" si="0"/>
        <v>0</v>
      </c>
      <c r="K11" s="9">
        <f>VLOOKUP(Gear!A11,'Look-up'!A:B,2,FALSE)</f>
        <v>7207</v>
      </c>
      <c r="L11" s="8">
        <f>IF(K11&lt;'Short &amp; Simple'!$E$49,0,VLOOKUP(K11,'Short &amp; Simple'!$E$49:$F$58,2))</f>
        <v>5</v>
      </c>
      <c r="M11" s="377">
        <v>76287.600000000006</v>
      </c>
      <c r="N11" s="377">
        <v>59448.5</v>
      </c>
      <c r="O11" s="377">
        <v>55345.9</v>
      </c>
      <c r="P11" s="157">
        <f t="shared" si="2"/>
        <v>63694</v>
      </c>
      <c r="Q11" s="160">
        <f>Gear!P11/VLOOKUP(C11,'Short &amp; Simple'!$H$32:$I$67,2,FALSE)</f>
        <v>0.61833732167733735</v>
      </c>
      <c r="R11" s="8" t="str">
        <f t="shared" si="1"/>
        <v>Traveler</v>
      </c>
      <c r="T11" s="341" t="s">
        <v>92</v>
      </c>
      <c r="V11" s="439">
        <f>COUNTIF(L2:L61,"3")</f>
        <v>0</v>
      </c>
      <c r="W11" s="275" t="s">
        <v>216</v>
      </c>
    </row>
    <row r="12" spans="1:28" ht="15" customHeight="1">
      <c r="A12" s="48" t="str">
        <f>'Members Data'!A12</f>
        <v>Droodcaster</v>
      </c>
      <c r="B12" s="221">
        <v>40774</v>
      </c>
      <c r="C12" s="462" t="s">
        <v>85</v>
      </c>
      <c r="D12" s="455" t="s">
        <v>60</v>
      </c>
      <c r="E12" s="458">
        <v>0</v>
      </c>
      <c r="F12" s="457">
        <v>0</v>
      </c>
      <c r="G12" s="455" t="s">
        <v>60</v>
      </c>
      <c r="H12" s="457">
        <v>0</v>
      </c>
      <c r="I12" s="456">
        <v>0</v>
      </c>
      <c r="J12" s="9">
        <f t="shared" si="0"/>
        <v>0</v>
      </c>
      <c r="K12" s="9">
        <f>VLOOKUP(Gear!A12,'Look-up'!A:B,2,FALSE)</f>
        <v>7258</v>
      </c>
      <c r="L12" s="8">
        <f>IF(K12&lt;'Short &amp; Simple'!$E$49,0,VLOOKUP(K12,'Short &amp; Simple'!$E$49:$F$58,2))</f>
        <v>5</v>
      </c>
      <c r="M12" s="377">
        <v>89348.7</v>
      </c>
      <c r="N12" s="377">
        <v>92746.3</v>
      </c>
      <c r="O12" s="377">
        <v>91759.8</v>
      </c>
      <c r="P12" s="157">
        <f t="shared" si="2"/>
        <v>91284.933333333334</v>
      </c>
      <c r="Q12" s="160">
        <f>Gear!P12/VLOOKUP(C12,'Short &amp; Simple'!$H$32:$I$67,2,FALSE)</f>
        <v>0.89770063511575493</v>
      </c>
      <c r="R12" s="8" t="str">
        <f t="shared" si="1"/>
        <v>Gladiator</v>
      </c>
      <c r="T12" s="341" t="s">
        <v>173</v>
      </c>
      <c r="V12" s="439">
        <f>COUNTIF(L2:L61,"2")</f>
        <v>0</v>
      </c>
      <c r="W12" s="275" t="s">
        <v>217</v>
      </c>
    </row>
    <row r="13" spans="1:28" ht="15" customHeight="1">
      <c r="A13" s="48" t="str">
        <f>'Members Data'!A13</f>
        <v>Gloríus</v>
      </c>
      <c r="B13" s="221">
        <v>40774</v>
      </c>
      <c r="C13" s="462" t="s">
        <v>101</v>
      </c>
      <c r="D13" s="455" t="s">
        <v>60</v>
      </c>
      <c r="E13" s="458">
        <v>0</v>
      </c>
      <c r="F13" s="457">
        <v>0</v>
      </c>
      <c r="G13" s="455" t="s">
        <v>60</v>
      </c>
      <c r="H13" s="457">
        <v>0</v>
      </c>
      <c r="I13" s="456">
        <v>0</v>
      </c>
      <c r="J13" s="9">
        <f t="shared" si="0"/>
        <v>0</v>
      </c>
      <c r="K13" s="9">
        <f>VLOOKUP(Gear!A13,'Look-up'!A:B,2,FALSE)</f>
        <v>7108</v>
      </c>
      <c r="L13" s="8">
        <f>IF(K13&lt;'Short &amp; Simple'!$E$49,0,VLOOKUP(K13,'Short &amp; Simple'!$E$49:$F$58,2))</f>
        <v>5</v>
      </c>
      <c r="M13" s="377">
        <v>74701.5</v>
      </c>
      <c r="N13" s="377">
        <v>78490.8</v>
      </c>
      <c r="O13" s="377"/>
      <c r="P13" s="157">
        <f t="shared" si="2"/>
        <v>76596.149999999994</v>
      </c>
      <c r="Q13" s="160">
        <f>Gear!P13/VLOOKUP(C13,'Short &amp; Simple'!$H$32:$I$67,2,FALSE)</f>
        <v>0.63239625001548039</v>
      </c>
      <c r="R13" s="8" t="str">
        <f t="shared" si="1"/>
        <v>Traveler</v>
      </c>
      <c r="T13" s="341" t="s">
        <v>93</v>
      </c>
      <c r="V13" s="439">
        <f>COUNTIF(L2:L61,"1")</f>
        <v>0</v>
      </c>
      <c r="W13" s="275" t="s">
        <v>218</v>
      </c>
    </row>
    <row r="14" spans="1:28" ht="15" customHeight="1">
      <c r="A14" s="48" t="str">
        <f>'Members Data'!A14</f>
        <v>Halfhorns</v>
      </c>
      <c r="B14" s="221">
        <v>40774</v>
      </c>
      <c r="C14" s="462" t="s">
        <v>83</v>
      </c>
      <c r="D14" s="455" t="s">
        <v>60</v>
      </c>
      <c r="E14" s="458">
        <v>0</v>
      </c>
      <c r="F14" s="457">
        <v>0</v>
      </c>
      <c r="G14" s="455" t="s">
        <v>60</v>
      </c>
      <c r="H14" s="457">
        <v>0</v>
      </c>
      <c r="I14" s="456">
        <v>2</v>
      </c>
      <c r="J14" s="9">
        <f t="shared" si="0"/>
        <v>0.2</v>
      </c>
      <c r="K14" s="9">
        <f>VLOOKUP(Gear!A14,'Look-up'!A:B,2,FALSE)</f>
        <v>7198</v>
      </c>
      <c r="L14" s="8">
        <f>IF(K14&lt;'Short &amp; Simple'!$E$49,0,VLOOKUP(K14,'Short &amp; Simple'!$E$49:$F$58,2))</f>
        <v>5</v>
      </c>
      <c r="M14" s="377">
        <v>69133.2</v>
      </c>
      <c r="N14" s="377">
        <v>61908</v>
      </c>
      <c r="O14" s="377">
        <v>64365.3</v>
      </c>
      <c r="P14" s="157">
        <f t="shared" si="2"/>
        <v>65135.5</v>
      </c>
      <c r="Q14" s="160">
        <f>Gear!P14/VLOOKUP(C14,'Short &amp; Simple'!$H$32:$I$67,2,FALSE)</f>
        <v>0.6140282242479661</v>
      </c>
      <c r="R14" s="8" t="str">
        <f t="shared" si="1"/>
        <v>Traveler</v>
      </c>
      <c r="T14" s="341" t="s">
        <v>94</v>
      </c>
      <c r="V14" s="439">
        <f>COUNTIF(L2:L61,"0")</f>
        <v>25</v>
      </c>
      <c r="W14" s="275" t="s">
        <v>219</v>
      </c>
    </row>
    <row r="15" spans="1:28" ht="15" customHeight="1">
      <c r="A15" s="48">
        <f>'Members Data'!A15</f>
        <v>0</v>
      </c>
      <c r="B15" s="221">
        <v>40774</v>
      </c>
      <c r="C15" s="462"/>
      <c r="D15" s="455"/>
      <c r="E15" s="458"/>
      <c r="F15" s="457"/>
      <c r="G15" s="455"/>
      <c r="H15" s="457"/>
      <c r="I15" s="456"/>
      <c r="J15" s="9"/>
      <c r="K15" s="9">
        <f>VLOOKUP(Gear!A15,'Look-up'!A:B,2,FALSE)</f>
        <v>0</v>
      </c>
      <c r="L15" s="8">
        <f>IF(K15&lt;'Short &amp; Simple'!$E$49,0,VLOOKUP(K15,'Short &amp; Simple'!$E$49:$F$58,2))</f>
        <v>0</v>
      </c>
      <c r="M15" s="377"/>
      <c r="N15" s="377"/>
      <c r="O15" s="377"/>
      <c r="P15" s="157">
        <f t="shared" si="2"/>
        <v>0</v>
      </c>
      <c r="Q15" s="160" t="e">
        <f>Gear!P15/VLOOKUP(C15,'Short &amp; Simple'!$H$32:$I$67,2,FALSE)</f>
        <v>#N/A</v>
      </c>
      <c r="R15" s="8" t="e">
        <f t="shared" si="1"/>
        <v>#N/A</v>
      </c>
      <c r="T15" s="341" t="s">
        <v>95</v>
      </c>
      <c r="V15" s="231"/>
    </row>
    <row r="16" spans="1:28" ht="15" customHeight="1">
      <c r="A16" s="48" t="str">
        <f>'Members Data'!A16</f>
        <v>Incharge</v>
      </c>
      <c r="B16" s="221">
        <v>40774</v>
      </c>
      <c r="C16" s="462" t="s">
        <v>91</v>
      </c>
      <c r="D16" s="455" t="s">
        <v>60</v>
      </c>
      <c r="E16" s="458">
        <v>0</v>
      </c>
      <c r="F16" s="457">
        <v>0</v>
      </c>
      <c r="G16" s="455" t="s">
        <v>60</v>
      </c>
      <c r="H16" s="457">
        <v>0</v>
      </c>
      <c r="I16" s="456">
        <v>0</v>
      </c>
      <c r="J16" s="9">
        <f t="shared" si="0"/>
        <v>0</v>
      </c>
      <c r="K16" s="9">
        <f>VLOOKUP(Gear!A16,'Look-up'!A:B,2,FALSE)</f>
        <v>7083</v>
      </c>
      <c r="L16" s="8">
        <f>IF(K16&lt;'Short &amp; Simple'!$E$49,0,VLOOKUP(K16,'Short &amp; Simple'!$E$49:$F$58,2))</f>
        <v>5</v>
      </c>
      <c r="M16" s="377">
        <v>85873.7</v>
      </c>
      <c r="N16" s="377">
        <v>78532.399999999994</v>
      </c>
      <c r="O16" s="377">
        <v>84630.8</v>
      </c>
      <c r="P16" s="157">
        <f t="shared" si="2"/>
        <v>83012.299999999988</v>
      </c>
      <c r="Q16" s="160">
        <f>Gear!P16/VLOOKUP(C16,'Short &amp; Simple'!$H$32:$I$67,2,FALSE)</f>
        <v>0.704434308504996</v>
      </c>
      <c r="R16" s="8" t="str">
        <f t="shared" si="1"/>
        <v>Venturer</v>
      </c>
      <c r="T16" s="341" t="s">
        <v>96</v>
      </c>
      <c r="V16" s="231"/>
    </row>
    <row r="17" spans="1:22" ht="15" customHeight="1">
      <c r="A17" s="48" t="str">
        <f>'Members Data'!A17</f>
        <v>Izzabelle</v>
      </c>
      <c r="B17" s="221">
        <v>40774</v>
      </c>
      <c r="C17" s="462" t="s">
        <v>105</v>
      </c>
      <c r="D17" s="455" t="s">
        <v>60</v>
      </c>
      <c r="E17" s="458">
        <v>0</v>
      </c>
      <c r="F17" s="457">
        <v>0</v>
      </c>
      <c r="G17" s="455" t="s">
        <v>60</v>
      </c>
      <c r="H17" s="457">
        <v>0</v>
      </c>
      <c r="I17" s="456">
        <v>0</v>
      </c>
      <c r="J17" s="9">
        <f t="shared" si="0"/>
        <v>0</v>
      </c>
      <c r="K17" s="9">
        <f>VLOOKUP(Gear!A17,'Look-up'!A:B,2,FALSE)</f>
        <v>7130</v>
      </c>
      <c r="L17" s="8">
        <f>IF(K17&lt;'Short &amp; Simple'!$E$49,0,VLOOKUP(K17,'Short &amp; Simple'!$E$49:$F$58,2))</f>
        <v>5</v>
      </c>
      <c r="M17" s="377">
        <v>33202.800000000003</v>
      </c>
      <c r="N17" s="377">
        <v>34579.4</v>
      </c>
      <c r="O17" s="377"/>
      <c r="P17" s="157">
        <f t="shared" si="2"/>
        <v>33891.100000000006</v>
      </c>
      <c r="Q17" s="160">
        <f>Gear!P17/VLOOKUP(C17,'Short &amp; Simple'!$H$32:$I$67,2,FALSE)</f>
        <v>0.67946630846648903</v>
      </c>
      <c r="R17" s="8" t="str">
        <f t="shared" si="1"/>
        <v>Venturer</v>
      </c>
      <c r="T17" s="341" t="s">
        <v>97</v>
      </c>
    </row>
    <row r="18" spans="1:22" ht="15" customHeight="1">
      <c r="A18" s="48">
        <f>'Members Data'!A18</f>
        <v>0</v>
      </c>
      <c r="B18" s="221">
        <v>40774</v>
      </c>
      <c r="C18" s="462"/>
      <c r="D18" s="455" t="s">
        <v>60</v>
      </c>
      <c r="E18" s="458">
        <v>0</v>
      </c>
      <c r="F18" s="457">
        <v>0</v>
      </c>
      <c r="G18" s="455" t="s">
        <v>60</v>
      </c>
      <c r="H18" s="457">
        <v>0</v>
      </c>
      <c r="I18" s="456">
        <v>0</v>
      </c>
      <c r="J18" s="9">
        <f t="shared" ref="J18:J29" si="3">(IF(D18="no",TRUE)*0.1)+(E18*0.4)+(F18*0.1)+(IF(G18="no",TRUE)*0.2)+(H18*0.4)+(I18*0.1)</f>
        <v>0</v>
      </c>
      <c r="K18" s="9">
        <f>VLOOKUP(Gear!A18,'Look-up'!A:B,2,FALSE)</f>
        <v>0</v>
      </c>
      <c r="L18" s="8">
        <f>IF(K18&lt;'Short &amp; Simple'!$E$49,0,VLOOKUP(K18,'Short &amp; Simple'!$E$49:$F$58,2))</f>
        <v>0</v>
      </c>
      <c r="M18" s="377"/>
      <c r="N18" s="377"/>
      <c r="O18" s="377"/>
      <c r="P18" s="157">
        <f t="shared" si="2"/>
        <v>0</v>
      </c>
      <c r="Q18" s="160" t="e">
        <f>Gear!P18/VLOOKUP(C18,'Short &amp; Simple'!$H$32:$I$67,2,FALSE)</f>
        <v>#N/A</v>
      </c>
      <c r="R18" s="8" t="e">
        <f t="shared" si="1"/>
        <v>#N/A</v>
      </c>
      <c r="T18" s="341" t="s">
        <v>98</v>
      </c>
    </row>
    <row r="19" spans="1:22" ht="15" customHeight="1">
      <c r="A19" s="48">
        <f>'Members Data'!A19</f>
        <v>0</v>
      </c>
      <c r="B19" s="221">
        <v>40774</v>
      </c>
      <c r="C19" s="462"/>
      <c r="D19" s="455" t="s">
        <v>60</v>
      </c>
      <c r="E19" s="458">
        <v>0</v>
      </c>
      <c r="F19" s="457">
        <v>0</v>
      </c>
      <c r="G19" s="455" t="s">
        <v>60</v>
      </c>
      <c r="H19" s="457">
        <v>0</v>
      </c>
      <c r="I19" s="456">
        <v>0</v>
      </c>
      <c r="J19" s="9">
        <f t="shared" si="3"/>
        <v>0</v>
      </c>
      <c r="K19" s="9">
        <f>VLOOKUP(Gear!A19,'Look-up'!A:B,2,FALSE)</f>
        <v>0</v>
      </c>
      <c r="L19" s="8">
        <f>IF(K19&lt;'Short &amp; Simple'!$E$49,0,VLOOKUP(K19,'Short &amp; Simple'!$E$49:$F$58,2))</f>
        <v>0</v>
      </c>
      <c r="M19" s="377"/>
      <c r="N19" s="377"/>
      <c r="O19" s="377"/>
      <c r="P19" s="157">
        <f t="shared" si="2"/>
        <v>0</v>
      </c>
      <c r="Q19" s="160" t="e">
        <f>Gear!P19/VLOOKUP(C19,'Short &amp; Simple'!$H$32:$I$67,2,FALSE)</f>
        <v>#N/A</v>
      </c>
      <c r="R19" s="8" t="e">
        <f t="shared" si="1"/>
        <v>#N/A</v>
      </c>
      <c r="T19" s="341" t="s">
        <v>99</v>
      </c>
    </row>
    <row r="20" spans="1:22" ht="15" customHeight="1">
      <c r="A20" s="48" t="str">
        <f>'Members Data'!A20</f>
        <v>Lychi</v>
      </c>
      <c r="B20" s="221">
        <v>40774</v>
      </c>
      <c r="C20" s="462" t="s">
        <v>172</v>
      </c>
      <c r="D20" s="455" t="s">
        <v>60</v>
      </c>
      <c r="E20" s="458">
        <v>0</v>
      </c>
      <c r="F20" s="457">
        <v>0</v>
      </c>
      <c r="G20" s="455" t="s">
        <v>60</v>
      </c>
      <c r="H20" s="457">
        <v>0</v>
      </c>
      <c r="I20" s="456">
        <v>0</v>
      </c>
      <c r="J20" s="9">
        <f t="shared" si="3"/>
        <v>0</v>
      </c>
      <c r="K20" s="9">
        <f>VLOOKUP(Gear!A20,'Look-up'!A:B,2,FALSE)</f>
        <v>7153</v>
      </c>
      <c r="L20" s="8">
        <f>IF(K20&lt;'Short &amp; Simple'!$E$49,0,VLOOKUP(K20,'Short &amp; Simple'!$E$49:$F$58,2))</f>
        <v>5</v>
      </c>
      <c r="M20" s="377">
        <v>25965.8</v>
      </c>
      <c r="N20" s="377">
        <v>29122.6</v>
      </c>
      <c r="O20" s="377"/>
      <c r="P20" s="157">
        <f t="shared" si="2"/>
        <v>27544.199999999997</v>
      </c>
      <c r="Q20" s="160">
        <f>Gear!P20/VLOOKUP(C20,'Short &amp; Simple'!$H$32:$I$67,2,FALSE)</f>
        <v>0.5936889751050759</v>
      </c>
      <c r="R20" s="8" t="str">
        <f t="shared" si="1"/>
        <v>Traveler</v>
      </c>
      <c r="T20" s="341" t="s">
        <v>101</v>
      </c>
    </row>
    <row r="21" spans="1:22" ht="15" customHeight="1">
      <c r="A21" s="48" t="str">
        <f>'Members Data'!A21</f>
        <v>Meltface</v>
      </c>
      <c r="B21" s="221">
        <v>40774</v>
      </c>
      <c r="C21" s="462" t="s">
        <v>94</v>
      </c>
      <c r="D21" s="455" t="s">
        <v>60</v>
      </c>
      <c r="E21" s="458">
        <v>0</v>
      </c>
      <c r="F21" s="457">
        <v>0</v>
      </c>
      <c r="G21" s="455" t="s">
        <v>60</v>
      </c>
      <c r="H21" s="457">
        <v>0</v>
      </c>
      <c r="I21" s="456">
        <v>0</v>
      </c>
      <c r="J21" s="9">
        <f t="shared" si="3"/>
        <v>0</v>
      </c>
      <c r="K21" s="9">
        <f>VLOOKUP(Gear!A21,'Look-up'!A:B,2,FALSE)</f>
        <v>7188</v>
      </c>
      <c r="L21" s="8">
        <f>IF(K21&lt;'Short &amp; Simple'!$E$49,0,VLOOKUP(K21,'Short &amp; Simple'!$E$49:$F$58,2))</f>
        <v>5</v>
      </c>
      <c r="M21" s="377">
        <v>66422.5</v>
      </c>
      <c r="N21" s="377">
        <v>61611.3</v>
      </c>
      <c r="O21" s="377">
        <v>66664.600000000006</v>
      </c>
      <c r="P21" s="157">
        <f t="shared" si="2"/>
        <v>64899.466666666674</v>
      </c>
      <c r="Q21" s="160">
        <f>Gear!P21/VLOOKUP(C21,'Short &amp; Simple'!$H$32:$I$67,2,FALSE)</f>
        <v>0.65240675399003467</v>
      </c>
      <c r="R21" s="8" t="str">
        <f t="shared" si="1"/>
        <v>Venturer</v>
      </c>
      <c r="T21" s="341" t="s">
        <v>102</v>
      </c>
    </row>
    <row r="22" spans="1:22" ht="15" customHeight="1">
      <c r="A22" s="48">
        <f>'Members Data'!A22</f>
        <v>0</v>
      </c>
      <c r="B22" s="221">
        <v>40774</v>
      </c>
      <c r="C22" s="462"/>
      <c r="D22" s="455" t="s">
        <v>60</v>
      </c>
      <c r="E22" s="458">
        <v>0</v>
      </c>
      <c r="F22" s="457">
        <v>0</v>
      </c>
      <c r="G22" s="455" t="s">
        <v>60</v>
      </c>
      <c r="H22" s="457">
        <v>0</v>
      </c>
      <c r="I22" s="456">
        <v>0</v>
      </c>
      <c r="J22" s="9">
        <f t="shared" si="3"/>
        <v>0</v>
      </c>
      <c r="K22" s="9">
        <f>VLOOKUP(Gear!A22,'Look-up'!A:B,2,FALSE)</f>
        <v>0</v>
      </c>
      <c r="L22" s="8">
        <f>IF(K22&lt;'Short &amp; Simple'!$E$49,0,VLOOKUP(K22,'Short &amp; Simple'!$E$49:$F$58,2))</f>
        <v>0</v>
      </c>
      <c r="M22" s="377"/>
      <c r="N22" s="377"/>
      <c r="O22" s="377"/>
      <c r="P22" s="157">
        <f t="shared" si="2"/>
        <v>0</v>
      </c>
      <c r="Q22" s="160" t="e">
        <f>Gear!P22/VLOOKUP(C22,'Short &amp; Simple'!$H$32:$I$67,2,FALSE)</f>
        <v>#N/A</v>
      </c>
      <c r="R22" s="8" t="e">
        <f t="shared" si="1"/>
        <v>#N/A</v>
      </c>
      <c r="T22" s="341" t="s">
        <v>100</v>
      </c>
    </row>
    <row r="23" spans="1:22" ht="15" customHeight="1">
      <c r="A23" s="48" t="str">
        <f>'Members Data'!A23</f>
        <v>Mortali</v>
      </c>
      <c r="B23" s="221">
        <v>40774</v>
      </c>
      <c r="C23" s="462" t="s">
        <v>101</v>
      </c>
      <c r="D23" s="455" t="s">
        <v>60</v>
      </c>
      <c r="E23" s="458">
        <v>0</v>
      </c>
      <c r="F23" s="457">
        <v>0</v>
      </c>
      <c r="G23" s="455" t="s">
        <v>60</v>
      </c>
      <c r="H23" s="457">
        <v>0</v>
      </c>
      <c r="I23" s="456">
        <v>0</v>
      </c>
      <c r="J23" s="9">
        <f t="shared" si="3"/>
        <v>0</v>
      </c>
      <c r="K23" s="9">
        <f>VLOOKUP(Gear!A23,'Look-up'!A:B,2,FALSE)</f>
        <v>7212</v>
      </c>
      <c r="L23" s="8">
        <f>IF(K23&lt;'Short &amp; Simple'!$E$49,0,VLOOKUP(K23,'Short &amp; Simple'!$E$49:$F$58,2))</f>
        <v>5</v>
      </c>
      <c r="M23" s="377">
        <v>104328.8</v>
      </c>
      <c r="N23" s="377">
        <v>99589.2</v>
      </c>
      <c r="O23" s="377">
        <v>98505</v>
      </c>
      <c r="P23" s="157">
        <f t="shared" si="2"/>
        <v>100807.66666666667</v>
      </c>
      <c r="Q23" s="160">
        <f>Gear!P23/VLOOKUP(C23,'Short &amp; Simple'!$H$32:$I$67,2,FALSE)</f>
        <v>0.83229235898684928</v>
      </c>
      <c r="R23" s="8" t="str">
        <f t="shared" si="1"/>
        <v>Gladiator</v>
      </c>
      <c r="T23" s="341" t="s">
        <v>103</v>
      </c>
    </row>
    <row r="24" spans="1:22" ht="15" customHeight="1">
      <c r="A24" s="48" t="str">
        <f>'Members Data'!A24</f>
        <v>Muckyfloor</v>
      </c>
      <c r="B24" s="221">
        <v>40774</v>
      </c>
      <c r="C24" s="462" t="s">
        <v>83</v>
      </c>
      <c r="D24" s="455" t="s">
        <v>60</v>
      </c>
      <c r="E24" s="458">
        <v>0</v>
      </c>
      <c r="F24" s="457">
        <v>0</v>
      </c>
      <c r="G24" s="455" t="s">
        <v>60</v>
      </c>
      <c r="H24" s="457">
        <v>1</v>
      </c>
      <c r="I24" s="456">
        <v>0</v>
      </c>
      <c r="J24" s="9">
        <f t="shared" si="3"/>
        <v>0.4</v>
      </c>
      <c r="K24" s="9">
        <f>VLOOKUP(Gear!A24,'Look-up'!A:B,2,FALSE)</f>
        <v>7163</v>
      </c>
      <c r="L24" s="8">
        <f>IF(K24&lt;'Short &amp; Simple'!$E$49,0,VLOOKUP(K24,'Short &amp; Simple'!$E$49:$F$58,2))</f>
        <v>5</v>
      </c>
      <c r="M24" s="377">
        <v>94785.600000000006</v>
      </c>
      <c r="N24" s="377">
        <v>90646.9</v>
      </c>
      <c r="O24" s="377">
        <v>96821.4</v>
      </c>
      <c r="P24" s="157">
        <f t="shared" si="2"/>
        <v>94084.633333333346</v>
      </c>
      <c r="Q24" s="160">
        <f>Gear!P24/VLOOKUP(C24,'Short &amp; Simple'!$H$32:$I$67,2,FALSE)</f>
        <v>0.88692986673454077</v>
      </c>
      <c r="R24" s="8" t="str">
        <f t="shared" si="1"/>
        <v>Gladiator</v>
      </c>
      <c r="T24" s="341" t="s">
        <v>104</v>
      </c>
    </row>
    <row r="25" spans="1:22" ht="15" customHeight="1">
      <c r="A25" s="48" t="str">
        <f>'Members Data'!A25</f>
        <v>Müfti</v>
      </c>
      <c r="B25" s="221">
        <v>40774</v>
      </c>
      <c r="C25" s="462" t="s">
        <v>109</v>
      </c>
      <c r="D25" s="455" t="s">
        <v>60</v>
      </c>
      <c r="E25" s="458">
        <v>0</v>
      </c>
      <c r="F25" s="457">
        <v>0</v>
      </c>
      <c r="G25" s="455" t="s">
        <v>60</v>
      </c>
      <c r="H25" s="457">
        <v>1</v>
      </c>
      <c r="I25" s="456">
        <v>0</v>
      </c>
      <c r="J25" s="9">
        <f t="shared" si="3"/>
        <v>0.4</v>
      </c>
      <c r="K25" s="9">
        <f>VLOOKUP(Gear!A25,'Look-up'!A:B,2,FALSE)</f>
        <v>7159</v>
      </c>
      <c r="L25" s="8">
        <f>IF(K25&lt;'Short &amp; Simple'!$E$49,0,VLOOKUP(K25,'Short &amp; Simple'!$E$49:$F$58,2))</f>
        <v>5</v>
      </c>
      <c r="M25" s="377">
        <v>43872.3</v>
      </c>
      <c r="N25" s="377">
        <v>36680.300000000003</v>
      </c>
      <c r="O25" s="377">
        <v>37987.9</v>
      </c>
      <c r="P25" s="157">
        <f t="shared" si="2"/>
        <v>39513.5</v>
      </c>
      <c r="Q25" s="160">
        <f>Gear!P25/VLOOKUP(C25,'Short &amp; Simple'!$H$32:$I$67,2,FALSE)</f>
        <v>0.70525188523492932</v>
      </c>
      <c r="R25" s="8" t="str">
        <f t="shared" si="1"/>
        <v>Venturer</v>
      </c>
      <c r="T25" s="341"/>
    </row>
    <row r="26" spans="1:22" ht="15" customHeight="1">
      <c r="A26" s="48" t="str">
        <f>'Members Data'!A26</f>
        <v>Niiwa</v>
      </c>
      <c r="B26" s="221">
        <v>40774</v>
      </c>
      <c r="C26" s="462" t="s">
        <v>89</v>
      </c>
      <c r="D26" s="455" t="s">
        <v>60</v>
      </c>
      <c r="E26" s="458">
        <v>0</v>
      </c>
      <c r="F26" s="457">
        <v>0</v>
      </c>
      <c r="G26" s="455" t="s">
        <v>60</v>
      </c>
      <c r="H26" s="457">
        <v>0</v>
      </c>
      <c r="I26" s="456">
        <v>0</v>
      </c>
      <c r="J26" s="9">
        <f>(IF(D26="no",TRUE)*0.1)+(E26*0.4)+(F26*0.1)+(IF(G26="no",TRUE)*0.2)+(H26*0.4)+(I26*0.1)</f>
        <v>0</v>
      </c>
      <c r="K26" s="9">
        <f>VLOOKUP(Gear!A26,'Look-up'!A:B,2,FALSE)</f>
        <v>7169</v>
      </c>
      <c r="L26" s="8">
        <f>IF(K26&lt;'Short &amp; Simple'!$E$49,0,VLOOKUP(K26,'Short &amp; Simple'!$E$49:$F$58,2))</f>
        <v>5</v>
      </c>
      <c r="M26" s="377">
        <v>80710.5</v>
      </c>
      <c r="N26" s="377">
        <v>84431.1</v>
      </c>
      <c r="O26" s="377">
        <v>72063.7</v>
      </c>
      <c r="P26" s="157">
        <f>IF(SUM($M26:$O26)=0,0,SUM($M26:$O26)/COUNTIF($M26:$O26, "&gt;0"))</f>
        <v>79068.433333333334</v>
      </c>
      <c r="Q26" s="160">
        <f>Gear!P26/VLOOKUP(C26,'Short &amp; Simple'!$H$32:$I$67,2,FALSE)</f>
        <v>0.77876532995832126</v>
      </c>
      <c r="R26" s="8" t="str">
        <f t="shared" si="1"/>
        <v>Venturer</v>
      </c>
      <c r="T26" s="341" t="s">
        <v>107</v>
      </c>
    </row>
    <row r="27" spans="1:22" ht="15" customHeight="1">
      <c r="A27" s="48" t="str">
        <f>'Members Data'!A27</f>
        <v>Niklaus</v>
      </c>
      <c r="B27" s="221">
        <v>40774</v>
      </c>
      <c r="C27" s="462" t="s">
        <v>108</v>
      </c>
      <c r="D27" s="455" t="s">
        <v>60</v>
      </c>
      <c r="E27" s="458">
        <v>0</v>
      </c>
      <c r="F27" s="457">
        <v>0</v>
      </c>
      <c r="G27" s="455" t="s">
        <v>60</v>
      </c>
      <c r="H27" s="457">
        <v>0</v>
      </c>
      <c r="I27" s="456">
        <v>2</v>
      </c>
      <c r="J27" s="9">
        <f t="shared" si="3"/>
        <v>0.2</v>
      </c>
      <c r="K27" s="9">
        <f>VLOOKUP(Gear!A27,'Look-up'!A:B,2,FALSE)</f>
        <v>7184</v>
      </c>
      <c r="L27" s="8">
        <f>IF(K27&lt;'Short &amp; Simple'!$E$49,0,VLOOKUP(K27,'Short &amp; Simple'!$E$49:$F$58,2))</f>
        <v>5</v>
      </c>
      <c r="M27" s="377">
        <v>48857.3</v>
      </c>
      <c r="N27" s="377">
        <v>50670</v>
      </c>
      <c r="O27" s="377">
        <v>52408.1</v>
      </c>
      <c r="P27" s="157">
        <f t="shared" si="2"/>
        <v>50645.133333333331</v>
      </c>
      <c r="Q27" s="160">
        <f>Gear!P27/VLOOKUP(C27,'Short &amp; Simple'!$H$32:$I$67,2,FALSE)</f>
        <v>0.90213011040948587</v>
      </c>
      <c r="R27" s="8" t="str">
        <f t="shared" si="1"/>
        <v>Gladiator</v>
      </c>
      <c r="T27" s="341" t="s">
        <v>172</v>
      </c>
    </row>
    <row r="28" spans="1:22" ht="15" customHeight="1">
      <c r="A28" s="48" t="str">
        <f>'Members Data'!A28</f>
        <v>Onemanforest</v>
      </c>
      <c r="B28" s="221">
        <v>40774</v>
      </c>
      <c r="C28" s="462" t="s">
        <v>171</v>
      </c>
      <c r="D28" s="455" t="s">
        <v>60</v>
      </c>
      <c r="E28" s="458">
        <v>1</v>
      </c>
      <c r="F28" s="457">
        <v>0</v>
      </c>
      <c r="G28" s="455" t="s">
        <v>60</v>
      </c>
      <c r="H28" s="457">
        <v>1</v>
      </c>
      <c r="I28" s="456">
        <v>0</v>
      </c>
      <c r="J28" s="9">
        <f t="shared" si="3"/>
        <v>0.8</v>
      </c>
      <c r="K28" s="9">
        <f>VLOOKUP(Gear!A28,'Look-up'!A:B,2,FALSE)</f>
        <v>7178</v>
      </c>
      <c r="L28" s="8">
        <f>IF(K28&lt;'Short &amp; Simple'!$E$49,0,VLOOKUP(K28,'Short &amp; Simple'!$E$49:$F$58,2))</f>
        <v>5</v>
      </c>
      <c r="M28" s="377">
        <v>51344.3</v>
      </c>
      <c r="N28" s="377"/>
      <c r="O28" s="377"/>
      <c r="P28" s="157">
        <f t="shared" si="2"/>
        <v>51344.3</v>
      </c>
      <c r="Q28" s="160">
        <f>Gear!P28/VLOOKUP(C28,'Short &amp; Simple'!$H$32:$I$67,2,FALSE)</f>
        <v>0.71621889298069419</v>
      </c>
      <c r="R28" s="8" t="str">
        <f t="shared" si="1"/>
        <v>Venturer</v>
      </c>
      <c r="T28" s="341" t="s">
        <v>108</v>
      </c>
    </row>
    <row r="29" spans="1:22" ht="15" customHeight="1">
      <c r="A29" s="48" t="str">
        <f>'Members Data'!A29</f>
        <v>Rcane</v>
      </c>
      <c r="B29" s="221">
        <v>40774</v>
      </c>
      <c r="C29" s="462" t="s">
        <v>112</v>
      </c>
      <c r="D29" s="455" t="s">
        <v>60</v>
      </c>
      <c r="E29" s="458">
        <v>0</v>
      </c>
      <c r="F29" s="458">
        <v>0</v>
      </c>
      <c r="G29" s="455" t="s">
        <v>60</v>
      </c>
      <c r="H29" s="457">
        <v>0</v>
      </c>
      <c r="I29" s="456">
        <v>0</v>
      </c>
      <c r="J29" s="9">
        <f t="shared" si="3"/>
        <v>0</v>
      </c>
      <c r="K29" s="9">
        <f>VLOOKUP(Gear!A29,'Look-up'!A:B,2,FALSE)</f>
        <v>7102</v>
      </c>
      <c r="L29" s="8">
        <f>IF(K29&lt;'Short &amp; Simple'!$E$49,0,VLOOKUP(K29,'Short &amp; Simple'!$E$49:$F$58,2))</f>
        <v>5</v>
      </c>
      <c r="M29" s="377">
        <v>58910.7</v>
      </c>
      <c r="N29" s="377">
        <v>59038.3</v>
      </c>
      <c r="O29" s="377">
        <v>54247.3</v>
      </c>
      <c r="P29" s="157">
        <f t="shared" si="2"/>
        <v>57398.766666666663</v>
      </c>
      <c r="Q29" s="160">
        <f>Gear!P29/VLOOKUP(C29,'Short &amp; Simple'!$H$32:$I$67,2,FALSE)</f>
        <v>0.86145530041522833</v>
      </c>
      <c r="R29" s="8" t="str">
        <f t="shared" si="1"/>
        <v>Gladiator</v>
      </c>
      <c r="T29" s="341" t="s">
        <v>106</v>
      </c>
    </row>
    <row r="30" spans="1:22" ht="15" customHeight="1">
      <c r="A30" s="48" t="str">
        <f>'Members Data'!A30</f>
        <v>Revlash</v>
      </c>
      <c r="B30" s="221">
        <v>40774</v>
      </c>
      <c r="C30" s="462" t="s">
        <v>85</v>
      </c>
      <c r="D30" s="455" t="s">
        <v>60</v>
      </c>
      <c r="E30" s="458">
        <v>0</v>
      </c>
      <c r="F30" s="458">
        <v>0</v>
      </c>
      <c r="G30" s="455" t="s">
        <v>60</v>
      </c>
      <c r="H30" s="457">
        <v>1</v>
      </c>
      <c r="I30" s="456">
        <v>0</v>
      </c>
      <c r="J30" s="9">
        <f>(IF(D30="no",TRUE)*0.1)+(E30*0.4)+(F30*0.1)+(IF(G30="no",TRUE)*0.2)+(H30*0.4)+(I30*0.1)</f>
        <v>0.4</v>
      </c>
      <c r="K30" s="9">
        <f>VLOOKUP(Gear!A30,'Look-up'!A:B,2,FALSE)</f>
        <v>7141</v>
      </c>
      <c r="L30" s="8">
        <f>IF(K30&lt;'Short &amp; Simple'!$E$49,0,VLOOKUP(K30,'Short &amp; Simple'!$E$49:$F$58,2))</f>
        <v>5</v>
      </c>
      <c r="M30" s="377">
        <v>68747.199999999997</v>
      </c>
      <c r="N30" s="377">
        <v>59809.3</v>
      </c>
      <c r="O30" s="377">
        <v>52536.4</v>
      </c>
      <c r="P30" s="157">
        <f t="shared" si="2"/>
        <v>60364.299999999996</v>
      </c>
      <c r="Q30" s="160">
        <f>Gear!P30/VLOOKUP(C30,'Short &amp; Simple'!$H$32:$I$67,2,FALSE)</f>
        <v>0.59362556853103865</v>
      </c>
      <c r="R30" s="8" t="str">
        <f t="shared" si="1"/>
        <v>Traveler</v>
      </c>
      <c r="T30" s="341" t="s">
        <v>105</v>
      </c>
      <c r="V30" s="231"/>
    </row>
    <row r="31" spans="1:22" ht="15" customHeight="1">
      <c r="A31" s="48" t="str">
        <f>'Members Data'!A31</f>
        <v>Seraphÿm</v>
      </c>
      <c r="B31" s="221">
        <v>40774</v>
      </c>
      <c r="C31" s="462" t="s">
        <v>106</v>
      </c>
      <c r="D31" s="455" t="s">
        <v>60</v>
      </c>
      <c r="E31" s="458">
        <v>0</v>
      </c>
      <c r="F31" s="458">
        <v>0</v>
      </c>
      <c r="G31" s="455" t="s">
        <v>60</v>
      </c>
      <c r="H31" s="457">
        <v>0</v>
      </c>
      <c r="I31" s="456">
        <v>0</v>
      </c>
      <c r="J31" s="9">
        <f t="shared" ref="J31:J32" si="4">(IF(D31="no",TRUE)*0.1)+(E31*0.4)+(F31*0.1)+(IF(G31="no",TRUE)*0.2)+(H31*0.4)+(I31*0.1)</f>
        <v>0</v>
      </c>
      <c r="K31" s="9">
        <f>VLOOKUP(Gear!A31,'Look-up'!A:B,2,FALSE)</f>
        <v>7208</v>
      </c>
      <c r="L31" s="8">
        <f>IF(K31&lt;'Short &amp; Simple'!$E$49,0,VLOOKUP(K31,'Short &amp; Simple'!$E$49:$F$58,2))</f>
        <v>5</v>
      </c>
      <c r="M31" s="377">
        <v>40085.300000000003</v>
      </c>
      <c r="N31" s="377">
        <v>42315.1</v>
      </c>
      <c r="O31" s="377">
        <v>43450</v>
      </c>
      <c r="P31" s="157">
        <f t="shared" si="2"/>
        <v>41950.133333333331</v>
      </c>
      <c r="Q31" s="160">
        <f>Gear!P31/VLOOKUP(C31,'Short &amp; Simple'!$H$32:$I$67,2,FALSE)</f>
        <v>0.62986296707806566</v>
      </c>
      <c r="R31" s="8" t="str">
        <f t="shared" si="1"/>
        <v>Traveler</v>
      </c>
      <c r="T31" s="341" t="s">
        <v>109</v>
      </c>
      <c r="V31" s="231"/>
    </row>
    <row r="32" spans="1:22" ht="15" customHeight="1">
      <c r="A32" s="48" t="str">
        <f>'Members Data'!A32</f>
        <v>Shinkai</v>
      </c>
      <c r="B32" s="221">
        <v>40774</v>
      </c>
      <c r="C32" s="462" t="s">
        <v>112</v>
      </c>
      <c r="D32" s="455" t="s">
        <v>60</v>
      </c>
      <c r="E32" s="458">
        <v>0</v>
      </c>
      <c r="F32" s="458">
        <v>0</v>
      </c>
      <c r="G32" s="455" t="s">
        <v>60</v>
      </c>
      <c r="H32" s="457">
        <v>0</v>
      </c>
      <c r="I32" s="456">
        <v>2</v>
      </c>
      <c r="J32" s="9">
        <f t="shared" si="4"/>
        <v>0.2</v>
      </c>
      <c r="K32" s="9">
        <f>VLOOKUP(Gear!A32,'Look-up'!A:B,2,FALSE)</f>
        <v>7101</v>
      </c>
      <c r="L32" s="8">
        <f>IF(K32&lt;'Short &amp; Simple'!$E$49,0,VLOOKUP(K32,'Short &amp; Simple'!$E$49:$F$58,2))</f>
        <v>5</v>
      </c>
      <c r="M32" s="377"/>
      <c r="N32" s="377"/>
      <c r="O32" s="377"/>
      <c r="P32" s="157">
        <f t="shared" si="2"/>
        <v>0</v>
      </c>
      <c r="Q32" s="160">
        <f>Gear!P32/VLOOKUP(C32,'Short &amp; Simple'!$H$32:$I$67,2,FALSE)</f>
        <v>0</v>
      </c>
      <c r="R32" s="8" t="str">
        <f t="shared" si="1"/>
        <v>Traveler</v>
      </c>
      <c r="T32" s="341"/>
      <c r="V32" s="231"/>
    </row>
    <row r="33" spans="1:22" ht="15" customHeight="1">
      <c r="A33" s="48" t="str">
        <f>'Members Data'!A33</f>
        <v>Spudsux</v>
      </c>
      <c r="B33" s="221">
        <v>40774</v>
      </c>
      <c r="C33" s="462" t="s">
        <v>107</v>
      </c>
      <c r="D33" s="455" t="s">
        <v>60</v>
      </c>
      <c r="E33" s="458">
        <v>0</v>
      </c>
      <c r="F33" s="457">
        <v>0</v>
      </c>
      <c r="G33" s="455" t="s">
        <v>60</v>
      </c>
      <c r="H33" s="457">
        <v>1</v>
      </c>
      <c r="I33" s="456">
        <v>1</v>
      </c>
      <c r="J33" s="9">
        <f t="shared" si="0"/>
        <v>0.5</v>
      </c>
      <c r="K33" s="9">
        <f>VLOOKUP(Gear!A33,'Look-up'!A:B,2,FALSE)</f>
        <v>7136</v>
      </c>
      <c r="L33" s="8">
        <f>IF(K33&lt;'Short &amp; Simple'!$E$49,0,VLOOKUP(K33,'Short &amp; Simple'!$E$49:$F$58,2))</f>
        <v>5</v>
      </c>
      <c r="M33" s="377">
        <v>31773.599999999999</v>
      </c>
      <c r="N33" s="377">
        <v>34555.699999999997</v>
      </c>
      <c r="O33" s="377">
        <v>28617.9</v>
      </c>
      <c r="P33" s="157">
        <f t="shared" si="2"/>
        <v>31649.066666666662</v>
      </c>
      <c r="Q33" s="160">
        <f>Gear!P33/VLOOKUP(C33,'Short &amp; Simple'!$H$32:$I$67,2,FALSE)</f>
        <v>0.65056613598911917</v>
      </c>
      <c r="R33" s="8" t="str">
        <f t="shared" si="1"/>
        <v>Venturer</v>
      </c>
      <c r="T33" s="341" t="s">
        <v>110</v>
      </c>
      <c r="V33" s="231"/>
    </row>
    <row r="34" spans="1:22" ht="15" customHeight="1">
      <c r="A34" s="48" t="str">
        <f>'Members Data'!A34</f>
        <v>Szion</v>
      </c>
      <c r="B34" s="221">
        <v>40774</v>
      </c>
      <c r="C34" s="462" t="s">
        <v>95</v>
      </c>
      <c r="D34" s="455" t="s">
        <v>60</v>
      </c>
      <c r="E34" s="458">
        <v>0</v>
      </c>
      <c r="F34" s="457">
        <v>0</v>
      </c>
      <c r="G34" s="455" t="s">
        <v>60</v>
      </c>
      <c r="H34" s="457">
        <v>0</v>
      </c>
      <c r="I34" s="456">
        <v>0</v>
      </c>
      <c r="J34" s="9">
        <f t="shared" ref="J34:J65" si="5">(IF(D34="no",TRUE)*0.1)+(E34*0.4)+(F34*0.1)+(IF(G34="no",TRUE)*0.2)+(H34*0.4)+(I34*0.1)</f>
        <v>0</v>
      </c>
      <c r="K34" s="9">
        <f>VLOOKUP(Gear!A34,'Look-up'!A:B,2,FALSE)</f>
        <v>7150</v>
      </c>
      <c r="L34" s="8">
        <f>IF(K34&lt;'Short &amp; Simple'!$E$49,0,VLOOKUP(K34,'Short &amp; Simple'!$E$49:$F$58,2))</f>
        <v>5</v>
      </c>
      <c r="M34" s="377">
        <v>81358.3</v>
      </c>
      <c r="N34" s="377">
        <v>70501.3</v>
      </c>
      <c r="O34" s="377"/>
      <c r="P34" s="157">
        <f t="shared" si="2"/>
        <v>75929.8</v>
      </c>
      <c r="Q34" s="160">
        <f>Gear!P34/VLOOKUP(C34,'Short &amp; Simple'!$H$32:$I$67,2,FALSE)</f>
        <v>0.65133862320394598</v>
      </c>
      <c r="R34" s="8" t="str">
        <f t="shared" ref="R34:R65" si="6">IF(Q34&gt;=$X$4,"Gladiator",IF(Q34&gt;=$X$3,"Venturer","Traveler"))</f>
        <v>Venturer</v>
      </c>
      <c r="T34" s="341" t="s">
        <v>171</v>
      </c>
      <c r="V34" s="231"/>
    </row>
    <row r="35" spans="1:22" ht="15" customHeight="1">
      <c r="A35" s="48" t="str">
        <f>'Members Data'!A35</f>
        <v>Torwen</v>
      </c>
      <c r="B35" s="221">
        <v>40774</v>
      </c>
      <c r="C35" s="462" t="s">
        <v>94</v>
      </c>
      <c r="D35" s="455" t="s">
        <v>60</v>
      </c>
      <c r="E35" s="458">
        <v>0</v>
      </c>
      <c r="F35" s="457">
        <v>0</v>
      </c>
      <c r="G35" s="455" t="s">
        <v>60</v>
      </c>
      <c r="H35" s="457">
        <v>0</v>
      </c>
      <c r="I35" s="456">
        <v>0</v>
      </c>
      <c r="J35" s="9">
        <f t="shared" si="5"/>
        <v>0</v>
      </c>
      <c r="K35" s="9">
        <f>VLOOKUP(Gear!A35,'Look-up'!A:B,2,FALSE)</f>
        <v>7216</v>
      </c>
      <c r="L35" s="8">
        <f>IF(K35&lt;'Short &amp; Simple'!$E$49,0,VLOOKUP(K35,'Short &amp; Simple'!$E$49:$F$58,2))</f>
        <v>5</v>
      </c>
      <c r="M35" s="377">
        <v>76782.5</v>
      </c>
      <c r="N35" s="377">
        <v>69326.2</v>
      </c>
      <c r="O35" s="377">
        <v>58307.7</v>
      </c>
      <c r="P35" s="157">
        <f t="shared" si="2"/>
        <v>68138.8</v>
      </c>
      <c r="Q35" s="160">
        <f>Gear!P35/VLOOKUP(C35,'Short &amp; Simple'!$H$32:$I$67,2,FALSE)</f>
        <v>0.68497039516672198</v>
      </c>
      <c r="R35" s="8" t="str">
        <f t="shared" si="6"/>
        <v>Venturer</v>
      </c>
      <c r="T35" s="341" t="s">
        <v>170</v>
      </c>
      <c r="V35" s="231"/>
    </row>
    <row r="36" spans="1:22" ht="15" customHeight="1">
      <c r="A36" s="48" t="str">
        <f>'Members Data'!A36</f>
        <v>Vakama</v>
      </c>
      <c r="B36" s="221">
        <v>40774</v>
      </c>
      <c r="C36" s="462" t="s">
        <v>107</v>
      </c>
      <c r="D36" s="455" t="s">
        <v>60</v>
      </c>
      <c r="E36" s="458">
        <v>0</v>
      </c>
      <c r="F36" s="457">
        <v>0</v>
      </c>
      <c r="G36" s="455" t="s">
        <v>60</v>
      </c>
      <c r="H36" s="457">
        <v>0</v>
      </c>
      <c r="I36" s="456">
        <v>1</v>
      </c>
      <c r="J36" s="9">
        <f t="shared" si="5"/>
        <v>0.1</v>
      </c>
      <c r="K36" s="9">
        <f>VLOOKUP(Gear!A36,'Look-up'!A:B,2,FALSE)</f>
        <v>7217</v>
      </c>
      <c r="L36" s="8">
        <f>IF(K36&lt;'Short &amp; Simple'!$E$49,0,VLOOKUP(K36,'Short &amp; Simple'!$E$49:$F$58,2))</f>
        <v>5</v>
      </c>
      <c r="M36" s="377">
        <v>48940.3</v>
      </c>
      <c r="N36" s="377">
        <v>34821.800000000003</v>
      </c>
      <c r="O36" s="377">
        <v>39601.1</v>
      </c>
      <c r="P36" s="157">
        <f t="shared" si="2"/>
        <v>41121.066666666673</v>
      </c>
      <c r="Q36" s="160">
        <f>Gear!P36/VLOOKUP(C36,'Short &amp; Simple'!$H$32:$I$67,2,FALSE)</f>
        <v>0.84526895313661621</v>
      </c>
      <c r="R36" s="8" t="str">
        <f t="shared" si="6"/>
        <v>Gladiator</v>
      </c>
      <c r="T36" s="341" t="s">
        <v>111</v>
      </c>
      <c r="V36" s="231"/>
    </row>
    <row r="37" spans="1:22" ht="15" customHeight="1">
      <c r="A37" s="48" t="str">
        <f>'Members Data'!A37</f>
        <v>Warriorxz</v>
      </c>
      <c r="B37" s="221">
        <v>40774</v>
      </c>
      <c r="C37" s="462" t="s">
        <v>104</v>
      </c>
      <c r="D37" s="455" t="s">
        <v>60</v>
      </c>
      <c r="E37" s="458">
        <v>0</v>
      </c>
      <c r="F37" s="457">
        <v>0</v>
      </c>
      <c r="G37" s="455" t="s">
        <v>60</v>
      </c>
      <c r="H37" s="457">
        <v>0</v>
      </c>
      <c r="I37" s="456">
        <v>0</v>
      </c>
      <c r="J37" s="9">
        <f t="shared" si="5"/>
        <v>0</v>
      </c>
      <c r="K37" s="9">
        <f>VLOOKUP(Gear!A37,'Look-up'!A:B,2,FALSE)</f>
        <v>7118</v>
      </c>
      <c r="L37" s="8">
        <f>IF(K37&lt;'Short &amp; Simple'!$E$49,0,VLOOKUP(K37,'Short &amp; Simple'!$E$49:$F$58,2))</f>
        <v>5</v>
      </c>
      <c r="M37" s="377">
        <v>68778.100000000006</v>
      </c>
      <c r="N37" s="377">
        <v>52999.199999999997</v>
      </c>
      <c r="O37" s="377"/>
      <c r="P37" s="157">
        <f t="shared" si="2"/>
        <v>60888.65</v>
      </c>
      <c r="Q37" s="160">
        <f>Gear!P37/VLOOKUP(C37,'Short &amp; Simple'!$H$32:$I$67,2,FALSE)</f>
        <v>0.54626046857968236</v>
      </c>
      <c r="R37" s="8" t="str">
        <f t="shared" si="6"/>
        <v>Traveler</v>
      </c>
      <c r="T37" s="341" t="s">
        <v>112</v>
      </c>
      <c r="V37" s="231"/>
    </row>
    <row r="38" spans="1:22" ht="15" customHeight="1">
      <c r="A38" s="48">
        <f>'Members Data'!A38</f>
        <v>0</v>
      </c>
      <c r="B38" s="221">
        <v>40774</v>
      </c>
      <c r="C38" s="462"/>
      <c r="D38" s="455" t="s">
        <v>60</v>
      </c>
      <c r="E38" s="458">
        <v>0</v>
      </c>
      <c r="F38" s="457">
        <v>0</v>
      </c>
      <c r="G38" s="455" t="s">
        <v>60</v>
      </c>
      <c r="H38" s="457">
        <v>0</v>
      </c>
      <c r="I38" s="456">
        <v>0</v>
      </c>
      <c r="J38" s="9">
        <f t="shared" si="5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377"/>
      <c r="N38" s="377"/>
      <c r="O38" s="377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6"/>
        <v>#N/A</v>
      </c>
      <c r="V38" s="231"/>
    </row>
    <row r="39" spans="1:22" ht="15" customHeight="1">
      <c r="A39" s="48" t="str">
        <f>'Members Data'!A39</f>
        <v>Wainesha</v>
      </c>
      <c r="B39" s="221"/>
      <c r="C39" s="462" t="s">
        <v>89</v>
      </c>
      <c r="D39" s="455" t="s">
        <v>60</v>
      </c>
      <c r="E39" s="458">
        <v>0</v>
      </c>
      <c r="F39" s="457">
        <v>0</v>
      </c>
      <c r="G39" s="455" t="s">
        <v>60</v>
      </c>
      <c r="H39" s="457">
        <v>0</v>
      </c>
      <c r="I39" s="456">
        <v>0</v>
      </c>
      <c r="J39" s="9">
        <f t="shared" si="5"/>
        <v>0</v>
      </c>
      <c r="K39" s="9">
        <f>VLOOKUP(Gear!A39,'Look-up'!A:B,2,FALSE)</f>
        <v>7078</v>
      </c>
      <c r="L39" s="8">
        <f>IF(K39&lt;'Short &amp; Simple'!$E$49,0,VLOOKUP(K39,'Short &amp; Simple'!$E$49:$F$58,2))</f>
        <v>5</v>
      </c>
      <c r="M39" s="377">
        <v>79270.5</v>
      </c>
      <c r="N39" s="377">
        <v>81086.600000000006</v>
      </c>
      <c r="O39" s="377">
        <v>75915.199999999997</v>
      </c>
      <c r="P39" s="157">
        <f t="shared" si="2"/>
        <v>78757.433333333334</v>
      </c>
      <c r="Q39" s="160">
        <f>Gear!P39/VLOOKUP(C39,'Short &amp; Simple'!$H$32:$I$67,2,FALSE)</f>
        <v>0.77570221099406911</v>
      </c>
      <c r="R39" s="8" t="str">
        <f t="shared" si="6"/>
        <v>Venturer</v>
      </c>
    </row>
    <row r="40" spans="1:22" ht="15" customHeight="1">
      <c r="A40" s="48" t="str">
        <f>'Members Data'!A40</f>
        <v>Birdeeh</v>
      </c>
      <c r="B40" s="221"/>
      <c r="C40" s="462" t="s">
        <v>85</v>
      </c>
      <c r="D40" s="455" t="s">
        <v>60</v>
      </c>
      <c r="E40" s="458">
        <v>0</v>
      </c>
      <c r="F40" s="457">
        <v>0</v>
      </c>
      <c r="G40" s="455" t="s">
        <v>60</v>
      </c>
      <c r="H40" s="457">
        <v>0</v>
      </c>
      <c r="I40" s="456">
        <v>0</v>
      </c>
      <c r="J40" s="9">
        <f t="shared" si="5"/>
        <v>0</v>
      </c>
      <c r="K40" s="9">
        <f>VLOOKUP(Gear!A40,'Look-up'!A:B,2,FALSE)</f>
        <v>7183</v>
      </c>
      <c r="L40" s="8">
        <f>IF(K40&lt;'Short &amp; Simple'!$E$49,0,VLOOKUP(K40,'Short &amp; Simple'!$E$49:$F$58,2))</f>
        <v>5</v>
      </c>
      <c r="M40" s="377">
        <v>75929.899999999994</v>
      </c>
      <c r="N40" s="377">
        <v>58032.6</v>
      </c>
      <c r="O40" s="377">
        <v>66507.8</v>
      </c>
      <c r="P40" s="157">
        <f t="shared" si="2"/>
        <v>66823.433333333334</v>
      </c>
      <c r="Q40" s="160">
        <f>Gear!P40/VLOOKUP(C40,'Short &amp; Simple'!$H$32:$I$67,2,FALSE)</f>
        <v>0.65714501126818281</v>
      </c>
      <c r="R40" s="8" t="str">
        <f t="shared" si="6"/>
        <v>Venturer</v>
      </c>
      <c r="V40" s="231"/>
    </row>
    <row r="41" spans="1:22" ht="15" customHeight="1">
      <c r="A41" s="48" t="str">
        <f>'Members Data'!A41</f>
        <v>Bishamonten</v>
      </c>
      <c r="B41" s="221"/>
      <c r="C41" s="462" t="s">
        <v>83</v>
      </c>
      <c r="D41" s="455" t="s">
        <v>60</v>
      </c>
      <c r="E41" s="458">
        <v>0</v>
      </c>
      <c r="F41" s="457">
        <v>0</v>
      </c>
      <c r="G41" s="455" t="s">
        <v>60</v>
      </c>
      <c r="H41" s="457">
        <v>0</v>
      </c>
      <c r="I41" s="456">
        <v>0</v>
      </c>
      <c r="J41" s="9">
        <f t="shared" si="5"/>
        <v>0</v>
      </c>
      <c r="K41" s="9">
        <f>VLOOKUP(Gear!A41,'Look-up'!A:B,2,FALSE)</f>
        <v>7199</v>
      </c>
      <c r="L41" s="8">
        <f>IF(K41&lt;'Short &amp; Simple'!$E$49,0,VLOOKUP(K41,'Short &amp; Simple'!$E$49:$F$58,2))</f>
        <v>5</v>
      </c>
      <c r="M41" s="377">
        <v>70583.100000000006</v>
      </c>
      <c r="N41" s="377">
        <v>57990.8</v>
      </c>
      <c r="O41" s="377"/>
      <c r="P41" s="157">
        <f t="shared" si="2"/>
        <v>64286.950000000004</v>
      </c>
      <c r="Q41" s="160">
        <f>Gear!P41/VLOOKUP(C41,'Short &amp; Simple'!$H$32:$I$67,2,FALSE)</f>
        <v>0.60602899725676151</v>
      </c>
      <c r="R41" s="8" t="str">
        <f t="shared" si="6"/>
        <v>Traveler</v>
      </c>
      <c r="V41" s="231"/>
    </row>
    <row r="42" spans="1:22" ht="15" customHeight="1">
      <c r="A42" s="48" t="str">
        <f>'Members Data'!A42</f>
        <v xml:space="preserve"> Sensés</v>
      </c>
      <c r="B42" s="221"/>
      <c r="C42" s="462" t="s">
        <v>172</v>
      </c>
      <c r="D42" s="455" t="s">
        <v>60</v>
      </c>
      <c r="E42" s="458">
        <v>0</v>
      </c>
      <c r="F42" s="457">
        <v>0</v>
      </c>
      <c r="G42" s="224" t="s">
        <v>60</v>
      </c>
      <c r="H42" s="457">
        <v>0</v>
      </c>
      <c r="I42" s="456">
        <v>1</v>
      </c>
      <c r="J42" s="9">
        <f t="shared" si="5"/>
        <v>0.1</v>
      </c>
      <c r="K42" s="9">
        <f>VLOOKUP(Gear!A42,'Look-up'!A:B,2,FALSE)</f>
        <v>7054</v>
      </c>
      <c r="L42" s="8">
        <f>IF(K42&lt;'Short &amp; Simple'!$E$49,0,VLOOKUP(K42,'Short &amp; Simple'!$E$49:$F$58,2))</f>
        <v>5</v>
      </c>
      <c r="M42" s="377">
        <v>40464.300000000003</v>
      </c>
      <c r="N42" s="377">
        <v>30579.3</v>
      </c>
      <c r="O42" s="377">
        <v>30533.3</v>
      </c>
      <c r="P42" s="157">
        <f t="shared" si="2"/>
        <v>33858.966666666667</v>
      </c>
      <c r="Q42" s="160">
        <f>Gear!P42/VLOOKUP(C42,'Short &amp; Simple'!$H$32:$I$67,2,FALSE)</f>
        <v>0.72979775119445345</v>
      </c>
      <c r="R42" s="8" t="str">
        <f t="shared" si="6"/>
        <v>Venturer</v>
      </c>
      <c r="V42" s="231"/>
    </row>
    <row r="43" spans="1:22" ht="15" customHeight="1">
      <c r="A43" s="48" t="str">
        <f>'Members Data'!A43</f>
        <v>Zerika</v>
      </c>
      <c r="B43" s="221"/>
      <c r="C43" s="462" t="s">
        <v>101</v>
      </c>
      <c r="D43" s="455" t="s">
        <v>60</v>
      </c>
      <c r="E43" s="458">
        <v>0</v>
      </c>
      <c r="F43" s="457">
        <v>0</v>
      </c>
      <c r="G43" s="224" t="s">
        <v>60</v>
      </c>
      <c r="H43" s="457">
        <v>0</v>
      </c>
      <c r="I43" s="456">
        <v>0</v>
      </c>
      <c r="J43" s="9">
        <f t="shared" si="5"/>
        <v>0</v>
      </c>
      <c r="K43" s="9">
        <f>VLOOKUP(Gear!A43,'Look-up'!A:B,2,FALSE)</f>
        <v>7028</v>
      </c>
      <c r="L43" s="8">
        <f>IF(K43&lt;'Short &amp; Simple'!$E$49,0,VLOOKUP(K43,'Short &amp; Simple'!$E$49:$F$58,2))</f>
        <v>5</v>
      </c>
      <c r="M43" s="377">
        <v>82606.7</v>
      </c>
      <c r="N43" s="377">
        <v>83007.3</v>
      </c>
      <c r="O43" s="377">
        <v>77593.600000000006</v>
      </c>
      <c r="P43" s="157">
        <f t="shared" si="2"/>
        <v>81069.2</v>
      </c>
      <c r="Q43" s="160">
        <f>Gear!P43/VLOOKUP(C43,'Short &amp; Simple'!$H$32:$I$67,2,FALSE)</f>
        <v>0.66932682741567284</v>
      </c>
      <c r="R43" s="8" t="str">
        <f t="shared" si="6"/>
        <v>Venturer</v>
      </c>
      <c r="V43" s="231"/>
    </row>
    <row r="44" spans="1:22" ht="15" customHeight="1">
      <c r="A44" s="48" t="str">
        <f>'Members Data'!A44</f>
        <v>Atlanthia</v>
      </c>
      <c r="B44" s="221"/>
      <c r="C44" s="462" t="s">
        <v>89</v>
      </c>
      <c r="D44" s="455" t="s">
        <v>60</v>
      </c>
      <c r="E44" s="458">
        <v>0</v>
      </c>
      <c r="F44" s="457">
        <v>0</v>
      </c>
      <c r="G44" s="224" t="s">
        <v>60</v>
      </c>
      <c r="H44" s="457">
        <v>0</v>
      </c>
      <c r="I44" s="456">
        <v>0</v>
      </c>
      <c r="J44" s="9">
        <f t="shared" si="5"/>
        <v>0</v>
      </c>
      <c r="K44" s="9">
        <f>VLOOKUP(Gear!A44,'Look-up'!A:B,2,FALSE)</f>
        <v>7104</v>
      </c>
      <c r="L44" s="8">
        <f>IF(K44&lt;'Short &amp; Simple'!$E$49,0,VLOOKUP(K44,'Short &amp; Simple'!$E$49:$F$58,2))</f>
        <v>5</v>
      </c>
      <c r="M44" s="377">
        <v>81202.100000000006</v>
      </c>
      <c r="N44" s="377">
        <v>84508.3</v>
      </c>
      <c r="O44" s="377">
        <v>83497.3</v>
      </c>
      <c r="P44" s="157">
        <f t="shared" si="2"/>
        <v>83069.233333333337</v>
      </c>
      <c r="Q44" s="160">
        <f>Gear!P44/VLOOKUP(C44,'Short &amp; Simple'!$H$32:$I$67,2,FALSE)</f>
        <v>0.81817023784314402</v>
      </c>
      <c r="R44" s="8" t="str">
        <f t="shared" si="6"/>
        <v>Gladiator</v>
      </c>
      <c r="V44" s="231"/>
    </row>
    <row r="45" spans="1:22" ht="15" customHeight="1">
      <c r="A45" s="48" t="str">
        <f>'Members Data'!A45</f>
        <v>Shalist</v>
      </c>
      <c r="B45" s="221"/>
      <c r="C45" s="462" t="s">
        <v>98</v>
      </c>
      <c r="D45" s="455" t="s">
        <v>60</v>
      </c>
      <c r="E45" s="458">
        <v>0</v>
      </c>
      <c r="F45" s="457">
        <v>0</v>
      </c>
      <c r="G45" s="224" t="s">
        <v>60</v>
      </c>
      <c r="H45" s="457">
        <v>0</v>
      </c>
      <c r="I45" s="456">
        <v>0</v>
      </c>
      <c r="J45" s="9">
        <f t="shared" si="5"/>
        <v>0</v>
      </c>
      <c r="K45" s="9">
        <f>VLOOKUP(Gear!A45,'Look-up'!A:B,2,FALSE)</f>
        <v>7088</v>
      </c>
      <c r="L45" s="8">
        <f>IF(K45&lt;'Short &amp; Simple'!$E$49,0,VLOOKUP(K45,'Short &amp; Simple'!$E$49:$F$58,2))</f>
        <v>5</v>
      </c>
      <c r="M45" s="377">
        <v>66215.399999999994</v>
      </c>
      <c r="N45" s="377">
        <v>60275.5</v>
      </c>
      <c r="O45" s="377">
        <v>51922.5</v>
      </c>
      <c r="P45" s="157">
        <f t="shared" si="2"/>
        <v>59471.133333333331</v>
      </c>
      <c r="Q45" s="160">
        <f>Gear!P45/VLOOKUP(C45,'Short &amp; Simple'!$H$32:$I$67,2,FALSE)</f>
        <v>0.58203461932444689</v>
      </c>
      <c r="R45" s="8" t="str">
        <f t="shared" si="6"/>
        <v>Traveler</v>
      </c>
      <c r="V45" s="231"/>
    </row>
    <row r="46" spans="1:22" ht="15" customHeight="1">
      <c r="A46" s="48">
        <f>'Members Data'!A46</f>
        <v>0</v>
      </c>
      <c r="B46" s="221"/>
      <c r="C46" s="462"/>
      <c r="D46" s="455" t="s">
        <v>60</v>
      </c>
      <c r="E46" s="458">
        <v>0</v>
      </c>
      <c r="F46" s="457">
        <v>0</v>
      </c>
      <c r="G46" s="224" t="s">
        <v>60</v>
      </c>
      <c r="H46" s="457">
        <v>0</v>
      </c>
      <c r="I46" s="456">
        <v>0</v>
      </c>
      <c r="J46" s="9">
        <f t="shared" si="5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77"/>
      <c r="N46" s="377"/>
      <c r="O46" s="377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6"/>
        <v>#N/A</v>
      </c>
      <c r="V46" s="231"/>
    </row>
    <row r="47" spans="1:22" ht="15" customHeight="1">
      <c r="A47" s="48">
        <f>'Members Data'!A47</f>
        <v>0</v>
      </c>
      <c r="B47" s="221"/>
      <c r="C47" s="462"/>
      <c r="D47" s="455" t="s">
        <v>60</v>
      </c>
      <c r="E47" s="458">
        <v>0</v>
      </c>
      <c r="F47" s="457">
        <v>0</v>
      </c>
      <c r="G47" s="224" t="s">
        <v>60</v>
      </c>
      <c r="H47" s="457">
        <v>0</v>
      </c>
      <c r="I47" s="456">
        <v>0</v>
      </c>
      <c r="J47" s="9">
        <f t="shared" si="5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77"/>
      <c r="N47" s="377"/>
      <c r="O47" s="377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6"/>
        <v>#N/A</v>
      </c>
      <c r="V47" s="231"/>
    </row>
    <row r="48" spans="1:22" ht="15" customHeight="1">
      <c r="A48" s="48">
        <f>'Members Data'!A48</f>
        <v>0</v>
      </c>
      <c r="B48" s="221"/>
      <c r="C48" s="462"/>
      <c r="D48" s="455" t="s">
        <v>60</v>
      </c>
      <c r="E48" s="458">
        <v>0</v>
      </c>
      <c r="F48" s="457">
        <v>0</v>
      </c>
      <c r="G48" s="224" t="s">
        <v>60</v>
      </c>
      <c r="H48" s="457">
        <v>0</v>
      </c>
      <c r="I48" s="456">
        <v>0</v>
      </c>
      <c r="J48" s="9">
        <f t="shared" si="5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77"/>
      <c r="N48" s="377"/>
      <c r="O48" s="377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6"/>
        <v>#N/A</v>
      </c>
      <c r="V48" s="231"/>
    </row>
    <row r="49" spans="1:22" ht="15" customHeight="1">
      <c r="A49" s="48">
        <f>'Members Data'!A49</f>
        <v>0</v>
      </c>
      <c r="B49" s="221"/>
      <c r="C49" s="462"/>
      <c r="D49" s="455" t="s">
        <v>60</v>
      </c>
      <c r="E49" s="458">
        <v>0</v>
      </c>
      <c r="F49" s="457">
        <v>0</v>
      </c>
      <c r="G49" s="224" t="s">
        <v>60</v>
      </c>
      <c r="H49" s="457">
        <v>0</v>
      </c>
      <c r="I49" s="456">
        <v>0</v>
      </c>
      <c r="J49" s="9">
        <f t="shared" si="5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77"/>
      <c r="N49" s="377"/>
      <c r="O49" s="377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6"/>
        <v>#N/A</v>
      </c>
      <c r="V49" s="231"/>
    </row>
    <row r="50" spans="1:22" ht="15" customHeight="1">
      <c r="A50" s="48">
        <f>'Members Data'!A50</f>
        <v>0</v>
      </c>
      <c r="B50" s="221"/>
      <c r="C50" s="462"/>
      <c r="D50" s="455" t="s">
        <v>60</v>
      </c>
      <c r="E50" s="458">
        <v>0</v>
      </c>
      <c r="F50" s="457">
        <v>0</v>
      </c>
      <c r="G50" s="224" t="s">
        <v>60</v>
      </c>
      <c r="H50" s="457">
        <v>0</v>
      </c>
      <c r="I50" s="456">
        <v>0</v>
      </c>
      <c r="J50" s="9">
        <f t="shared" si="5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77"/>
      <c r="N50" s="377"/>
      <c r="O50" s="377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6"/>
        <v>#N/A</v>
      </c>
      <c r="V50" s="231"/>
    </row>
    <row r="51" spans="1:22" ht="15" customHeight="1">
      <c r="A51" s="48">
        <f>'Members Data'!A51</f>
        <v>0</v>
      </c>
      <c r="B51" s="222"/>
      <c r="C51" s="462"/>
      <c r="D51" s="455" t="s">
        <v>60</v>
      </c>
      <c r="E51" s="458">
        <v>0</v>
      </c>
      <c r="F51" s="457">
        <v>0</v>
      </c>
      <c r="G51" s="224" t="s">
        <v>60</v>
      </c>
      <c r="H51" s="457">
        <v>0</v>
      </c>
      <c r="I51" s="456">
        <v>0</v>
      </c>
      <c r="J51" s="9">
        <f t="shared" si="5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77"/>
      <c r="N51" s="377"/>
      <c r="O51" s="377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6"/>
        <v>#N/A</v>
      </c>
      <c r="V51" s="231"/>
    </row>
    <row r="52" spans="1:22" ht="15" customHeight="1">
      <c r="A52" s="48">
        <f>'Members Data'!A52</f>
        <v>0</v>
      </c>
      <c r="B52" s="222"/>
      <c r="C52" s="462"/>
      <c r="D52" s="455" t="s">
        <v>60</v>
      </c>
      <c r="E52" s="458">
        <v>0</v>
      </c>
      <c r="F52" s="457">
        <v>0</v>
      </c>
      <c r="G52" s="224" t="s">
        <v>60</v>
      </c>
      <c r="H52" s="457">
        <v>0</v>
      </c>
      <c r="I52" s="456">
        <v>0</v>
      </c>
      <c r="J52" s="9">
        <f t="shared" si="5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77"/>
      <c r="N52" s="377"/>
      <c r="O52" s="377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6"/>
        <v>#N/A</v>
      </c>
      <c r="V52" s="231"/>
    </row>
    <row r="53" spans="1:22" ht="15" customHeight="1">
      <c r="A53" s="48">
        <f>'Members Data'!A53</f>
        <v>0</v>
      </c>
      <c r="B53" s="222"/>
      <c r="C53" s="462"/>
      <c r="D53" s="455" t="s">
        <v>60</v>
      </c>
      <c r="E53" s="458">
        <v>0</v>
      </c>
      <c r="F53" s="457">
        <v>0</v>
      </c>
      <c r="G53" s="224" t="s">
        <v>60</v>
      </c>
      <c r="H53" s="457">
        <v>0</v>
      </c>
      <c r="I53" s="456">
        <v>0</v>
      </c>
      <c r="J53" s="9">
        <f t="shared" si="5"/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77"/>
      <c r="N53" s="377"/>
      <c r="O53" s="377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6"/>
        <v>#N/A</v>
      </c>
      <c r="V53" s="231"/>
    </row>
    <row r="54" spans="1:22" ht="15" customHeight="1">
      <c r="A54" s="48">
        <f>'Members Data'!A54</f>
        <v>0</v>
      </c>
      <c r="B54" s="222"/>
      <c r="C54" s="462"/>
      <c r="D54" s="455" t="s">
        <v>60</v>
      </c>
      <c r="E54" s="458">
        <v>0</v>
      </c>
      <c r="F54" s="457">
        <v>0</v>
      </c>
      <c r="G54" s="224" t="s">
        <v>60</v>
      </c>
      <c r="H54" s="457">
        <v>0</v>
      </c>
      <c r="I54" s="456">
        <v>0</v>
      </c>
      <c r="J54" s="9">
        <f t="shared" si="5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77"/>
      <c r="N54" s="377"/>
      <c r="O54" s="377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6"/>
        <v>#N/A</v>
      </c>
      <c r="V54" s="231"/>
    </row>
    <row r="55" spans="1:22" ht="15" customHeight="1">
      <c r="A55" s="48">
        <f>'Members Data'!A55</f>
        <v>0</v>
      </c>
      <c r="B55" s="222"/>
      <c r="C55" s="462"/>
      <c r="D55" s="455" t="s">
        <v>60</v>
      </c>
      <c r="E55" s="458">
        <v>0</v>
      </c>
      <c r="F55" s="457">
        <v>0</v>
      </c>
      <c r="G55" s="224" t="s">
        <v>60</v>
      </c>
      <c r="H55" s="457">
        <v>0</v>
      </c>
      <c r="I55" s="456">
        <v>0</v>
      </c>
      <c r="J55" s="9">
        <f t="shared" si="5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77"/>
      <c r="N55" s="377"/>
      <c r="O55" s="377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6"/>
        <v>#N/A</v>
      </c>
      <c r="V55" s="231"/>
    </row>
    <row r="56" spans="1:22" ht="15" customHeight="1">
      <c r="A56" s="48">
        <f>'Members Data'!A56</f>
        <v>0</v>
      </c>
      <c r="B56" s="222"/>
      <c r="C56" s="462"/>
      <c r="D56" s="455" t="s">
        <v>60</v>
      </c>
      <c r="E56" s="458">
        <v>0</v>
      </c>
      <c r="F56" s="457">
        <v>0</v>
      </c>
      <c r="G56" s="224" t="s">
        <v>60</v>
      </c>
      <c r="H56" s="457">
        <v>0</v>
      </c>
      <c r="I56" s="456">
        <v>0</v>
      </c>
      <c r="J56" s="9">
        <f t="shared" si="5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77"/>
      <c r="N56" s="377"/>
      <c r="O56" s="377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6"/>
        <v>#N/A</v>
      </c>
      <c r="V56" s="231"/>
    </row>
    <row r="57" spans="1:22" ht="15" customHeight="1">
      <c r="A57" s="48">
        <f>'Members Data'!A57</f>
        <v>0</v>
      </c>
      <c r="B57" s="222"/>
      <c r="C57" s="462"/>
      <c r="D57" s="455" t="s">
        <v>60</v>
      </c>
      <c r="E57" s="458">
        <v>0</v>
      </c>
      <c r="F57" s="457">
        <v>0</v>
      </c>
      <c r="G57" s="224" t="s">
        <v>60</v>
      </c>
      <c r="H57" s="457">
        <v>0</v>
      </c>
      <c r="I57" s="456">
        <v>0</v>
      </c>
      <c r="J57" s="9">
        <f t="shared" si="5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77"/>
      <c r="N57" s="377"/>
      <c r="O57" s="377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6"/>
        <v>#N/A</v>
      </c>
      <c r="V57" s="231"/>
    </row>
    <row r="58" spans="1:22" ht="15" customHeight="1">
      <c r="A58" s="48">
        <f>'Members Data'!A58</f>
        <v>0</v>
      </c>
      <c r="B58" s="222"/>
      <c r="C58" s="462"/>
      <c r="D58" s="455" t="s">
        <v>60</v>
      </c>
      <c r="E58" s="458">
        <v>0</v>
      </c>
      <c r="F58" s="457">
        <v>0</v>
      </c>
      <c r="G58" s="224" t="s">
        <v>60</v>
      </c>
      <c r="H58" s="457">
        <v>0</v>
      </c>
      <c r="I58" s="456">
        <v>0</v>
      </c>
      <c r="J58" s="9">
        <f t="shared" si="5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77"/>
      <c r="N58" s="377"/>
      <c r="O58" s="377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6"/>
        <v>#N/A</v>
      </c>
      <c r="V58" s="231"/>
    </row>
    <row r="59" spans="1:22" ht="15" customHeight="1">
      <c r="A59" s="48">
        <f>'Members Data'!A59</f>
        <v>0</v>
      </c>
      <c r="B59" s="222"/>
      <c r="C59" s="462"/>
      <c r="D59" s="455" t="s">
        <v>60</v>
      </c>
      <c r="E59" s="458">
        <v>0</v>
      </c>
      <c r="F59" s="457">
        <v>0</v>
      </c>
      <c r="G59" s="224" t="s">
        <v>60</v>
      </c>
      <c r="H59" s="457">
        <v>0</v>
      </c>
      <c r="I59" s="456">
        <v>0</v>
      </c>
      <c r="J59" s="9">
        <f t="shared" si="5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77"/>
      <c r="N59" s="377"/>
      <c r="O59" s="377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6"/>
        <v>#N/A</v>
      </c>
      <c r="V59" s="231"/>
    </row>
    <row r="60" spans="1:22" ht="15" customHeight="1">
      <c r="A60" s="48">
        <f>'Members Data'!A60</f>
        <v>0</v>
      </c>
      <c r="B60" s="222"/>
      <c r="C60" s="462"/>
      <c r="D60" s="455" t="s">
        <v>60</v>
      </c>
      <c r="E60" s="458">
        <v>0</v>
      </c>
      <c r="F60" s="457">
        <v>0</v>
      </c>
      <c r="G60" s="224" t="s">
        <v>60</v>
      </c>
      <c r="H60" s="457">
        <v>0</v>
      </c>
      <c r="I60" s="456">
        <v>0</v>
      </c>
      <c r="J60" s="9">
        <f t="shared" si="5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77"/>
      <c r="N60" s="377"/>
      <c r="O60" s="377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6"/>
        <v>#N/A</v>
      </c>
      <c r="V60" s="231"/>
    </row>
    <row r="61" spans="1:22" ht="15" customHeight="1" thickBot="1">
      <c r="A61" s="473">
        <f>'Members Data'!A61</f>
        <v>0</v>
      </c>
      <c r="B61" s="223"/>
      <c r="C61" s="463"/>
      <c r="D61" s="470" t="s">
        <v>60</v>
      </c>
      <c r="E61" s="474">
        <v>0</v>
      </c>
      <c r="F61" s="469">
        <v>0</v>
      </c>
      <c r="G61" s="470" t="s">
        <v>60</v>
      </c>
      <c r="H61" s="469">
        <v>0</v>
      </c>
      <c r="I61" s="475">
        <v>0</v>
      </c>
      <c r="J61" s="476">
        <f t="shared" si="5"/>
        <v>0</v>
      </c>
      <c r="K61" s="476">
        <f>VLOOKUP(Gear!A61,'Look-up'!A:B,2,FALSE)</f>
        <v>0</v>
      </c>
      <c r="L61" s="390">
        <f>IF(K61&lt;'Short &amp; Simple'!$E$49,0,VLOOKUP(K61,'Short &amp; Simple'!$E$49:$F$58,2))</f>
        <v>0</v>
      </c>
      <c r="M61" s="477"/>
      <c r="N61" s="477"/>
      <c r="O61" s="477"/>
      <c r="P61" s="478">
        <f t="shared" si="2"/>
        <v>0</v>
      </c>
      <c r="Q61" s="479" t="e">
        <f>Gear!P61/VLOOKUP(C61,'Short &amp; Simple'!$H$32:$I$67,2,FALSE)</f>
        <v>#N/A</v>
      </c>
      <c r="R61" s="390" t="e">
        <f t="shared" si="6"/>
        <v>#N/A</v>
      </c>
      <c r="V61" s="231"/>
    </row>
    <row r="62" spans="1:22" ht="15" customHeight="1" thickTop="1">
      <c r="A62" s="480" t="str">
        <f>'Members Data'!A62</f>
        <v>Greenhazee</v>
      </c>
      <c r="B62" s="221">
        <v>40774</v>
      </c>
      <c r="C62" s="481"/>
      <c r="D62" s="482" t="s">
        <v>60</v>
      </c>
      <c r="E62" s="483">
        <v>0</v>
      </c>
      <c r="F62" s="483">
        <v>0</v>
      </c>
      <c r="G62" s="482" t="s">
        <v>60</v>
      </c>
      <c r="H62" s="483">
        <v>0</v>
      </c>
      <c r="I62" s="484">
        <v>0</v>
      </c>
      <c r="J62" s="480">
        <f t="shared" si="5"/>
        <v>0</v>
      </c>
      <c r="K62" s="480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5"/>
      <c r="N62" s="486"/>
      <c r="O62" s="486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6"/>
        <v>#N/A</v>
      </c>
      <c r="V62" s="231"/>
    </row>
    <row r="63" spans="1:22" ht="15" customHeight="1">
      <c r="A63" s="48" t="str">
        <f>'Members Data'!A63</f>
        <v>Megamind</v>
      </c>
      <c r="B63" s="221">
        <v>40774</v>
      </c>
      <c r="C63" s="462"/>
      <c r="D63" s="455" t="s">
        <v>60</v>
      </c>
      <c r="E63" s="458">
        <v>0</v>
      </c>
      <c r="F63" s="457">
        <v>0</v>
      </c>
      <c r="G63" s="224" t="s">
        <v>60</v>
      </c>
      <c r="H63" s="457">
        <v>0</v>
      </c>
      <c r="I63" s="456">
        <v>0</v>
      </c>
      <c r="J63" s="9">
        <f t="shared" si="5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377"/>
      <c r="N63" s="377"/>
      <c r="O63" s="377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6"/>
        <v>#N/A</v>
      </c>
      <c r="V63" s="231"/>
    </row>
    <row r="64" spans="1:22" ht="15" customHeight="1">
      <c r="A64" s="48" t="str">
        <f>'Members Data'!A64</f>
        <v>Punyelf</v>
      </c>
      <c r="B64" s="221">
        <v>40774</v>
      </c>
      <c r="C64" s="462"/>
      <c r="D64" s="455" t="s">
        <v>60</v>
      </c>
      <c r="E64" s="458">
        <v>0</v>
      </c>
      <c r="F64" s="457">
        <v>0</v>
      </c>
      <c r="G64" s="224" t="s">
        <v>60</v>
      </c>
      <c r="H64" s="457">
        <v>0</v>
      </c>
      <c r="I64" s="456">
        <v>0</v>
      </c>
      <c r="J64" s="9">
        <f t="shared" si="5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377"/>
      <c r="N64" s="377"/>
      <c r="O64" s="377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6"/>
        <v>#N/A</v>
      </c>
      <c r="V64" s="231"/>
    </row>
    <row r="65" spans="1:22" ht="15" customHeight="1">
      <c r="A65" s="48" t="str">
        <f>'Members Data'!A65</f>
        <v>Eviwon</v>
      </c>
      <c r="B65" s="221">
        <v>40774</v>
      </c>
      <c r="C65" s="462"/>
      <c r="D65" s="455" t="s">
        <v>60</v>
      </c>
      <c r="E65" s="458">
        <v>0</v>
      </c>
      <c r="F65" s="457">
        <v>0</v>
      </c>
      <c r="G65" s="224" t="s">
        <v>60</v>
      </c>
      <c r="H65" s="457">
        <v>0</v>
      </c>
      <c r="I65" s="456">
        <v>0</v>
      </c>
      <c r="J65" s="9">
        <f t="shared" si="5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377"/>
      <c r="N65" s="377"/>
      <c r="O65" s="377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6"/>
        <v>#N/A</v>
      </c>
      <c r="V65" s="231"/>
    </row>
    <row r="66" spans="1:22" ht="15" customHeight="1">
      <c r="A66" s="48" t="str">
        <f>'Members Data'!A66</f>
        <v>Nixyin</v>
      </c>
      <c r="B66" s="221">
        <v>40774</v>
      </c>
      <c r="C66" s="462" t="s">
        <v>173</v>
      </c>
      <c r="D66" s="455" t="s">
        <v>60</v>
      </c>
      <c r="E66" s="458">
        <v>0</v>
      </c>
      <c r="F66" s="457">
        <v>0</v>
      </c>
      <c r="G66" s="455" t="s">
        <v>60</v>
      </c>
      <c r="H66" s="457">
        <v>1</v>
      </c>
      <c r="I66" s="456">
        <v>0</v>
      </c>
      <c r="J66" s="9">
        <f t="shared" ref="J66:J71" si="7">(IF(D66="no",TRUE)*0.1)+(E66*0.4)+(F66*0.1)+(IF(G66="no",TRUE)*0.2)+(H66*0.4)+(I66*0.1)</f>
        <v>0.4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377">
        <v>75697.5</v>
      </c>
      <c r="N66" s="377">
        <v>61245.599999999999</v>
      </c>
      <c r="O66" s="377"/>
      <c r="P66" s="157">
        <f t="shared" si="2"/>
        <v>68471.55</v>
      </c>
      <c r="Q66" s="160">
        <f>Gear!P66/VLOOKUP(C66,'Short &amp; Simple'!$H$32:$I$67,2,FALSE)</f>
        <v>0.62631764296952186</v>
      </c>
      <c r="R66" s="8" t="str">
        <f t="shared" ref="R66:R97" si="8">IF(Q66&gt;=$X$4,"Gladiator",IF(Q66&gt;=$X$3,"Venturer","Traveler"))</f>
        <v>Traveler</v>
      </c>
      <c r="V66" s="231"/>
    </row>
    <row r="67" spans="1:22" ht="15" customHeight="1">
      <c r="A67" s="48" t="str">
        <f>'Members Data'!A67</f>
        <v>Hyperïon</v>
      </c>
      <c r="B67" s="221">
        <v>40774</v>
      </c>
      <c r="C67" s="462" t="s">
        <v>93</v>
      </c>
      <c r="D67" s="455" t="s">
        <v>60</v>
      </c>
      <c r="E67" s="458">
        <v>0</v>
      </c>
      <c r="F67" s="457">
        <v>0</v>
      </c>
      <c r="G67" s="455" t="s">
        <v>60</v>
      </c>
      <c r="H67" s="457">
        <v>0</v>
      </c>
      <c r="I67" s="456">
        <v>0</v>
      </c>
      <c r="J67" s="9">
        <f t="shared" si="7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377">
        <v>47080.5</v>
      </c>
      <c r="N67" s="377">
        <v>44273.9</v>
      </c>
      <c r="O67" s="377">
        <v>43641.5</v>
      </c>
      <c r="P67" s="157">
        <f t="shared" ref="P67:P100" si="9">IF(SUM($M67:$O67)=0,0,SUM($M67:$O67)/COUNTIF($M67:$O67, "&gt;0"))</f>
        <v>44998.633333333331</v>
      </c>
      <c r="Q67" s="160">
        <f>Gear!P67/VLOOKUP(C67,'Short &amp; Simple'!$H$32:$I$67,2,FALSE)</f>
        <v>0.44599026059837188</v>
      </c>
      <c r="R67" s="8" t="str">
        <f t="shared" si="8"/>
        <v>Traveler</v>
      </c>
      <c r="V67" s="231"/>
    </row>
    <row r="68" spans="1:22" ht="15" customHeight="1">
      <c r="A68" s="48" t="str">
        <f>'Members Data'!A68</f>
        <v>Kradios</v>
      </c>
      <c r="B68" s="221">
        <v>40774</v>
      </c>
      <c r="C68" s="462"/>
      <c r="D68" s="455" t="s">
        <v>60</v>
      </c>
      <c r="E68" s="458">
        <v>0</v>
      </c>
      <c r="F68" s="457">
        <v>0</v>
      </c>
      <c r="G68" s="224" t="s">
        <v>60</v>
      </c>
      <c r="H68" s="457">
        <v>0</v>
      </c>
      <c r="I68" s="456">
        <v>0</v>
      </c>
      <c r="J68" s="9">
        <f t="shared" si="7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377"/>
      <c r="N68" s="377"/>
      <c r="O68" s="377"/>
      <c r="P68" s="157">
        <f t="shared" si="9"/>
        <v>0</v>
      </c>
      <c r="Q68" s="160" t="e">
        <f>Gear!P68/VLOOKUP(C68,'Short &amp; Simple'!$H$32:$I$67,2,FALSE)</f>
        <v>#N/A</v>
      </c>
      <c r="R68" s="8" t="e">
        <f t="shared" si="8"/>
        <v>#N/A</v>
      </c>
      <c r="V68" s="231"/>
    </row>
    <row r="69" spans="1:22" ht="15" customHeight="1">
      <c r="A69" s="48" t="str">
        <f>'Members Data'!A69</f>
        <v>Kyusu</v>
      </c>
      <c r="B69" s="221">
        <v>40774</v>
      </c>
      <c r="C69" s="462"/>
      <c r="D69" s="455" t="s">
        <v>60</v>
      </c>
      <c r="E69" s="458">
        <v>0</v>
      </c>
      <c r="F69" s="457">
        <v>0</v>
      </c>
      <c r="G69" s="224" t="s">
        <v>60</v>
      </c>
      <c r="H69" s="457">
        <v>0</v>
      </c>
      <c r="I69" s="456">
        <v>0</v>
      </c>
      <c r="J69" s="9">
        <f t="shared" si="7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377"/>
      <c r="N69" s="377"/>
      <c r="O69" s="377"/>
      <c r="P69" s="157">
        <f t="shared" si="9"/>
        <v>0</v>
      </c>
      <c r="Q69" s="160" t="e">
        <f>Gear!P69/VLOOKUP(C69,'Short &amp; Simple'!$H$32:$I$67,2,FALSE)</f>
        <v>#N/A</v>
      </c>
      <c r="R69" s="8" t="e">
        <f t="shared" si="8"/>
        <v>#N/A</v>
      </c>
      <c r="V69" s="231"/>
    </row>
    <row r="70" spans="1:22" ht="15" customHeight="1">
      <c r="A70" s="48" t="str">
        <f>'Members Data'!A70</f>
        <v>Blondesaint</v>
      </c>
      <c r="B70" s="221">
        <v>40774</v>
      </c>
      <c r="C70" s="462"/>
      <c r="D70" s="455" t="s">
        <v>60</v>
      </c>
      <c r="E70" s="458">
        <v>0</v>
      </c>
      <c r="F70" s="457">
        <v>0</v>
      </c>
      <c r="G70" s="224" t="s">
        <v>60</v>
      </c>
      <c r="H70" s="457">
        <v>0</v>
      </c>
      <c r="I70" s="456">
        <v>0</v>
      </c>
      <c r="J70" s="9">
        <f t="shared" si="7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377"/>
      <c r="N70" s="377"/>
      <c r="O70" s="377"/>
      <c r="P70" s="157">
        <f t="shared" si="9"/>
        <v>0</v>
      </c>
      <c r="Q70" s="160" t="e">
        <f>Gear!P70/VLOOKUP(C70,'Short &amp; Simple'!$H$32:$I$67,2,FALSE)</f>
        <v>#N/A</v>
      </c>
      <c r="R70" s="8" t="e">
        <f t="shared" si="8"/>
        <v>#N/A</v>
      </c>
      <c r="V70" s="231"/>
    </row>
    <row r="71" spans="1:22" ht="15" customHeight="1">
      <c r="A71" s="48" t="str">
        <f>'Members Data'!A71</f>
        <v>Katjá</v>
      </c>
      <c r="B71" s="221">
        <v>40774</v>
      </c>
      <c r="C71" s="462"/>
      <c r="D71" s="455" t="s">
        <v>60</v>
      </c>
      <c r="E71" s="458">
        <v>0</v>
      </c>
      <c r="F71" s="457">
        <v>0</v>
      </c>
      <c r="G71" s="224" t="s">
        <v>60</v>
      </c>
      <c r="H71" s="457">
        <v>0</v>
      </c>
      <c r="I71" s="456">
        <v>0</v>
      </c>
      <c r="J71" s="9">
        <f t="shared" si="7"/>
        <v>0</v>
      </c>
      <c r="K71" s="9" t="e">
        <f>VLOOKUP(Gear!A71,'Look-up'!A:B,2,FALSE)</f>
        <v>#N/A</v>
      </c>
      <c r="L71" s="8" t="e">
        <f>IF(K71&lt;'Short &amp; Simple'!$E$49,0,VLOOKUP(K71,'Short &amp; Simple'!$E$49:$F$58,2))</f>
        <v>#N/A</v>
      </c>
      <c r="M71" s="377"/>
      <c r="N71" s="377"/>
      <c r="O71" s="377"/>
      <c r="P71" s="157">
        <f t="shared" si="9"/>
        <v>0</v>
      </c>
      <c r="Q71" s="160" t="e">
        <f>Gear!P71/VLOOKUP(C71,'Short &amp; Simple'!$H$32:$I$67,2,FALSE)</f>
        <v>#N/A</v>
      </c>
      <c r="R71" s="8" t="e">
        <f t="shared" si="8"/>
        <v>#N/A</v>
      </c>
      <c r="V71" s="231"/>
    </row>
    <row r="72" spans="1:22" ht="15" customHeight="1">
      <c r="A72" s="48" t="str">
        <f>'Members Data'!A72</f>
        <v>Kristofix</v>
      </c>
      <c r="B72" s="221">
        <v>40774</v>
      </c>
      <c r="C72" s="462"/>
      <c r="D72" s="455" t="s">
        <v>60</v>
      </c>
      <c r="E72" s="458">
        <v>0</v>
      </c>
      <c r="F72" s="457">
        <v>0</v>
      </c>
      <c r="G72" s="224" t="s">
        <v>60</v>
      </c>
      <c r="H72" s="457">
        <v>0</v>
      </c>
      <c r="I72" s="456">
        <v>0</v>
      </c>
      <c r="J72" s="9">
        <f t="shared" ref="J72:J100" si="10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377"/>
      <c r="N72" s="377"/>
      <c r="O72" s="377"/>
      <c r="P72" s="157">
        <f t="shared" si="9"/>
        <v>0</v>
      </c>
      <c r="Q72" s="160" t="e">
        <f>Gear!P72/VLOOKUP(C72,'Short &amp; Simple'!$H$32:$I$67,2,FALSE)</f>
        <v>#N/A</v>
      </c>
      <c r="R72" s="8" t="e">
        <f t="shared" si="8"/>
        <v>#N/A</v>
      </c>
      <c r="V72" s="231"/>
    </row>
    <row r="73" spans="1:22" ht="15" customHeight="1">
      <c r="A73" s="48" t="str">
        <f>'Members Data'!A73</f>
        <v>Yardk</v>
      </c>
      <c r="B73" s="221">
        <v>40774</v>
      </c>
      <c r="C73" s="462"/>
      <c r="D73" s="455" t="s">
        <v>60</v>
      </c>
      <c r="E73" s="458">
        <v>0</v>
      </c>
      <c r="F73" s="457">
        <v>0</v>
      </c>
      <c r="G73" s="224" t="s">
        <v>60</v>
      </c>
      <c r="H73" s="457">
        <v>0</v>
      </c>
      <c r="I73" s="456">
        <v>0</v>
      </c>
      <c r="J73" s="9">
        <f t="shared" si="10"/>
        <v>0</v>
      </c>
      <c r="K73" s="9" t="e">
        <f>VLOOKUP(Gear!A73,'Look-up'!A:B,2,FALSE)</f>
        <v>#N/A</v>
      </c>
      <c r="L73" s="8" t="e">
        <f>IF(K73&lt;'Short &amp; Simple'!$E$49,0,VLOOKUP(K73,'Short &amp; Simple'!$E$49:$F$58,2))</f>
        <v>#N/A</v>
      </c>
      <c r="M73" s="377"/>
      <c r="N73" s="377"/>
      <c r="O73" s="377"/>
      <c r="P73" s="157">
        <f t="shared" si="9"/>
        <v>0</v>
      </c>
      <c r="Q73" s="160" t="e">
        <f>Gear!P73/VLOOKUP(C73,'Short &amp; Simple'!$H$32:$I$67,2,FALSE)</f>
        <v>#N/A</v>
      </c>
      <c r="R73" s="8" t="e">
        <f t="shared" si="8"/>
        <v>#N/A</v>
      </c>
      <c r="V73" s="231"/>
    </row>
    <row r="74" spans="1:22" ht="15" customHeight="1">
      <c r="A74" s="48" t="str">
        <f>'Members Data'!A74</f>
        <v>Calaelen</v>
      </c>
      <c r="B74" s="221">
        <v>40774</v>
      </c>
      <c r="C74" s="462"/>
      <c r="D74" s="455" t="s">
        <v>60</v>
      </c>
      <c r="E74" s="458">
        <v>0</v>
      </c>
      <c r="F74" s="457">
        <v>0</v>
      </c>
      <c r="G74" s="224" t="s">
        <v>60</v>
      </c>
      <c r="H74" s="457">
        <v>0</v>
      </c>
      <c r="I74" s="456">
        <v>0</v>
      </c>
      <c r="J74" s="9">
        <f t="shared" si="10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377"/>
      <c r="N74" s="377"/>
      <c r="O74" s="377"/>
      <c r="P74" s="157">
        <f t="shared" si="9"/>
        <v>0</v>
      </c>
      <c r="Q74" s="160" t="e">
        <f>Gear!P74/VLOOKUP(C74,'Short &amp; Simple'!$H$32:$I$67,2,FALSE)</f>
        <v>#N/A</v>
      </c>
      <c r="R74" s="8" t="e">
        <f t="shared" si="8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2"/>
      <c r="D75" s="455" t="s">
        <v>60</v>
      </c>
      <c r="E75" s="458">
        <v>0</v>
      </c>
      <c r="F75" s="457">
        <v>0</v>
      </c>
      <c r="G75" s="224" t="s">
        <v>60</v>
      </c>
      <c r="H75" s="457">
        <v>0</v>
      </c>
      <c r="I75" s="456">
        <v>0</v>
      </c>
      <c r="J75" s="9">
        <f t="shared" si="10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377"/>
      <c r="N75" s="377"/>
      <c r="O75" s="377"/>
      <c r="P75" s="157">
        <f t="shared" si="9"/>
        <v>0</v>
      </c>
      <c r="Q75" s="160" t="e">
        <f>Gear!P75/VLOOKUP(C75,'Short &amp; Simple'!$H$32:$I$67,2,FALSE)</f>
        <v>#N/A</v>
      </c>
      <c r="R75" s="8" t="e">
        <f t="shared" si="8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2"/>
      <c r="D76" s="455" t="s">
        <v>60</v>
      </c>
      <c r="E76" s="458">
        <v>0</v>
      </c>
      <c r="F76" s="457">
        <v>0</v>
      </c>
      <c r="G76" s="224" t="s">
        <v>60</v>
      </c>
      <c r="H76" s="457">
        <v>0</v>
      </c>
      <c r="I76" s="456">
        <v>0</v>
      </c>
      <c r="J76" s="9">
        <f t="shared" si="10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77"/>
      <c r="N76" s="377"/>
      <c r="O76" s="377"/>
      <c r="P76" s="157">
        <f t="shared" si="9"/>
        <v>0</v>
      </c>
      <c r="Q76" s="160" t="e">
        <f>Gear!P76/VLOOKUP(C76,'Short &amp; Simple'!$H$32:$I$67,2,FALSE)</f>
        <v>#N/A</v>
      </c>
      <c r="R76" s="8" t="e">
        <f t="shared" si="8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2"/>
      <c r="D77" s="455" t="s">
        <v>60</v>
      </c>
      <c r="E77" s="458">
        <v>0</v>
      </c>
      <c r="F77" s="457">
        <v>0</v>
      </c>
      <c r="G77" s="224" t="s">
        <v>60</v>
      </c>
      <c r="H77" s="457">
        <v>0</v>
      </c>
      <c r="I77" s="456">
        <v>0</v>
      </c>
      <c r="J77" s="9">
        <f t="shared" si="10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77"/>
      <c r="N77" s="377"/>
      <c r="O77" s="377"/>
      <c r="P77" s="157">
        <f t="shared" si="9"/>
        <v>0</v>
      </c>
      <c r="Q77" s="160" t="e">
        <f>Gear!P77/VLOOKUP(C77,'Short &amp; Simple'!$H$32:$I$67,2,FALSE)</f>
        <v>#N/A</v>
      </c>
      <c r="R77" s="8" t="e">
        <f t="shared" si="8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2"/>
      <c r="D78" s="455" t="s">
        <v>60</v>
      </c>
      <c r="E78" s="458">
        <v>0</v>
      </c>
      <c r="F78" s="457">
        <v>0</v>
      </c>
      <c r="G78" s="224" t="s">
        <v>60</v>
      </c>
      <c r="H78" s="457">
        <v>0</v>
      </c>
      <c r="I78" s="456">
        <v>0</v>
      </c>
      <c r="J78" s="9">
        <f t="shared" si="10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77"/>
      <c r="N78" s="377"/>
      <c r="O78" s="377"/>
      <c r="P78" s="157">
        <f t="shared" si="9"/>
        <v>0</v>
      </c>
      <c r="Q78" s="160" t="e">
        <f>Gear!P78/VLOOKUP(C78,'Short &amp; Simple'!$H$32:$I$67,2,FALSE)</f>
        <v>#N/A</v>
      </c>
      <c r="R78" s="8" t="e">
        <f t="shared" si="8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2"/>
      <c r="D79" s="455" t="s">
        <v>60</v>
      </c>
      <c r="E79" s="458">
        <v>0</v>
      </c>
      <c r="F79" s="457">
        <v>0</v>
      </c>
      <c r="G79" s="224" t="s">
        <v>60</v>
      </c>
      <c r="H79" s="457">
        <v>0</v>
      </c>
      <c r="I79" s="456">
        <v>0</v>
      </c>
      <c r="J79" s="9">
        <f t="shared" si="10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77"/>
      <c r="N79" s="377"/>
      <c r="O79" s="377"/>
      <c r="P79" s="157">
        <f t="shared" si="9"/>
        <v>0</v>
      </c>
      <c r="Q79" s="160" t="e">
        <f>Gear!P79/VLOOKUP(C79,'Short &amp; Simple'!$H$32:$I$67,2,FALSE)</f>
        <v>#N/A</v>
      </c>
      <c r="R79" s="8" t="e">
        <f t="shared" si="8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2"/>
      <c r="D80" s="455" t="s">
        <v>60</v>
      </c>
      <c r="E80" s="458">
        <v>0</v>
      </c>
      <c r="F80" s="457">
        <v>0</v>
      </c>
      <c r="G80" s="224" t="s">
        <v>60</v>
      </c>
      <c r="H80" s="457">
        <v>0</v>
      </c>
      <c r="I80" s="456">
        <v>0</v>
      </c>
      <c r="J80" s="9">
        <f t="shared" si="10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77"/>
      <c r="N80" s="377"/>
      <c r="O80" s="377"/>
      <c r="P80" s="157">
        <f t="shared" si="9"/>
        <v>0</v>
      </c>
      <c r="Q80" s="160" t="e">
        <f>Gear!P80/VLOOKUP(C80,'Short &amp; Simple'!$H$32:$I$67,2,FALSE)</f>
        <v>#N/A</v>
      </c>
      <c r="R80" s="8" t="e">
        <f t="shared" si="8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2"/>
      <c r="D81" s="455" t="s">
        <v>60</v>
      </c>
      <c r="E81" s="458">
        <v>0</v>
      </c>
      <c r="F81" s="457">
        <v>0</v>
      </c>
      <c r="G81" s="224" t="s">
        <v>60</v>
      </c>
      <c r="H81" s="457">
        <v>0</v>
      </c>
      <c r="I81" s="456">
        <v>0</v>
      </c>
      <c r="J81" s="9">
        <f t="shared" si="10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77"/>
      <c r="N81" s="377"/>
      <c r="O81" s="377"/>
      <c r="P81" s="157">
        <f t="shared" si="9"/>
        <v>0</v>
      </c>
      <c r="Q81" s="160" t="e">
        <f>Gear!P81/VLOOKUP(C81,'Short &amp; Simple'!$H$32:$I$67,2,FALSE)</f>
        <v>#N/A</v>
      </c>
      <c r="R81" s="8" t="e">
        <f t="shared" si="8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2"/>
      <c r="D82" s="455" t="s">
        <v>60</v>
      </c>
      <c r="E82" s="458">
        <v>0</v>
      </c>
      <c r="F82" s="457">
        <v>0</v>
      </c>
      <c r="G82" s="224" t="s">
        <v>60</v>
      </c>
      <c r="H82" s="457">
        <v>0</v>
      </c>
      <c r="I82" s="456">
        <v>0</v>
      </c>
      <c r="J82" s="9">
        <f t="shared" si="10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77"/>
      <c r="N82" s="377"/>
      <c r="O82" s="377"/>
      <c r="P82" s="157">
        <f t="shared" si="9"/>
        <v>0</v>
      </c>
      <c r="Q82" s="160" t="e">
        <f>Gear!P82/VLOOKUP(C82,'Short &amp; Simple'!$H$32:$I$67,2,FALSE)</f>
        <v>#N/A</v>
      </c>
      <c r="R82" s="8" t="e">
        <f t="shared" si="8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2"/>
      <c r="D83" s="455" t="s">
        <v>60</v>
      </c>
      <c r="E83" s="458">
        <v>0</v>
      </c>
      <c r="F83" s="457">
        <v>0</v>
      </c>
      <c r="G83" s="224" t="s">
        <v>60</v>
      </c>
      <c r="H83" s="457">
        <v>0</v>
      </c>
      <c r="I83" s="456">
        <v>0</v>
      </c>
      <c r="J83" s="9">
        <f t="shared" si="10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77"/>
      <c r="N83" s="377"/>
      <c r="O83" s="377"/>
      <c r="P83" s="157">
        <f t="shared" si="9"/>
        <v>0</v>
      </c>
      <c r="Q83" s="160" t="e">
        <f>Gear!P83/VLOOKUP(C83,'Short &amp; Simple'!$H$32:$I$67,2,FALSE)</f>
        <v>#N/A</v>
      </c>
      <c r="R83" s="8" t="e">
        <f t="shared" si="8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2"/>
      <c r="D84" s="455" t="s">
        <v>60</v>
      </c>
      <c r="E84" s="458">
        <v>0</v>
      </c>
      <c r="F84" s="457">
        <v>0</v>
      </c>
      <c r="G84" s="224" t="s">
        <v>60</v>
      </c>
      <c r="H84" s="457">
        <v>0</v>
      </c>
      <c r="I84" s="456">
        <v>0</v>
      </c>
      <c r="J84" s="9">
        <f t="shared" si="10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77"/>
      <c r="N84" s="377"/>
      <c r="O84" s="377"/>
      <c r="P84" s="157">
        <f t="shared" si="9"/>
        <v>0</v>
      </c>
      <c r="Q84" s="160" t="e">
        <f>Gear!P84/VLOOKUP(C84,'Short &amp; Simple'!$H$32:$I$67,2,FALSE)</f>
        <v>#N/A</v>
      </c>
      <c r="R84" s="8" t="e">
        <f t="shared" si="8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2"/>
      <c r="D85" s="455" t="s">
        <v>60</v>
      </c>
      <c r="E85" s="458">
        <v>0</v>
      </c>
      <c r="F85" s="457">
        <v>0</v>
      </c>
      <c r="G85" s="224" t="s">
        <v>60</v>
      </c>
      <c r="H85" s="457">
        <v>0</v>
      </c>
      <c r="I85" s="456">
        <v>0</v>
      </c>
      <c r="J85" s="9">
        <f t="shared" si="10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77"/>
      <c r="N85" s="377"/>
      <c r="O85" s="377"/>
      <c r="P85" s="157">
        <f t="shared" si="9"/>
        <v>0</v>
      </c>
      <c r="Q85" s="160" t="e">
        <f>Gear!P85/VLOOKUP(C85,'Short &amp; Simple'!$H$32:$I$67,2,FALSE)</f>
        <v>#N/A</v>
      </c>
      <c r="R85" s="8" t="e">
        <f t="shared" si="8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2"/>
      <c r="D86" s="455" t="s">
        <v>60</v>
      </c>
      <c r="E86" s="458">
        <v>0</v>
      </c>
      <c r="F86" s="457">
        <v>0</v>
      </c>
      <c r="G86" s="224" t="s">
        <v>60</v>
      </c>
      <c r="H86" s="457">
        <v>0</v>
      </c>
      <c r="I86" s="456">
        <v>0</v>
      </c>
      <c r="J86" s="9">
        <f t="shared" si="10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77"/>
      <c r="N86" s="377"/>
      <c r="O86" s="377"/>
      <c r="P86" s="157">
        <f t="shared" si="9"/>
        <v>0</v>
      </c>
      <c r="Q86" s="160" t="e">
        <f>Gear!P86/VLOOKUP(C86,'Short &amp; Simple'!$H$32:$I$67,2,FALSE)</f>
        <v>#N/A</v>
      </c>
      <c r="R86" s="8" t="e">
        <f t="shared" si="8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2"/>
      <c r="D87" s="455" t="s">
        <v>60</v>
      </c>
      <c r="E87" s="458">
        <v>0</v>
      </c>
      <c r="F87" s="457">
        <v>0</v>
      </c>
      <c r="G87" s="224" t="s">
        <v>60</v>
      </c>
      <c r="H87" s="457">
        <v>0</v>
      </c>
      <c r="I87" s="456">
        <v>0</v>
      </c>
      <c r="J87" s="9">
        <f t="shared" si="10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77"/>
      <c r="N87" s="377"/>
      <c r="O87" s="377"/>
      <c r="P87" s="157">
        <f t="shared" si="9"/>
        <v>0</v>
      </c>
      <c r="Q87" s="160" t="e">
        <f>Gear!P87/VLOOKUP(C87,'Short &amp; Simple'!$H$32:$I$67,2,FALSE)</f>
        <v>#N/A</v>
      </c>
      <c r="R87" s="8" t="e">
        <f t="shared" si="8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2"/>
      <c r="D88" s="455" t="s">
        <v>60</v>
      </c>
      <c r="E88" s="458">
        <v>0</v>
      </c>
      <c r="F88" s="457">
        <v>0</v>
      </c>
      <c r="G88" s="224" t="s">
        <v>60</v>
      </c>
      <c r="H88" s="457">
        <v>0</v>
      </c>
      <c r="I88" s="456">
        <v>0</v>
      </c>
      <c r="J88" s="9">
        <f t="shared" si="10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77"/>
      <c r="N88" s="377"/>
      <c r="O88" s="377"/>
      <c r="P88" s="157">
        <f t="shared" si="9"/>
        <v>0</v>
      </c>
      <c r="Q88" s="160" t="e">
        <f>Gear!P88/VLOOKUP(C88,'Short &amp; Simple'!$H$32:$I$67,2,FALSE)</f>
        <v>#N/A</v>
      </c>
      <c r="R88" s="8" t="e">
        <f t="shared" si="8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3"/>
      <c r="D89" s="455" t="s">
        <v>60</v>
      </c>
      <c r="E89" s="458">
        <v>0</v>
      </c>
      <c r="F89" s="457">
        <v>0</v>
      </c>
      <c r="G89" s="224" t="s">
        <v>60</v>
      </c>
      <c r="H89" s="457">
        <v>0</v>
      </c>
      <c r="I89" s="456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77"/>
      <c r="N89" s="377"/>
      <c r="O89" s="377"/>
      <c r="P89" s="157">
        <f t="shared" si="9"/>
        <v>0</v>
      </c>
      <c r="Q89" s="160" t="e">
        <f>Gear!P89/VLOOKUP(C89,'Short &amp; Simple'!$H$32:$I$67,2,FALSE)</f>
        <v>#N/A</v>
      </c>
      <c r="R89" s="8" t="e">
        <f t="shared" si="8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4"/>
      <c r="D90" s="455" t="s">
        <v>60</v>
      </c>
      <c r="E90" s="458">
        <v>0</v>
      </c>
      <c r="F90" s="457">
        <v>0</v>
      </c>
      <c r="G90" s="224" t="s">
        <v>60</v>
      </c>
      <c r="H90" s="457">
        <v>0</v>
      </c>
      <c r="I90" s="456">
        <v>0</v>
      </c>
      <c r="J90" s="9">
        <f t="shared" si="10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77"/>
      <c r="N90" s="377"/>
      <c r="O90" s="377"/>
      <c r="P90" s="157">
        <f t="shared" si="9"/>
        <v>0</v>
      </c>
      <c r="Q90" s="160" t="e">
        <f>Gear!P90/VLOOKUP(C90,'Short &amp; Simple'!$H$32:$I$67,2,FALSE)</f>
        <v>#N/A</v>
      </c>
      <c r="R90" s="8" t="e">
        <f t="shared" si="8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5"/>
      <c r="D91" s="455" t="s">
        <v>60</v>
      </c>
      <c r="E91" s="458">
        <v>0</v>
      </c>
      <c r="F91" s="457">
        <v>0</v>
      </c>
      <c r="G91" s="224" t="s">
        <v>60</v>
      </c>
      <c r="H91" s="457">
        <v>0</v>
      </c>
      <c r="I91" s="456">
        <v>0</v>
      </c>
      <c r="J91" s="9">
        <f t="shared" si="10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77"/>
      <c r="N91" s="377"/>
      <c r="O91" s="377"/>
      <c r="P91" s="157">
        <f t="shared" si="9"/>
        <v>0</v>
      </c>
      <c r="Q91" s="160" t="e">
        <f>Gear!P91/VLOOKUP(C91,'Short &amp; Simple'!$H$32:$I$67,2,FALSE)</f>
        <v>#N/A</v>
      </c>
      <c r="R91" s="8" t="e">
        <f t="shared" si="8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2"/>
      <c r="D92" s="455" t="s">
        <v>60</v>
      </c>
      <c r="E92" s="458">
        <v>0</v>
      </c>
      <c r="F92" s="457">
        <v>0</v>
      </c>
      <c r="G92" s="224" t="s">
        <v>60</v>
      </c>
      <c r="H92" s="457">
        <v>0</v>
      </c>
      <c r="I92" s="456">
        <v>0</v>
      </c>
      <c r="J92" s="9">
        <f t="shared" si="10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77"/>
      <c r="N92" s="377"/>
      <c r="O92" s="377"/>
      <c r="P92" s="157">
        <f t="shared" si="9"/>
        <v>0</v>
      </c>
      <c r="Q92" s="160" t="e">
        <f>Gear!P92/VLOOKUP(C92,'Short &amp; Simple'!$H$32:$I$67,2,FALSE)</f>
        <v>#N/A</v>
      </c>
      <c r="R92" s="8" t="e">
        <f t="shared" si="8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2"/>
      <c r="D93" s="455" t="s">
        <v>60</v>
      </c>
      <c r="E93" s="458">
        <v>0</v>
      </c>
      <c r="F93" s="457">
        <v>0</v>
      </c>
      <c r="G93" s="224" t="s">
        <v>60</v>
      </c>
      <c r="H93" s="457">
        <v>0</v>
      </c>
      <c r="I93" s="456">
        <v>0</v>
      </c>
      <c r="J93" s="9">
        <f t="shared" si="10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77"/>
      <c r="N93" s="377"/>
      <c r="O93" s="377"/>
      <c r="P93" s="157">
        <f t="shared" si="9"/>
        <v>0</v>
      </c>
      <c r="Q93" s="160" t="e">
        <f>Gear!P93/VLOOKUP(C93,'Short &amp; Simple'!$H$32:$I$67,2,FALSE)</f>
        <v>#N/A</v>
      </c>
      <c r="R93" s="8" t="e">
        <f t="shared" si="8"/>
        <v>#N/A</v>
      </c>
    </row>
    <row r="94" spans="1:22" ht="15" customHeight="1">
      <c r="A94" s="48">
        <f>'Members Data'!A94</f>
        <v>0</v>
      </c>
      <c r="B94" s="221">
        <v>40774</v>
      </c>
      <c r="C94" s="462"/>
      <c r="D94" s="455" t="s">
        <v>60</v>
      </c>
      <c r="E94" s="458">
        <v>0</v>
      </c>
      <c r="F94" s="457">
        <v>0</v>
      </c>
      <c r="G94" s="224" t="s">
        <v>60</v>
      </c>
      <c r="H94" s="457">
        <v>0</v>
      </c>
      <c r="I94" s="456">
        <v>0</v>
      </c>
      <c r="J94" s="9">
        <f t="shared" si="10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77"/>
      <c r="N94" s="377"/>
      <c r="O94" s="377"/>
      <c r="P94" s="157">
        <f t="shared" si="9"/>
        <v>0</v>
      </c>
      <c r="Q94" s="160" t="e">
        <f>Gear!P94/VLOOKUP(C94,'Short &amp; Simple'!$H$32:$I$67,2,FALSE)</f>
        <v>#N/A</v>
      </c>
      <c r="R94" s="8" t="e">
        <f t="shared" si="8"/>
        <v>#N/A</v>
      </c>
    </row>
    <row r="95" spans="1:22" ht="15" customHeight="1">
      <c r="A95" s="48">
        <f>'Members Data'!A95</f>
        <v>0</v>
      </c>
      <c r="B95" s="221">
        <v>40774</v>
      </c>
      <c r="C95" s="462"/>
      <c r="D95" s="455" t="s">
        <v>60</v>
      </c>
      <c r="E95" s="458">
        <v>0</v>
      </c>
      <c r="F95" s="457">
        <v>0</v>
      </c>
      <c r="G95" s="224" t="s">
        <v>60</v>
      </c>
      <c r="H95" s="457">
        <v>0</v>
      </c>
      <c r="I95" s="456">
        <v>0</v>
      </c>
      <c r="J95" s="9">
        <f t="shared" si="10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9"/>
        <v>0</v>
      </c>
      <c r="Q95" s="160" t="e">
        <f>Gear!P95/VLOOKUP(C95,'Short &amp; Simple'!$H$32:$I$67,2,FALSE)</f>
        <v>#N/A</v>
      </c>
      <c r="R95" s="8" t="e">
        <f t="shared" si="8"/>
        <v>#N/A</v>
      </c>
    </row>
    <row r="96" spans="1:22" ht="15" customHeight="1">
      <c r="A96" s="48">
        <f>'Members Data'!A96</f>
        <v>0</v>
      </c>
      <c r="B96" s="221">
        <v>40774</v>
      </c>
      <c r="C96" s="462"/>
      <c r="D96" s="455" t="s">
        <v>60</v>
      </c>
      <c r="E96" s="458">
        <v>0</v>
      </c>
      <c r="F96" s="457">
        <v>0</v>
      </c>
      <c r="G96" s="224" t="s">
        <v>60</v>
      </c>
      <c r="H96" s="457">
        <v>0</v>
      </c>
      <c r="I96" s="456">
        <v>0</v>
      </c>
      <c r="J96" s="9">
        <f t="shared" si="10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9"/>
        <v>0</v>
      </c>
      <c r="Q96" s="160" t="e">
        <f>Gear!P96/VLOOKUP(C96,'Short &amp; Simple'!$H$32:$I$67,2,FALSE)</f>
        <v>#N/A</v>
      </c>
      <c r="R96" s="8" t="e">
        <f t="shared" si="8"/>
        <v>#N/A</v>
      </c>
    </row>
    <row r="97" spans="1:18" ht="15" customHeight="1">
      <c r="A97" s="48">
        <f>'Members Data'!A97</f>
        <v>0</v>
      </c>
      <c r="B97" s="222"/>
      <c r="C97" s="462"/>
      <c r="D97" s="455" t="s">
        <v>60</v>
      </c>
      <c r="E97" s="458">
        <v>0</v>
      </c>
      <c r="F97" s="457">
        <v>0</v>
      </c>
      <c r="G97" s="224" t="s">
        <v>60</v>
      </c>
      <c r="H97" s="457">
        <v>0</v>
      </c>
      <c r="I97" s="456">
        <v>0</v>
      </c>
      <c r="J97" s="9">
        <f t="shared" si="10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9"/>
        <v>0</v>
      </c>
      <c r="Q97" s="160" t="e">
        <f>Gear!P97/VLOOKUP(C97,'Short &amp; Simple'!$H$32:$I$67,2,FALSE)</f>
        <v>#N/A</v>
      </c>
      <c r="R97" s="8" t="e">
        <f t="shared" si="8"/>
        <v>#N/A</v>
      </c>
    </row>
    <row r="98" spans="1:18" ht="15" customHeight="1">
      <c r="A98" s="48">
        <f>'Members Data'!A98</f>
        <v>0</v>
      </c>
      <c r="B98" s="222"/>
      <c r="C98" s="462"/>
      <c r="D98" s="455" t="s">
        <v>60</v>
      </c>
      <c r="E98" s="458">
        <v>0</v>
      </c>
      <c r="F98" s="457">
        <v>0</v>
      </c>
      <c r="G98" s="224" t="s">
        <v>60</v>
      </c>
      <c r="H98" s="457">
        <v>0</v>
      </c>
      <c r="I98" s="456">
        <v>0</v>
      </c>
      <c r="J98" s="9">
        <f t="shared" si="10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9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2"/>
      <c r="D99" s="455" t="s">
        <v>60</v>
      </c>
      <c r="E99" s="458">
        <v>0</v>
      </c>
      <c r="F99" s="457">
        <v>0</v>
      </c>
      <c r="G99" s="224" t="s">
        <v>60</v>
      </c>
      <c r="H99" s="469">
        <v>0</v>
      </c>
      <c r="I99" s="456">
        <v>0</v>
      </c>
      <c r="J99" s="9">
        <f t="shared" si="10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9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6"/>
      <c r="D100" s="238"/>
      <c r="E100" s="459"/>
      <c r="F100" s="459"/>
      <c r="G100" s="238"/>
      <c r="H100" s="472"/>
      <c r="I100" s="184"/>
      <c r="J100" s="239">
        <f t="shared" si="10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9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customHeight="1">
      <c r="A104" s="312">
        <f t="shared" ref="A104:A135" si="11">A2</f>
        <v>0</v>
      </c>
      <c r="B104" s="313"/>
      <c r="C104" s="314">
        <f t="shared" ref="C104:C135" si="12">J2</f>
        <v>0</v>
      </c>
    </row>
    <row r="105" spans="1:18" ht="15" customHeight="1">
      <c r="A105" s="306" t="str">
        <f t="shared" si="11"/>
        <v>Altrezza</v>
      </c>
      <c r="B105" s="307"/>
      <c r="C105" s="308">
        <f t="shared" si="12"/>
        <v>0</v>
      </c>
    </row>
    <row r="106" spans="1:18" ht="15" customHeight="1">
      <c r="A106" s="306" t="str">
        <f t="shared" si="11"/>
        <v>Ambú</v>
      </c>
      <c r="B106" s="307"/>
      <c r="C106" s="308">
        <f t="shared" si="12"/>
        <v>0</v>
      </c>
    </row>
    <row r="107" spans="1:18" ht="15" customHeight="1">
      <c r="A107" s="306" t="str">
        <f t="shared" si="11"/>
        <v>Andreah</v>
      </c>
      <c r="B107" s="307"/>
      <c r="C107" s="308">
        <f t="shared" si="12"/>
        <v>0.1</v>
      </c>
    </row>
    <row r="108" spans="1:18" ht="15" customHeight="1">
      <c r="A108" s="306">
        <f t="shared" si="11"/>
        <v>0</v>
      </c>
      <c r="B108" s="307"/>
      <c r="C108" s="308">
        <f t="shared" si="12"/>
        <v>0</v>
      </c>
    </row>
    <row r="109" spans="1:18" ht="15" customHeight="1">
      <c r="A109" s="306" t="str">
        <f t="shared" si="11"/>
        <v>Axium</v>
      </c>
      <c r="B109" s="307"/>
      <c r="C109" s="308">
        <f t="shared" si="12"/>
        <v>0.1</v>
      </c>
    </row>
    <row r="110" spans="1:18" ht="15" customHeight="1">
      <c r="A110" s="306">
        <f t="shared" si="11"/>
        <v>0</v>
      </c>
      <c r="B110" s="307"/>
      <c r="C110" s="308">
        <f t="shared" si="12"/>
        <v>0</v>
      </c>
    </row>
    <row r="111" spans="1:18" ht="15" customHeight="1">
      <c r="A111" s="306">
        <f t="shared" si="11"/>
        <v>0</v>
      </c>
      <c r="B111" s="307"/>
      <c r="C111" s="308">
        <f t="shared" si="12"/>
        <v>0</v>
      </c>
    </row>
    <row r="112" spans="1:18" ht="15" customHeight="1">
      <c r="A112" s="306" t="str">
        <f t="shared" si="11"/>
        <v>Craving</v>
      </c>
      <c r="B112" s="307"/>
      <c r="C112" s="308">
        <f t="shared" si="12"/>
        <v>0.1</v>
      </c>
    </row>
    <row r="113" spans="1:3" ht="15" customHeight="1">
      <c r="A113" s="306" t="str">
        <f t="shared" si="11"/>
        <v>Darsid</v>
      </c>
      <c r="B113" s="307"/>
      <c r="C113" s="308">
        <f t="shared" si="12"/>
        <v>0</v>
      </c>
    </row>
    <row r="114" spans="1:3" ht="15" customHeight="1">
      <c r="A114" s="306" t="str">
        <f t="shared" si="11"/>
        <v>Droodcaster</v>
      </c>
      <c r="B114" s="307"/>
      <c r="C114" s="308">
        <f t="shared" si="12"/>
        <v>0</v>
      </c>
    </row>
    <row r="115" spans="1:3" ht="15" customHeight="1">
      <c r="A115" s="306" t="str">
        <f t="shared" si="11"/>
        <v>Gloríus</v>
      </c>
      <c r="B115" s="307"/>
      <c r="C115" s="308">
        <f t="shared" si="12"/>
        <v>0</v>
      </c>
    </row>
    <row r="116" spans="1:3" ht="15" customHeight="1">
      <c r="A116" s="306" t="str">
        <f t="shared" si="11"/>
        <v>Halfhorns</v>
      </c>
      <c r="B116" s="307"/>
      <c r="C116" s="308">
        <f t="shared" si="12"/>
        <v>0.2</v>
      </c>
    </row>
    <row r="117" spans="1:3" ht="15" customHeight="1">
      <c r="A117" s="306">
        <f t="shared" si="11"/>
        <v>0</v>
      </c>
      <c r="B117" s="307"/>
      <c r="C117" s="308">
        <f t="shared" si="12"/>
        <v>0</v>
      </c>
    </row>
    <row r="118" spans="1:3" ht="15" customHeight="1">
      <c r="A118" s="306" t="str">
        <f t="shared" si="11"/>
        <v>Incharge</v>
      </c>
      <c r="B118" s="307"/>
      <c r="C118" s="308">
        <f t="shared" si="12"/>
        <v>0</v>
      </c>
    </row>
    <row r="119" spans="1:3" ht="15" customHeight="1">
      <c r="A119" s="306" t="str">
        <f t="shared" si="11"/>
        <v>Izzabelle</v>
      </c>
      <c r="B119" s="307"/>
      <c r="C119" s="308">
        <f t="shared" si="12"/>
        <v>0</v>
      </c>
    </row>
    <row r="120" spans="1:3" ht="15" customHeight="1">
      <c r="A120" s="306">
        <f t="shared" si="11"/>
        <v>0</v>
      </c>
      <c r="B120" s="307"/>
      <c r="C120" s="308">
        <f t="shared" si="12"/>
        <v>0</v>
      </c>
    </row>
    <row r="121" spans="1:3" ht="15" customHeight="1">
      <c r="A121" s="306">
        <f t="shared" si="11"/>
        <v>0</v>
      </c>
      <c r="B121" s="307"/>
      <c r="C121" s="308">
        <f t="shared" si="12"/>
        <v>0</v>
      </c>
    </row>
    <row r="122" spans="1:3" ht="15" customHeight="1">
      <c r="A122" s="306" t="str">
        <f t="shared" si="11"/>
        <v>Lychi</v>
      </c>
      <c r="B122" s="307"/>
      <c r="C122" s="308">
        <f t="shared" si="12"/>
        <v>0</v>
      </c>
    </row>
    <row r="123" spans="1:3" ht="15" customHeight="1">
      <c r="A123" s="306" t="str">
        <f t="shared" si="11"/>
        <v>Meltface</v>
      </c>
      <c r="B123" s="307"/>
      <c r="C123" s="308">
        <f t="shared" si="12"/>
        <v>0</v>
      </c>
    </row>
    <row r="124" spans="1:3" ht="15" customHeight="1">
      <c r="A124" s="306">
        <f t="shared" si="11"/>
        <v>0</v>
      </c>
      <c r="B124" s="307"/>
      <c r="C124" s="308">
        <f t="shared" si="12"/>
        <v>0</v>
      </c>
    </row>
    <row r="125" spans="1:3" ht="15" customHeight="1">
      <c r="A125" s="306" t="str">
        <f t="shared" si="11"/>
        <v>Mortali</v>
      </c>
      <c r="B125" s="307"/>
      <c r="C125" s="308">
        <f t="shared" si="12"/>
        <v>0</v>
      </c>
    </row>
    <row r="126" spans="1:3" ht="15" customHeight="1">
      <c r="A126" s="306" t="str">
        <f t="shared" si="11"/>
        <v>Muckyfloor</v>
      </c>
      <c r="B126" s="307"/>
      <c r="C126" s="308">
        <f t="shared" si="12"/>
        <v>0.4</v>
      </c>
    </row>
    <row r="127" spans="1:3" ht="15" customHeight="1">
      <c r="A127" s="306" t="str">
        <f t="shared" si="11"/>
        <v>Müfti</v>
      </c>
      <c r="B127" s="307"/>
      <c r="C127" s="308">
        <f t="shared" si="12"/>
        <v>0.4</v>
      </c>
    </row>
    <row r="128" spans="1:3" ht="15" customHeight="1">
      <c r="A128" s="306" t="str">
        <f t="shared" si="11"/>
        <v>Niiwa</v>
      </c>
      <c r="B128" s="307"/>
      <c r="C128" s="308">
        <f t="shared" si="12"/>
        <v>0</v>
      </c>
    </row>
    <row r="129" spans="1:3" ht="15" customHeight="1">
      <c r="A129" s="306" t="str">
        <f t="shared" si="11"/>
        <v>Niklaus</v>
      </c>
      <c r="B129" s="307"/>
      <c r="C129" s="308">
        <f t="shared" si="12"/>
        <v>0.2</v>
      </c>
    </row>
    <row r="130" spans="1:3" ht="15" customHeight="1">
      <c r="A130" s="306" t="str">
        <f t="shared" si="11"/>
        <v>Onemanforest</v>
      </c>
      <c r="B130" s="307"/>
      <c r="C130" s="308">
        <f t="shared" si="12"/>
        <v>0.8</v>
      </c>
    </row>
    <row r="131" spans="1:3" ht="15" customHeight="1">
      <c r="A131" s="306" t="str">
        <f t="shared" si="11"/>
        <v>Rcane</v>
      </c>
      <c r="B131" s="307"/>
      <c r="C131" s="308">
        <f t="shared" si="12"/>
        <v>0</v>
      </c>
    </row>
    <row r="132" spans="1:3" ht="15" customHeight="1">
      <c r="A132" s="306" t="str">
        <f t="shared" si="11"/>
        <v>Revlash</v>
      </c>
      <c r="B132" s="307"/>
      <c r="C132" s="308">
        <f t="shared" si="12"/>
        <v>0.4</v>
      </c>
    </row>
    <row r="133" spans="1:3" ht="15" customHeight="1">
      <c r="A133" s="306" t="str">
        <f t="shared" si="11"/>
        <v>Seraphÿm</v>
      </c>
      <c r="B133" s="307"/>
      <c r="C133" s="308">
        <f t="shared" si="12"/>
        <v>0</v>
      </c>
    </row>
    <row r="134" spans="1:3" ht="15" customHeight="1">
      <c r="A134" s="306" t="str">
        <f t="shared" si="11"/>
        <v>Shinkai</v>
      </c>
      <c r="B134" s="307"/>
      <c r="C134" s="308">
        <f t="shared" si="12"/>
        <v>0.2</v>
      </c>
    </row>
    <row r="135" spans="1:3" ht="15" customHeight="1">
      <c r="A135" s="306" t="str">
        <f t="shared" si="11"/>
        <v>Spudsux</v>
      </c>
      <c r="B135" s="307"/>
      <c r="C135" s="308">
        <f t="shared" si="12"/>
        <v>0.5</v>
      </c>
    </row>
    <row r="136" spans="1:3" ht="15" customHeight="1">
      <c r="A136" s="306" t="str">
        <f t="shared" ref="A136:A154" si="13">A34</f>
        <v>Szion</v>
      </c>
      <c r="B136" s="307"/>
      <c r="C136" s="308">
        <f t="shared" ref="C136:C154" si="14">J34</f>
        <v>0</v>
      </c>
    </row>
    <row r="137" spans="1:3" ht="15" customHeight="1">
      <c r="A137" s="306" t="str">
        <f t="shared" si="13"/>
        <v>Torwen</v>
      </c>
      <c r="B137" s="307"/>
      <c r="C137" s="308">
        <f t="shared" si="14"/>
        <v>0</v>
      </c>
    </row>
    <row r="138" spans="1:3" ht="15" customHeight="1">
      <c r="A138" s="306" t="str">
        <f t="shared" si="13"/>
        <v>Vakama</v>
      </c>
      <c r="B138" s="307"/>
      <c r="C138" s="308">
        <f t="shared" si="14"/>
        <v>0.1</v>
      </c>
    </row>
    <row r="139" spans="1:3" ht="15" customHeight="1">
      <c r="A139" s="306" t="str">
        <f t="shared" si="13"/>
        <v>Warriorxz</v>
      </c>
      <c r="B139" s="307"/>
      <c r="C139" s="308">
        <f t="shared" si="14"/>
        <v>0</v>
      </c>
    </row>
    <row r="140" spans="1:3" ht="15" customHeight="1">
      <c r="A140" s="306">
        <f t="shared" si="13"/>
        <v>0</v>
      </c>
      <c r="B140" s="307"/>
      <c r="C140" s="308">
        <f t="shared" si="14"/>
        <v>0</v>
      </c>
    </row>
    <row r="141" spans="1:3" ht="15" customHeight="1">
      <c r="A141" s="306" t="str">
        <f t="shared" si="13"/>
        <v>Wainesha</v>
      </c>
      <c r="B141" s="307"/>
      <c r="C141" s="308">
        <f t="shared" si="14"/>
        <v>0</v>
      </c>
    </row>
    <row r="142" spans="1:3" ht="15" customHeight="1">
      <c r="A142" s="306" t="str">
        <f t="shared" si="13"/>
        <v>Birdeeh</v>
      </c>
      <c r="B142" s="307"/>
      <c r="C142" s="308">
        <f t="shared" si="14"/>
        <v>0</v>
      </c>
    </row>
    <row r="143" spans="1:3" ht="15" customHeight="1">
      <c r="A143" s="306" t="str">
        <f t="shared" si="13"/>
        <v>Bishamonten</v>
      </c>
      <c r="B143" s="307"/>
      <c r="C143" s="308">
        <f t="shared" si="14"/>
        <v>0</v>
      </c>
    </row>
    <row r="144" spans="1:3" ht="15" customHeight="1">
      <c r="A144" s="306" t="str">
        <f t="shared" si="13"/>
        <v xml:space="preserve"> Sensés</v>
      </c>
      <c r="B144" s="307"/>
      <c r="C144" s="308">
        <f t="shared" si="14"/>
        <v>0.1</v>
      </c>
    </row>
    <row r="145" spans="1:3" ht="15" customHeight="1">
      <c r="A145" s="306" t="str">
        <f t="shared" si="13"/>
        <v>Zerika</v>
      </c>
      <c r="B145" s="307"/>
      <c r="C145" s="308">
        <f t="shared" si="14"/>
        <v>0</v>
      </c>
    </row>
    <row r="146" spans="1:3" ht="15" customHeight="1">
      <c r="A146" s="306" t="str">
        <f t="shared" si="13"/>
        <v>Atlanthia</v>
      </c>
      <c r="B146" s="307"/>
      <c r="C146" s="308">
        <f t="shared" si="14"/>
        <v>0</v>
      </c>
    </row>
    <row r="147" spans="1:3" ht="15" customHeight="1">
      <c r="A147" s="306" t="str">
        <f t="shared" si="13"/>
        <v>Shalist</v>
      </c>
      <c r="B147" s="307"/>
      <c r="C147" s="308">
        <f t="shared" si="14"/>
        <v>0</v>
      </c>
    </row>
    <row r="148" spans="1:3" ht="15" customHeight="1">
      <c r="A148" s="306">
        <f t="shared" si="13"/>
        <v>0</v>
      </c>
      <c r="B148" s="307"/>
      <c r="C148" s="308">
        <f t="shared" si="14"/>
        <v>0</v>
      </c>
    </row>
    <row r="149" spans="1:3" ht="15" customHeight="1">
      <c r="A149" s="306">
        <f t="shared" si="13"/>
        <v>0</v>
      </c>
      <c r="B149" s="307"/>
      <c r="C149" s="308">
        <f t="shared" si="14"/>
        <v>0</v>
      </c>
    </row>
    <row r="150" spans="1:3" ht="15" customHeight="1">
      <c r="A150" s="306">
        <f t="shared" si="13"/>
        <v>0</v>
      </c>
      <c r="B150" s="307"/>
      <c r="C150" s="308">
        <f t="shared" si="14"/>
        <v>0</v>
      </c>
    </row>
    <row r="151" spans="1:3" ht="15" customHeight="1">
      <c r="A151" s="306">
        <f t="shared" si="13"/>
        <v>0</v>
      </c>
      <c r="B151" s="307"/>
      <c r="C151" s="308">
        <f t="shared" si="14"/>
        <v>0</v>
      </c>
    </row>
    <row r="152" spans="1:3" ht="15" customHeight="1">
      <c r="A152" s="306">
        <f t="shared" si="13"/>
        <v>0</v>
      </c>
      <c r="B152" s="307"/>
      <c r="C152" s="308">
        <f t="shared" si="14"/>
        <v>0</v>
      </c>
    </row>
    <row r="153" spans="1:3" ht="15" customHeight="1">
      <c r="A153" s="306">
        <f t="shared" si="13"/>
        <v>0</v>
      </c>
      <c r="B153" s="307"/>
      <c r="C153" s="308">
        <f t="shared" si="14"/>
        <v>0</v>
      </c>
    </row>
    <row r="154" spans="1:3" ht="15" customHeight="1">
      <c r="A154" s="306">
        <f t="shared" si="13"/>
        <v>0</v>
      </c>
      <c r="B154" s="307"/>
      <c r="C154" s="308">
        <f t="shared" si="14"/>
        <v>0</v>
      </c>
    </row>
    <row r="155" spans="1:3" ht="15" hidden="1" customHeight="1">
      <c r="A155" s="306">
        <f t="shared" ref="A155:A163" si="15">A53</f>
        <v>0</v>
      </c>
      <c r="B155" s="307"/>
      <c r="C155" s="308">
        <f t="shared" ref="C155:C163" si="16">J53</f>
        <v>0</v>
      </c>
    </row>
    <row r="156" spans="1:3" ht="15" hidden="1" customHeight="1">
      <c r="A156" s="306">
        <f t="shared" si="15"/>
        <v>0</v>
      </c>
      <c r="B156" s="307"/>
      <c r="C156" s="308">
        <f t="shared" si="16"/>
        <v>0</v>
      </c>
    </row>
    <row r="157" spans="1:3" ht="15" hidden="1" customHeight="1">
      <c r="A157" s="306">
        <f t="shared" si="15"/>
        <v>0</v>
      </c>
      <c r="B157" s="307"/>
      <c r="C157" s="308">
        <f t="shared" si="16"/>
        <v>0</v>
      </c>
    </row>
    <row r="158" spans="1:3" ht="15" hidden="1" customHeight="1">
      <c r="A158" s="306">
        <f t="shared" si="15"/>
        <v>0</v>
      </c>
      <c r="B158" s="307"/>
      <c r="C158" s="308">
        <f t="shared" si="16"/>
        <v>0</v>
      </c>
    </row>
    <row r="159" spans="1:3" ht="15" hidden="1" customHeight="1">
      <c r="A159" s="306">
        <f t="shared" si="15"/>
        <v>0</v>
      </c>
      <c r="B159" s="307"/>
      <c r="C159" s="308">
        <f t="shared" si="16"/>
        <v>0</v>
      </c>
    </row>
    <row r="160" spans="1:3" ht="15" hidden="1" customHeight="1">
      <c r="A160" s="306">
        <f t="shared" si="15"/>
        <v>0</v>
      </c>
      <c r="B160" s="307"/>
      <c r="C160" s="308">
        <f t="shared" si="16"/>
        <v>0</v>
      </c>
    </row>
    <row r="161" spans="1:3" ht="15" hidden="1" customHeight="1">
      <c r="A161" s="306">
        <f t="shared" si="15"/>
        <v>0</v>
      </c>
      <c r="B161" s="307"/>
      <c r="C161" s="308">
        <f t="shared" si="16"/>
        <v>0</v>
      </c>
    </row>
    <row r="162" spans="1:3" ht="15" hidden="1" customHeight="1">
      <c r="A162" s="306">
        <f t="shared" si="15"/>
        <v>0</v>
      </c>
      <c r="B162" s="307"/>
      <c r="C162" s="308">
        <f t="shared" si="16"/>
        <v>0</v>
      </c>
    </row>
    <row r="163" spans="1:3" ht="15" hidden="1" customHeight="1" thickBot="1">
      <c r="A163" s="309">
        <f t="shared" si="15"/>
        <v>0</v>
      </c>
      <c r="B163" s="310"/>
      <c r="C163" s="311">
        <f t="shared" si="16"/>
        <v>0</v>
      </c>
    </row>
  </sheetData>
  <sheetProtection autoFilter="0"/>
  <autoFilter ref="A103:C163">
    <filterColumn colId="0">
      <filters>
        <filter val="Acidman"/>
        <filter val="Altrezza"/>
        <filter val="Ambú"/>
        <filter val="Anabollika"/>
        <filter val="Andreah"/>
        <filter val="Angïe"/>
        <filter val="Apophîs"/>
        <filter val="Arneia"/>
        <filter val="Artaios"/>
        <filter val="Atlanthia"/>
        <filter val="Axium"/>
        <filter val="Bauser"/>
        <filter val="Blondesaint"/>
        <filter val="Craving"/>
        <filter val="Darsid"/>
        <filter val="Drakoman"/>
        <filter val="Droodcaster"/>
        <filter val="Elyiana"/>
        <filter val="Ercassiel"/>
        <filter val="Eviwon"/>
        <filter val="Fiskie"/>
        <filter val="Fluzzump"/>
        <filter val="Foolock"/>
        <filter val="Gloríus"/>
        <filter val="Groruk"/>
        <filter val="Halfhorns"/>
        <filter val="Hyperïon"/>
        <filter val="Incharge"/>
        <filter val="Izzabelle"/>
        <filter val="Kiralandrah"/>
        <filter val="Kristofix"/>
        <filter val="Lemonztree"/>
        <filter val="Lychi"/>
        <filter val="Macrel"/>
        <filter val="Mayday"/>
        <filter val="Méatshield"/>
        <filter val="Megamind"/>
        <filter val="Mortali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2"/>
    <sortState ref="A104:C154">
      <sortCondition ref="A103:A163"/>
    </sortState>
  </autoFilter>
  <sortState ref="A104:C151">
    <sortCondition ref="A104:A151"/>
  </sortState>
  <conditionalFormatting sqref="A2:A70">
    <cfRule type="expression" dxfId="2" priority="104" stopIfTrue="1">
      <formula>IF(J2&gt;1,TRUE)</formula>
    </cfRule>
    <cfRule type="expression" dxfId="1" priority="105" stopIfTrue="1">
      <formula>IF(J2=0,TRUE)</formula>
    </cfRule>
    <cfRule type="expression" dxfId="0" priority="106" stopIfTrue="1">
      <formula>IF(J2&lt;=1,TRUE)</formula>
    </cfRule>
  </conditionalFormatting>
  <conditionalFormatting sqref="D2:D100 G2:G100 D26:E26 D29:I32 E34">
    <cfRule type="cellIs" dxfId="37" priority="107" stopIfTrue="1" operator="equal">
      <formula>"No"</formula>
    </cfRule>
  </conditionalFormatting>
  <conditionalFormatting sqref="E2:F100 H2:I100">
    <cfRule type="expression" dxfId="36" priority="108" stopIfTrue="1">
      <formula>IF(E2&gt;0,TRUE)</formula>
    </cfRule>
  </conditionalFormatting>
  <conditionalFormatting sqref="A71">
    <cfRule type="expression" dxfId="35" priority="101" stopIfTrue="1">
      <formula>IF(J71&gt;1,TRUE)</formula>
    </cfRule>
    <cfRule type="expression" dxfId="34" priority="102" stopIfTrue="1">
      <formula>IF(J71=0,TRUE)</formula>
    </cfRule>
    <cfRule type="expression" dxfId="33" priority="103" stopIfTrue="1">
      <formula>IF(J71&lt;=1,TRUE)</formula>
    </cfRule>
  </conditionalFormatting>
  <conditionalFormatting sqref="A72:A78">
    <cfRule type="expression" dxfId="32" priority="96" stopIfTrue="1">
      <formula>IF(J72&gt;1,TRUE)</formula>
    </cfRule>
    <cfRule type="expression" dxfId="31" priority="97" stopIfTrue="1">
      <formula>IF(J72=0,TRUE)</formula>
    </cfRule>
    <cfRule type="expression" dxfId="30" priority="98" stopIfTrue="1">
      <formula>IF(J72&lt;=1,TRUE)</formula>
    </cfRule>
  </conditionalFormatting>
  <conditionalFormatting sqref="A79:A87">
    <cfRule type="expression" dxfId="29" priority="91" stopIfTrue="1">
      <formula>IF(J79&gt;1,TRUE)</formula>
    </cfRule>
    <cfRule type="expression" dxfId="28" priority="92" stopIfTrue="1">
      <formula>IF(J79=0,TRUE)</formula>
    </cfRule>
    <cfRule type="expression" dxfId="27" priority="93" stopIfTrue="1">
      <formula>IF(J79&lt;=1,TRUE)</formula>
    </cfRule>
  </conditionalFormatting>
  <conditionalFormatting sqref="A88:A100">
    <cfRule type="expression" dxfId="26" priority="86" stopIfTrue="1">
      <formula>IF(J88&gt;1,TRUE)</formula>
    </cfRule>
    <cfRule type="expression" dxfId="25" priority="87" stopIfTrue="1">
      <formula>IF(J88=0,TRUE)</formula>
    </cfRule>
    <cfRule type="expression" dxfId="24" priority="8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4" sqref="B14:G14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>
      <c r="A1" s="5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>
      <c r="A2" s="58" t="s">
        <v>48</v>
      </c>
      <c r="B2" s="59">
        <v>41276</v>
      </c>
      <c r="C2" s="211">
        <f>B2</f>
        <v>41276</v>
      </c>
      <c r="D2" s="211">
        <f t="shared" ref="D2:H2" si="0">C2+1</f>
        <v>41277</v>
      </c>
      <c r="E2" s="211">
        <f>D2</f>
        <v>41277</v>
      </c>
      <c r="F2" s="211">
        <f>E2+3</f>
        <v>41280</v>
      </c>
      <c r="G2" s="211">
        <f>F2</f>
        <v>41280</v>
      </c>
      <c r="H2" s="212">
        <f t="shared" si="0"/>
        <v>41281</v>
      </c>
      <c r="I2" s="500"/>
      <c r="J2" s="494"/>
      <c r="K2" s="494"/>
      <c r="L2" s="494"/>
      <c r="M2" s="494"/>
      <c r="N2" s="494"/>
      <c r="O2" s="497"/>
    </row>
    <row r="3" spans="1:18" ht="15.75" customHeight="1">
      <c r="A3" s="58" t="s">
        <v>49</v>
      </c>
      <c r="B3" s="60" t="s">
        <v>251</v>
      </c>
      <c r="D3" s="61" t="s">
        <v>262</v>
      </c>
      <c r="E3" s="61"/>
      <c r="F3" s="61"/>
      <c r="G3" s="61"/>
      <c r="H3" s="62" t="s">
        <v>251</v>
      </c>
      <c r="I3" s="500"/>
      <c r="J3" s="494"/>
      <c r="K3" s="494"/>
      <c r="L3" s="494"/>
      <c r="M3" s="494"/>
      <c r="N3" s="494"/>
      <c r="O3" s="497"/>
    </row>
    <row r="4" spans="1:18" ht="15.75" customHeight="1">
      <c r="A4" s="58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63" t="s">
        <v>51</v>
      </c>
      <c r="B5" s="64" t="s">
        <v>252</v>
      </c>
      <c r="C5" s="65"/>
      <c r="D5" s="65" t="s">
        <v>252</v>
      </c>
      <c r="E5" s="65"/>
      <c r="F5" s="64"/>
      <c r="G5" s="65"/>
      <c r="H5" s="66" t="s">
        <v>252</v>
      </c>
      <c r="I5" s="500"/>
      <c r="J5" s="494"/>
      <c r="K5" s="494"/>
      <c r="L5" s="494"/>
      <c r="M5" s="494"/>
      <c r="N5" s="494"/>
      <c r="O5" s="497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/>
    </row>
    <row r="7" spans="1:18">
      <c r="A7" s="54" t="s">
        <v>53</v>
      </c>
      <c r="B7" s="214">
        <f t="shared" ref="B7:H7" si="1">COUNTIF(B10:B69,"Confirmed")</f>
        <v>22</v>
      </c>
      <c r="C7" s="214">
        <f t="shared" si="1"/>
        <v>0</v>
      </c>
      <c r="D7" s="214">
        <f t="shared" si="1"/>
        <v>19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27</v>
      </c>
      <c r="I7" s="500"/>
      <c r="J7" s="494"/>
      <c r="K7" s="494"/>
      <c r="L7" s="494"/>
      <c r="M7" s="494"/>
      <c r="N7" s="494"/>
      <c r="O7" s="497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2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1"/>
      <c r="J9" s="495"/>
      <c r="K9" s="495"/>
      <c r="L9" s="495"/>
      <c r="M9" s="495"/>
      <c r="N9" s="495"/>
      <c r="O9" s="498"/>
      <c r="R9"/>
    </row>
    <row r="10" spans="1:18" ht="15" customHeight="1">
      <c r="A10" s="5">
        <f>'Members Data'!A2</f>
        <v>0</v>
      </c>
      <c r="B10" s="196"/>
      <c r="C10" s="200"/>
      <c r="D10" s="200"/>
      <c r="E10" s="197"/>
      <c r="F10" s="197"/>
      <c r="G10" s="197"/>
      <c r="H10" s="201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/>
      <c r="C12" s="200"/>
      <c r="D12" s="200"/>
      <c r="E12" s="200"/>
      <c r="F12" s="200"/>
      <c r="G12" s="200"/>
      <c r="H12" s="201" t="s">
        <v>53</v>
      </c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Andreah</v>
      </c>
      <c r="B13" s="199" t="s">
        <v>53</v>
      </c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Axium</v>
      </c>
      <c r="B15" s="199" t="s">
        <v>53</v>
      </c>
      <c r="C15" s="200"/>
      <c r="D15" s="200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00"/>
      <c r="F18" s="202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Gloríus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Halfhorns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Incharge</v>
      </c>
      <c r="B24" s="199" t="s">
        <v>53</v>
      </c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199" t="s">
        <v>53</v>
      </c>
      <c r="C25" s="200"/>
      <c r="D25" s="200" t="s">
        <v>53</v>
      </c>
      <c r="E25" s="200"/>
      <c r="F25" s="200"/>
      <c r="G25" s="200"/>
      <c r="H25" s="201"/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199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199" t="s">
        <v>53</v>
      </c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199" t="s">
        <v>53</v>
      </c>
      <c r="C29" s="200"/>
      <c r="D29" s="200"/>
      <c r="E29" s="200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Mortali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Muckyfloor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Müfti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Niiwa</v>
      </c>
      <c r="B34" s="199"/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Niklaus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Onemanforest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Rcane</v>
      </c>
      <c r="B37" s="199"/>
      <c r="C37" s="200"/>
      <c r="D37" s="200" t="s">
        <v>39</v>
      </c>
      <c r="E37" s="200"/>
      <c r="F37" s="200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1</v>
      </c>
      <c r="Q37"/>
    </row>
    <row r="38" spans="1:18" ht="15" customHeight="1">
      <c r="A38" s="9" t="str">
        <f>'Members Data'!A30</f>
        <v>Revlash</v>
      </c>
      <c r="B38" s="199" t="s">
        <v>53</v>
      </c>
      <c r="C38" s="200"/>
      <c r="D38" s="200" t="s">
        <v>39</v>
      </c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1</v>
      </c>
      <c r="Q38"/>
    </row>
    <row r="39" spans="1:18" ht="15" customHeight="1">
      <c r="A39" s="9" t="str">
        <f>'Members Data'!A31</f>
        <v>Seraphÿm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Shinkai</v>
      </c>
      <c r="B40" s="199" t="s">
        <v>53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Spudsux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Szion</v>
      </c>
      <c r="B42" s="199" t="s">
        <v>53</v>
      </c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Torwen</v>
      </c>
      <c r="B43" s="199"/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Vakama</v>
      </c>
      <c r="B44" s="199" t="s">
        <v>53</v>
      </c>
      <c r="C44" s="200"/>
      <c r="D44" s="200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Warriorxz</v>
      </c>
      <c r="B45" s="199" t="s">
        <v>53</v>
      </c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Wainesha</v>
      </c>
      <c r="B47" s="199"/>
      <c r="C47" s="200"/>
      <c r="D47" s="200" t="s">
        <v>53</v>
      </c>
      <c r="E47" s="200"/>
      <c r="F47" s="200"/>
      <c r="G47" s="200"/>
      <c r="H47" s="201" t="s">
        <v>53</v>
      </c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2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Birdeeh</v>
      </c>
      <c r="B48" s="199"/>
      <c r="C48" s="200"/>
      <c r="D48" s="200"/>
      <c r="E48" s="200"/>
      <c r="F48" s="200"/>
      <c r="G48" s="200"/>
      <c r="H48" s="201" t="s">
        <v>53</v>
      </c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Bishamonten</v>
      </c>
      <c r="B49" s="199"/>
      <c r="C49" s="200"/>
      <c r="D49" s="200"/>
      <c r="E49" s="200"/>
      <c r="F49" s="200"/>
      <c r="G49" s="200"/>
      <c r="H49" s="201" t="s">
        <v>53</v>
      </c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1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 xml:space="preserve"> Sensés</v>
      </c>
      <c r="B50" s="199"/>
      <c r="C50" s="200"/>
      <c r="D50" s="200"/>
      <c r="E50" s="200"/>
      <c r="F50" s="200"/>
      <c r="G50" s="200"/>
      <c r="H50" s="201" t="s">
        <v>53</v>
      </c>
      <c r="I50" s="70">
        <f t="array" ref="I50">SUM(($B50:$H50="confirmed")*($B$4:$H$4=25))</f>
        <v>1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1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Zerika</v>
      </c>
      <c r="B51" s="199"/>
      <c r="C51" s="200"/>
      <c r="D51" s="200"/>
      <c r="E51" s="200"/>
      <c r="F51" s="200"/>
      <c r="G51" s="200"/>
      <c r="H51" s="201" t="s">
        <v>53</v>
      </c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1</v>
      </c>
      <c r="N51" s="15">
        <f t="shared" si="8"/>
        <v>0</v>
      </c>
      <c r="O51" s="16">
        <f t="shared" si="9"/>
        <v>0</v>
      </c>
    </row>
    <row r="52" spans="1:15" ht="15" customHeight="1">
      <c r="A52" s="9" t="str">
        <f>'Members Data'!A44</f>
        <v>Atlanthia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Shalist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199"/>
      <c r="C64" s="200"/>
      <c r="D64" s="200"/>
      <c r="E64" s="200"/>
      <c r="F64" s="206"/>
      <c r="G64" s="206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 t="s">
        <v>53</v>
      </c>
      <c r="E72" s="200"/>
      <c r="F72" s="200"/>
      <c r="G72" s="200"/>
      <c r="H72" s="201"/>
      <c r="I72" s="70">
        <f t="array" ref="I72">SUM(($B72:$H72="confirmed")*($B$4:$H$4=25))</f>
        <v>1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1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 t="s">
        <v>53</v>
      </c>
      <c r="E73" s="200"/>
      <c r="F73" s="200"/>
      <c r="G73" s="200"/>
      <c r="H73" s="201"/>
      <c r="I73" s="70">
        <f t="array" ref="I73">SUM(($B73:$H73="confirmed")*($B$4:$H$4=25))</f>
        <v>1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1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 t="s">
        <v>53</v>
      </c>
      <c r="C75" s="200"/>
      <c r="D75" s="200" t="s">
        <v>39</v>
      </c>
      <c r="E75" s="200"/>
      <c r="F75" s="200"/>
      <c r="G75" s="200"/>
      <c r="H75" s="201"/>
      <c r="I75" s="70">
        <f t="array" ref="I75">SUM(($B75:$H75="confirmed")*($B$4:$H$4=25))</f>
        <v>1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1</v>
      </c>
      <c r="N75" s="72">
        <f t="shared" si="11"/>
        <v>0</v>
      </c>
      <c r="O75" s="73">
        <f t="shared" si="12"/>
        <v>1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 t="s">
        <v>53</v>
      </c>
      <c r="E77" s="200"/>
      <c r="F77" s="200"/>
      <c r="G77" s="200"/>
      <c r="H77" s="201"/>
      <c r="I77" s="70">
        <f t="array" ref="I77">SUM(($B77:$H77="confirmed")*($B$4:$H$4=25))</f>
        <v>1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1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23" priority="1" stopIfTrue="1">
      <formula>IF(O10&gt;0,TRUE)</formula>
    </cfRule>
    <cfRule type="expression" dxfId="22" priority="2" stopIfTrue="1">
      <formula>IF(SUM(M10:N10)&gt;1,TRUE)</formula>
    </cfRule>
    <cfRule type="expression" dxfId="21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2013-01-30T23:51:31Z</dcterms:modified>
</cp:coreProperties>
</file>