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3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drawings/drawing4.xml" ContentType="application/vnd.openxmlformats-officedocument.drawing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drawings/drawing5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6.xml" ContentType="application/vnd.openxmlformats-officedocument.drawing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7.xml" ContentType="application/vnd.openxmlformats-officedocument.drawing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drawings/drawing8.xml" ContentType="application/vnd.openxmlformats-officedocument.drawing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9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drawings/drawing10.xml" ContentType="application/vnd.openxmlformats-officedocument.drawing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drawings/drawing11.xml" ContentType="application/vnd.openxmlformats-officedocument.drawing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drawings/drawing12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drawings/drawing13.xml" ContentType="application/vnd.openxmlformats-officedocument.drawing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drawings/drawing14.xml" ContentType="application/vnd.openxmlformats-officedocument.drawing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drawings/drawing15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drawings/drawing16.xml" ContentType="application/vnd.openxmlformats-officedocument.drawing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drawings/drawing17.xml" ContentType="application/vnd.openxmlformats-officedocument.drawing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drawings/drawing18.xml" ContentType="application/vnd.openxmlformats-officedocument.drawing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drawings/drawing19.xml" ContentType="application/vnd.openxmlformats-officedocument.drawing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drawings/drawing20.xml" ContentType="application/vnd.openxmlformats-officedocument.drawing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drawings/drawing21.xml" ContentType="application/vnd.openxmlformats-officedocument.drawing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drawings/drawing22.xml" ContentType="application/vnd.openxmlformats-officedocument.drawing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drawings/drawing23.xml" ContentType="application/vnd.openxmlformats-officedocument.drawing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7\FORMULA ARRAY\DRAFT NASKAH\FILE\"/>
    </mc:Choice>
  </mc:AlternateContent>
  <bookViews>
    <workbookView xWindow="360" yWindow="60" windowWidth="11340" windowHeight="6030" tabRatio="532"/>
  </bookViews>
  <sheets>
    <sheet name="TABEL DATA1" sheetId="78" r:id="rId1"/>
    <sheet name="TABEL DATA2" sheetId="81" r:id="rId2"/>
    <sheet name="PV" sheetId="88" r:id="rId3"/>
    <sheet name="FV" sheetId="89" r:id="rId4"/>
    <sheet name="PMT" sheetId="90" r:id="rId5"/>
    <sheet name="KASUS1" sheetId="93" r:id="rId6"/>
    <sheet name="KASUS2" sheetId="79" r:id="rId7"/>
    <sheet name="KASUS3 " sheetId="92" r:id="rId8"/>
    <sheet name="KASUS4" sheetId="95" r:id="rId9"/>
    <sheet name="KASUS5" sheetId="64" r:id="rId10"/>
    <sheet name="KASUS6" sheetId="97" r:id="rId11"/>
    <sheet name="KASUS7" sheetId="99" r:id="rId12"/>
    <sheet name="KASUS8" sheetId="86" r:id="rId13"/>
    <sheet name="KASUS9" sheetId="87" r:id="rId14"/>
    <sheet name="KASUS10" sheetId="103" r:id="rId15"/>
    <sheet name="KASUS11" sheetId="108" r:id="rId16"/>
    <sheet name="KASUS12" sheetId="114" r:id="rId17"/>
    <sheet name="KASUS13" sheetId="111" r:id="rId18"/>
    <sheet name="KASUS14" sheetId="68" r:id="rId19"/>
    <sheet name="KASUS15" sheetId="62" r:id="rId20"/>
    <sheet name="KASUS16" sheetId="45" r:id="rId21"/>
    <sheet name="KASUS17" sheetId="57" r:id="rId22"/>
    <sheet name="KASUS18" sheetId="59" r:id="rId23"/>
  </sheets>
  <externalReferences>
    <externalReference r:id="rId24"/>
  </externalReferences>
  <definedNames>
    <definedName name="__IntlFixup" hidden="1">TRUE</definedName>
    <definedName name="a" localSheetId="5" hidden="1">#REF!</definedName>
    <definedName name="a" localSheetId="14" hidden="1">#REF!</definedName>
    <definedName name="a" localSheetId="15" hidden="1">#REF!</definedName>
    <definedName name="a" localSheetId="16" hidden="1">#REF!</definedName>
    <definedName name="a" localSheetId="17" hidden="1">#REF!</definedName>
    <definedName name="a" localSheetId="19" hidden="1">#REF!</definedName>
    <definedName name="a" localSheetId="21" hidden="1">#REF!</definedName>
    <definedName name="a" localSheetId="22" hidden="1">#REF!</definedName>
    <definedName name="a" localSheetId="6" hidden="1">#REF!</definedName>
    <definedName name="a" localSheetId="7" hidden="1">#REF!</definedName>
    <definedName name="a" localSheetId="8" hidden="1">#REF!</definedName>
    <definedName name="a" localSheetId="9" hidden="1">#REF!</definedName>
    <definedName name="a" localSheetId="10" hidden="1">#REF!</definedName>
    <definedName name="a" localSheetId="11" hidden="1">#REF!</definedName>
    <definedName name="a" localSheetId="12" hidden="1">#REF!</definedName>
    <definedName name="a" localSheetId="13" hidden="1">#REF!</definedName>
    <definedName name="a" localSheetId="1" hidden="1">#REF!</definedName>
    <definedName name="a" hidden="1">#REF!</definedName>
    <definedName name="AccessDatabase" hidden="1">"C:\My Documents\MAUI MALL1.mdb"</definedName>
    <definedName name="ACwvu.CapersView." localSheetId="5" hidden="1">[1]MASTER!#REF!</definedName>
    <definedName name="ACwvu.CapersView." localSheetId="14" hidden="1">[1]MASTER!#REF!</definedName>
    <definedName name="ACwvu.CapersView." localSheetId="15" hidden="1">[1]MASTER!#REF!</definedName>
    <definedName name="ACwvu.CapersView." localSheetId="16" hidden="1">[1]MASTER!#REF!</definedName>
    <definedName name="ACwvu.CapersView." localSheetId="17" hidden="1">[1]MASTER!#REF!</definedName>
    <definedName name="ACwvu.CapersView." localSheetId="19" hidden="1">[1]MASTER!#REF!</definedName>
    <definedName name="ACwvu.CapersView." localSheetId="20" hidden="1">[1]MASTER!#REF!</definedName>
    <definedName name="ACwvu.CapersView." localSheetId="21" hidden="1">[1]MASTER!#REF!</definedName>
    <definedName name="ACwvu.CapersView." localSheetId="22" hidden="1">[1]MASTER!#REF!</definedName>
    <definedName name="ACwvu.CapersView." localSheetId="6" hidden="1">[1]MASTER!#REF!</definedName>
    <definedName name="ACwvu.CapersView." localSheetId="7" hidden="1">[1]MASTER!#REF!</definedName>
    <definedName name="ACwvu.CapersView." localSheetId="8" hidden="1">[1]MASTER!#REF!</definedName>
    <definedName name="ACwvu.CapersView." localSheetId="9" hidden="1">[1]MASTER!#REF!</definedName>
    <definedName name="ACwvu.CapersView." localSheetId="10" hidden="1">[1]MASTER!#REF!</definedName>
    <definedName name="ACwvu.CapersView." localSheetId="11" hidden="1">[1]MASTER!#REF!</definedName>
    <definedName name="ACwvu.CapersView." localSheetId="12" hidden="1">[1]MASTER!#REF!</definedName>
    <definedName name="ACwvu.CapersView." localSheetId="13" hidden="1">[1]MASTER!#REF!</definedName>
    <definedName name="ACwvu.CapersView." localSheetId="1" hidden="1">[1]MASTER!#REF!</definedName>
    <definedName name="ACwvu.CapersView." hidden="1">[1]MASTER!#REF!</definedName>
    <definedName name="ACwvu.Japan_Capers_Ed_Pub." localSheetId="5" hidden="1">#REF!</definedName>
    <definedName name="ACwvu.Japan_Capers_Ed_Pub." localSheetId="14" hidden="1">#REF!</definedName>
    <definedName name="ACwvu.Japan_Capers_Ed_Pub." localSheetId="15" hidden="1">#REF!</definedName>
    <definedName name="ACwvu.Japan_Capers_Ed_Pub." localSheetId="16" hidden="1">#REF!</definedName>
    <definedName name="ACwvu.Japan_Capers_Ed_Pub." localSheetId="17" hidden="1">#REF!</definedName>
    <definedName name="ACwvu.Japan_Capers_Ed_Pub." localSheetId="19" hidden="1">#REF!</definedName>
    <definedName name="ACwvu.Japan_Capers_Ed_Pub." localSheetId="20" hidden="1">#REF!</definedName>
    <definedName name="ACwvu.Japan_Capers_Ed_Pub." localSheetId="21" hidden="1">#REF!</definedName>
    <definedName name="ACwvu.Japan_Capers_Ed_Pub." localSheetId="22" hidden="1">#REF!</definedName>
    <definedName name="ACwvu.Japan_Capers_Ed_Pub." localSheetId="6" hidden="1">#REF!</definedName>
    <definedName name="ACwvu.Japan_Capers_Ed_Pub." localSheetId="7" hidden="1">#REF!</definedName>
    <definedName name="ACwvu.Japan_Capers_Ed_Pub." localSheetId="8" hidden="1">#REF!</definedName>
    <definedName name="ACwvu.Japan_Capers_Ed_Pub." localSheetId="9" hidden="1">#REF!</definedName>
    <definedName name="ACwvu.Japan_Capers_Ed_Pub." localSheetId="10" hidden="1">#REF!</definedName>
    <definedName name="ACwvu.Japan_Capers_Ed_Pub." localSheetId="11" hidden="1">#REF!</definedName>
    <definedName name="ACwvu.Japan_Capers_Ed_Pub." localSheetId="12" hidden="1">#REF!</definedName>
    <definedName name="ACwvu.Japan_Capers_Ed_Pub." localSheetId="13" hidden="1">#REF!</definedName>
    <definedName name="ACwvu.Japan_Capers_Ed_Pub." localSheetId="1" hidden="1">#REF!</definedName>
    <definedName name="ACwvu.Japan_Capers_Ed_Pub." hidden="1">#REF!</definedName>
    <definedName name="ACwvu.KJP_CC." localSheetId="5" hidden="1">#REF!</definedName>
    <definedName name="ACwvu.KJP_CC." localSheetId="14" hidden="1">#REF!</definedName>
    <definedName name="ACwvu.KJP_CC." localSheetId="15" hidden="1">#REF!</definedName>
    <definedName name="ACwvu.KJP_CC." localSheetId="16" hidden="1">#REF!</definedName>
    <definedName name="ACwvu.KJP_CC." localSheetId="17" hidden="1">#REF!</definedName>
    <definedName name="ACwvu.KJP_CC." localSheetId="19" hidden="1">#REF!</definedName>
    <definedName name="ACwvu.KJP_CC." localSheetId="20" hidden="1">#REF!</definedName>
    <definedName name="ACwvu.KJP_CC." localSheetId="21" hidden="1">#REF!</definedName>
    <definedName name="ACwvu.KJP_CC." localSheetId="22" hidden="1">#REF!</definedName>
    <definedName name="ACwvu.KJP_CC." localSheetId="6" hidden="1">#REF!</definedName>
    <definedName name="ACwvu.KJP_CC." localSheetId="7" hidden="1">#REF!</definedName>
    <definedName name="ACwvu.KJP_CC." localSheetId="8" hidden="1">#REF!</definedName>
    <definedName name="ACwvu.KJP_CC." localSheetId="9" hidden="1">#REF!</definedName>
    <definedName name="ACwvu.KJP_CC." localSheetId="10" hidden="1">#REF!</definedName>
    <definedName name="ACwvu.KJP_CC." localSheetId="11" hidden="1">#REF!</definedName>
    <definedName name="ACwvu.KJP_CC." localSheetId="12" hidden="1">#REF!</definedName>
    <definedName name="ACwvu.KJP_CC." localSheetId="13" hidden="1">#REF!</definedName>
    <definedName name="ACwvu.KJP_CC." localSheetId="1" hidden="1">#REF!</definedName>
    <definedName name="ACwvu.KJP_CC." hidden="1">#REF!</definedName>
    <definedName name="ANGSURAN">KASUS14!$D$10:$I$20</definedName>
    <definedName name="anscount" hidden="1">1</definedName>
    <definedName name="Cwvu.CapersView." localSheetId="5" hidden="1">[1]MASTER!#REF!</definedName>
    <definedName name="Cwvu.CapersView." localSheetId="14" hidden="1">[1]MASTER!#REF!</definedName>
    <definedName name="Cwvu.CapersView." localSheetId="15" hidden="1">[1]MASTER!#REF!</definedName>
    <definedName name="Cwvu.CapersView." localSheetId="16" hidden="1">[1]MASTER!#REF!</definedName>
    <definedName name="Cwvu.CapersView." localSheetId="17" hidden="1">[1]MASTER!#REF!</definedName>
    <definedName name="Cwvu.CapersView." localSheetId="19" hidden="1">[1]MASTER!#REF!</definedName>
    <definedName name="Cwvu.CapersView." localSheetId="20" hidden="1">[1]MASTER!#REF!</definedName>
    <definedName name="Cwvu.CapersView." localSheetId="21" hidden="1">[1]MASTER!#REF!</definedName>
    <definedName name="Cwvu.CapersView." localSheetId="22" hidden="1">[1]MASTER!#REF!</definedName>
    <definedName name="Cwvu.CapersView." localSheetId="6" hidden="1">[1]MASTER!#REF!</definedName>
    <definedName name="Cwvu.CapersView." localSheetId="7" hidden="1">[1]MASTER!#REF!</definedName>
    <definedName name="Cwvu.CapersView." localSheetId="8" hidden="1">[1]MASTER!#REF!</definedName>
    <definedName name="Cwvu.CapersView." localSheetId="9" hidden="1">[1]MASTER!#REF!</definedName>
    <definedName name="Cwvu.CapersView." localSheetId="10" hidden="1">[1]MASTER!#REF!</definedName>
    <definedName name="Cwvu.CapersView." localSheetId="11" hidden="1">[1]MASTER!#REF!</definedName>
    <definedName name="Cwvu.CapersView." localSheetId="12" hidden="1">[1]MASTER!#REF!</definedName>
    <definedName name="Cwvu.CapersView." localSheetId="13" hidden="1">[1]MASTER!#REF!</definedName>
    <definedName name="Cwvu.CapersView." localSheetId="1" hidden="1">[1]MASTER!#REF!</definedName>
    <definedName name="Cwvu.CapersView." hidden="1">[1]MASTER!#REF!</definedName>
    <definedName name="Cwvu.Japan_Capers_Ed_Pub." localSheetId="5" hidden="1">[1]MASTER!#REF!</definedName>
    <definedName name="Cwvu.Japan_Capers_Ed_Pub." localSheetId="14" hidden="1">[1]MASTER!#REF!</definedName>
    <definedName name="Cwvu.Japan_Capers_Ed_Pub." localSheetId="15" hidden="1">[1]MASTER!#REF!</definedName>
    <definedName name="Cwvu.Japan_Capers_Ed_Pub." localSheetId="16" hidden="1">[1]MASTER!#REF!</definedName>
    <definedName name="Cwvu.Japan_Capers_Ed_Pub." localSheetId="17" hidden="1">[1]MASTER!#REF!</definedName>
    <definedName name="Cwvu.Japan_Capers_Ed_Pub." localSheetId="19" hidden="1">[1]MASTER!#REF!</definedName>
    <definedName name="Cwvu.Japan_Capers_Ed_Pub." localSheetId="20" hidden="1">[1]MASTER!#REF!</definedName>
    <definedName name="Cwvu.Japan_Capers_Ed_Pub." localSheetId="21" hidden="1">[1]MASTER!#REF!</definedName>
    <definedName name="Cwvu.Japan_Capers_Ed_Pub." localSheetId="22" hidden="1">[1]MASTER!#REF!</definedName>
    <definedName name="Cwvu.Japan_Capers_Ed_Pub." localSheetId="6" hidden="1">[1]MASTER!#REF!</definedName>
    <definedName name="Cwvu.Japan_Capers_Ed_Pub." localSheetId="7" hidden="1">[1]MASTER!#REF!</definedName>
    <definedName name="Cwvu.Japan_Capers_Ed_Pub." localSheetId="8" hidden="1">[1]MASTER!#REF!</definedName>
    <definedName name="Cwvu.Japan_Capers_Ed_Pub." localSheetId="9" hidden="1">[1]MASTER!#REF!</definedName>
    <definedName name="Cwvu.Japan_Capers_Ed_Pub." localSheetId="10" hidden="1">[1]MASTER!#REF!</definedName>
    <definedName name="Cwvu.Japan_Capers_Ed_Pub." localSheetId="11" hidden="1">[1]MASTER!#REF!</definedName>
    <definedName name="Cwvu.Japan_Capers_Ed_Pub." localSheetId="12" hidden="1">[1]MASTER!#REF!</definedName>
    <definedName name="Cwvu.Japan_Capers_Ed_Pub." localSheetId="13" hidden="1">[1]MASTER!#REF!</definedName>
    <definedName name="Cwvu.Japan_Capers_Ed_Pub." localSheetId="1" hidden="1">[1]MASTER!#REF!</definedName>
    <definedName name="Cwvu.Japan_Capers_Ed_Pub." hidden="1">[1]MASTER!#REF!</definedName>
    <definedName name="Cwvu.KJP_CC." localSheetId="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5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6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9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INVESTASI">KASUS18!$H$3:$N$18</definedName>
    <definedName name="LABA">KASUS6!$C$15:$F$20</definedName>
    <definedName name="limcount" hidden="1">1</definedName>
    <definedName name="PINJAM">KASUS15!$C$14:$F$29</definedName>
    <definedName name="PROYEKSI">KASUS7!$E$11:$I$21</definedName>
    <definedName name="Rwvu.CapersView." localSheetId="5" hidden="1">#REF!</definedName>
    <definedName name="Rwvu.CapersView." localSheetId="14" hidden="1">#REF!</definedName>
    <definedName name="Rwvu.CapersView." localSheetId="15" hidden="1">#REF!</definedName>
    <definedName name="Rwvu.CapersView." localSheetId="16" hidden="1">#REF!</definedName>
    <definedName name="Rwvu.CapersView." localSheetId="17" hidden="1">#REF!</definedName>
    <definedName name="Rwvu.CapersView." localSheetId="19" hidden="1">#REF!</definedName>
    <definedName name="Rwvu.CapersView." localSheetId="20" hidden="1">#REF!</definedName>
    <definedName name="Rwvu.CapersView." localSheetId="21" hidden="1">#REF!</definedName>
    <definedName name="Rwvu.CapersView." localSheetId="22" hidden="1">#REF!</definedName>
    <definedName name="Rwvu.CapersView." localSheetId="6" hidden="1">#REF!</definedName>
    <definedName name="Rwvu.CapersView." localSheetId="7" hidden="1">#REF!</definedName>
    <definedName name="Rwvu.CapersView." localSheetId="8" hidden="1">#REF!</definedName>
    <definedName name="Rwvu.CapersView." localSheetId="9" hidden="1">#REF!</definedName>
    <definedName name="Rwvu.CapersView." localSheetId="10" hidden="1">#REF!</definedName>
    <definedName name="Rwvu.CapersView." localSheetId="11" hidden="1">#REF!</definedName>
    <definedName name="Rwvu.CapersView." localSheetId="12" hidden="1">#REF!</definedName>
    <definedName name="Rwvu.CapersView." localSheetId="13" hidden="1">#REF!</definedName>
    <definedName name="Rwvu.CapersView." localSheetId="1" hidden="1">#REF!</definedName>
    <definedName name="Rwvu.CapersView." hidden="1">#REF!</definedName>
    <definedName name="Rwvu.Japan_Capers_Ed_Pub." localSheetId="5" hidden="1">#REF!</definedName>
    <definedName name="Rwvu.Japan_Capers_Ed_Pub." localSheetId="14" hidden="1">#REF!</definedName>
    <definedName name="Rwvu.Japan_Capers_Ed_Pub." localSheetId="15" hidden="1">#REF!</definedName>
    <definedName name="Rwvu.Japan_Capers_Ed_Pub." localSheetId="16" hidden="1">#REF!</definedName>
    <definedName name="Rwvu.Japan_Capers_Ed_Pub." localSheetId="17" hidden="1">#REF!</definedName>
    <definedName name="Rwvu.Japan_Capers_Ed_Pub." localSheetId="19" hidden="1">#REF!</definedName>
    <definedName name="Rwvu.Japan_Capers_Ed_Pub." localSheetId="20" hidden="1">#REF!</definedName>
    <definedName name="Rwvu.Japan_Capers_Ed_Pub." localSheetId="21" hidden="1">#REF!</definedName>
    <definedName name="Rwvu.Japan_Capers_Ed_Pub." localSheetId="22" hidden="1">#REF!</definedName>
    <definedName name="Rwvu.Japan_Capers_Ed_Pub." localSheetId="6" hidden="1">#REF!</definedName>
    <definedName name="Rwvu.Japan_Capers_Ed_Pub." localSheetId="7" hidden="1">#REF!</definedName>
    <definedName name="Rwvu.Japan_Capers_Ed_Pub." localSheetId="8" hidden="1">#REF!</definedName>
    <definedName name="Rwvu.Japan_Capers_Ed_Pub." localSheetId="9" hidden="1">#REF!</definedName>
    <definedName name="Rwvu.Japan_Capers_Ed_Pub." localSheetId="10" hidden="1">#REF!</definedName>
    <definedName name="Rwvu.Japan_Capers_Ed_Pub." localSheetId="11" hidden="1">#REF!</definedName>
    <definedName name="Rwvu.Japan_Capers_Ed_Pub." localSheetId="12" hidden="1">#REF!</definedName>
    <definedName name="Rwvu.Japan_Capers_Ed_Pub." localSheetId="13" hidden="1">#REF!</definedName>
    <definedName name="Rwvu.Japan_Capers_Ed_Pub." localSheetId="1" hidden="1">#REF!</definedName>
    <definedName name="Rwvu.Japan_Capers_Ed_Pub." hidden="1">#REF!</definedName>
    <definedName name="Rwvu.KJP_CC." localSheetId="5" hidden="1">#REF!</definedName>
    <definedName name="Rwvu.KJP_CC." localSheetId="14" hidden="1">#REF!</definedName>
    <definedName name="Rwvu.KJP_CC." localSheetId="15" hidden="1">#REF!</definedName>
    <definedName name="Rwvu.KJP_CC." localSheetId="16" hidden="1">#REF!</definedName>
    <definedName name="Rwvu.KJP_CC." localSheetId="17" hidden="1">#REF!</definedName>
    <definedName name="Rwvu.KJP_CC." localSheetId="19" hidden="1">#REF!</definedName>
    <definedName name="Rwvu.KJP_CC." localSheetId="20" hidden="1">#REF!</definedName>
    <definedName name="Rwvu.KJP_CC." localSheetId="21" hidden="1">#REF!</definedName>
    <definedName name="Rwvu.KJP_CC." localSheetId="22" hidden="1">#REF!</definedName>
    <definedName name="Rwvu.KJP_CC." localSheetId="6" hidden="1">#REF!</definedName>
    <definedName name="Rwvu.KJP_CC." localSheetId="7" hidden="1">#REF!</definedName>
    <definedName name="Rwvu.KJP_CC." localSheetId="8" hidden="1">#REF!</definedName>
    <definedName name="Rwvu.KJP_CC." localSheetId="9" hidden="1">#REF!</definedName>
    <definedName name="Rwvu.KJP_CC." localSheetId="10" hidden="1">#REF!</definedName>
    <definedName name="Rwvu.KJP_CC." localSheetId="11" hidden="1">#REF!</definedName>
    <definedName name="Rwvu.KJP_CC." localSheetId="12" hidden="1">#REF!</definedName>
    <definedName name="Rwvu.KJP_CC." localSheetId="13" hidden="1">#REF!</definedName>
    <definedName name="Rwvu.KJP_CC." localSheetId="1" hidden="1">#REF!</definedName>
    <definedName name="Rwvu.KJP_CC." hidden="1">#REF!</definedName>
    <definedName name="sencount" hidden="1">1</definedName>
    <definedName name="solver_ver">1.3</definedName>
    <definedName name="ss" localSheetId="5" hidden="1">[1]MASTER!#REF!</definedName>
    <definedName name="ss" localSheetId="14" hidden="1">[1]MASTER!#REF!</definedName>
    <definedName name="ss" localSheetId="15" hidden="1">[1]MASTER!#REF!</definedName>
    <definedName name="ss" localSheetId="16" hidden="1">[1]MASTER!#REF!</definedName>
    <definedName name="ss" localSheetId="17" hidden="1">[1]MASTER!#REF!</definedName>
    <definedName name="ss" localSheetId="19" hidden="1">[1]MASTER!#REF!</definedName>
    <definedName name="ss" localSheetId="21" hidden="1">[1]MASTER!#REF!</definedName>
    <definedName name="ss" localSheetId="22" hidden="1">[1]MASTER!#REF!</definedName>
    <definedName name="ss" localSheetId="6" hidden="1">[1]MASTER!#REF!</definedName>
    <definedName name="ss" localSheetId="7" hidden="1">[1]MASTER!#REF!</definedName>
    <definedName name="ss" localSheetId="8" hidden="1">[1]MASTER!#REF!</definedName>
    <definedName name="ss" localSheetId="9" hidden="1">[1]MASTER!#REF!</definedName>
    <definedName name="ss" localSheetId="10" hidden="1">[1]MASTER!#REF!</definedName>
    <definedName name="ss" localSheetId="11" hidden="1">[1]MASTER!#REF!</definedName>
    <definedName name="ss" localSheetId="12" hidden="1">[1]MASTER!#REF!</definedName>
    <definedName name="ss" localSheetId="13" hidden="1">[1]MASTER!#REF!</definedName>
    <definedName name="ss" localSheetId="1" hidden="1">[1]MASTER!#REF!</definedName>
    <definedName name="ss" hidden="1">[1]MASTER!#REF!</definedName>
    <definedName name="Swvu.CapersView." localSheetId="5" hidden="1">[1]MASTER!#REF!</definedName>
    <definedName name="Swvu.CapersView." localSheetId="14" hidden="1">[1]MASTER!#REF!</definedName>
    <definedName name="Swvu.CapersView." localSheetId="15" hidden="1">[1]MASTER!#REF!</definedName>
    <definedName name="Swvu.CapersView." localSheetId="16" hidden="1">[1]MASTER!#REF!</definedName>
    <definedName name="Swvu.CapersView." localSheetId="17" hidden="1">[1]MASTER!#REF!</definedName>
    <definedName name="Swvu.CapersView." localSheetId="19" hidden="1">[1]MASTER!#REF!</definedName>
    <definedName name="Swvu.CapersView." localSheetId="20" hidden="1">[1]MASTER!#REF!</definedName>
    <definedName name="Swvu.CapersView." localSheetId="21" hidden="1">[1]MASTER!#REF!</definedName>
    <definedName name="Swvu.CapersView." localSheetId="22" hidden="1">[1]MASTER!#REF!</definedName>
    <definedName name="Swvu.CapersView." localSheetId="6" hidden="1">[1]MASTER!#REF!</definedName>
    <definedName name="Swvu.CapersView." localSheetId="7" hidden="1">[1]MASTER!#REF!</definedName>
    <definedName name="Swvu.CapersView." localSheetId="8" hidden="1">[1]MASTER!#REF!</definedName>
    <definedName name="Swvu.CapersView." localSheetId="9" hidden="1">[1]MASTER!#REF!</definedName>
    <definedName name="Swvu.CapersView." localSheetId="10" hidden="1">[1]MASTER!#REF!</definedName>
    <definedName name="Swvu.CapersView." localSheetId="11" hidden="1">[1]MASTER!#REF!</definedName>
    <definedName name="Swvu.CapersView." localSheetId="12" hidden="1">[1]MASTER!#REF!</definedName>
    <definedName name="Swvu.CapersView." localSheetId="13" hidden="1">[1]MASTER!#REF!</definedName>
    <definedName name="Swvu.CapersView." localSheetId="1" hidden="1">[1]MASTER!#REF!</definedName>
    <definedName name="Swvu.CapersView." hidden="1">[1]MASTER!#REF!</definedName>
    <definedName name="Swvu.Japan_Capers_Ed_Pub." localSheetId="5" hidden="1">#REF!</definedName>
    <definedName name="Swvu.Japan_Capers_Ed_Pub." localSheetId="14" hidden="1">#REF!</definedName>
    <definedName name="Swvu.Japan_Capers_Ed_Pub." localSheetId="15" hidden="1">#REF!</definedName>
    <definedName name="Swvu.Japan_Capers_Ed_Pub." localSheetId="16" hidden="1">#REF!</definedName>
    <definedName name="Swvu.Japan_Capers_Ed_Pub." localSheetId="17" hidden="1">#REF!</definedName>
    <definedName name="Swvu.Japan_Capers_Ed_Pub." localSheetId="19" hidden="1">#REF!</definedName>
    <definedName name="Swvu.Japan_Capers_Ed_Pub." localSheetId="20" hidden="1">#REF!</definedName>
    <definedName name="Swvu.Japan_Capers_Ed_Pub." localSheetId="21" hidden="1">#REF!</definedName>
    <definedName name="Swvu.Japan_Capers_Ed_Pub." localSheetId="22" hidden="1">#REF!</definedName>
    <definedName name="Swvu.Japan_Capers_Ed_Pub." localSheetId="6" hidden="1">#REF!</definedName>
    <definedName name="Swvu.Japan_Capers_Ed_Pub." localSheetId="7" hidden="1">#REF!</definedName>
    <definedName name="Swvu.Japan_Capers_Ed_Pub." localSheetId="8" hidden="1">#REF!</definedName>
    <definedName name="Swvu.Japan_Capers_Ed_Pub." localSheetId="9" hidden="1">#REF!</definedName>
    <definedName name="Swvu.Japan_Capers_Ed_Pub." localSheetId="10" hidden="1">#REF!</definedName>
    <definedName name="Swvu.Japan_Capers_Ed_Pub." localSheetId="11" hidden="1">#REF!</definedName>
    <definedName name="Swvu.Japan_Capers_Ed_Pub." localSheetId="12" hidden="1">#REF!</definedName>
    <definedName name="Swvu.Japan_Capers_Ed_Pub." localSheetId="13" hidden="1">#REF!</definedName>
    <definedName name="Swvu.Japan_Capers_Ed_Pub." localSheetId="1" hidden="1">#REF!</definedName>
    <definedName name="Swvu.Japan_Capers_Ed_Pub." hidden="1">#REF!</definedName>
    <definedName name="Swvu.KJP_CC." localSheetId="5" hidden="1">#REF!</definedName>
    <definedName name="Swvu.KJP_CC." localSheetId="14" hidden="1">#REF!</definedName>
    <definedName name="Swvu.KJP_CC." localSheetId="15" hidden="1">#REF!</definedName>
    <definedName name="Swvu.KJP_CC." localSheetId="16" hidden="1">#REF!</definedName>
    <definedName name="Swvu.KJP_CC." localSheetId="17" hidden="1">#REF!</definedName>
    <definedName name="Swvu.KJP_CC." localSheetId="19" hidden="1">#REF!</definedName>
    <definedName name="Swvu.KJP_CC." localSheetId="20" hidden="1">#REF!</definedName>
    <definedName name="Swvu.KJP_CC." localSheetId="21" hidden="1">#REF!</definedName>
    <definedName name="Swvu.KJP_CC." localSheetId="22" hidden="1">#REF!</definedName>
    <definedName name="Swvu.KJP_CC." localSheetId="6" hidden="1">#REF!</definedName>
    <definedName name="Swvu.KJP_CC." localSheetId="7" hidden="1">#REF!</definedName>
    <definedName name="Swvu.KJP_CC." localSheetId="8" hidden="1">#REF!</definedName>
    <definedName name="Swvu.KJP_CC." localSheetId="9" hidden="1">#REF!</definedName>
    <definedName name="Swvu.KJP_CC." localSheetId="10" hidden="1">#REF!</definedName>
    <definedName name="Swvu.KJP_CC." localSheetId="11" hidden="1">#REF!</definedName>
    <definedName name="Swvu.KJP_CC." localSheetId="12" hidden="1">#REF!</definedName>
    <definedName name="Swvu.KJP_CC." localSheetId="13" hidden="1">#REF!</definedName>
    <definedName name="Swvu.KJP_CC." localSheetId="1" hidden="1">#REF!</definedName>
    <definedName name="Swvu.KJP_CC." hidden="1">#REF!</definedName>
    <definedName name="TABUNGAN">KASUS9!$G$3:$M$14</definedName>
    <definedName name="trte" hidden="1">{#N/A,#N/A,FALSE,"PRJCTED QTRLY $'s"}</definedName>
    <definedName name="v" hidden="1">{"'PRODUCTIONCOST SHEET'!$B$3:$G$48"}</definedName>
    <definedName name="vvv" hidden="1">{"Japan_Capers_Ed_Pub",#N/A,FALSE,"DI 2 YEAR MASTER SCHEDULE"}</definedName>
    <definedName name="vvvv" hidden="1">{#N/A,#N/A,FALSE,"PRJCTED MNTHLY QTY's"}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XDDDD" localSheetId="5" hidden="1">[1]MASTER!#REF!</definedName>
    <definedName name="XDDDD" localSheetId="14" hidden="1">[1]MASTER!#REF!</definedName>
    <definedName name="XDDDD" localSheetId="15" hidden="1">[1]MASTER!#REF!</definedName>
    <definedName name="XDDDD" localSheetId="16" hidden="1">[1]MASTER!#REF!</definedName>
    <definedName name="XDDDD" localSheetId="17" hidden="1">[1]MASTER!#REF!</definedName>
    <definedName name="XDDDD" localSheetId="19" hidden="1">[1]MASTER!#REF!</definedName>
    <definedName name="XDDDD" localSheetId="21" hidden="1">[1]MASTER!#REF!</definedName>
    <definedName name="XDDDD" localSheetId="22" hidden="1">[1]MASTER!#REF!</definedName>
    <definedName name="XDDDD" localSheetId="6" hidden="1">[1]MASTER!#REF!</definedName>
    <definedName name="XDDDD" localSheetId="7" hidden="1">[1]MASTER!#REF!</definedName>
    <definedName name="XDDDD" localSheetId="8" hidden="1">[1]MASTER!#REF!</definedName>
    <definedName name="XDDDD" localSheetId="9" hidden="1">[1]MASTER!#REF!</definedName>
    <definedName name="XDDDD" localSheetId="10" hidden="1">[1]MASTER!#REF!</definedName>
    <definedName name="XDDDD" localSheetId="11" hidden="1">[1]MASTER!#REF!</definedName>
    <definedName name="XDDDD" localSheetId="12" hidden="1">[1]MASTER!#REF!</definedName>
    <definedName name="XDDDD" localSheetId="13" hidden="1">[1]MASTER!#REF!</definedName>
    <definedName name="XDDDD" localSheetId="1" hidden="1">[1]MASTER!#REF!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localSheetId="5" hidden="1">#REF!</definedName>
    <definedName name="Z_9A428CE1_B4D9_11D0_A8AA_0000C071AEE7_.wvu.PrintArea" localSheetId="14" hidden="1">#REF!</definedName>
    <definedName name="Z_9A428CE1_B4D9_11D0_A8AA_0000C071AEE7_.wvu.PrintArea" localSheetId="15" hidden="1">#REF!</definedName>
    <definedName name="Z_9A428CE1_B4D9_11D0_A8AA_0000C071AEE7_.wvu.PrintArea" localSheetId="16" hidden="1">#REF!</definedName>
    <definedName name="Z_9A428CE1_B4D9_11D0_A8AA_0000C071AEE7_.wvu.PrintArea" localSheetId="17" hidden="1">#REF!</definedName>
    <definedName name="Z_9A428CE1_B4D9_11D0_A8AA_0000C071AEE7_.wvu.PrintArea" localSheetId="19" hidden="1">#REF!</definedName>
    <definedName name="Z_9A428CE1_B4D9_11D0_A8AA_0000C071AEE7_.wvu.PrintArea" localSheetId="20" hidden="1">#REF!</definedName>
    <definedName name="Z_9A428CE1_B4D9_11D0_A8AA_0000C071AEE7_.wvu.PrintArea" localSheetId="21" hidden="1">#REF!</definedName>
    <definedName name="Z_9A428CE1_B4D9_11D0_A8AA_0000C071AEE7_.wvu.PrintArea" localSheetId="22" hidden="1">#REF!</definedName>
    <definedName name="Z_9A428CE1_B4D9_11D0_A8AA_0000C071AEE7_.wvu.PrintArea" localSheetId="6" hidden="1">#REF!</definedName>
    <definedName name="Z_9A428CE1_B4D9_11D0_A8AA_0000C071AEE7_.wvu.PrintArea" localSheetId="7" hidden="1">#REF!</definedName>
    <definedName name="Z_9A428CE1_B4D9_11D0_A8AA_0000C071AEE7_.wvu.PrintArea" localSheetId="8" hidden="1">#REF!</definedName>
    <definedName name="Z_9A428CE1_B4D9_11D0_A8AA_0000C071AEE7_.wvu.PrintArea" localSheetId="9" hidden="1">#REF!</definedName>
    <definedName name="Z_9A428CE1_B4D9_11D0_A8AA_0000C071AEE7_.wvu.PrintArea" localSheetId="10" hidden="1">#REF!</definedName>
    <definedName name="Z_9A428CE1_B4D9_11D0_A8AA_0000C071AEE7_.wvu.PrintArea" localSheetId="11" hidden="1">#REF!</definedName>
    <definedName name="Z_9A428CE1_B4D9_11D0_A8AA_0000C071AEE7_.wvu.PrintArea" localSheetId="12" hidden="1">#REF!</definedName>
    <definedName name="Z_9A428CE1_B4D9_11D0_A8AA_0000C071AEE7_.wvu.PrintArea" localSheetId="13" hidden="1">#REF!</definedName>
    <definedName name="Z_9A428CE1_B4D9_11D0_A8AA_0000C071AEE7_.wvu.PrintArea" localSheetId="1" hidden="1">#REF!</definedName>
    <definedName name="Z_9A428CE1_B4D9_11D0_A8AA_0000C071AEE7_.wvu.PrintArea" hidden="1">#REF!</definedName>
    <definedName name="Z_9A428CE1_B4D9_11D0_A8AA_0000C071AEE7_.wvu.Rows" localSheetId="5" hidden="1">[1]MASTER!#REF!,[1]MASTER!#REF!,[1]MASTER!#REF!,[1]MASTER!#REF!,[1]MASTER!#REF!,[1]MASTER!#REF!,[1]MASTER!#REF!,[1]MASTER!$A$98:$IV$272</definedName>
    <definedName name="Z_9A428CE1_B4D9_11D0_A8AA_0000C071AEE7_.wvu.Rows" localSheetId="14" hidden="1">[1]MASTER!#REF!,[1]MASTER!#REF!,[1]MASTER!#REF!,[1]MASTER!#REF!,[1]MASTER!#REF!,[1]MASTER!#REF!,[1]MASTER!#REF!,[1]MASTER!$A$98:$IV$272</definedName>
    <definedName name="Z_9A428CE1_B4D9_11D0_A8AA_0000C071AEE7_.wvu.Rows" localSheetId="15" hidden="1">[1]MASTER!#REF!,[1]MASTER!#REF!,[1]MASTER!#REF!,[1]MASTER!#REF!,[1]MASTER!#REF!,[1]MASTER!#REF!,[1]MASTER!#REF!,[1]MASTER!$A$98:$IV$272</definedName>
    <definedName name="Z_9A428CE1_B4D9_11D0_A8AA_0000C071AEE7_.wvu.Rows" localSheetId="16" hidden="1">[1]MASTER!#REF!,[1]MASTER!#REF!,[1]MASTER!#REF!,[1]MASTER!#REF!,[1]MASTER!#REF!,[1]MASTER!#REF!,[1]MASTER!#REF!,[1]MASTER!$A$98:$IV$272</definedName>
    <definedName name="Z_9A428CE1_B4D9_11D0_A8AA_0000C071AEE7_.wvu.Rows" localSheetId="17" hidden="1">[1]MASTER!#REF!,[1]MASTER!#REF!,[1]MASTER!#REF!,[1]MASTER!#REF!,[1]MASTER!#REF!,[1]MASTER!#REF!,[1]MASTER!#REF!,[1]MASTER!$A$98:$IV$272</definedName>
    <definedName name="Z_9A428CE1_B4D9_11D0_A8AA_0000C071AEE7_.wvu.Rows" localSheetId="19" hidden="1">[1]MASTER!#REF!,[1]MASTER!#REF!,[1]MASTER!#REF!,[1]MASTER!#REF!,[1]MASTER!#REF!,[1]MASTER!#REF!,[1]MASTER!#REF!,[1]MASTER!$A$98:$IV$272</definedName>
    <definedName name="Z_9A428CE1_B4D9_11D0_A8AA_0000C071AEE7_.wvu.Rows" localSheetId="20" hidden="1">[1]MASTER!#REF!,[1]MASTER!#REF!,[1]MASTER!#REF!,[1]MASTER!#REF!,[1]MASTER!#REF!,[1]MASTER!#REF!,[1]MASTER!#REF!,[1]MASTER!$A$98:$IV$272</definedName>
    <definedName name="Z_9A428CE1_B4D9_11D0_A8AA_0000C071AEE7_.wvu.Rows" localSheetId="21" hidden="1">[1]MASTER!#REF!,[1]MASTER!#REF!,[1]MASTER!#REF!,[1]MASTER!#REF!,[1]MASTER!#REF!,[1]MASTER!#REF!,[1]MASTER!#REF!,[1]MASTER!$A$98:$IV$272</definedName>
    <definedName name="Z_9A428CE1_B4D9_11D0_A8AA_0000C071AEE7_.wvu.Rows" localSheetId="22" hidden="1">[1]MASTER!#REF!,[1]MASTER!#REF!,[1]MASTER!#REF!,[1]MASTER!#REF!,[1]MASTER!#REF!,[1]MASTER!#REF!,[1]MASTER!#REF!,[1]MASTER!$A$98:$IV$272</definedName>
    <definedName name="Z_9A428CE1_B4D9_11D0_A8AA_0000C071AEE7_.wvu.Rows" localSheetId="6" hidden="1">[1]MASTER!#REF!,[1]MASTER!#REF!,[1]MASTER!#REF!,[1]MASTER!#REF!,[1]MASTER!#REF!,[1]MASTER!#REF!,[1]MASTER!#REF!,[1]MASTER!$A$98:$IV$272</definedName>
    <definedName name="Z_9A428CE1_B4D9_11D0_A8AA_0000C071AEE7_.wvu.Rows" localSheetId="7" hidden="1">[1]MASTER!#REF!,[1]MASTER!#REF!,[1]MASTER!#REF!,[1]MASTER!#REF!,[1]MASTER!#REF!,[1]MASTER!#REF!,[1]MASTER!#REF!,[1]MASTER!$A$98:$IV$272</definedName>
    <definedName name="Z_9A428CE1_B4D9_11D0_A8AA_0000C071AEE7_.wvu.Rows" localSheetId="8" hidden="1">[1]MASTER!#REF!,[1]MASTER!#REF!,[1]MASTER!#REF!,[1]MASTER!#REF!,[1]MASTER!#REF!,[1]MASTER!#REF!,[1]MASTER!#REF!,[1]MASTER!$A$98:$IV$272</definedName>
    <definedName name="Z_9A428CE1_B4D9_11D0_A8AA_0000C071AEE7_.wvu.Rows" localSheetId="9" hidden="1">[1]MASTER!#REF!,[1]MASTER!#REF!,[1]MASTER!#REF!,[1]MASTER!#REF!,[1]MASTER!#REF!,[1]MASTER!#REF!,[1]MASTER!#REF!,[1]MASTER!$A$98:$IV$272</definedName>
    <definedName name="Z_9A428CE1_B4D9_11D0_A8AA_0000C071AEE7_.wvu.Rows" localSheetId="10" hidden="1">[1]MASTER!#REF!,[1]MASTER!#REF!,[1]MASTER!#REF!,[1]MASTER!#REF!,[1]MASTER!#REF!,[1]MASTER!#REF!,[1]MASTER!#REF!,[1]MASTER!$A$98:$IV$272</definedName>
    <definedName name="Z_9A428CE1_B4D9_11D0_A8AA_0000C071AEE7_.wvu.Rows" localSheetId="11" hidden="1">[1]MASTER!#REF!,[1]MASTER!#REF!,[1]MASTER!#REF!,[1]MASTER!#REF!,[1]MASTER!#REF!,[1]MASTER!#REF!,[1]MASTER!#REF!,[1]MASTER!$A$98:$IV$272</definedName>
    <definedName name="Z_9A428CE1_B4D9_11D0_A8AA_0000C071AEE7_.wvu.Rows" localSheetId="12" hidden="1">[1]MASTER!#REF!,[1]MASTER!#REF!,[1]MASTER!#REF!,[1]MASTER!#REF!,[1]MASTER!#REF!,[1]MASTER!#REF!,[1]MASTER!#REF!,[1]MASTER!$A$98:$IV$272</definedName>
    <definedName name="Z_9A428CE1_B4D9_11D0_A8AA_0000C071AEE7_.wvu.Rows" localSheetId="13" hidden="1">[1]MASTER!#REF!,[1]MASTER!#REF!,[1]MASTER!#REF!,[1]MASTER!#REF!,[1]MASTER!#REF!,[1]MASTER!#REF!,[1]MASTER!#REF!,[1]MASTER!$A$98:$IV$272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</workbook>
</file>

<file path=xl/calcChain.xml><?xml version="1.0" encoding="utf-8"?>
<calcChain xmlns="http://schemas.openxmlformats.org/spreadsheetml/2006/main">
  <c r="E3" i="59" l="1"/>
  <c r="E5" i="59"/>
  <c r="E3" i="62" l="1"/>
  <c r="H11" i="62"/>
  <c r="H12" i="62" s="1"/>
  <c r="H13" i="62" s="1"/>
  <c r="H14" i="62" s="1"/>
  <c r="H15" i="62" s="1"/>
  <c r="H16" i="62" s="1"/>
  <c r="H17" i="62" s="1"/>
  <c r="H18" i="62" s="1"/>
  <c r="H19" i="62" s="1"/>
  <c r="H20" i="62" s="1"/>
  <c r="H21" i="62" s="1"/>
  <c r="H22" i="62" s="1"/>
  <c r="H23" i="62" s="1"/>
  <c r="H24" i="62" s="1"/>
  <c r="H25" i="62" s="1"/>
  <c r="H26" i="62" s="1"/>
  <c r="H27" i="62" s="1"/>
  <c r="H28" i="62" s="1"/>
  <c r="H29" i="62" s="1"/>
  <c r="H30" i="62" s="1"/>
  <c r="H31" i="62" s="1"/>
  <c r="H32" i="62" s="1"/>
  <c r="H33" i="62" s="1"/>
  <c r="H34" i="62" s="1"/>
  <c r="H35" i="62" s="1"/>
  <c r="H36" i="62" s="1"/>
  <c r="H37" i="62" s="1"/>
  <c r="H38" i="62" s="1"/>
  <c r="H39" i="62" s="1"/>
  <c r="H40" i="62" s="1"/>
  <c r="H41" i="62" s="1"/>
  <c r="H42" i="62" s="1"/>
  <c r="H43" i="62" s="1"/>
  <c r="H44" i="62" s="1"/>
  <c r="H45" i="62" s="1"/>
  <c r="H46" i="62" s="1"/>
  <c r="H47" i="62" s="1"/>
  <c r="H48" i="62" s="1"/>
  <c r="H49" i="62" s="1"/>
  <c r="H50" i="62" s="1"/>
  <c r="H51" i="62" s="1"/>
  <c r="H52" i="62" s="1"/>
  <c r="H53" i="62" s="1"/>
  <c r="H54" i="62" s="1"/>
  <c r="H55" i="62" s="1"/>
  <c r="H56" i="62" s="1"/>
  <c r="H57" i="62" s="1"/>
  <c r="H58" i="62" s="1"/>
  <c r="H59" i="62" s="1"/>
  <c r="H60" i="62" s="1"/>
  <c r="H61" i="62" s="1"/>
  <c r="H62" i="62" s="1"/>
  <c r="H63" i="62" s="1"/>
  <c r="H64" i="62" s="1"/>
  <c r="H65" i="62" s="1"/>
  <c r="H66" i="62" s="1"/>
  <c r="H67" i="62" s="1"/>
  <c r="H68" i="62" s="1"/>
  <c r="H69" i="62" s="1"/>
  <c r="H70" i="62" s="1"/>
  <c r="K7" i="62"/>
  <c r="E6" i="62"/>
  <c r="E7" i="62"/>
  <c r="D5" i="114"/>
  <c r="D3" i="114"/>
  <c r="D8" i="114" l="1"/>
  <c r="I4" i="114" s="1"/>
  <c r="J4" i="114" s="1"/>
  <c r="K4" i="114" s="1"/>
  <c r="L4" i="114" s="1"/>
  <c r="D7" i="114"/>
  <c r="D6" i="114"/>
  <c r="G5" i="114" s="1"/>
  <c r="F14" i="111"/>
  <c r="D5" i="111"/>
  <c r="F17" i="111" s="1"/>
  <c r="D3" i="111"/>
  <c r="D8" i="111" s="1"/>
  <c r="D3" i="108"/>
  <c r="D7" i="108"/>
  <c r="D6" i="108"/>
  <c r="F5" i="108" s="1"/>
  <c r="I5" i="108" s="1"/>
  <c r="D5" i="108"/>
  <c r="M5" i="108" l="1"/>
  <c r="K5" i="108"/>
  <c r="G6" i="114"/>
  <c r="G4" i="114"/>
  <c r="G7" i="114"/>
  <c r="G4" i="108"/>
  <c r="F6" i="108"/>
  <c r="I6" i="108" l="1"/>
  <c r="M6" i="108" s="1"/>
  <c r="K6" i="108"/>
  <c r="G8" i="114"/>
  <c r="F7" i="108"/>
  <c r="K7" i="108" l="1"/>
  <c r="I7" i="108"/>
  <c r="M7" i="108" s="1"/>
  <c r="G9" i="114"/>
  <c r="F8" i="108"/>
  <c r="I8" i="108" l="1"/>
  <c r="M8" i="108" s="1"/>
  <c r="K8" i="108"/>
  <c r="G10" i="114"/>
  <c r="F9" i="108"/>
  <c r="K9" i="108" l="1"/>
  <c r="I9" i="108"/>
  <c r="M9" i="108" s="1"/>
  <c r="G11" i="114"/>
  <c r="F10" i="108"/>
  <c r="I10" i="108" l="1"/>
  <c r="M10" i="108" s="1"/>
  <c r="K10" i="108"/>
  <c r="G12" i="114"/>
  <c r="F11" i="108"/>
  <c r="K11" i="108" l="1"/>
  <c r="I11" i="108"/>
  <c r="M11" i="108" s="1"/>
  <c r="G13" i="114"/>
  <c r="F12" i="108"/>
  <c r="I12" i="108" l="1"/>
  <c r="M12" i="108" s="1"/>
  <c r="K12" i="108"/>
  <c r="G14" i="114"/>
  <c r="F13" i="108"/>
  <c r="K13" i="108" l="1"/>
  <c r="I13" i="108"/>
  <c r="M13" i="108" s="1"/>
  <c r="G15" i="114"/>
  <c r="F14" i="108"/>
  <c r="I14" i="108" l="1"/>
  <c r="M14" i="108" s="1"/>
  <c r="K14" i="108"/>
  <c r="G16" i="114"/>
  <c r="F15" i="108"/>
  <c r="K15" i="108" l="1"/>
  <c r="I15" i="108"/>
  <c r="G17" i="114"/>
  <c r="F16" i="108"/>
  <c r="I16" i="108" l="1"/>
  <c r="M16" i="108" s="1"/>
  <c r="K16" i="108"/>
  <c r="M15" i="108"/>
  <c r="G18" i="114"/>
  <c r="F17" i="108"/>
  <c r="K17" i="108" l="1"/>
  <c r="I17" i="108"/>
  <c r="M17" i="108" s="1"/>
  <c r="G19" i="114"/>
  <c r="F18" i="108"/>
  <c r="I18" i="108" l="1"/>
  <c r="M18" i="108" s="1"/>
  <c r="K18" i="108"/>
  <c r="G20" i="114"/>
  <c r="F19" i="108"/>
  <c r="K19" i="108" l="1"/>
  <c r="I19" i="108"/>
  <c r="M19" i="108" s="1"/>
  <c r="F20" i="108"/>
  <c r="I20" i="108" l="1"/>
  <c r="M20" i="108" s="1"/>
  <c r="K20" i="108"/>
  <c r="D5" i="57"/>
  <c r="D5" i="45" l="1"/>
  <c r="E3" i="68" l="1"/>
  <c r="E5" i="68"/>
  <c r="F14" i="103"/>
  <c r="E6" i="68"/>
  <c r="F10" i="68" s="1"/>
  <c r="G10" i="68" s="1"/>
  <c r="H10" i="68" s="1"/>
  <c r="I10" i="68" s="1"/>
  <c r="D5" i="103"/>
  <c r="D3" i="103"/>
  <c r="D3" i="87"/>
  <c r="D6" i="87"/>
  <c r="G3" i="87" s="1"/>
  <c r="D10" i="87"/>
  <c r="G4" i="87"/>
  <c r="G5" i="87" s="1"/>
  <c r="G6" i="87" s="1"/>
  <c r="G7" i="87" s="1"/>
  <c r="G8" i="87" s="1"/>
  <c r="G9" i="87" s="1"/>
  <c r="G10" i="87" s="1"/>
  <c r="G11" i="87" s="1"/>
  <c r="G12" i="87" s="1"/>
  <c r="G13" i="87" s="1"/>
  <c r="G14" i="87" s="1"/>
  <c r="D9" i="87"/>
  <c r="D8" i="87"/>
  <c r="I3" i="87" s="1"/>
  <c r="J3" i="87" s="1"/>
  <c r="K3" i="87" s="1"/>
  <c r="L3" i="87" s="1"/>
  <c r="M3" i="87" s="1"/>
  <c r="D6" i="86"/>
  <c r="I18" i="86"/>
  <c r="D9" i="86"/>
  <c r="D8" i="86"/>
  <c r="F5" i="86" s="1"/>
  <c r="I18" i="87" l="1"/>
  <c r="F19" i="87" s="1"/>
  <c r="D8" i="103"/>
  <c r="D10" i="68"/>
  <c r="F24" i="68" s="1"/>
  <c r="D26" i="68" s="1"/>
  <c r="F17" i="103"/>
  <c r="F6" i="86"/>
  <c r="F7" i="86" s="1"/>
  <c r="F8" i="86" s="1"/>
  <c r="F9" i="86" s="1"/>
  <c r="F10" i="86" s="1"/>
  <c r="F11" i="86" s="1"/>
  <c r="E5" i="99"/>
  <c r="E4" i="99"/>
  <c r="E13" i="99"/>
  <c r="E14" i="99" s="1"/>
  <c r="E15" i="99" s="1"/>
  <c r="E16" i="99" s="1"/>
  <c r="E17" i="99" s="1"/>
  <c r="E18" i="99" s="1"/>
  <c r="E19" i="99" s="1"/>
  <c r="E20" i="99" s="1"/>
  <c r="E21" i="99" s="1"/>
  <c r="D8" i="99"/>
  <c r="G11" i="99" s="1"/>
  <c r="H11" i="99" s="1"/>
  <c r="I11" i="99" s="1"/>
  <c r="E3" i="99"/>
  <c r="B6" i="99"/>
  <c r="B2" i="99" s="1"/>
  <c r="B5" i="99"/>
  <c r="B4" i="99"/>
  <c r="B3" i="99"/>
  <c r="F4" i="97"/>
  <c r="F4" i="64"/>
  <c r="F12" i="86" l="1"/>
  <c r="F13" i="86" s="1"/>
  <c r="F14" i="86" s="1"/>
  <c r="F15" i="86" s="1"/>
  <c r="I17" i="86"/>
  <c r="E6" i="99"/>
  <c r="E11" i="99" s="1"/>
  <c r="D25" i="99" s="1"/>
  <c r="F23" i="99" s="1"/>
  <c r="F13" i="64" l="1"/>
  <c r="F14" i="64"/>
  <c r="C18" i="97"/>
  <c r="C19" i="97" s="1"/>
  <c r="C20" i="97" s="1"/>
  <c r="E15" i="97"/>
  <c r="F15" i="97" s="1"/>
  <c r="D7" i="97"/>
  <c r="C15" i="64"/>
  <c r="C16" i="64" s="1"/>
  <c r="C17" i="64" s="1"/>
  <c r="F17" i="64" s="1"/>
  <c r="D6" i="95"/>
  <c r="D5" i="95"/>
  <c r="G4" i="95" s="1"/>
  <c r="G6" i="95"/>
  <c r="G7" i="95" s="1"/>
  <c r="G8" i="95" s="1"/>
  <c r="G9" i="95" s="1"/>
  <c r="G10" i="95" s="1"/>
  <c r="G11" i="95" s="1"/>
  <c r="G12" i="95" s="1"/>
  <c r="H17" i="95"/>
  <c r="D9" i="95"/>
  <c r="H4" i="95" s="1"/>
  <c r="I4" i="95" s="1"/>
  <c r="J4" i="95" s="1"/>
  <c r="K4" i="95" s="1"/>
  <c r="L4" i="95" s="1"/>
  <c r="D8" i="95"/>
  <c r="D5" i="92"/>
  <c r="D6" i="92"/>
  <c r="D5" i="79"/>
  <c r="D10" i="79"/>
  <c r="D5" i="93"/>
  <c r="F16" i="64" l="1"/>
  <c r="F15" i="64"/>
  <c r="D8" i="97"/>
  <c r="D10" i="97" s="1"/>
  <c r="B9" i="95"/>
  <c r="F9" i="93"/>
  <c r="C15" i="97" l="1"/>
  <c r="B14" i="93"/>
  <c r="B13" i="93"/>
  <c r="G9" i="93"/>
  <c r="H9" i="93" s="1"/>
  <c r="D6" i="93"/>
  <c r="D10" i="93" s="1"/>
  <c r="B9" i="92"/>
  <c r="I4" i="92"/>
  <c r="J4" i="92" s="1"/>
  <c r="K4" i="92" s="1"/>
  <c r="L4" i="92" s="1"/>
  <c r="H17" i="92"/>
  <c r="D9" i="92"/>
  <c r="G5" i="92" s="1"/>
  <c r="D8" i="92"/>
  <c r="D10" i="90"/>
  <c r="D9" i="90"/>
  <c r="D12" i="90" s="1"/>
  <c r="D7" i="90"/>
  <c r="D10" i="89"/>
  <c r="D9" i="89"/>
  <c r="D7" i="89"/>
  <c r="D11" i="88"/>
  <c r="D8" i="88"/>
  <c r="D13" i="88" s="1"/>
  <c r="D3" i="86"/>
  <c r="E13" i="88"/>
  <c r="E12" i="90"/>
  <c r="D13" i="89"/>
  <c r="D13" i="93" l="1"/>
  <c r="D14" i="93"/>
  <c r="L16" i="97"/>
  <c r="H17" i="97" s="1"/>
  <c r="G4" i="86"/>
  <c r="F19" i="86"/>
  <c r="B16" i="93"/>
  <c r="D16" i="93" s="1"/>
  <c r="I9" i="93"/>
  <c r="B17" i="93" s="1"/>
  <c r="D17" i="93" s="1"/>
  <c r="B15" i="93"/>
  <c r="D15" i="93" s="1"/>
  <c r="D12" i="89"/>
  <c r="G6" i="92"/>
  <c r="G7" i="92" s="1"/>
  <c r="G8" i="92" s="1"/>
  <c r="G9" i="92" s="1"/>
  <c r="G10" i="92" s="1"/>
  <c r="G11" i="92" s="1"/>
  <c r="G12" i="92" s="1"/>
  <c r="G4" i="92"/>
  <c r="E9" i="81" l="1"/>
  <c r="C11" i="81"/>
  <c r="C3" i="81"/>
  <c r="B2" i="81" s="1"/>
  <c r="D7" i="81"/>
  <c r="B10" i="81" s="1"/>
  <c r="D11" i="81" s="1"/>
  <c r="D6" i="81"/>
  <c r="D10" i="81" s="1"/>
  <c r="F3" i="78"/>
  <c r="D6" i="78"/>
  <c r="B2" i="78"/>
  <c r="B11" i="81" l="1"/>
  <c r="A4" i="81"/>
  <c r="A4" i="78"/>
  <c r="A5" i="78" s="1"/>
  <c r="F10" i="78"/>
  <c r="D7" i="64"/>
  <c r="D8" i="64" s="1"/>
  <c r="E10" i="59"/>
  <c r="E9" i="59"/>
  <c r="E8" i="59"/>
  <c r="H4" i="59" s="1"/>
  <c r="E6" i="59"/>
  <c r="H3" i="59"/>
  <c r="H10" i="62"/>
  <c r="E10" i="62"/>
  <c r="H9" i="62"/>
  <c r="I9" i="62" s="1"/>
  <c r="E9" i="62"/>
  <c r="E14" i="62" s="1"/>
  <c r="E15" i="62" s="1"/>
  <c r="E16" i="62" s="1"/>
  <c r="E17" i="62" s="1"/>
  <c r="E18" i="62" s="1"/>
  <c r="E19" i="62" s="1"/>
  <c r="E8" i="62"/>
  <c r="H6" i="62"/>
  <c r="E5" i="62"/>
  <c r="F13" i="62" s="1"/>
  <c r="K5" i="62"/>
  <c r="H5" i="62"/>
  <c r="H4" i="62"/>
  <c r="B2" i="62"/>
  <c r="D10" i="57"/>
  <c r="D9" i="57"/>
  <c r="C14" i="57" s="1"/>
  <c r="C15" i="57" s="1"/>
  <c r="C16" i="57" s="1"/>
  <c r="C17" i="57" s="1"/>
  <c r="C18" i="57" s="1"/>
  <c r="C19" i="57" s="1"/>
  <c r="C20" i="57" s="1"/>
  <c r="C21" i="57" s="1"/>
  <c r="C22" i="57" s="1"/>
  <c r="C23" i="57" s="1"/>
  <c r="D8" i="57"/>
  <c r="D6" i="57"/>
  <c r="D3" i="57"/>
  <c r="D9" i="45"/>
  <c r="D8" i="45"/>
  <c r="F5" i="45" s="1"/>
  <c r="D6" i="45"/>
  <c r="D3" i="45"/>
  <c r="D11" i="79"/>
  <c r="G11" i="79" s="1"/>
  <c r="G10" i="79"/>
  <c r="G9" i="79"/>
  <c r="D6" i="79"/>
  <c r="D7" i="78"/>
  <c r="D11" i="78" s="1"/>
  <c r="K4" i="62" l="1"/>
  <c r="E20" i="62"/>
  <c r="E21" i="62" s="1"/>
  <c r="E22" i="62" s="1"/>
  <c r="E23" i="62" s="1"/>
  <c r="E24" i="62" s="1"/>
  <c r="E25" i="62" s="1"/>
  <c r="E26" i="62" s="1"/>
  <c r="E27" i="62" s="1"/>
  <c r="E28" i="62" s="1"/>
  <c r="E29" i="62" s="1"/>
  <c r="G4" i="45"/>
  <c r="F6" i="45"/>
  <c r="F7" i="45" s="1"/>
  <c r="F8" i="45" s="1"/>
  <c r="F9" i="45" s="1"/>
  <c r="F10" i="45" s="1"/>
  <c r="F11" i="45" s="1"/>
  <c r="F12" i="45" s="1"/>
  <c r="F13" i="45" s="1"/>
  <c r="F14" i="45" s="1"/>
  <c r="A6" i="78"/>
  <c r="D12" i="78"/>
  <c r="E10" i="78"/>
  <c r="H5" i="59"/>
  <c r="H6" i="59" s="1"/>
  <c r="H7" i="59" s="1"/>
  <c r="H8" i="59" s="1"/>
  <c r="H9" i="59" s="1"/>
  <c r="J3" i="59"/>
  <c r="K3" i="59" s="1"/>
  <c r="K6" i="62"/>
  <c r="D13" i="57"/>
  <c r="E13" i="57" s="1"/>
  <c r="E10" i="64"/>
  <c r="D12" i="64" s="1"/>
  <c r="D12" i="79"/>
  <c r="E8" i="79"/>
  <c r="I9" i="79"/>
  <c r="I10" i="79"/>
  <c r="I10" i="62"/>
  <c r="J9" i="62"/>
  <c r="A5" i="81"/>
  <c r="F10" i="81" s="1"/>
  <c r="E10" i="81"/>
  <c r="B12" i="81"/>
  <c r="D12" i="81"/>
  <c r="D29" i="62"/>
  <c r="D28" i="62"/>
  <c r="D27" i="62"/>
  <c r="D26" i="62"/>
  <c r="D25" i="62"/>
  <c r="D24" i="62"/>
  <c r="I11" i="62"/>
  <c r="D14" i="62"/>
  <c r="D15" i="62"/>
  <c r="D16" i="62"/>
  <c r="D17" i="62"/>
  <c r="D18" i="62"/>
  <c r="D19" i="62"/>
  <c r="D20" i="62"/>
  <c r="D21" i="62"/>
  <c r="D22" i="62"/>
  <c r="D23" i="62"/>
  <c r="A6" i="81"/>
  <c r="A7" i="81" s="1"/>
  <c r="A8" i="81" s="1"/>
  <c r="I11" i="79"/>
  <c r="G10" i="78"/>
  <c r="L3" i="59" l="1"/>
  <c r="M3" i="59" s="1"/>
  <c r="N3" i="59" s="1"/>
  <c r="J21" i="59"/>
  <c r="H10" i="59"/>
  <c r="H11" i="59" s="1"/>
  <c r="H12" i="59" s="1"/>
  <c r="H13" i="59" s="1"/>
  <c r="H14" i="59" s="1"/>
  <c r="H15" i="59" s="1"/>
  <c r="H16" i="59" s="1"/>
  <c r="H17" i="59" s="1"/>
  <c r="H18" i="59" s="1"/>
  <c r="J20" i="59"/>
  <c r="J22" i="59" s="1"/>
  <c r="H24" i="59" s="1"/>
  <c r="A7" i="78"/>
  <c r="D13" i="78"/>
  <c r="K69" i="62"/>
  <c r="J13" i="62"/>
  <c r="J12" i="62"/>
  <c r="K11" i="62"/>
  <c r="J23" i="62"/>
  <c r="J22" i="62"/>
  <c r="J21" i="62"/>
  <c r="J20" i="62"/>
  <c r="J19" i="62"/>
  <c r="J18" i="62"/>
  <c r="J17" i="62"/>
  <c r="J16" i="62"/>
  <c r="J15" i="62"/>
  <c r="J14" i="62"/>
  <c r="J39" i="62"/>
  <c r="J55" i="62"/>
  <c r="K68" i="62"/>
  <c r="J31" i="62"/>
  <c r="J47" i="62"/>
  <c r="J63" i="62"/>
  <c r="K36" i="62"/>
  <c r="K13" i="62"/>
  <c r="L13" i="62" s="1"/>
  <c r="K52" i="62"/>
  <c r="J27" i="62"/>
  <c r="J35" i="62"/>
  <c r="J43" i="62"/>
  <c r="J51" i="62"/>
  <c r="J59" i="62"/>
  <c r="J67" i="62"/>
  <c r="K21" i="62"/>
  <c r="J11" i="62"/>
  <c r="M11" i="62" s="1"/>
  <c r="I12" i="62" s="1"/>
  <c r="K44" i="62"/>
  <c r="K60" i="62"/>
  <c r="J25" i="62"/>
  <c r="J29" i="62"/>
  <c r="J33" i="62"/>
  <c r="J37" i="62"/>
  <c r="J41" i="62"/>
  <c r="J45" i="62"/>
  <c r="J49" i="62"/>
  <c r="J53" i="62"/>
  <c r="J57" i="62"/>
  <c r="J61" i="62"/>
  <c r="J65" i="62"/>
  <c r="J69" i="62"/>
  <c r="L69" i="62" s="1"/>
  <c r="K28" i="62"/>
  <c r="K17" i="62"/>
  <c r="K29" i="62"/>
  <c r="K40" i="62"/>
  <c r="K48" i="62"/>
  <c r="K56" i="62"/>
  <c r="K64" i="62"/>
  <c r="J24" i="62"/>
  <c r="J26" i="62"/>
  <c r="J28" i="62"/>
  <c r="J30" i="62"/>
  <c r="J32" i="62"/>
  <c r="J34" i="62"/>
  <c r="J36" i="62"/>
  <c r="J38" i="62"/>
  <c r="J40" i="62"/>
  <c r="J42" i="62"/>
  <c r="J44" i="62"/>
  <c r="J46" i="62"/>
  <c r="J48" i="62"/>
  <c r="J50" i="62"/>
  <c r="J52" i="62"/>
  <c r="J54" i="62"/>
  <c r="J56" i="62"/>
  <c r="L56" i="62" s="1"/>
  <c r="J58" i="62"/>
  <c r="J60" i="62"/>
  <c r="J62" i="62"/>
  <c r="J64" i="62"/>
  <c r="J66" i="62"/>
  <c r="J68" i="62"/>
  <c r="J70" i="62"/>
  <c r="K24" i="62"/>
  <c r="L24" i="62" s="1"/>
  <c r="K19" i="62"/>
  <c r="K15" i="62"/>
  <c r="L15" i="62" s="1"/>
  <c r="K31" i="62"/>
  <c r="K25" i="62"/>
  <c r="K12" i="62"/>
  <c r="K34" i="62"/>
  <c r="K38" i="62"/>
  <c r="K42" i="62"/>
  <c r="K46" i="62"/>
  <c r="L46" i="62" s="1"/>
  <c r="K50" i="62"/>
  <c r="K54" i="62"/>
  <c r="L54" i="62" s="1"/>
  <c r="K58" i="62"/>
  <c r="K62" i="62"/>
  <c r="L62" i="62" s="1"/>
  <c r="K66" i="62"/>
  <c r="K70" i="62"/>
  <c r="K23" i="62"/>
  <c r="L23" i="62" s="1"/>
  <c r="K26" i="62"/>
  <c r="K22" i="62"/>
  <c r="K20" i="62"/>
  <c r="K18" i="62"/>
  <c r="K16" i="62"/>
  <c r="K14" i="62"/>
  <c r="K32" i="62"/>
  <c r="K30" i="62"/>
  <c r="K27" i="62"/>
  <c r="K33" i="62"/>
  <c r="K35" i="62"/>
  <c r="K37" i="62"/>
  <c r="K39" i="62"/>
  <c r="K41" i="62"/>
  <c r="K43" i="62"/>
  <c r="K45" i="62"/>
  <c r="K47" i="62"/>
  <c r="K49" i="62"/>
  <c r="K51" i="62"/>
  <c r="K53" i="62"/>
  <c r="K55" i="62"/>
  <c r="K57" i="62"/>
  <c r="K59" i="62"/>
  <c r="K61" i="62"/>
  <c r="K63" i="62"/>
  <c r="K65" i="62"/>
  <c r="K67" i="62"/>
  <c r="G12" i="79"/>
  <c r="I12" i="79" s="1"/>
  <c r="D13" i="79"/>
  <c r="G13" i="79" s="1"/>
  <c r="I13" i="79" s="1"/>
  <c r="J10" i="62"/>
  <c r="K9" i="62"/>
  <c r="L9" i="62"/>
  <c r="D13" i="81"/>
  <c r="B13" i="81"/>
  <c r="G10" i="81"/>
  <c r="H10" i="78"/>
  <c r="I10" i="78" s="1"/>
  <c r="A8" i="78" l="1"/>
  <c r="D15" i="78" s="1"/>
  <c r="D14" i="78"/>
  <c r="L30" i="62"/>
  <c r="L25" i="62"/>
  <c r="L44" i="62"/>
  <c r="L28" i="62"/>
  <c r="L51" i="62"/>
  <c r="L47" i="62"/>
  <c r="L39" i="62"/>
  <c r="L35" i="62"/>
  <c r="L29" i="62"/>
  <c r="L21" i="62"/>
  <c r="L11" i="62"/>
  <c r="L14" i="62"/>
  <c r="L18" i="62"/>
  <c r="L65" i="62"/>
  <c r="L57" i="62"/>
  <c r="L49" i="62"/>
  <c r="L41" i="62"/>
  <c r="L33" i="62"/>
  <c r="L27" i="62"/>
  <c r="L32" i="62"/>
  <c r="L22" i="62"/>
  <c r="L67" i="62"/>
  <c r="L40" i="62"/>
  <c r="L16" i="62"/>
  <c r="L20" i="62"/>
  <c r="L19" i="62"/>
  <c r="L17" i="62"/>
  <c r="L55" i="62"/>
  <c r="L68" i="62"/>
  <c r="L63" i="62"/>
  <c r="L31" i="62"/>
  <c r="L36" i="62"/>
  <c r="L61" i="62"/>
  <c r="L53" i="62"/>
  <c r="L45" i="62"/>
  <c r="L37" i="62"/>
  <c r="L52" i="62"/>
  <c r="M12" i="62"/>
  <c r="I13" i="62" s="1"/>
  <c r="M13" i="62" s="1"/>
  <c r="I14" i="62" s="1"/>
  <c r="M14" i="62" s="1"/>
  <c r="I15" i="62" s="1"/>
  <c r="M15" i="62" s="1"/>
  <c r="I16" i="62" s="1"/>
  <c r="M16" i="62" s="1"/>
  <c r="I17" i="62" s="1"/>
  <c r="M17" i="62" s="1"/>
  <c r="I18" i="62" s="1"/>
  <c r="M18" i="62" s="1"/>
  <c r="I19" i="62" s="1"/>
  <c r="M19" i="62" s="1"/>
  <c r="I20" i="62" s="1"/>
  <c r="M20" i="62" s="1"/>
  <c r="I21" i="62" s="1"/>
  <c r="M21" i="62" s="1"/>
  <c r="I22" i="62" s="1"/>
  <c r="M22" i="62" s="1"/>
  <c r="I23" i="62" s="1"/>
  <c r="M23" i="62" s="1"/>
  <c r="I24" i="62" s="1"/>
  <c r="M24" i="62" s="1"/>
  <c r="I25" i="62" s="1"/>
  <c r="M25" i="62" s="1"/>
  <c r="I26" i="62" s="1"/>
  <c r="M26" i="62" s="1"/>
  <c r="I27" i="62" s="1"/>
  <c r="M27" i="62" s="1"/>
  <c r="I28" i="62" s="1"/>
  <c r="M28" i="62" s="1"/>
  <c r="I29" i="62" s="1"/>
  <c r="M29" i="62" s="1"/>
  <c r="I30" i="62" s="1"/>
  <c r="M30" i="62" s="1"/>
  <c r="I31" i="62" s="1"/>
  <c r="M31" i="62" s="1"/>
  <c r="I32" i="62" s="1"/>
  <c r="M32" i="62" s="1"/>
  <c r="I33" i="62" s="1"/>
  <c r="M33" i="62" s="1"/>
  <c r="I34" i="62" s="1"/>
  <c r="M34" i="62" s="1"/>
  <c r="I35" i="62" s="1"/>
  <c r="M35" i="62" s="1"/>
  <c r="I36" i="62" s="1"/>
  <c r="M36" i="62" s="1"/>
  <c r="I37" i="62" s="1"/>
  <c r="M37" i="62" s="1"/>
  <c r="I38" i="62" s="1"/>
  <c r="M38" i="62" s="1"/>
  <c r="I39" i="62" s="1"/>
  <c r="M39" i="62" s="1"/>
  <c r="I40" i="62" s="1"/>
  <c r="M40" i="62" s="1"/>
  <c r="I41" i="62" s="1"/>
  <c r="M41" i="62" s="1"/>
  <c r="I42" i="62" s="1"/>
  <c r="M42" i="62" s="1"/>
  <c r="I43" i="62" s="1"/>
  <c r="M43" i="62" s="1"/>
  <c r="I44" i="62" s="1"/>
  <c r="M44" i="62" s="1"/>
  <c r="I45" i="62" s="1"/>
  <c r="M45" i="62" s="1"/>
  <c r="I46" i="62" s="1"/>
  <c r="M46" i="62" s="1"/>
  <c r="I47" i="62" s="1"/>
  <c r="M47" i="62" s="1"/>
  <c r="I48" i="62" s="1"/>
  <c r="M48" i="62" s="1"/>
  <c r="I49" i="62" s="1"/>
  <c r="M49" i="62" s="1"/>
  <c r="I50" i="62" s="1"/>
  <c r="M50" i="62" s="1"/>
  <c r="I51" i="62" s="1"/>
  <c r="M51" i="62" s="1"/>
  <c r="I52" i="62" s="1"/>
  <c r="M52" i="62" s="1"/>
  <c r="I53" i="62" s="1"/>
  <c r="M53" i="62" s="1"/>
  <c r="I54" i="62" s="1"/>
  <c r="M54" i="62" s="1"/>
  <c r="I55" i="62" s="1"/>
  <c r="M55" i="62" s="1"/>
  <c r="I56" i="62" s="1"/>
  <c r="M56" i="62" s="1"/>
  <c r="I57" i="62" s="1"/>
  <c r="M57" i="62" s="1"/>
  <c r="I58" i="62" s="1"/>
  <c r="M58" i="62" s="1"/>
  <c r="I59" i="62" s="1"/>
  <c r="M59" i="62" s="1"/>
  <c r="I60" i="62" s="1"/>
  <c r="M60" i="62" s="1"/>
  <c r="I61" i="62" s="1"/>
  <c r="M61" i="62" s="1"/>
  <c r="I62" i="62" s="1"/>
  <c r="M62" i="62" s="1"/>
  <c r="I63" i="62" s="1"/>
  <c r="M63" i="62" s="1"/>
  <c r="I64" i="62" s="1"/>
  <c r="M64" i="62" s="1"/>
  <c r="I65" i="62" s="1"/>
  <c r="M65" i="62" s="1"/>
  <c r="I66" i="62" s="1"/>
  <c r="M66" i="62" s="1"/>
  <c r="I67" i="62" s="1"/>
  <c r="M67" i="62" s="1"/>
  <c r="I68" i="62" s="1"/>
  <c r="M68" i="62" s="1"/>
  <c r="I69" i="62" s="1"/>
  <c r="M69" i="62" s="1"/>
  <c r="I70" i="62" s="1"/>
  <c r="M70" i="62" s="1"/>
  <c r="L59" i="62"/>
  <c r="L43" i="62"/>
  <c r="L60" i="62"/>
  <c r="L48" i="62"/>
  <c r="L70" i="62"/>
  <c r="L38" i="62"/>
  <c r="L26" i="62"/>
  <c r="L66" i="62"/>
  <c r="L58" i="62"/>
  <c r="L50" i="62"/>
  <c r="L42" i="62"/>
  <c r="L34" i="62"/>
  <c r="L64" i="62"/>
  <c r="L12" i="62"/>
  <c r="M9" i="62"/>
  <c r="M10" i="62" s="1"/>
  <c r="L10" i="62"/>
  <c r="B14" i="81"/>
  <c r="D15" i="81" s="1"/>
  <c r="D14" i="81"/>
  <c r="H10" i="81"/>
  <c r="I10" i="81" l="1"/>
</calcChain>
</file>

<file path=xl/sharedStrings.xml><?xml version="1.0" encoding="utf-8"?>
<sst xmlns="http://schemas.openxmlformats.org/spreadsheetml/2006/main" count="395" uniqueCount="182">
  <si>
    <t xml:space="preserve">Suku bunga </t>
  </si>
  <si>
    <t xml:space="preserve">Periode </t>
  </si>
  <si>
    <t xml:space="preserve">Deposito tahunan </t>
  </si>
  <si>
    <t xml:space="preserve">Saldo awal deposito </t>
  </si>
  <si>
    <t xml:space="preserve">Tipe deposito </t>
  </si>
  <si>
    <t>Nilai Mendatang</t>
  </si>
  <si>
    <t>Deposito Tahunan</t>
  </si>
  <si>
    <t>Nilai Saat ini</t>
  </si>
  <si>
    <t>Jumlah Pinjaman</t>
  </si>
  <si>
    <t>Jangka Waktu Pinjam</t>
  </si>
  <si>
    <t>Bunga Pinjaman per Tahun</t>
  </si>
  <si>
    <t>Angsuran / bulan</t>
  </si>
  <si>
    <t xml:space="preserve"> </t>
  </si>
  <si>
    <t>INVESTASI</t>
  </si>
  <si>
    <t>ANGSURAN PINJAMAN - BUNGA EFEKTIF</t>
  </si>
  <si>
    <t>Data Pinjaman Awal</t>
  </si>
  <si>
    <t>Kenaikan Pinjaman</t>
  </si>
  <si>
    <t>Apakah memerlukan pembuktian?       Ya       Tidak</t>
  </si>
  <si>
    <t>ANGSURAN PINJAMAN - BUNGA TETAP</t>
  </si>
  <si>
    <t>Kenaikan deposito</t>
  </si>
  <si>
    <t>Periode deposito</t>
  </si>
  <si>
    <t>Awal deposito tahunan</t>
  </si>
  <si>
    <t>Inflasi</t>
  </si>
  <si>
    <t>susunan data dalam bentuk kolom</t>
  </si>
  <si>
    <t>Prosedur:</t>
  </si>
  <si>
    <t>2. aktifkan fasilitas Data Table</t>
  </si>
  <si>
    <t>3. isi alamat sel D5 dengan tampilan</t>
  </si>
  <si>
    <t xml:space="preserve">pada gambar berikut ini, </t>
  </si>
  <si>
    <t>4. akhiri klik tombol perintah OK</t>
  </si>
  <si>
    <t>1. sorot atau blok range C13:E23</t>
  </si>
  <si>
    <t>Penyusunan fungsi dan rumus</t>
  </si>
  <si>
    <t>Sel</t>
  </si>
  <si>
    <t>Fungsi dan Rumus</t>
  </si>
  <si>
    <t>D13</t>
  </si>
  <si>
    <t>E13</t>
  </si>
  <si>
    <t>=-FV(D3;D4;D5;D6;D7)</t>
  </si>
  <si>
    <t>=D13/(1+D8)^D4</t>
  </si>
  <si>
    <t>3. isi alamat sel E3 dengan tampilan</t>
  </si>
  <si>
    <t>Angsuran per Bulan</t>
  </si>
  <si>
    <t>Pilihan Suku Bunga</t>
  </si>
  <si>
    <t>Bunga Efektif</t>
  </si>
  <si>
    <t>Bunga Tetap (Flat)</t>
  </si>
  <si>
    <t>1. sorot atau blok range E13:F29</t>
  </si>
  <si>
    <t>1. sorot atau blok range H3:N18</t>
  </si>
  <si>
    <t>3. isi alamat sel E3 dan E5 dengan tampilan</t>
  </si>
  <si>
    <t>Panjang (m)</t>
  </si>
  <si>
    <t>Lebar (m)</t>
  </si>
  <si>
    <t>Harga</t>
  </si>
  <si>
    <t>TABEL DATA - INPUT BARIS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</si>
  <si>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=</t>
    </r>
  </si>
  <si>
    <t>Pembuktian:</t>
  </si>
  <si>
    <t>Luas Tanah (susunan satu kolom)</t>
  </si>
  <si>
    <t>TABEL DATA - INPUT KOLOM</t>
  </si>
  <si>
    <t>Pilihan        Input Baris          Input Kolom</t>
  </si>
  <si>
    <r>
      <t>Luas (m</t>
    </r>
    <r>
      <rPr>
        <b/>
        <vertAlign val="super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>)</t>
    </r>
  </si>
  <si>
    <r>
      <t>Tawaran / m</t>
    </r>
    <r>
      <rPr>
        <b/>
        <vertAlign val="superscript"/>
        <sz val="11"/>
        <color theme="0"/>
        <rFont val="Calibri"/>
        <family val="2"/>
        <scheme val="minor"/>
      </rPr>
      <t>2</t>
    </r>
  </si>
  <si>
    <r>
      <t>Luas Tanah (</t>
    </r>
    <r>
      <rPr>
        <i/>
        <sz val="11"/>
        <color theme="0"/>
        <rFont val="Calibri"/>
        <family val="2"/>
        <scheme val="minor"/>
      </rPr>
      <t>data yang berubah dalam susunan satu baris</t>
    </r>
    <r>
      <rPr>
        <sz val="11"/>
        <color theme="0"/>
        <rFont val="Calibri"/>
        <family val="2"/>
        <scheme val="minor"/>
      </rPr>
      <t>)</t>
    </r>
  </si>
  <si>
    <t xml:space="preserve">Pilihan </t>
  </si>
  <si>
    <t>PV</t>
  </si>
  <si>
    <t>=PV(bunga;waktu;pembayaran;nilai diharapkan;tipe)</t>
  </si>
  <si>
    <t>-  menghitung nilai uang yang harus disimpan saat ini untuk mencapai</t>
  </si>
  <si>
    <t>jumlah tertentu di masa yang akan datang</t>
  </si>
  <si>
    <t>-  asumsi tingkat suku bunga simpanan konstan selama waktu simpan</t>
  </si>
  <si>
    <r>
      <t>Tingkat Suku Bunga per Tahun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</si>
  <si>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t>Tipe</t>
  </si>
  <si>
    <t>Waktu Pembayaran</t>
  </si>
  <si>
    <r>
      <t>Jangka Waktu Simpan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</si>
  <si>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t>akhir periode</t>
  </si>
  <si>
    <r>
      <t>Nilai Pembayaran (</t>
    </r>
    <r>
      <rPr>
        <b/>
        <i/>
        <sz val="11"/>
        <color theme="0"/>
        <rFont val="Calibri"/>
        <family val="2"/>
        <scheme val="minor"/>
      </rPr>
      <t>pmt</t>
    </r>
    <r>
      <rPr>
        <b/>
        <sz val="11"/>
        <color theme="0"/>
        <rFont val="Calibri"/>
        <family val="2"/>
        <scheme val="minor"/>
      </rPr>
      <t>)</t>
    </r>
  </si>
  <si>
    <t>awal periode</t>
  </si>
  <si>
    <r>
      <t>Nilai Yang Akan Datang  (</t>
    </r>
    <r>
      <rPr>
        <b/>
        <i/>
        <sz val="11"/>
        <color theme="0"/>
        <rFont val="Calibri"/>
        <family val="2"/>
        <scheme val="minor"/>
      </rPr>
      <t>fv</t>
    </r>
    <r>
      <rPr>
        <b/>
        <sz val="11"/>
        <color theme="0"/>
        <rFont val="Calibri"/>
        <family val="2"/>
        <scheme val="minor"/>
      </rPr>
      <t>)</t>
    </r>
  </si>
  <si>
    <r>
      <t>Jenis Pembayaran (</t>
    </r>
    <r>
      <rPr>
        <b/>
        <i/>
        <sz val="11"/>
        <color theme="0"/>
        <rFont val="Calibri"/>
        <family val="2"/>
        <scheme val="minor"/>
      </rPr>
      <t>type</t>
    </r>
    <r>
      <rPr>
        <b/>
        <sz val="11"/>
        <color theme="0"/>
        <rFont val="Calibri"/>
        <family val="2"/>
        <scheme val="minor"/>
      </rPr>
      <t>)</t>
    </r>
  </si>
  <si>
    <t>Jumlah uang yang harus disimpan</t>
  </si>
  <si>
    <t>JUMLAH TABUNGAN</t>
  </si>
  <si>
    <t>Tabungan</t>
  </si>
  <si>
    <t>Nilai yang akan datang (diharapkan)</t>
  </si>
  <si>
    <t>FV</t>
  </si>
  <si>
    <t>=FV(bunga;waktu;pembayaran;nilai sekarang;tipe)</t>
  </si>
  <si>
    <t xml:space="preserve">- menghitung nilai yang akan datang dari suatu nilai simpanan saat ini </t>
  </si>
  <si>
    <t>- asumsi nilai pembayaran dan bunga tetap (konstan)</t>
  </si>
  <si>
    <r>
      <t>Waktu Pembayaran/Angsuran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</si>
  <si>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t>Pembayaran angsuran dilakukan pada akhir periode</t>
  </si>
  <si>
    <t>Pembayaran angsuran dilakukan pada awal periode</t>
  </si>
  <si>
    <r>
      <t>Nilai Sekarang (</t>
    </r>
    <r>
      <rPr>
        <b/>
        <i/>
        <sz val="11"/>
        <color theme="0"/>
        <rFont val="Calibri"/>
        <family val="2"/>
        <scheme val="minor"/>
      </rPr>
      <t>pv</t>
    </r>
    <r>
      <rPr>
        <b/>
        <sz val="11"/>
        <color theme="0"/>
        <rFont val="Calibri"/>
        <family val="2"/>
        <scheme val="minor"/>
      </rPr>
      <t>)</t>
    </r>
  </si>
  <si>
    <r>
      <t>Jenis Pembayaran Angsuran (</t>
    </r>
    <r>
      <rPr>
        <b/>
        <i/>
        <sz val="11"/>
        <color theme="0"/>
        <rFont val="Calibri"/>
        <family val="2"/>
        <scheme val="minor"/>
      </rPr>
      <t>type</t>
    </r>
    <r>
      <rPr>
        <b/>
        <sz val="11"/>
        <color theme="0"/>
        <rFont val="Calibri"/>
        <family val="2"/>
        <scheme val="minor"/>
      </rPr>
      <t>)</t>
    </r>
  </si>
  <si>
    <t>Nilai yang akan datang</t>
  </si>
  <si>
    <t>PMT</t>
  </si>
  <si>
    <t>=PMT(bunga;waktu;pinjaman;nilai akan datang;tipe pembayaran)</t>
  </si>
  <si>
    <t>-  menghitung nilai pembayaran angsuran pinjaman (cicilan pokok pinjaman +</t>
  </si>
  <si>
    <t>bunga) pada sistem bunga Efektif</t>
  </si>
  <si>
    <r>
      <t>Tingkat Suku Bunga Pinjaman per Bulan (</t>
    </r>
    <r>
      <rPr>
        <b/>
        <i/>
        <sz val="11"/>
        <color theme="0"/>
        <rFont val="Calibri"/>
        <family val="2"/>
        <scheme val="minor"/>
      </rPr>
      <t>rate</t>
    </r>
    <r>
      <rPr>
        <b/>
        <sz val="11"/>
        <color theme="0"/>
        <rFont val="Calibri"/>
        <family val="2"/>
        <scheme val="minor"/>
      </rPr>
      <t>)</t>
    </r>
  </si>
  <si>
    <r>
      <t>Jumlah Periode Pembayaran (</t>
    </r>
    <r>
      <rPr>
        <b/>
        <i/>
        <sz val="11"/>
        <color theme="0"/>
        <rFont val="Calibri"/>
        <family val="2"/>
        <scheme val="minor"/>
      </rPr>
      <t>nper</t>
    </r>
    <r>
      <rPr>
        <b/>
        <sz val="11"/>
        <color theme="0"/>
        <rFont val="Calibri"/>
        <family val="2"/>
        <scheme val="minor"/>
      </rPr>
      <t>)</t>
    </r>
  </si>
  <si>
    <r>
      <t>Nilai Pinjaman (</t>
    </r>
    <r>
      <rPr>
        <b/>
        <i/>
        <sz val="11"/>
        <color theme="0"/>
        <rFont val="Calibri"/>
        <family val="2"/>
        <scheme val="minor"/>
      </rPr>
      <t>pv</t>
    </r>
    <r>
      <rPr>
        <b/>
        <sz val="11"/>
        <color theme="0"/>
        <rFont val="Calibri"/>
        <family val="2"/>
        <scheme val="minor"/>
      </rPr>
      <t>)</t>
    </r>
  </si>
  <si>
    <t>Nilai pembayaran angsuran</t>
  </si>
  <si>
    <t>Harga per meter</t>
  </si>
  <si>
    <t>TABEL DATA - INPUT KOLOM dan BARIS</t>
  </si>
  <si>
    <t>Perubahan Harga</t>
  </si>
  <si>
    <r>
      <t>Perubahan Luas (m</t>
    </r>
    <r>
      <rPr>
        <b/>
        <vertAlign val="super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>)</t>
    </r>
  </si>
  <si>
    <t xml:space="preserve"> Harga Tanah</t>
  </si>
  <si>
    <r>
      <t>Luas tanah (m</t>
    </r>
    <r>
      <rPr>
        <b/>
        <vertAlign val="super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>)</t>
    </r>
  </si>
  <si>
    <r>
      <t xml:space="preserve"> Harga per m</t>
    </r>
    <r>
      <rPr>
        <b/>
        <vertAlign val="superscript"/>
        <sz val="11"/>
        <color theme="0"/>
        <rFont val="Calibri"/>
        <family val="2"/>
        <scheme val="minor"/>
      </rPr>
      <t>2</t>
    </r>
  </si>
  <si>
    <r>
      <t xml:space="preserve"> Luas (m</t>
    </r>
    <r>
      <rPr>
        <b/>
        <vertAlign val="super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>)</t>
    </r>
  </si>
  <si>
    <t>1. sorot atau blok range G4:L12</t>
  </si>
  <si>
    <r>
      <rPr>
        <b/>
        <sz val="11"/>
        <color theme="0"/>
        <rFont val="Calibri"/>
        <family val="2"/>
        <scheme val="minor"/>
      </rPr>
      <t>Tawaran / m</t>
    </r>
    <r>
      <rPr>
        <b/>
        <vertAlign val="superscript"/>
        <sz val="11"/>
        <color theme="0"/>
        <rFont val="Calibri"/>
        <family val="2"/>
        <scheme val="minor"/>
      </rPr>
      <t>2</t>
    </r>
  </si>
  <si>
    <t>2. aktifkan fasilitas Data Table, dan isi kotak</t>
  </si>
  <si>
    <t xml:space="preserve"> dialog sehingga seperti berikut ini, </t>
  </si>
  <si>
    <t>3. akhiri klik tombol perintah OK</t>
  </si>
  <si>
    <r>
      <t>Luas Tanah (m</t>
    </r>
    <r>
      <rPr>
        <b/>
        <vertAlign val="super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>)</t>
    </r>
  </si>
  <si>
    <r>
      <t>Harga Tanah (m</t>
    </r>
    <r>
      <rPr>
        <b/>
        <vertAlign val="superscript"/>
        <sz val="11"/>
        <color theme="0"/>
        <rFont val="Calibri"/>
        <family val="2"/>
        <scheme val="minor"/>
      </rPr>
      <t>2</t>
    </r>
    <r>
      <rPr>
        <b/>
        <sz val="11"/>
        <color theme="0"/>
        <rFont val="Calibri"/>
        <family val="2"/>
        <scheme val="minor"/>
      </rPr>
      <t>)</t>
    </r>
  </si>
  <si>
    <t>Jumlah Barang</t>
  </si>
  <si>
    <t>% Penjualan pada Harga Tertinggi</t>
  </si>
  <si>
    <t>Laba per Unit</t>
  </si>
  <si>
    <t>Jumlah Laba</t>
  </si>
  <si>
    <t>Harga Jual</t>
  </si>
  <si>
    <t>Tertinggi</t>
  </si>
  <si>
    <t>Lebih rendah</t>
  </si>
  <si>
    <t>Kenaikan Laba Harga Tertinggi</t>
  </si>
  <si>
    <t>Laba</t>
  </si>
  <si>
    <t>Laba per Unit (Harga Tertinggi)</t>
  </si>
  <si>
    <t>Beban</t>
  </si>
  <si>
    <t>Pertumbuhan</t>
  </si>
  <si>
    <t>&lt;&lt; cell link</t>
  </si>
  <si>
    <t>Apa artinya?</t>
  </si>
  <si>
    <t>Pilih % penjualan pada harga tertinggi</t>
  </si>
  <si>
    <t>Pilih laba per unit pada harga tertinggi</t>
  </si>
  <si>
    <t>Jumlah laba yang diperoleh</t>
  </si>
  <si>
    <t>&lt;&lt; =(D7*E7)+(D8*E8)</t>
  </si>
  <si>
    <t>LABA dan HARGA JUAL</t>
  </si>
  <si>
    <t>&lt;&lt; =D3+(D3*D4)-(D3*D5)</t>
  </si>
  <si>
    <t>Kenaikan Beban</t>
  </si>
  <si>
    <t xml:space="preserve"> Pertumbuhan</t>
  </si>
  <si>
    <t xml:space="preserve"> Proyeksi Penjualan</t>
  </si>
  <si>
    <r>
      <rPr>
        <b/>
        <sz val="11"/>
        <color rgb="FF2313F1"/>
        <rFont val="Calibri"/>
        <family val="2"/>
        <scheme val="minor"/>
      </rPr>
      <t>Pilih :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color theme="0"/>
        <rFont val="Calibri"/>
        <family val="2"/>
        <scheme val="minor"/>
      </rPr>
      <t>Kenaikan Beban</t>
    </r>
  </si>
  <si>
    <t>Nilai awal yang dikehendaki</t>
  </si>
  <si>
    <t>Kenaikan</t>
  </si>
  <si>
    <t>1. sorot atau blok range F4:G15</t>
  </si>
  <si>
    <t>Pilih nilai mendatang</t>
  </si>
  <si>
    <t>Jumlah harus yang ditabung saat ini</t>
  </si>
  <si>
    <t>Kenaikan suku bunga</t>
  </si>
  <si>
    <t>1. sorot atau blok range G3:M14</t>
  </si>
  <si>
    <t xml:space="preserve"> Silakan pilih nilai yang akan datang</t>
  </si>
  <si>
    <t xml:space="preserve"> Pilih tingkat suku bunga tabungan</t>
  </si>
  <si>
    <t>Bunga pinjaman per tahun</t>
  </si>
  <si>
    <t>Jangka waktu pinjam</t>
  </si>
  <si>
    <t>Jumlah pinjaman</t>
  </si>
  <si>
    <t>Angsuran/bln</t>
  </si>
  <si>
    <t>Jangka waktu</t>
  </si>
  <si>
    <t>&lt;&lt; =-PMT(D3/12;D4;D5)</t>
  </si>
  <si>
    <t>Tabel Angsuran per Bulan</t>
  </si>
  <si>
    <t xml:space="preserve">Kenaikan bunga </t>
  </si>
  <si>
    <t>=-PMT(E3/12;E4;E5) &gt;&gt;</t>
  </si>
  <si>
    <t>Pilih jangka waktu pinjam:</t>
  </si>
  <si>
    <t xml:space="preserve">dialog sehingga seperti berikut ini, </t>
  </si>
  <si>
    <t>1. sorot atau blok range C8:D18</t>
  </si>
  <si>
    <t>Nilai yang harus ditabung saat ini</t>
  </si>
  <si>
    <t>1. sorot atau blok range D10:I20</t>
  </si>
  <si>
    <t>Pilih: bunga pinjaman per tahun</t>
  </si>
  <si>
    <t>jangka waktu pinjam</t>
  </si>
  <si>
    <t>Angsuran per bulan</t>
  </si>
  <si>
    <r>
      <rPr>
        <b/>
        <u/>
        <sz val="11"/>
        <rFont val="Calibri"/>
        <family val="2"/>
        <scheme val="minor"/>
      </rPr>
      <t>C</t>
    </r>
    <r>
      <rPr>
        <b/>
        <sz val="11"/>
        <rFont val="Calibri"/>
        <family val="2"/>
        <scheme val="minor"/>
      </rPr>
      <t>olumn input cell:</t>
    </r>
  </si>
  <si>
    <t>1. sorot atau blok range F4:G14</t>
  </si>
  <si>
    <t>Pokok Pinjaman</t>
  </si>
  <si>
    <t>=</t>
  </si>
  <si>
    <t>Cicilan Pokok</t>
  </si>
  <si>
    <t>Bunga</t>
  </si>
  <si>
    <t>ANGSURAN PINJAMAN - BUNGA TETAP (FLAT)</t>
  </si>
  <si>
    <t>Bunga per Tahun</t>
  </si>
  <si>
    <t>+</t>
  </si>
  <si>
    <t>Angsuran/bulan</t>
  </si>
  <si>
    <t>1. sorot atau blok range F4:G20</t>
  </si>
  <si>
    <t>3. isi alamat sel D3 dengan tampilan</t>
  </si>
  <si>
    <t>&lt;&lt; =D5/D4+(D5*D3/12)</t>
  </si>
  <si>
    <t>2. aktifkan fasilitas Data Table, isi</t>
  </si>
  <si>
    <t xml:space="preserve"> kotak dialog seperti gambar berikut,</t>
  </si>
  <si>
    <t>Pinjaman</t>
  </si>
  <si>
    <t>1. sorot atau blok range G4:L20</t>
  </si>
  <si>
    <t>INVESTASI (VARIASI DEPOSITO DAN SUKU BUNGA)</t>
  </si>
  <si>
    <t>Deposito tahunan awal</t>
  </si>
  <si>
    <t>Kenaikan bunga deposito</t>
  </si>
  <si>
    <t>Pilih Deposito Tahunan</t>
  </si>
  <si>
    <t xml:space="preserve">   Bunga Deposito</t>
  </si>
  <si>
    <t>Nilai investasi berjumlah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</si>
</sst>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8" formatCode="&quot;Rp&quot;#,##0.00_);[Red]\(&quot;Rp&quot;#,##0.00\)"/>
    <numFmt numFmtId="41" formatCode="_(* #,##0_);_(* \(#,##0\);_(* &quot;-&quot;_);_(@_)"/>
    <numFmt numFmtId="43" formatCode="_(* #,##0.00_);_(* \(#,##0.00\);_(* &quot;-&quot;??_);_(@_)"/>
    <numFmt numFmtId="164" formatCode="&quot;$&quot;#,##0.00_);[Red]\(&quot;$&quot;#,##0.00\)"/>
    <numFmt numFmtId="165" formatCode="0.0%"/>
    <numFmt numFmtId="166" formatCode="_-* #,##0_-;\-* #,##0_-;_-* &quot;-&quot;_-;_-@_-"/>
    <numFmt numFmtId="167" formatCode="_-* #,##0.00_-;\-* #,##0.00_-;_-* &quot;-&quot;??_-;_-@_-"/>
    <numFmt numFmtId="168" formatCode="_-&quot;£&quot;* #,##0_-;\-&quot;£&quot;* #,##0_-;_-&quot;£&quot;* &quot;-&quot;_-;_-@_-"/>
    <numFmt numFmtId="169" formatCode="_-&quot;£&quot;* #,##0.00_-;\-&quot;£&quot;* #,##0.00_-;_-&quot;£&quot;* &quot;-&quot;??_-;_-@_-"/>
    <numFmt numFmtId="170" formatCode="#,##0\ &quot;bulan&quot;"/>
    <numFmt numFmtId="171" formatCode="&quot;$&quot;#,##0"/>
    <numFmt numFmtId="172" formatCode="0.00000%"/>
    <numFmt numFmtId="173" formatCode="#,##0\ &quot;tahun&quot;"/>
    <numFmt numFmtId="174" formatCode="&quot;Luas &quot;#,##0"/>
    <numFmt numFmtId="175" formatCode="#,##0\ &quot;Tahun &quot;"/>
    <numFmt numFmtId="176" formatCode="#,##0\ &quot;kali &quot;"/>
    <numFmt numFmtId="177" formatCode="#,##0\ &quot;unit &quot;"/>
    <numFmt numFmtId="178" formatCode="General\ &quot;bulan&quot;"/>
  </numFmts>
  <fonts count="49" x14ac:knownFonts="1">
    <font>
      <sz val="10"/>
      <name val="Arial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8"/>
      <name val="Tahoma"/>
      <family val="2"/>
    </font>
    <font>
      <sz val="8"/>
      <name val="Verdana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u/>
      <sz val="8"/>
      <color indexed="8"/>
      <name val="Tahoma"/>
      <family val="2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b/>
      <sz val="8"/>
      <color indexed="63"/>
      <name val="Verdana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4"/>
      <color rgb="FF2313F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rgb="FF00B050"/>
      <name val="Calibri"/>
      <family val="2"/>
      <scheme val="minor"/>
    </font>
    <font>
      <b/>
      <sz val="11"/>
      <color indexed="9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Arial Narrow"/>
      <family val="2"/>
    </font>
    <font>
      <u/>
      <sz val="11"/>
      <color theme="10"/>
      <name val="Arial Narrow"/>
      <family val="2"/>
    </font>
    <font>
      <u/>
      <sz val="11"/>
      <color indexed="12"/>
      <name val="Arial Narrow"/>
      <family val="2"/>
    </font>
    <font>
      <u/>
      <sz val="11"/>
      <color indexed="12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1"/>
      <color rgb="FF2313F1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vertAlign val="superscript"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170BB5"/>
      <name val="Calibri"/>
      <family val="2"/>
      <scheme val="minor"/>
    </font>
    <font>
      <i/>
      <sz val="11"/>
      <color rgb="FF170BB5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rgb="FF2313F1"/>
      <name val="Calibri"/>
      <family val="2"/>
      <scheme val="minor"/>
    </font>
    <font>
      <sz val="11"/>
      <color rgb="FF170BB5"/>
      <name val="Calibri"/>
      <family val="2"/>
      <scheme val="minor"/>
    </font>
  </fonts>
  <fills count="49">
    <fill>
      <patternFill patternType="none"/>
    </fill>
    <fill>
      <patternFill patternType="gray125"/>
    </fill>
    <fill>
      <patternFill patternType="solid">
        <fgColor indexed="58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CC99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medium">
        <color indexed="12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rgb="FF00B050"/>
      </bottom>
      <diagonal/>
    </border>
    <border>
      <left style="thin">
        <color theme="0"/>
      </left>
      <right/>
      <top style="thin">
        <color theme="0"/>
      </top>
      <bottom style="thin">
        <color theme="0" tint="-4.9989318521683403E-2"/>
      </bottom>
      <diagonal/>
    </border>
  </borders>
  <cellStyleXfs count="124">
    <xf numFmtId="0" fontId="0" fillId="0" borderId="0"/>
    <xf numFmtId="41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2" borderId="0"/>
    <xf numFmtId="16" fontId="4" fillId="0" borderId="0" applyNumberFormat="0" applyFont="0" applyFill="0" applyBorder="0">
      <alignment horizontal="left"/>
    </xf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6" fillId="6" borderId="1" applyBorder="0" applyProtection="0">
      <alignment vertical="center"/>
    </xf>
    <xf numFmtId="0" fontId="7" fillId="7" borderId="0" applyBorder="0">
      <alignment horizontal="left" vertical="center" indent="1"/>
    </xf>
    <xf numFmtId="37" fontId="8" fillId="3" borderId="2" applyBorder="0">
      <alignment horizontal="left" vertical="center" indent="1"/>
    </xf>
    <xf numFmtId="37" fontId="9" fillId="0" borderId="3">
      <alignment vertical="center"/>
    </xf>
    <xf numFmtId="0" fontId="9" fillId="8" borderId="4" applyNumberFormat="0">
      <alignment horizontal="left" vertical="top" indent="1"/>
    </xf>
    <xf numFmtId="0" fontId="9" fillId="6" borderId="0" applyBorder="0">
      <alignment horizontal="left" vertical="center" indent="1"/>
    </xf>
    <xf numFmtId="0" fontId="9" fillId="0" borderId="4" applyNumberFormat="0" applyFill="0">
      <alignment horizontal="centerContinuous" vertical="top"/>
    </xf>
    <xf numFmtId="0" fontId="10" fillId="6" borderId="5" applyNumberFormat="0" applyBorder="0">
      <alignment horizontal="left" vertical="center" indent="1"/>
    </xf>
    <xf numFmtId="0" fontId="11" fillId="4" borderId="0">
      <alignment horizontal="left" indent="1"/>
    </xf>
    <xf numFmtId="0" fontId="12" fillId="7" borderId="0">
      <alignment horizontal="left" indent="1"/>
    </xf>
    <xf numFmtId="0" fontId="13" fillId="7" borderId="0" applyBorder="0">
      <alignment horizontal="left" vertical="center" indent="1"/>
    </xf>
    <xf numFmtId="0" fontId="1" fillId="0" borderId="0"/>
    <xf numFmtId="0" fontId="1" fillId="0" borderId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9" fillId="15" borderId="0" applyNumberFormat="0" applyBorder="0" applyAlignment="0" applyProtection="0"/>
    <xf numFmtId="0" fontId="19" fillId="25" borderId="0" applyNumberFormat="0" applyBorder="0" applyAlignment="0" applyProtection="0"/>
    <xf numFmtId="0" fontId="15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5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5" fillId="32" borderId="0" applyNumberFormat="0" applyBorder="0" applyAlignment="0" applyProtection="0"/>
    <xf numFmtId="0" fontId="19" fillId="16" borderId="0" applyNumberFormat="0" applyBorder="0" applyAlignment="0" applyProtection="0"/>
    <xf numFmtId="0" fontId="19" fillId="33" borderId="0" applyNumberFormat="0" applyBorder="0" applyAlignment="0" applyProtection="0"/>
    <xf numFmtId="0" fontId="15" fillId="34" borderId="0" applyNumberFormat="0" applyBorder="0" applyAlignment="0" applyProtection="0"/>
    <xf numFmtId="41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1" fillId="0" borderId="0">
      <alignment horizontal="left" vertical="center" indent="1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3" fillId="0" borderId="12" applyNumberFormat="0" applyFill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5" fillId="14" borderId="13" applyNumberFormat="0" applyAlignment="0" applyProtection="0"/>
    <xf numFmtId="0" fontId="2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6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horizontal="left" indent="1"/>
    </xf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342">
    <xf numFmtId="0" fontId="0" fillId="0" borderId="0" xfId="0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right" vertical="center" indent="1"/>
    </xf>
    <xf numFmtId="0" fontId="15" fillId="0" borderId="0" xfId="4" applyFont="1" applyAlignment="1">
      <alignment vertical="center"/>
    </xf>
    <xf numFmtId="37" fontId="14" fillId="0" borderId="0" xfId="0" applyNumberFormat="1" applyFont="1" applyAlignment="1">
      <alignment horizontal="right" vertical="center"/>
    </xf>
    <xf numFmtId="0" fontId="14" fillId="13" borderId="0" xfId="0" applyFont="1" applyFill="1" applyAlignment="1">
      <alignment vertical="center"/>
    </xf>
    <xf numFmtId="0" fontId="14" fillId="13" borderId="0" xfId="0" applyFont="1" applyFill="1" applyAlignment="1">
      <alignment horizontal="left" vertical="center" indent="1"/>
    </xf>
    <xf numFmtId="0" fontId="16" fillId="13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3" fontId="14" fillId="12" borderId="10" xfId="1" applyNumberFormat="1" applyFont="1" applyFill="1" applyBorder="1" applyAlignment="1">
      <alignment horizontal="right" vertical="center" indent="1"/>
    </xf>
    <xf numFmtId="170" fontId="14" fillId="12" borderId="10" xfId="0" applyNumberFormat="1" applyFont="1" applyFill="1" applyBorder="1" applyAlignment="1">
      <alignment horizontal="right" vertical="center" indent="1"/>
    </xf>
    <xf numFmtId="10" fontId="14" fillId="12" borderId="10" xfId="0" applyNumberFormat="1" applyFont="1" applyFill="1" applyBorder="1" applyAlignment="1">
      <alignment horizontal="right" vertical="center" indent="1"/>
    </xf>
    <xf numFmtId="0" fontId="14" fillId="12" borderId="0" xfId="0" applyFont="1" applyFill="1" applyAlignment="1">
      <alignment vertical="center"/>
    </xf>
    <xf numFmtId="3" fontId="14" fillId="12" borderId="10" xfId="0" applyNumberFormat="1" applyFont="1" applyFill="1" applyBorder="1" applyAlignment="1">
      <alignment horizontal="right" vertical="center" indent="1"/>
    </xf>
    <xf numFmtId="0" fontId="14" fillId="0" borderId="0" xfId="0" applyFont="1" applyBorder="1" applyAlignment="1">
      <alignment vertical="center"/>
    </xf>
    <xf numFmtId="3" fontId="14" fillId="12" borderId="0" xfId="0" applyNumberFormat="1" applyFont="1" applyFill="1" applyAlignment="1">
      <alignment horizontal="right" vertical="center" indent="1"/>
    </xf>
    <xf numFmtId="37" fontId="14" fillId="12" borderId="0" xfId="1" applyNumberFormat="1" applyFont="1" applyFill="1" applyBorder="1" applyAlignment="1">
      <alignment horizontal="right" vertical="center" indent="1"/>
    </xf>
    <xf numFmtId="0" fontId="15" fillId="0" borderId="0" xfId="0" applyFont="1" applyBorder="1" applyAlignment="1">
      <alignment vertical="center"/>
    </xf>
    <xf numFmtId="37" fontId="14" fillId="10" borderId="10" xfId="0" applyNumberFormat="1" applyFont="1" applyFill="1" applyBorder="1" applyAlignment="1">
      <alignment vertical="center"/>
    </xf>
    <xf numFmtId="0" fontId="16" fillId="13" borderId="9" xfId="0" applyFont="1" applyFill="1" applyBorder="1" applyAlignment="1">
      <alignment vertical="center"/>
    </xf>
    <xf numFmtId="3" fontId="17" fillId="5" borderId="11" xfId="1" applyNumberFormat="1" applyFont="1" applyFill="1" applyBorder="1" applyAlignment="1">
      <alignment horizontal="right" vertical="center" indent="1"/>
    </xf>
    <xf numFmtId="0" fontId="14" fillId="10" borderId="9" xfId="0" applyFont="1" applyFill="1" applyBorder="1" applyAlignment="1">
      <alignment vertical="center"/>
    </xf>
    <xf numFmtId="0" fontId="16" fillId="13" borderId="11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37" fontId="14" fillId="10" borderId="0" xfId="0" applyNumberFormat="1" applyFont="1" applyFill="1" applyBorder="1" applyAlignment="1">
      <alignment vertical="center"/>
    </xf>
    <xf numFmtId="37" fontId="14" fillId="10" borderId="0" xfId="0" applyNumberFormat="1" applyFont="1" applyFill="1" applyAlignment="1">
      <alignment vertical="center"/>
    </xf>
    <xf numFmtId="0" fontId="16" fillId="13" borderId="0" xfId="0" applyFont="1" applyFill="1" applyAlignment="1">
      <alignment horizontal="left" vertical="center" indent="1"/>
    </xf>
    <xf numFmtId="0" fontId="14" fillId="0" borderId="0" xfId="0" applyFont="1"/>
    <xf numFmtId="0" fontId="27" fillId="0" borderId="0" xfId="0" applyFont="1"/>
    <xf numFmtId="0" fontId="14" fillId="1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6" fillId="13" borderId="0" xfId="0" applyFont="1" applyFill="1" applyBorder="1" applyAlignment="1">
      <alignment horizontal="left" vertical="center" indent="1"/>
    </xf>
    <xf numFmtId="0" fontId="16" fillId="13" borderId="0" xfId="0" applyFont="1" applyFill="1" applyBorder="1" applyAlignment="1">
      <alignment horizontal="right" vertical="center"/>
    </xf>
    <xf numFmtId="10" fontId="14" fillId="12" borderId="0" xfId="0" applyNumberFormat="1" applyFont="1" applyFill="1" applyBorder="1" applyAlignment="1">
      <alignment horizontal="right" vertical="center" indent="1"/>
    </xf>
    <xf numFmtId="173" fontId="14" fillId="12" borderId="0" xfId="0" applyNumberFormat="1" applyFont="1" applyFill="1" applyBorder="1" applyAlignment="1">
      <alignment horizontal="right" vertical="center" indent="1"/>
    </xf>
    <xf numFmtId="3" fontId="14" fillId="12" borderId="0" xfId="0" applyNumberFormat="1" applyFont="1" applyFill="1" applyBorder="1" applyAlignment="1">
      <alignment horizontal="right" vertical="center" indent="1"/>
    </xf>
    <xf numFmtId="0" fontId="18" fillId="0" borderId="0" xfId="0" applyFont="1"/>
    <xf numFmtId="0" fontId="28" fillId="13" borderId="10" xfId="0" applyFont="1" applyFill="1" applyBorder="1" applyAlignment="1">
      <alignment horizontal="center" vertical="center"/>
    </xf>
    <xf numFmtId="3" fontId="14" fillId="10" borderId="10" xfId="0" applyNumberFormat="1" applyFont="1" applyFill="1" applyBorder="1" applyAlignment="1">
      <alignment horizontal="right" vertical="center" indent="1"/>
    </xf>
    <xf numFmtId="0" fontId="28" fillId="13" borderId="7" xfId="0" applyFont="1" applyFill="1" applyBorder="1" applyAlignment="1">
      <alignment horizontal="center" vertical="center"/>
    </xf>
    <xf numFmtId="3" fontId="17" fillId="5" borderId="17" xfId="0" quotePrefix="1" applyNumberFormat="1" applyFont="1" applyFill="1" applyBorder="1" applyAlignment="1">
      <alignment horizontal="right" vertical="center" indent="1"/>
    </xf>
    <xf numFmtId="3" fontId="14" fillId="12" borderId="0" xfId="0" applyNumberFormat="1" applyFont="1" applyFill="1" applyAlignment="1">
      <alignment horizontal="right" indent="1"/>
    </xf>
    <xf numFmtId="37" fontId="14" fillId="12" borderId="0" xfId="0" applyNumberFormat="1" applyFont="1" applyFill="1" applyBorder="1" applyAlignment="1">
      <alignment horizontal="right" vertical="center" indent="1"/>
    </xf>
    <xf numFmtId="173" fontId="14" fillId="12" borderId="10" xfId="0" applyNumberFormat="1" applyFont="1" applyFill="1" applyBorder="1" applyAlignment="1">
      <alignment horizontal="right" vertical="center" indent="1"/>
    </xf>
    <xf numFmtId="0" fontId="14" fillId="12" borderId="10" xfId="0" applyFont="1" applyFill="1" applyBorder="1" applyAlignment="1">
      <alignment horizontal="right" vertical="center" indent="1"/>
    </xf>
    <xf numFmtId="10" fontId="16" fillId="13" borderId="8" xfId="0" applyNumberFormat="1" applyFont="1" applyFill="1" applyBorder="1" applyAlignment="1">
      <alignment horizontal="center" vertical="center"/>
    </xf>
    <xf numFmtId="10" fontId="16" fillId="13" borderId="15" xfId="0" applyNumberFormat="1" applyFont="1" applyFill="1" applyBorder="1" applyAlignment="1">
      <alignment horizontal="center" vertical="center"/>
    </xf>
    <xf numFmtId="37" fontId="14" fillId="12" borderId="6" xfId="0" applyNumberFormat="1" applyFont="1" applyFill="1" applyBorder="1" applyAlignment="1">
      <alignment horizontal="right" vertical="center" indent="1"/>
    </xf>
    <xf numFmtId="0" fontId="14" fillId="9" borderId="9" xfId="0" applyFont="1" applyFill="1" applyBorder="1" applyAlignment="1">
      <alignment vertical="center"/>
    </xf>
    <xf numFmtId="37" fontId="16" fillId="11" borderId="8" xfId="0" applyNumberFormat="1" applyFont="1" applyFill="1" applyBorder="1" applyAlignment="1">
      <alignment horizontal="center" vertical="center"/>
    </xf>
    <xf numFmtId="10" fontId="16" fillId="13" borderId="9" xfId="0" applyNumberFormat="1" applyFont="1" applyFill="1" applyBorder="1" applyAlignment="1">
      <alignment horizontal="center" vertical="center"/>
    </xf>
    <xf numFmtId="37" fontId="14" fillId="12" borderId="0" xfId="0" applyNumberFormat="1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16" fillId="13" borderId="0" xfId="0" applyFont="1" applyFill="1" applyAlignment="1">
      <alignment horizontal="left" vertical="center" indent="1"/>
    </xf>
    <xf numFmtId="0" fontId="14" fillId="0" borderId="0" xfId="0" applyFont="1" applyAlignment="1">
      <alignment horizontal="left" vertical="center" indent="1"/>
    </xf>
    <xf numFmtId="0" fontId="14" fillId="0" borderId="0" xfId="0" applyFont="1" applyAlignment="1">
      <alignment horizontal="left" indent="2"/>
    </xf>
    <xf numFmtId="8" fontId="14" fillId="10" borderId="0" xfId="0" quotePrefix="1" applyNumberFormat="1" applyFont="1" applyFill="1" applyAlignment="1">
      <alignment horizontal="left" vertical="center" indent="1"/>
    </xf>
    <xf numFmtId="0" fontId="14" fillId="10" borderId="0" xfId="0" quotePrefix="1" applyFont="1" applyFill="1" applyAlignment="1">
      <alignment horizontal="left" vertical="center" indent="1"/>
    </xf>
    <xf numFmtId="0" fontId="16" fillId="13" borderId="15" xfId="0" applyFont="1" applyFill="1" applyBorder="1" applyAlignment="1">
      <alignment horizontal="center" vertical="center"/>
    </xf>
    <xf numFmtId="0" fontId="16" fillId="13" borderId="9" xfId="0" applyFont="1" applyFill="1" applyBorder="1" applyAlignment="1">
      <alignment horizontal="center" vertical="center"/>
    </xf>
    <xf numFmtId="0" fontId="14" fillId="10" borderId="14" xfId="0" applyFont="1" applyFill="1" applyBorder="1" applyAlignment="1">
      <alignment horizontal="center" vertical="center"/>
    </xf>
    <xf numFmtId="0" fontId="14" fillId="13" borderId="7" xfId="0" applyFont="1" applyFill="1" applyBorder="1" applyAlignment="1">
      <alignment vertical="center"/>
    </xf>
    <xf numFmtId="3" fontId="14" fillId="12" borderId="16" xfId="0" applyNumberFormat="1" applyFont="1" applyFill="1" applyBorder="1" applyAlignment="1">
      <alignment horizontal="right" vertical="center" indent="1"/>
    </xf>
    <xf numFmtId="0" fontId="16" fillId="13" borderId="0" xfId="0" applyFont="1" applyFill="1" applyAlignment="1">
      <alignment horizontal="right" vertical="center" indent="3"/>
    </xf>
    <xf numFmtId="3" fontId="17" fillId="0" borderId="0" xfId="1" applyNumberFormat="1" applyFont="1" applyFill="1" applyBorder="1" applyAlignment="1">
      <alignment horizontal="right" vertical="center" indent="1"/>
    </xf>
    <xf numFmtId="3" fontId="14" fillId="0" borderId="0" xfId="0" quotePrefix="1" applyNumberFormat="1" applyFont="1" applyFill="1" applyBorder="1" applyAlignment="1">
      <alignment vertical="center"/>
    </xf>
    <xf numFmtId="0" fontId="14" fillId="0" borderId="0" xfId="0" quotePrefix="1" applyFont="1" applyAlignment="1">
      <alignment vertical="center"/>
    </xf>
    <xf numFmtId="37" fontId="14" fillId="0" borderId="0" xfId="0" applyNumberFormat="1" applyFont="1" applyAlignment="1">
      <alignment vertical="center"/>
    </xf>
    <xf numFmtId="174" fontId="14" fillId="0" borderId="0" xfId="0" applyNumberFormat="1" applyFont="1" applyAlignment="1"/>
    <xf numFmtId="37" fontId="14" fillId="12" borderId="10" xfId="0" applyNumberFormat="1" applyFont="1" applyFill="1" applyBorder="1" applyAlignment="1">
      <alignment vertical="center"/>
    </xf>
    <xf numFmtId="0" fontId="14" fillId="0" borderId="9" xfId="0" applyFont="1" applyBorder="1" applyAlignment="1">
      <alignment vertical="center"/>
    </xf>
    <xf numFmtId="37" fontId="14" fillId="39" borderId="0" xfId="0" applyNumberFormat="1" applyFont="1" applyFill="1" applyAlignment="1">
      <alignment vertical="center"/>
    </xf>
    <xf numFmtId="37" fontId="14" fillId="41" borderId="0" xfId="0" applyNumberFormat="1" applyFont="1" applyFill="1" applyAlignment="1">
      <alignment vertical="center"/>
    </xf>
    <xf numFmtId="0" fontId="16" fillId="5" borderId="7" xfId="0" applyFont="1" applyFill="1" applyBorder="1" applyAlignment="1">
      <alignment horizontal="center" vertical="center"/>
    </xf>
    <xf numFmtId="37" fontId="14" fillId="39" borderId="21" xfId="0" applyNumberFormat="1" applyFont="1" applyFill="1" applyBorder="1" applyAlignment="1">
      <alignment vertical="center"/>
    </xf>
    <xf numFmtId="0" fontId="16" fillId="38" borderId="0" xfId="0" applyFont="1" applyFill="1" applyAlignment="1">
      <alignment horizontal="left" vertical="center" indent="1"/>
    </xf>
    <xf numFmtId="0" fontId="37" fillId="0" borderId="0" xfId="0" applyFont="1" applyAlignment="1">
      <alignment vertical="center"/>
    </xf>
    <xf numFmtId="37" fontId="16" fillId="38" borderId="0" xfId="0" applyNumberFormat="1" applyFont="1" applyFill="1" applyBorder="1" applyAlignment="1">
      <alignment horizontal="center" vertical="center"/>
    </xf>
    <xf numFmtId="0" fontId="16" fillId="5" borderId="9" xfId="0" applyFont="1" applyFill="1" applyBorder="1" applyAlignment="1">
      <alignment horizontal="center" vertical="center"/>
    </xf>
    <xf numFmtId="37" fontId="14" fillId="40" borderId="11" xfId="0" applyNumberFormat="1" applyFont="1" applyFill="1" applyBorder="1" applyAlignment="1">
      <alignment vertical="center"/>
    </xf>
    <xf numFmtId="0" fontId="14" fillId="0" borderId="9" xfId="0" applyFont="1" applyFill="1" applyBorder="1" applyAlignment="1">
      <alignment vertical="center"/>
    </xf>
    <xf numFmtId="0" fontId="16" fillId="42" borderId="0" xfId="0" applyFont="1" applyFill="1" applyAlignment="1">
      <alignment horizontal="left" vertical="center" indent="1"/>
    </xf>
    <xf numFmtId="0" fontId="16" fillId="13" borderId="0" xfId="0" applyFont="1" applyFill="1" applyAlignment="1">
      <alignment horizontal="center" vertical="center"/>
    </xf>
    <xf numFmtId="0" fontId="16" fillId="13" borderId="0" xfId="0" applyFont="1" applyFill="1" applyAlignment="1">
      <alignment horizontal="left" vertical="center" indent="1"/>
    </xf>
    <xf numFmtId="37" fontId="14" fillId="40" borderId="0" xfId="0" applyNumberFormat="1" applyFont="1" applyFill="1" applyAlignment="1">
      <alignment vertical="center"/>
    </xf>
    <xf numFmtId="37" fontId="14" fillId="0" borderId="0" xfId="0" applyNumberFormat="1" applyFont="1" applyFill="1" applyAlignment="1">
      <alignment vertical="center"/>
    </xf>
    <xf numFmtId="37" fontId="14" fillId="0" borderId="0" xfId="0" applyNumberFormat="1" applyFont="1" applyFill="1" applyBorder="1" applyAlignment="1">
      <alignment vertical="center"/>
    </xf>
    <xf numFmtId="37" fontId="14" fillId="0" borderId="14" xfId="0" applyNumberFormat="1" applyFont="1" applyFill="1" applyBorder="1" applyAlignment="1">
      <alignment vertical="center"/>
    </xf>
    <xf numFmtId="37" fontId="14" fillId="0" borderId="6" xfId="0" applyNumberFormat="1" applyFont="1" applyFill="1" applyBorder="1" applyAlignment="1">
      <alignment vertical="center"/>
    </xf>
    <xf numFmtId="37" fontId="16" fillId="0" borderId="0" xfId="0" applyNumberFormat="1" applyFont="1" applyFill="1" applyBorder="1" applyAlignment="1">
      <alignment horizontal="center" vertical="center"/>
    </xf>
    <xf numFmtId="37" fontId="15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39" fillId="13" borderId="0" xfId="0" applyFont="1" applyFill="1" applyAlignment="1">
      <alignment horizontal="left" vertical="center" indent="1"/>
    </xf>
    <xf numFmtId="37" fontId="16" fillId="13" borderId="20" xfId="0" applyNumberFormat="1" applyFont="1" applyFill="1" applyBorder="1" applyAlignment="1">
      <alignment horizontal="center" vertical="center"/>
    </xf>
    <xf numFmtId="37" fontId="16" fillId="13" borderId="7" xfId="0" applyNumberFormat="1" applyFont="1" applyFill="1" applyBorder="1" applyAlignment="1">
      <alignment horizontal="center" vertical="center"/>
    </xf>
    <xf numFmtId="0" fontId="16" fillId="13" borderId="9" xfId="0" applyFont="1" applyFill="1" applyBorder="1" applyAlignment="1">
      <alignment horizontal="left" vertical="center" indent="1"/>
    </xf>
    <xf numFmtId="0" fontId="16" fillId="45" borderId="9" xfId="0" applyFont="1" applyFill="1" applyBorder="1" applyAlignment="1">
      <alignment horizontal="left" vertical="center" indent="1"/>
    </xf>
    <xf numFmtId="0" fontId="16" fillId="45" borderId="11" xfId="0" applyFont="1" applyFill="1" applyBorder="1" applyAlignment="1">
      <alignment horizontal="left" vertical="center" indent="1"/>
    </xf>
    <xf numFmtId="3" fontId="16" fillId="5" borderId="9" xfId="0" applyNumberFormat="1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vertical="center"/>
    </xf>
    <xf numFmtId="174" fontId="14" fillId="0" borderId="0" xfId="0" applyNumberFormat="1" applyFont="1" applyBorder="1" applyAlignment="1"/>
    <xf numFmtId="0" fontId="14" fillId="6" borderId="0" xfId="0" applyFont="1" applyFill="1" applyAlignment="1">
      <alignment vertical="center"/>
    </xf>
    <xf numFmtId="0" fontId="14" fillId="6" borderId="0" xfId="0" applyFont="1" applyFill="1" applyBorder="1" applyAlignment="1">
      <alignment vertical="center"/>
    </xf>
    <xf numFmtId="0" fontId="14" fillId="6" borderId="0" xfId="0" applyFont="1" applyFill="1" applyBorder="1" applyAlignment="1">
      <alignment horizontal="center" vertical="center"/>
    </xf>
    <xf numFmtId="0" fontId="41" fillId="0" borderId="0" xfId="0" applyFont="1"/>
    <xf numFmtId="10" fontId="14" fillId="12" borderId="10" xfId="109" applyNumberFormat="1" applyFont="1" applyFill="1" applyBorder="1" applyAlignment="1">
      <alignment horizontal="right" vertical="center" indent="1"/>
    </xf>
    <xf numFmtId="175" fontId="14" fillId="12" borderId="10" xfId="0" applyNumberFormat="1" applyFont="1" applyFill="1" applyBorder="1" applyAlignment="1">
      <alignment horizontal="right" vertical="center" indent="1"/>
    </xf>
    <xf numFmtId="37" fontId="14" fillId="12" borderId="10" xfId="0" applyNumberFormat="1" applyFont="1" applyFill="1" applyBorder="1" applyAlignment="1">
      <alignment horizontal="right" vertical="center" indent="1"/>
    </xf>
    <xf numFmtId="0" fontId="14" fillId="12" borderId="11" xfId="109" applyNumberFormat="1" applyFont="1" applyFill="1" applyBorder="1" applyAlignment="1">
      <alignment horizontal="right" vertical="center" indent="1"/>
    </xf>
    <xf numFmtId="37" fontId="16" fillId="46" borderId="10" xfId="109" quotePrefix="1" applyNumberFormat="1" applyFont="1" applyFill="1" applyBorder="1" applyAlignment="1">
      <alignment horizontal="right" vertical="center"/>
    </xf>
    <xf numFmtId="8" fontId="31" fillId="6" borderId="9" xfId="0" quotePrefix="1" applyNumberFormat="1" applyFont="1" applyFill="1" applyBorder="1" applyAlignment="1">
      <alignment horizontal="center" vertical="center"/>
    </xf>
    <xf numFmtId="8" fontId="16" fillId="13" borderId="9" xfId="0" quotePrefix="1" applyNumberFormat="1" applyFont="1" applyFill="1" applyBorder="1" applyAlignment="1">
      <alignment horizontal="center" vertical="center"/>
    </xf>
    <xf numFmtId="0" fontId="15" fillId="13" borderId="0" xfId="0" applyFont="1" applyFill="1" applyAlignment="1">
      <alignment vertical="center"/>
    </xf>
    <xf numFmtId="37" fontId="14" fillId="39" borderId="6" xfId="0" applyNumberFormat="1" applyFont="1" applyFill="1" applyBorder="1" applyAlignment="1">
      <alignment vertical="center"/>
    </xf>
    <xf numFmtId="37" fontId="16" fillId="5" borderId="8" xfId="109" quotePrefix="1" applyNumberFormat="1" applyFont="1" applyFill="1" applyBorder="1" applyAlignment="1">
      <alignment horizontal="right" vertical="center"/>
    </xf>
    <xf numFmtId="37" fontId="14" fillId="0" borderId="10" xfId="0" applyNumberFormat="1" applyFont="1" applyFill="1" applyBorder="1" applyAlignment="1">
      <alignment vertical="center"/>
    </xf>
    <xf numFmtId="0" fontId="14" fillId="6" borderId="0" xfId="4" applyFont="1" applyFill="1" applyAlignment="1">
      <alignment vertical="center"/>
    </xf>
    <xf numFmtId="0" fontId="14" fillId="6" borderId="0" xfId="4" applyFont="1" applyFill="1" applyBorder="1" applyAlignment="1">
      <alignment vertical="center"/>
    </xf>
    <xf numFmtId="0" fontId="14" fillId="6" borderId="0" xfId="4" applyFont="1" applyFill="1" applyBorder="1" applyAlignment="1">
      <alignment horizontal="center" vertical="center"/>
    </xf>
    <xf numFmtId="0" fontId="14" fillId="0" borderId="0" xfId="4" applyFont="1" applyAlignment="1">
      <alignment vertical="center"/>
    </xf>
    <xf numFmtId="0" fontId="41" fillId="0" borderId="0" xfId="4" applyFont="1"/>
    <xf numFmtId="0" fontId="14" fillId="6" borderId="0" xfId="4" applyFont="1" applyFill="1" applyAlignment="1"/>
    <xf numFmtId="0" fontId="14" fillId="0" borderId="0" xfId="4" quotePrefix="1" applyFont="1" applyAlignment="1">
      <alignment vertical="center"/>
    </xf>
    <xf numFmtId="0" fontId="14" fillId="6" borderId="0" xfId="4" applyFont="1" applyFill="1" applyBorder="1" applyAlignment="1"/>
    <xf numFmtId="0" fontId="15" fillId="0" borderId="0" xfId="4" applyFont="1" applyAlignment="1"/>
    <xf numFmtId="0" fontId="14" fillId="0" borderId="0" xfId="4" applyFont="1" applyAlignment="1"/>
    <xf numFmtId="0" fontId="14" fillId="0" borderId="0" xfId="4" applyFont="1" applyAlignment="1">
      <alignment horizontal="left" vertical="center" indent="1"/>
    </xf>
    <xf numFmtId="0" fontId="14" fillId="0" borderId="0" xfId="4" applyFont="1"/>
    <xf numFmtId="0" fontId="16" fillId="13" borderId="0" xfId="4" applyFont="1" applyFill="1" applyAlignment="1">
      <alignment horizontal="left" vertical="center" indent="1"/>
    </xf>
    <xf numFmtId="0" fontId="16" fillId="13" borderId="0" xfId="4" applyFont="1" applyFill="1" applyAlignment="1">
      <alignment vertical="center"/>
    </xf>
    <xf numFmtId="0" fontId="14" fillId="6" borderId="22" xfId="4" applyFont="1" applyFill="1" applyBorder="1" applyAlignment="1">
      <alignment horizontal="center" vertical="center"/>
    </xf>
    <xf numFmtId="175" fontId="14" fillId="12" borderId="10" xfId="4" applyNumberFormat="1" applyFont="1" applyFill="1" applyBorder="1" applyAlignment="1">
      <alignment horizontal="right" vertical="center" indent="1"/>
    </xf>
    <xf numFmtId="0" fontId="14" fillId="12" borderId="0" xfId="4" applyFont="1" applyFill="1" applyAlignment="1">
      <alignment horizontal="center" vertical="center"/>
    </xf>
    <xf numFmtId="0" fontId="14" fillId="12" borderId="0" xfId="4" applyFont="1" applyFill="1" applyAlignment="1">
      <alignment horizontal="left" vertical="center" indent="2"/>
    </xf>
    <xf numFmtId="0" fontId="14" fillId="12" borderId="10" xfId="4" applyFont="1" applyFill="1" applyBorder="1" applyAlignment="1">
      <alignment horizontal="right" vertical="center" indent="1"/>
    </xf>
    <xf numFmtId="0" fontId="14" fillId="12" borderId="22" xfId="4" applyFont="1" applyFill="1" applyBorder="1" applyAlignment="1">
      <alignment horizontal="center" vertical="center"/>
    </xf>
    <xf numFmtId="0" fontId="14" fillId="12" borderId="22" xfId="4" applyFont="1" applyFill="1" applyBorder="1" applyAlignment="1">
      <alignment horizontal="left" vertical="center" indent="2"/>
    </xf>
    <xf numFmtId="0" fontId="42" fillId="0" borderId="0" xfId="4" applyFont="1" applyAlignment="1">
      <alignment vertical="center"/>
    </xf>
    <xf numFmtId="0" fontId="31" fillId="6" borderId="0" xfId="4" applyFont="1" applyFill="1" applyAlignment="1">
      <alignment vertical="center"/>
    </xf>
    <xf numFmtId="8" fontId="31" fillId="6" borderId="0" xfId="4" quotePrefix="1" applyNumberFormat="1" applyFont="1" applyFill="1" applyBorder="1" applyAlignment="1">
      <alignment horizontal="center" vertical="center"/>
    </xf>
    <xf numFmtId="0" fontId="41" fillId="0" borderId="0" xfId="4" applyFont="1" applyAlignment="1">
      <alignment vertical="center"/>
    </xf>
    <xf numFmtId="0" fontId="14" fillId="0" borderId="0" xfId="4" quotePrefix="1" applyFont="1" applyBorder="1" applyAlignment="1">
      <alignment vertical="center"/>
    </xf>
    <xf numFmtId="0" fontId="15" fillId="13" borderId="0" xfId="4" applyFont="1" applyFill="1" applyAlignment="1">
      <alignment vertical="center"/>
    </xf>
    <xf numFmtId="10" fontId="14" fillId="12" borderId="10" xfId="9" applyNumberFormat="1" applyFont="1" applyFill="1" applyBorder="1" applyAlignment="1">
      <alignment horizontal="left" vertical="center" indent="1"/>
    </xf>
    <xf numFmtId="0" fontId="15" fillId="6" borderId="0" xfId="4" applyFont="1" applyFill="1" applyAlignment="1">
      <alignment vertical="center"/>
    </xf>
    <xf numFmtId="0" fontId="31" fillId="6" borderId="22" xfId="4" applyFont="1" applyFill="1" applyBorder="1" applyAlignment="1">
      <alignment horizontal="center" vertical="center"/>
    </xf>
    <xf numFmtId="175" fontId="14" fillId="12" borderId="10" xfId="4" applyNumberFormat="1" applyFont="1" applyFill="1" applyBorder="1" applyAlignment="1">
      <alignment horizontal="left" vertical="center" indent="1"/>
    </xf>
    <xf numFmtId="0" fontId="14" fillId="12" borderId="0" xfId="4" applyFont="1" applyFill="1" applyAlignment="1">
      <alignment horizontal="left" vertical="center"/>
    </xf>
    <xf numFmtId="37" fontId="14" fillId="12" borderId="10" xfId="69" applyNumberFormat="1" applyFont="1" applyFill="1" applyBorder="1" applyAlignment="1">
      <alignment horizontal="left" vertical="center" indent="1"/>
    </xf>
    <xf numFmtId="0" fontId="14" fillId="12" borderId="22" xfId="4" applyFont="1" applyFill="1" applyBorder="1" applyAlignment="1">
      <alignment horizontal="left" vertical="center"/>
    </xf>
    <xf numFmtId="37" fontId="14" fillId="12" borderId="10" xfId="109" applyNumberFormat="1" applyFont="1" applyFill="1" applyBorder="1" applyAlignment="1">
      <alignment horizontal="left" vertical="center" indent="1"/>
    </xf>
    <xf numFmtId="0" fontId="16" fillId="13" borderId="9" xfId="4" applyFont="1" applyFill="1" applyBorder="1" applyAlignment="1">
      <alignment horizontal="left" vertical="center" indent="1"/>
    </xf>
    <xf numFmtId="0" fontId="15" fillId="13" borderId="9" xfId="4" applyFont="1" applyFill="1" applyBorder="1" applyAlignment="1">
      <alignment vertical="center"/>
    </xf>
    <xf numFmtId="3" fontId="14" fillId="12" borderId="10" xfId="109" applyNumberFormat="1" applyFont="1" applyFill="1" applyBorder="1" applyAlignment="1">
      <alignment horizontal="left" vertical="center" indent="1"/>
    </xf>
    <xf numFmtId="3" fontId="14" fillId="10" borderId="25" xfId="69" quotePrefix="1" applyNumberFormat="1" applyFont="1" applyFill="1" applyBorder="1" applyAlignment="1">
      <alignment horizontal="left" vertical="center" indent="1"/>
    </xf>
    <xf numFmtId="0" fontId="16" fillId="0" borderId="0" xfId="4" applyFont="1" applyFill="1" applyAlignment="1">
      <alignment horizontal="center" vertical="center"/>
    </xf>
    <xf numFmtId="0" fontId="42" fillId="6" borderId="0" xfId="4" applyFont="1" applyFill="1" applyAlignment="1">
      <alignment horizontal="right" vertical="center"/>
    </xf>
    <xf numFmtId="176" fontId="14" fillId="12" borderId="10" xfId="4" applyNumberFormat="1" applyFont="1" applyFill="1" applyBorder="1" applyAlignment="1">
      <alignment horizontal="right" vertical="center" indent="1"/>
    </xf>
    <xf numFmtId="3" fontId="14" fillId="12" borderId="10" xfId="4" applyNumberFormat="1" applyFont="1" applyFill="1" applyBorder="1" applyAlignment="1">
      <alignment horizontal="right" vertical="center" indent="1"/>
    </xf>
    <xf numFmtId="0" fontId="16" fillId="13" borderId="0" xfId="4" applyFont="1" applyFill="1" applyBorder="1" applyAlignment="1">
      <alignment horizontal="left" vertical="center" indent="1"/>
    </xf>
    <xf numFmtId="0" fontId="14" fillId="12" borderId="10" xfId="109" applyNumberFormat="1" applyFont="1" applyFill="1" applyBorder="1" applyAlignment="1">
      <alignment horizontal="right" vertical="center" indent="1"/>
    </xf>
    <xf numFmtId="3" fontId="14" fillId="10" borderId="23" xfId="109" quotePrefix="1" applyNumberFormat="1" applyFont="1" applyFill="1" applyBorder="1" applyAlignment="1">
      <alignment horizontal="center" vertical="center"/>
    </xf>
    <xf numFmtId="0" fontId="42" fillId="6" borderId="0" xfId="4" applyFont="1" applyFill="1" applyAlignment="1">
      <alignment vertical="center"/>
    </xf>
    <xf numFmtId="0" fontId="15" fillId="13" borderId="0" xfId="0" applyFont="1" applyFill="1" applyAlignment="1">
      <alignment horizontal="left" vertical="center" indent="1"/>
    </xf>
    <xf numFmtId="37" fontId="14" fillId="40" borderId="14" xfId="0" applyNumberFormat="1" applyFont="1" applyFill="1" applyBorder="1" applyAlignment="1">
      <alignment vertical="center"/>
    </xf>
    <xf numFmtId="37" fontId="14" fillId="0" borderId="14" xfId="0" applyNumberFormat="1" applyFont="1" applyBorder="1" applyAlignment="1">
      <alignment vertical="center"/>
    </xf>
    <xf numFmtId="37" fontId="16" fillId="13" borderId="9" xfId="0" applyNumberFormat="1" applyFont="1" applyFill="1" applyBorder="1" applyAlignment="1">
      <alignment horizontal="center" vertical="center"/>
    </xf>
    <xf numFmtId="0" fontId="14" fillId="9" borderId="15" xfId="0" applyFont="1" applyFill="1" applyBorder="1" applyAlignment="1">
      <alignment vertical="center"/>
    </xf>
    <xf numFmtId="37" fontId="16" fillId="13" borderId="8" xfId="0" applyNumberFormat="1" applyFont="1" applyFill="1" applyBorder="1" applyAlignment="1">
      <alignment horizontal="center" vertical="center"/>
    </xf>
    <xf numFmtId="0" fontId="14" fillId="0" borderId="15" xfId="0" applyFont="1" applyBorder="1" applyAlignment="1">
      <alignment vertical="center"/>
    </xf>
    <xf numFmtId="0" fontId="16" fillId="46" borderId="0" xfId="0" applyFont="1" applyFill="1" applyAlignment="1">
      <alignment horizontal="left" vertical="center"/>
    </xf>
    <xf numFmtId="37" fontId="14" fillId="39" borderId="10" xfId="0" applyNumberFormat="1" applyFont="1" applyFill="1" applyBorder="1" applyAlignment="1">
      <alignment vertical="center"/>
    </xf>
    <xf numFmtId="37" fontId="14" fillId="40" borderId="10" xfId="0" applyNumberFormat="1" applyFont="1" applyFill="1" applyBorder="1" applyAlignment="1">
      <alignment vertical="center"/>
    </xf>
    <xf numFmtId="0" fontId="16" fillId="13" borderId="0" xfId="0" applyFont="1" applyFill="1" applyBorder="1" applyAlignment="1">
      <alignment horizontal="left" vertical="center"/>
    </xf>
    <xf numFmtId="0" fontId="16" fillId="13" borderId="9" xfId="0" applyFont="1" applyFill="1" applyBorder="1" applyAlignment="1">
      <alignment horizontal="left" vertical="center"/>
    </xf>
    <xf numFmtId="37" fontId="14" fillId="39" borderId="11" xfId="0" applyNumberFormat="1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16" fillId="13" borderId="0" xfId="0" applyFont="1" applyFill="1" applyAlignment="1">
      <alignment horizontal="center" vertical="center"/>
    </xf>
    <xf numFmtId="0" fontId="16" fillId="13" borderId="0" xfId="0" applyFont="1" applyFill="1" applyAlignment="1">
      <alignment horizontal="left" vertical="center" indent="1"/>
    </xf>
    <xf numFmtId="0" fontId="16" fillId="13" borderId="0" xfId="0" applyFont="1" applyFill="1" applyAlignment="1">
      <alignment horizontal="center" vertical="center"/>
    </xf>
    <xf numFmtId="0" fontId="16" fillId="13" borderId="0" xfId="0" applyFont="1" applyFill="1" applyAlignment="1">
      <alignment horizontal="left" vertical="center" indent="1"/>
    </xf>
    <xf numFmtId="37" fontId="31" fillId="0" borderId="0" xfId="0" applyNumberFormat="1" applyFont="1" applyAlignment="1">
      <alignment vertical="center"/>
    </xf>
    <xf numFmtId="37" fontId="14" fillId="40" borderId="14" xfId="0" applyNumberFormat="1" applyFont="1" applyFill="1" applyBorder="1" applyAlignment="1">
      <alignment horizontal="center" vertical="center"/>
    </xf>
    <xf numFmtId="37" fontId="14" fillId="0" borderId="14" xfId="0" applyNumberFormat="1" applyFont="1" applyBorder="1" applyAlignment="1">
      <alignment horizontal="center" vertical="center"/>
    </xf>
    <xf numFmtId="37" fontId="14" fillId="12" borderId="6" xfId="0" applyNumberFormat="1" applyFont="1" applyFill="1" applyBorder="1" applyAlignment="1">
      <alignment vertical="center"/>
    </xf>
    <xf numFmtId="37" fontId="16" fillId="46" borderId="9" xfId="0" applyNumberFormat="1" applyFont="1" applyFill="1" applyBorder="1" applyAlignment="1">
      <alignment horizontal="center" vertical="center"/>
    </xf>
    <xf numFmtId="0" fontId="16" fillId="13" borderId="8" xfId="0" applyFont="1" applyFill="1" applyBorder="1" applyAlignment="1">
      <alignment horizontal="center" vertical="center"/>
    </xf>
    <xf numFmtId="9" fontId="16" fillId="43" borderId="0" xfId="0" applyNumberFormat="1" applyFont="1" applyFill="1" applyAlignment="1">
      <alignment horizontal="right" vertical="center" indent="1"/>
    </xf>
    <xf numFmtId="0" fontId="14" fillId="39" borderId="0" xfId="0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0" fontId="16" fillId="13" borderId="0" xfId="0" applyFont="1" applyFill="1" applyAlignment="1">
      <alignment horizontal="left" vertical="center" indent="2"/>
    </xf>
    <xf numFmtId="177" fontId="14" fillId="12" borderId="0" xfId="0" applyNumberFormat="1" applyFont="1" applyFill="1" applyAlignment="1">
      <alignment vertical="center"/>
    </xf>
    <xf numFmtId="9" fontId="14" fillId="12" borderId="0" xfId="0" applyNumberFormat="1" applyFont="1" applyFill="1" applyAlignment="1">
      <alignment vertical="center"/>
    </xf>
    <xf numFmtId="0" fontId="14" fillId="39" borderId="0" xfId="0" applyFont="1" applyFill="1" applyAlignment="1">
      <alignment horizontal="left" vertical="center" indent="1"/>
    </xf>
    <xf numFmtId="177" fontId="14" fillId="12" borderId="6" xfId="0" applyNumberFormat="1" applyFont="1" applyFill="1" applyBorder="1" applyAlignment="1">
      <alignment horizontal="right" vertical="center"/>
    </xf>
    <xf numFmtId="0" fontId="16" fillId="13" borderId="8" xfId="0" applyFont="1" applyFill="1" applyBorder="1" applyAlignment="1">
      <alignment horizontal="center" vertical="center" wrapText="1"/>
    </xf>
    <xf numFmtId="0" fontId="16" fillId="13" borderId="9" xfId="0" applyFont="1" applyFill="1" applyBorder="1" applyAlignment="1">
      <alignment horizontal="center" vertical="center" wrapText="1"/>
    </xf>
    <xf numFmtId="37" fontId="14" fillId="12" borderId="10" xfId="0" applyNumberFormat="1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left" vertical="center" indent="4"/>
    </xf>
    <xf numFmtId="0" fontId="45" fillId="0" borderId="0" xfId="0" applyFont="1" applyAlignment="1">
      <alignment vertical="center"/>
    </xf>
    <xf numFmtId="37" fontId="16" fillId="46" borderId="9" xfId="0" applyNumberFormat="1" applyFont="1" applyFill="1" applyBorder="1" applyAlignment="1">
      <alignment horizontal="right" vertical="center"/>
    </xf>
    <xf numFmtId="165" fontId="16" fillId="13" borderId="0" xfId="0" applyNumberFormat="1" applyFont="1" applyFill="1" applyAlignment="1">
      <alignment horizontal="center" vertical="center"/>
    </xf>
    <xf numFmtId="0" fontId="46" fillId="0" borderId="0" xfId="0" applyFont="1" applyAlignment="1">
      <alignment vertical="center"/>
    </xf>
    <xf numFmtId="0" fontId="16" fillId="13" borderId="0" xfId="0" applyFont="1" applyFill="1" applyBorder="1" applyAlignment="1">
      <alignment vertical="center"/>
    </xf>
    <xf numFmtId="0" fontId="16" fillId="13" borderId="0" xfId="0" applyFont="1" applyFill="1" applyBorder="1" applyAlignment="1">
      <alignment horizontal="center" vertical="center" wrapText="1"/>
    </xf>
    <xf numFmtId="0" fontId="16" fillId="13" borderId="6" xfId="0" applyFont="1" applyFill="1" applyBorder="1" applyAlignment="1">
      <alignment horizontal="center" vertical="center" wrapText="1"/>
    </xf>
    <xf numFmtId="177" fontId="14" fillId="40" borderId="6" xfId="0" applyNumberFormat="1" applyFont="1" applyFill="1" applyBorder="1" applyAlignment="1">
      <alignment vertical="center"/>
    </xf>
    <xf numFmtId="177" fontId="14" fillId="12" borderId="10" xfId="0" applyNumberFormat="1" applyFont="1" applyFill="1" applyBorder="1" applyAlignment="1">
      <alignment vertical="center"/>
    </xf>
    <xf numFmtId="9" fontId="14" fillId="12" borderId="10" xfId="0" applyNumberFormat="1" applyFont="1" applyFill="1" applyBorder="1" applyAlignment="1">
      <alignment vertical="center"/>
    </xf>
    <xf numFmtId="9" fontId="14" fillId="39" borderId="10" xfId="0" applyNumberFormat="1" applyFont="1" applyFill="1" applyBorder="1" applyAlignment="1">
      <alignment horizontal="center" vertical="center"/>
    </xf>
    <xf numFmtId="0" fontId="14" fillId="39" borderId="11" xfId="0" applyFont="1" applyFill="1" applyBorder="1" applyAlignment="1">
      <alignment horizontal="center" vertical="center"/>
    </xf>
    <xf numFmtId="0" fontId="16" fillId="46" borderId="0" xfId="0" applyFont="1" applyFill="1" applyAlignment="1">
      <alignment horizontal="left" vertical="center" indent="1"/>
    </xf>
    <xf numFmtId="37" fontId="14" fillId="40" borderId="10" xfId="0" quotePrefix="1" applyNumberFormat="1" applyFont="1" applyFill="1" applyBorder="1" applyAlignment="1">
      <alignment vertical="center"/>
    </xf>
    <xf numFmtId="37" fontId="14" fillId="45" borderId="9" xfId="0" applyNumberFormat="1" applyFont="1" applyFill="1" applyBorder="1" applyAlignment="1">
      <alignment vertical="center"/>
    </xf>
    <xf numFmtId="10" fontId="14" fillId="12" borderId="10" xfId="0" applyNumberFormat="1" applyFont="1" applyFill="1" applyBorder="1" applyAlignment="1">
      <alignment vertical="center"/>
    </xf>
    <xf numFmtId="10" fontId="14" fillId="12" borderId="11" xfId="0" applyNumberFormat="1" applyFont="1" applyFill="1" applyBorder="1" applyAlignment="1">
      <alignment vertical="center"/>
    </xf>
    <xf numFmtId="10" fontId="14" fillId="12" borderId="10" xfId="0" applyNumberFormat="1" applyFont="1" applyFill="1" applyBorder="1" applyAlignment="1">
      <alignment horizontal="center" vertical="center"/>
    </xf>
    <xf numFmtId="0" fontId="31" fillId="46" borderId="0" xfId="0" applyFont="1" applyFill="1" applyAlignment="1">
      <alignment horizontal="left" vertical="center" indent="1"/>
    </xf>
    <xf numFmtId="0" fontId="15" fillId="46" borderId="9" xfId="0" applyFont="1" applyFill="1" applyBorder="1" applyAlignment="1">
      <alignment horizontal="left" vertical="center" indent="4"/>
    </xf>
    <xf numFmtId="0" fontId="47" fillId="0" borderId="0" xfId="0" applyFont="1" applyAlignment="1">
      <alignment vertical="center"/>
    </xf>
    <xf numFmtId="0" fontId="16" fillId="13" borderId="0" xfId="0" applyFont="1" applyFill="1" applyAlignment="1">
      <alignment horizontal="left" vertical="center" indent="4"/>
    </xf>
    <xf numFmtId="0" fontId="14" fillId="42" borderId="0" xfId="0" applyFont="1" applyFill="1" applyAlignment="1">
      <alignment vertical="center"/>
    </xf>
    <xf numFmtId="3" fontId="14" fillId="39" borderId="10" xfId="0" applyNumberFormat="1" applyFont="1" applyFill="1" applyBorder="1" applyAlignment="1">
      <alignment horizontal="right" vertical="center" indent="1"/>
    </xf>
    <xf numFmtId="3" fontId="19" fillId="39" borderId="16" xfId="109" quotePrefix="1" applyNumberFormat="1" applyFont="1" applyFill="1" applyBorder="1" applyAlignment="1">
      <alignment horizontal="right" vertical="center" indent="1"/>
    </xf>
    <xf numFmtId="37" fontId="14" fillId="12" borderId="11" xfId="0" applyNumberFormat="1" applyFont="1" applyFill="1" applyBorder="1" applyAlignment="1">
      <alignment vertical="center"/>
    </xf>
    <xf numFmtId="0" fontId="16" fillId="42" borderId="23" xfId="0" applyFont="1" applyFill="1" applyBorder="1" applyAlignment="1">
      <alignment horizontal="left" vertical="center" indent="1"/>
    </xf>
    <xf numFmtId="0" fontId="14" fillId="42" borderId="23" xfId="0" applyFont="1" applyFill="1" applyBorder="1" applyAlignment="1">
      <alignment vertical="center"/>
    </xf>
    <xf numFmtId="10" fontId="14" fillId="39" borderId="16" xfId="0" applyNumberFormat="1" applyFont="1" applyFill="1" applyBorder="1" applyAlignment="1">
      <alignment horizontal="right" vertical="center" indent="1"/>
    </xf>
    <xf numFmtId="0" fontId="16" fillId="42" borderId="0" xfId="0" applyFont="1" applyFill="1" applyBorder="1" applyAlignment="1">
      <alignment horizontal="left" vertical="center" indent="1"/>
    </xf>
    <xf numFmtId="0" fontId="14" fillId="42" borderId="0" xfId="0" applyFont="1" applyFill="1" applyBorder="1" applyAlignment="1">
      <alignment vertical="center"/>
    </xf>
    <xf numFmtId="0" fontId="16" fillId="42" borderId="9" xfId="0" applyFont="1" applyFill="1" applyBorder="1" applyAlignment="1">
      <alignment horizontal="left" vertical="center" indent="1"/>
    </xf>
    <xf numFmtId="0" fontId="14" fillId="42" borderId="9" xfId="0" applyFont="1" applyFill="1" applyBorder="1" applyAlignment="1">
      <alignment vertical="center"/>
    </xf>
    <xf numFmtId="3" fontId="14" fillId="39" borderId="11" xfId="0" applyNumberFormat="1" applyFont="1" applyFill="1" applyBorder="1" applyAlignment="1">
      <alignment horizontal="right" vertical="center" indent="1"/>
    </xf>
    <xf numFmtId="0" fontId="38" fillId="0" borderId="0" xfId="0" applyFont="1" applyFill="1" applyAlignment="1">
      <alignment vertical="center"/>
    </xf>
    <xf numFmtId="10" fontId="14" fillId="12" borderId="11" xfId="0" applyNumberFormat="1" applyFont="1" applyFill="1" applyBorder="1" applyAlignment="1">
      <alignment horizontal="right" vertical="center" indent="1"/>
    </xf>
    <xf numFmtId="3" fontId="14" fillId="40" borderId="11" xfId="0" applyNumberFormat="1" applyFont="1" applyFill="1" applyBorder="1" applyAlignment="1">
      <alignment horizontal="right" vertical="center" indent="1"/>
    </xf>
    <xf numFmtId="0" fontId="19" fillId="0" borderId="0" xfId="98" applyFont="1" applyAlignment="1">
      <alignment horizontal="right" vertical="center"/>
    </xf>
    <xf numFmtId="43" fontId="19" fillId="0" borderId="0" xfId="123" applyFont="1" applyBorder="1" applyAlignment="1">
      <alignment horizontal="center" vertical="center"/>
    </xf>
    <xf numFmtId="0" fontId="19" fillId="0" borderId="0" xfId="98" applyFont="1" applyBorder="1" applyAlignment="1">
      <alignment vertical="center"/>
    </xf>
    <xf numFmtId="0" fontId="16" fillId="13" borderId="0" xfId="98" applyFont="1" applyFill="1" applyAlignment="1">
      <alignment horizontal="left" vertical="center" indent="1"/>
    </xf>
    <xf numFmtId="10" fontId="19" fillId="12" borderId="10" xfId="98" applyNumberFormat="1" applyFont="1" applyFill="1" applyBorder="1" applyAlignment="1">
      <alignment horizontal="right" vertical="center" indent="1"/>
    </xf>
    <xf numFmtId="178" fontId="19" fillId="12" borderId="10" xfId="98" applyNumberFormat="1" applyFont="1" applyFill="1" applyBorder="1" applyAlignment="1">
      <alignment horizontal="right" vertical="center" indent="1"/>
    </xf>
    <xf numFmtId="3" fontId="19" fillId="12" borderId="10" xfId="123" applyNumberFormat="1" applyFont="1" applyFill="1" applyBorder="1" applyAlignment="1">
      <alignment horizontal="right" vertical="center" indent="1"/>
    </xf>
    <xf numFmtId="178" fontId="19" fillId="39" borderId="0" xfId="98" applyNumberFormat="1" applyFont="1" applyFill="1" applyBorder="1" applyAlignment="1">
      <alignment horizontal="center" vertical="center"/>
    </xf>
    <xf numFmtId="9" fontId="16" fillId="13" borderId="10" xfId="98" applyNumberFormat="1" applyFont="1" applyFill="1" applyBorder="1" applyAlignment="1">
      <alignment horizontal="center" vertical="center"/>
    </xf>
    <xf numFmtId="0" fontId="16" fillId="13" borderId="7" xfId="98" applyFont="1" applyFill="1" applyBorder="1" applyAlignment="1">
      <alignment vertical="center"/>
    </xf>
    <xf numFmtId="40" fontId="16" fillId="9" borderId="17" xfId="98" quotePrefix="1" applyNumberFormat="1" applyFont="1" applyFill="1" applyBorder="1" applyAlignment="1">
      <alignment horizontal="right" vertical="center"/>
    </xf>
    <xf numFmtId="9" fontId="44" fillId="0" borderId="10" xfId="98" applyNumberFormat="1" applyFont="1" applyFill="1" applyBorder="1" applyAlignment="1">
      <alignment horizontal="left" vertical="center"/>
    </xf>
    <xf numFmtId="0" fontId="48" fillId="0" borderId="0" xfId="0" applyFont="1" applyFill="1" applyAlignment="1">
      <alignment horizontal="left" vertical="center"/>
    </xf>
    <xf numFmtId="10" fontId="17" fillId="13" borderId="8" xfId="0" applyNumberFormat="1" applyFont="1" applyFill="1" applyBorder="1" applyAlignment="1">
      <alignment horizontal="center" vertical="center"/>
    </xf>
    <xf numFmtId="9" fontId="44" fillId="0" borderId="6" xfId="98" applyNumberFormat="1" applyFont="1" applyFill="1" applyBorder="1" applyAlignment="1">
      <alignment horizontal="left" vertical="center"/>
    </xf>
    <xf numFmtId="178" fontId="19" fillId="39" borderId="6" xfId="98" applyNumberFormat="1" applyFont="1" applyFill="1" applyBorder="1" applyAlignment="1">
      <alignment horizontal="center" vertical="center"/>
    </xf>
    <xf numFmtId="0" fontId="46" fillId="0" borderId="15" xfId="0" quotePrefix="1" applyFont="1" applyBorder="1" applyAlignment="1">
      <alignment horizontal="right" vertical="center"/>
    </xf>
    <xf numFmtId="10" fontId="17" fillId="13" borderId="11" xfId="0" applyNumberFormat="1" applyFont="1" applyFill="1" applyBorder="1" applyAlignment="1">
      <alignment horizontal="center" vertical="center"/>
    </xf>
    <xf numFmtId="39" fontId="19" fillId="10" borderId="10" xfId="98" applyNumberFormat="1" applyFont="1" applyFill="1" applyBorder="1" applyAlignment="1">
      <alignment horizontal="right" vertical="center"/>
    </xf>
    <xf numFmtId="39" fontId="14" fillId="10" borderId="10" xfId="0" applyNumberFormat="1" applyFont="1" applyFill="1" applyBorder="1" applyAlignment="1">
      <alignment vertical="center"/>
    </xf>
    <xf numFmtId="0" fontId="37" fillId="0" borderId="0" xfId="0" applyFont="1" applyAlignment="1">
      <alignment horizontal="left" vertical="center" indent="1"/>
    </xf>
    <xf numFmtId="178" fontId="43" fillId="48" borderId="0" xfId="0" applyNumberFormat="1" applyFont="1" applyFill="1" applyAlignment="1">
      <alignment horizontal="center" vertical="center"/>
    </xf>
    <xf numFmtId="0" fontId="16" fillId="46" borderId="0" xfId="98" applyFont="1" applyFill="1" applyAlignment="1">
      <alignment horizontal="left" vertical="center" indent="1"/>
    </xf>
    <xf numFmtId="0" fontId="16" fillId="46" borderId="0" xfId="0" applyFont="1" applyFill="1" applyAlignment="1">
      <alignment vertical="center"/>
    </xf>
    <xf numFmtId="10" fontId="19" fillId="10" borderId="10" xfId="123" applyNumberFormat="1" applyFont="1" applyFill="1" applyBorder="1" applyAlignment="1">
      <alignment horizontal="right" vertical="center" indent="1"/>
    </xf>
    <xf numFmtId="0" fontId="16" fillId="13" borderId="9" xfId="98" applyFont="1" applyFill="1" applyBorder="1" applyAlignment="1">
      <alignment horizontal="left" vertical="center" indent="1"/>
    </xf>
    <xf numFmtId="3" fontId="19" fillId="12" borderId="11" xfId="123" applyNumberFormat="1" applyFont="1" applyFill="1" applyBorder="1" applyAlignment="1">
      <alignment horizontal="right" vertical="center" indent="1"/>
    </xf>
    <xf numFmtId="39" fontId="16" fillId="9" borderId="8" xfId="98" quotePrefix="1" applyNumberFormat="1" applyFont="1" applyFill="1" applyBorder="1" applyAlignment="1">
      <alignment horizontal="right" vertical="center"/>
    </xf>
    <xf numFmtId="39" fontId="19" fillId="10" borderId="0" xfId="98" applyNumberFormat="1" applyFont="1" applyFill="1" applyBorder="1" applyAlignment="1">
      <alignment horizontal="right" vertical="center"/>
    </xf>
    <xf numFmtId="39" fontId="14" fillId="10" borderId="0" xfId="0" applyNumberFormat="1" applyFont="1" applyFill="1" applyAlignment="1">
      <alignment vertical="center"/>
    </xf>
    <xf numFmtId="39" fontId="14" fillId="10" borderId="0" xfId="0" applyNumberFormat="1" applyFont="1" applyFill="1" applyBorder="1" applyAlignment="1">
      <alignment vertical="center"/>
    </xf>
    <xf numFmtId="4" fontId="14" fillId="10" borderId="10" xfId="0" applyNumberFormat="1" applyFont="1" applyFill="1" applyBorder="1" applyAlignment="1">
      <alignment horizontal="right" vertical="center" indent="1"/>
    </xf>
    <xf numFmtId="0" fontId="16" fillId="13" borderId="9" xfId="0" applyFont="1" applyFill="1" applyBorder="1" applyAlignment="1">
      <alignment horizontal="left" vertical="center" indent="4"/>
    </xf>
    <xf numFmtId="178" fontId="14" fillId="12" borderId="11" xfId="0" applyNumberFormat="1" applyFont="1" applyFill="1" applyBorder="1" applyAlignment="1">
      <alignment horizontal="right" vertical="center" indent="1"/>
    </xf>
    <xf numFmtId="0" fontId="29" fillId="0" borderId="0" xfId="0" applyFont="1" applyFill="1" applyAlignment="1">
      <alignment vertical="center" wrapText="1"/>
    </xf>
    <xf numFmtId="0" fontId="16" fillId="13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6" fillId="13" borderId="0" xfId="0" applyFont="1" applyFill="1" applyAlignment="1">
      <alignment horizontal="left" vertical="center" indent="1"/>
    </xf>
    <xf numFmtId="0" fontId="31" fillId="0" borderId="0" xfId="0" applyFont="1" applyAlignment="1">
      <alignment horizontal="left" indent="2"/>
    </xf>
    <xf numFmtId="0" fontId="19" fillId="0" borderId="0" xfId="0" applyFont="1" applyAlignment="1">
      <alignment vertical="center"/>
    </xf>
    <xf numFmtId="0" fontId="37" fillId="0" borderId="0" xfId="0" applyFont="1"/>
    <xf numFmtId="0" fontId="15" fillId="0" borderId="0" xfId="0" applyFont="1" applyAlignment="1">
      <alignment horizontal="center" vertical="center"/>
    </xf>
    <xf numFmtId="0" fontId="14" fillId="10" borderId="0" xfId="0" applyFont="1" applyFill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left" vertical="center" indent="1"/>
    </xf>
    <xf numFmtId="10" fontId="16" fillId="13" borderId="20" xfId="0" applyNumberFormat="1" applyFont="1" applyFill="1" applyBorder="1" applyAlignment="1">
      <alignment horizontal="center" vertical="center"/>
    </xf>
    <xf numFmtId="10" fontId="16" fillId="13" borderId="17" xfId="0" applyNumberFormat="1" applyFont="1" applyFill="1" applyBorder="1" applyAlignment="1">
      <alignment horizontal="center" vertical="center"/>
    </xf>
    <xf numFmtId="0" fontId="16" fillId="13" borderId="0" xfId="0" applyFont="1" applyFill="1" applyAlignment="1">
      <alignment horizontal="left" vertical="center" indent="1"/>
    </xf>
    <xf numFmtId="37" fontId="14" fillId="10" borderId="0" xfId="0" applyNumberFormat="1" applyFont="1" applyFill="1" applyAlignment="1">
      <alignment horizontal="right" vertical="center"/>
    </xf>
    <xf numFmtId="37" fontId="14" fillId="10" borderId="6" xfId="0" applyNumberFormat="1" applyFont="1" applyFill="1" applyBorder="1" applyAlignment="1">
      <alignment horizontal="right" vertical="center"/>
    </xf>
    <xf numFmtId="0" fontId="14" fillId="9" borderId="19" xfId="0" applyFont="1" applyFill="1" applyBorder="1" applyAlignment="1">
      <alignment vertical="center"/>
    </xf>
    <xf numFmtId="3" fontId="17" fillId="5" borderId="7" xfId="1" applyNumberFormat="1" applyFont="1" applyFill="1" applyBorder="1" applyAlignment="1">
      <alignment horizontal="right" vertical="center" indent="1"/>
    </xf>
    <xf numFmtId="3" fontId="14" fillId="12" borderId="10" xfId="0" applyNumberFormat="1" applyFont="1" applyFill="1" applyBorder="1" applyAlignment="1">
      <alignment horizontal="left" vertical="center" indent="1"/>
    </xf>
    <xf numFmtId="0" fontId="16" fillId="46" borderId="0" xfId="0" applyFont="1" applyFill="1" applyAlignment="1">
      <alignment horizontal="left" vertical="center" indent="3"/>
    </xf>
    <xf numFmtId="0" fontId="16" fillId="46" borderId="0" xfId="0" applyFont="1" applyFill="1" applyAlignment="1">
      <alignment horizontal="right" vertical="center" indent="1"/>
    </xf>
    <xf numFmtId="37" fontId="14" fillId="40" borderId="17" xfId="0" quotePrefix="1" applyNumberFormat="1" applyFont="1" applyFill="1" applyBorder="1" applyAlignment="1">
      <alignment vertical="center"/>
    </xf>
    <xf numFmtId="3" fontId="14" fillId="39" borderId="10" xfId="0" applyNumberFormat="1" applyFont="1" applyFill="1" applyBorder="1" applyAlignment="1">
      <alignment horizontal="left" vertical="center" indent="1"/>
    </xf>
    <xf numFmtId="0" fontId="16" fillId="13" borderId="9" xfId="0" applyFont="1" applyFill="1" applyBorder="1" applyAlignment="1">
      <alignment horizontal="left" vertical="center" indent="3"/>
    </xf>
    <xf numFmtId="10" fontId="14" fillId="12" borderId="11" xfId="0" applyNumberFormat="1" applyFont="1" applyFill="1" applyBorder="1" applyAlignment="1">
      <alignment horizontal="left" vertical="center" indent="1"/>
    </xf>
    <xf numFmtId="0" fontId="16" fillId="13" borderId="0" xfId="0" applyFont="1" applyFill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textRotation="90" wrapText="1"/>
    </xf>
    <xf numFmtId="8" fontId="16" fillId="9" borderId="9" xfId="4" quotePrefix="1" applyNumberFormat="1" applyFont="1" applyFill="1" applyBorder="1" applyAlignment="1">
      <alignment horizontal="center" vertical="center"/>
    </xf>
    <xf numFmtId="0" fontId="16" fillId="46" borderId="23" xfId="4" applyFont="1" applyFill="1" applyBorder="1" applyAlignment="1">
      <alignment horizontal="center" vertical="center"/>
    </xf>
    <xf numFmtId="0" fontId="16" fillId="9" borderId="24" xfId="4" quotePrefix="1" applyFont="1" applyFill="1" applyBorder="1" applyAlignment="1">
      <alignment horizontal="center" vertical="center"/>
    </xf>
    <xf numFmtId="0" fontId="16" fillId="46" borderId="0" xfId="4" applyFont="1" applyFill="1" applyAlignment="1">
      <alignment horizontal="center" vertical="center"/>
    </xf>
    <xf numFmtId="0" fontId="16" fillId="9" borderId="0" xfId="4" quotePrefix="1" applyFont="1" applyFill="1" applyAlignment="1">
      <alignment horizontal="center" vertical="center"/>
    </xf>
    <xf numFmtId="0" fontId="16" fillId="46" borderId="18" xfId="4" applyFont="1" applyFill="1" applyBorder="1" applyAlignment="1">
      <alignment horizontal="center" vertical="center"/>
    </xf>
    <xf numFmtId="0" fontId="15" fillId="43" borderId="9" xfId="0" applyFont="1" applyFill="1" applyBorder="1" applyAlignment="1">
      <alignment horizontal="center" vertical="center"/>
    </xf>
    <xf numFmtId="0" fontId="15" fillId="44" borderId="14" xfId="0" applyFont="1" applyFill="1" applyBorder="1" applyAlignment="1">
      <alignment horizontal="center" vertical="center" textRotation="90" wrapText="1"/>
    </xf>
    <xf numFmtId="0" fontId="16" fillId="46" borderId="9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 textRotation="90"/>
    </xf>
    <xf numFmtId="0" fontId="16" fillId="13" borderId="9" xfId="0" applyFont="1" applyFill="1" applyBorder="1" applyAlignment="1">
      <alignment horizontal="center" vertical="center"/>
    </xf>
    <xf numFmtId="0" fontId="31" fillId="47" borderId="9" xfId="0" applyFont="1" applyFill="1" applyBorder="1" applyAlignment="1">
      <alignment horizontal="center" vertical="center"/>
    </xf>
    <xf numFmtId="0" fontId="16" fillId="13" borderId="0" xfId="0" applyFont="1" applyFill="1" applyBorder="1" applyAlignment="1">
      <alignment horizontal="center" vertical="center"/>
    </xf>
    <xf numFmtId="0" fontId="16" fillId="43" borderId="7" xfId="0" applyFont="1" applyFill="1" applyBorder="1" applyAlignment="1">
      <alignment horizontal="center" vertical="center"/>
    </xf>
    <xf numFmtId="0" fontId="29" fillId="12" borderId="0" xfId="0" applyFont="1" applyFill="1" applyAlignment="1">
      <alignment horizontal="center" vertical="center" wrapText="1"/>
    </xf>
    <xf numFmtId="0" fontId="43" fillId="0" borderId="0" xfId="0" applyFont="1" applyAlignment="1">
      <alignment horizontal="left" wrapText="1"/>
    </xf>
    <xf numFmtId="0" fontId="16" fillId="42" borderId="9" xfId="0" applyFont="1" applyFill="1" applyBorder="1" applyAlignment="1">
      <alignment horizontal="center" vertical="center"/>
    </xf>
    <xf numFmtId="0" fontId="16" fillId="42" borderId="14" xfId="0" applyFont="1" applyFill="1" applyBorder="1" applyAlignment="1">
      <alignment horizontal="center" vertical="center" textRotation="90"/>
    </xf>
    <xf numFmtId="0" fontId="5" fillId="42" borderId="14" xfId="0" applyFont="1" applyFill="1" applyBorder="1" applyAlignment="1">
      <alignment horizontal="center" vertical="center" textRotation="90"/>
    </xf>
    <xf numFmtId="10" fontId="14" fillId="39" borderId="10" xfId="0" applyNumberFormat="1" applyFont="1" applyFill="1" applyBorder="1" applyAlignment="1">
      <alignment horizontal="left" vertical="center" indent="1"/>
    </xf>
    <xf numFmtId="10" fontId="14" fillId="39" borderId="14" xfId="0" applyNumberFormat="1" applyFont="1" applyFill="1" applyBorder="1" applyAlignment="1">
      <alignment horizontal="left" vertical="center" indent="1"/>
    </xf>
    <xf numFmtId="10" fontId="14" fillId="39" borderId="11" xfId="0" applyNumberFormat="1" applyFont="1" applyFill="1" applyBorder="1" applyAlignment="1">
      <alignment horizontal="left" vertical="center" indent="1"/>
    </xf>
    <xf numFmtId="10" fontId="14" fillId="39" borderId="15" xfId="0" applyNumberFormat="1" applyFont="1" applyFill="1" applyBorder="1" applyAlignment="1">
      <alignment horizontal="left" vertical="center" indent="1"/>
    </xf>
    <xf numFmtId="37" fontId="14" fillId="47" borderId="10" xfId="0" applyNumberFormat="1" applyFont="1" applyFill="1" applyBorder="1" applyAlignment="1">
      <alignment horizontal="center" vertical="center"/>
    </xf>
    <xf numFmtId="37" fontId="14" fillId="47" borderId="14" xfId="0" applyNumberFormat="1" applyFont="1" applyFill="1" applyBorder="1" applyAlignment="1">
      <alignment horizontal="center" vertical="center"/>
    </xf>
    <xf numFmtId="0" fontId="29" fillId="12" borderId="0" xfId="0" quotePrefix="1" applyFont="1" applyFill="1" applyAlignment="1">
      <alignment horizontal="left" vertical="center" wrapText="1" indent="1"/>
    </xf>
    <xf numFmtId="0" fontId="29" fillId="39" borderId="0" xfId="0" applyFont="1" applyFill="1" applyAlignment="1">
      <alignment horizontal="center" vertical="center" wrapText="1"/>
    </xf>
    <xf numFmtId="0" fontId="16" fillId="13" borderId="18" xfId="0" applyFont="1" applyFill="1" applyBorder="1" applyAlignment="1">
      <alignment horizontal="center" vertical="center" textRotation="90"/>
    </xf>
    <xf numFmtId="0" fontId="16" fillId="13" borderId="14" xfId="0" applyFont="1" applyFill="1" applyBorder="1" applyAlignment="1">
      <alignment horizontal="center" vertical="center" textRotation="90"/>
    </xf>
    <xf numFmtId="0" fontId="29" fillId="10" borderId="0" xfId="0" applyFont="1" applyFill="1" applyAlignment="1">
      <alignment horizontal="center" vertical="center" wrapText="1"/>
    </xf>
    <xf numFmtId="0" fontId="16" fillId="13" borderId="14" xfId="0" applyFont="1" applyFill="1" applyBorder="1" applyAlignment="1">
      <alignment horizontal="center" vertical="center" textRotation="90" wrapText="1"/>
    </xf>
    <xf numFmtId="0" fontId="16" fillId="46" borderId="10" xfId="0" applyFont="1" applyFill="1" applyBorder="1" applyAlignment="1">
      <alignment horizontal="center" vertical="center"/>
    </xf>
    <xf numFmtId="0" fontId="16" fillId="46" borderId="0" xfId="0" applyFont="1" applyFill="1" applyBorder="1" applyAlignment="1">
      <alignment horizontal="center" vertical="center"/>
    </xf>
    <xf numFmtId="0" fontId="16" fillId="47" borderId="0" xfId="0" applyFont="1" applyFill="1" applyAlignment="1">
      <alignment horizontal="center" vertical="center" textRotation="90"/>
    </xf>
    <xf numFmtId="0" fontId="16" fillId="47" borderId="0" xfId="0" applyFont="1" applyFill="1" applyAlignment="1">
      <alignment horizontal="center" vertical="center"/>
    </xf>
    <xf numFmtId="0" fontId="16" fillId="46" borderId="0" xfId="0" applyFont="1" applyFill="1" applyAlignment="1">
      <alignment horizontal="center" vertical="center"/>
    </xf>
    <xf numFmtId="0" fontId="16" fillId="9" borderId="9" xfId="4" applyFont="1" applyFill="1" applyBorder="1" applyAlignment="1">
      <alignment horizontal="center" vertical="center"/>
    </xf>
    <xf numFmtId="0" fontId="16" fillId="13" borderId="0" xfId="0" applyFont="1" applyFill="1" applyAlignment="1">
      <alignment horizontal="left" vertical="center" indent="1"/>
    </xf>
    <xf numFmtId="0" fontId="29" fillId="0" borderId="0" xfId="0" applyFont="1" applyAlignment="1">
      <alignment horizontal="center" vertical="center" wrapText="1"/>
    </xf>
    <xf numFmtId="0" fontId="16" fillId="13" borderId="18" xfId="0" applyFont="1" applyFill="1" applyBorder="1" applyAlignment="1">
      <alignment horizontal="center" vertical="center" textRotation="90" wrapText="1"/>
    </xf>
  </cellXfs>
  <cellStyles count="124">
    <cellStyle name="20% - Accent3 2" xfId="23"/>
    <cellStyle name="20% - Accent6 2" xfId="24"/>
    <cellStyle name="Accent1 - 20%" xfId="25"/>
    <cellStyle name="Accent1 - 40%" xfId="26"/>
    <cellStyle name="Accent1 - 60%" xfId="27"/>
    <cellStyle name="Accent1 2" xfId="28"/>
    <cellStyle name="Accent2 - 20%" xfId="29"/>
    <cellStyle name="Accent2 - 40%" xfId="30"/>
    <cellStyle name="Accent2 - 60%" xfId="31"/>
    <cellStyle name="Accent2 2" xfId="32"/>
    <cellStyle name="Accent3 - 20%" xfId="33"/>
    <cellStyle name="Accent3 - 40%" xfId="34"/>
    <cellStyle name="Accent3 - 60%" xfId="35"/>
    <cellStyle name="Accent4 - 20%" xfId="36"/>
    <cellStyle name="Accent4 - 40%" xfId="37"/>
    <cellStyle name="Accent4 - 60%" xfId="38"/>
    <cellStyle name="Accent5 - 20%" xfId="39"/>
    <cellStyle name="Accent5 - 40%" xfId="40"/>
    <cellStyle name="Accent5 - 60%" xfId="41"/>
    <cellStyle name="Accent6 - 20%" xfId="42"/>
    <cellStyle name="Accent6 - 40%" xfId="43"/>
    <cellStyle name="Accent6 - 60%" xfId="44"/>
    <cellStyle name="amount" xfId="10"/>
    <cellStyle name="Body text" xfId="11"/>
    <cellStyle name="Comma [0]" xfId="1" builtinId="6"/>
    <cellStyle name="Comma [0] 2" xfId="45"/>
    <cellStyle name="Comma [0] 2 2" xfId="46"/>
    <cellStyle name="Comma [0] 3" xfId="47"/>
    <cellStyle name="Comma [0] 4" xfId="48"/>
    <cellStyle name="Comma [0] 5" xfId="49"/>
    <cellStyle name="Comma 10" xfId="121"/>
    <cellStyle name="Comma 11" xfId="123"/>
    <cellStyle name="Comma 2" xfId="9"/>
    <cellStyle name="Comma 2 2" xfId="50"/>
    <cellStyle name="Comma 3" xfId="51"/>
    <cellStyle name="Comma 4" xfId="52"/>
    <cellStyle name="Comma 5" xfId="53"/>
    <cellStyle name="Comma 6" xfId="54"/>
    <cellStyle name="Comma 7" xfId="115"/>
    <cellStyle name="Comma 8" xfId="114"/>
    <cellStyle name="Comma 9" xfId="122"/>
    <cellStyle name="ContentsHyperlink" xfId="55"/>
    <cellStyle name="Ctx_Hyperlink" xfId="120"/>
    <cellStyle name="Currency 10" xfId="56"/>
    <cellStyle name="Currency 11" xfId="57"/>
    <cellStyle name="Currency 12" xfId="58"/>
    <cellStyle name="Currency 13" xfId="59"/>
    <cellStyle name="Currency 14" xfId="60"/>
    <cellStyle name="Currency 15" xfId="61"/>
    <cellStyle name="Currency 16" xfId="62"/>
    <cellStyle name="Currency 17" xfId="63"/>
    <cellStyle name="Currency 18" xfId="64"/>
    <cellStyle name="Currency 19" xfId="65"/>
    <cellStyle name="Currency 2" xfId="66"/>
    <cellStyle name="Currency 2 2" xfId="67"/>
    <cellStyle name="Currency 2 3" xfId="68"/>
    <cellStyle name="Currency 2 4" xfId="69"/>
    <cellStyle name="Currency 20" xfId="70"/>
    <cellStyle name="Currency 21" xfId="71"/>
    <cellStyle name="Currency 22" xfId="72"/>
    <cellStyle name="Currency 23" xfId="73"/>
    <cellStyle name="Currency 24" xfId="74"/>
    <cellStyle name="Currency 3" xfId="75"/>
    <cellStyle name="Currency 3 2" xfId="76"/>
    <cellStyle name="Currency 3 3" xfId="77"/>
    <cellStyle name="Currency 4" xfId="78"/>
    <cellStyle name="Currency 4 2" xfId="79"/>
    <cellStyle name="Currency 5" xfId="80"/>
    <cellStyle name="Currency 5 2" xfId="81"/>
    <cellStyle name="Currency 6" xfId="82"/>
    <cellStyle name="Currency 6 2" xfId="83"/>
    <cellStyle name="Currency 7" xfId="84"/>
    <cellStyle name="Currency 7 2" xfId="85"/>
    <cellStyle name="Currency 7 3" xfId="86"/>
    <cellStyle name="Currency 8" xfId="87"/>
    <cellStyle name="Currency 8 2" xfId="88"/>
    <cellStyle name="Currency 8 3" xfId="89"/>
    <cellStyle name="Currency 9" xfId="90"/>
    <cellStyle name="Dezimal [0]_Compiling Utility Macros" xfId="2"/>
    <cellStyle name="Dezimal_Compiling Utility Macros" xfId="3"/>
    <cellStyle name="Emphasis 1" xfId="91"/>
    <cellStyle name="Emphasis 2" xfId="92"/>
    <cellStyle name="Emphasis 3" xfId="93"/>
    <cellStyle name="header" xfId="12"/>
    <cellStyle name="Header Total" xfId="13"/>
    <cellStyle name="Header1" xfId="14"/>
    <cellStyle name="Header2" xfId="15"/>
    <cellStyle name="Header3" xfId="16"/>
    <cellStyle name="Header4" xfId="17"/>
    <cellStyle name="Heading 1 2" xfId="94"/>
    <cellStyle name="Hyperlink 2" xfId="95"/>
    <cellStyle name="Hyperlink 2 2" xfId="119"/>
    <cellStyle name="Hyperlink 2 3" xfId="117"/>
    <cellStyle name="Input 2" xfId="96"/>
    <cellStyle name="NonPrint_Heading" xfId="18"/>
    <cellStyle name="Normal" xfId="0" builtinId="0"/>
    <cellStyle name="Normal 2" xfId="4"/>
    <cellStyle name="Normal 2 2" xfId="97"/>
    <cellStyle name="Normal 2 2 2" xfId="98"/>
    <cellStyle name="Normal 2 2 3" xfId="118"/>
    <cellStyle name="Normal 2 3" xfId="99"/>
    <cellStyle name="Normal 2 3 2" xfId="116"/>
    <cellStyle name="Normal 3" xfId="100"/>
    <cellStyle name="Normal 3 2" xfId="101"/>
    <cellStyle name="Normal 3 3" xfId="102"/>
    <cellStyle name="Normal 4" xfId="103"/>
    <cellStyle name="Normal 5" xfId="104"/>
    <cellStyle name="Normal 5 2" xfId="22"/>
    <cellStyle name="Normal 6" xfId="105"/>
    <cellStyle name="Normal 6 2" xfId="106"/>
    <cellStyle name="Normal 6 3" xfId="21"/>
    <cellStyle name="Normal 6 4" xfId="107"/>
    <cellStyle name="Normal 7" xfId="108"/>
    <cellStyle name="Percent 2" xfId="109"/>
    <cellStyle name="Percent 3" xfId="110"/>
    <cellStyle name="Percent 4" xfId="111"/>
    <cellStyle name="Percent 5" xfId="112"/>
    <cellStyle name="Product Title" xfId="19"/>
    <cellStyle name="Sheet Title" xfId="113"/>
    <cellStyle name="Standard_Anpassen der Amortisation" xfId="5"/>
    <cellStyle name="Text" xfId="20"/>
    <cellStyle name="update" xfId="6"/>
    <cellStyle name="Währung [0]_Compiling Utility Macros" xfId="7"/>
    <cellStyle name="Währung_Compiling Utility Macros" xfId="8"/>
  </cellStyles>
  <dxfs count="23"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</dxf>
    <dxf>
      <font>
        <b/>
        <i val="0"/>
        <color theme="0"/>
      </font>
      <fill>
        <patternFill>
          <bgColor theme="8" tint="-0.499984740745262"/>
        </patternFill>
      </fill>
      <border>
        <left style="thin">
          <color theme="0"/>
        </left>
        <right style="thin">
          <color theme="0"/>
        </right>
        <vertical/>
        <horizontal/>
      </border>
    </dxf>
    <dxf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0" tint="-0.34998626667073579"/>
        </patternFill>
      </fill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0" tint="-0.34998626667073579"/>
        </patternFill>
      </fill>
    </dxf>
    <dxf>
      <font>
        <b/>
        <i val="0"/>
      </font>
      <fill>
        <patternFill>
          <bgColor theme="5" tint="0.39994506668294322"/>
        </patternFill>
      </fill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theme="5" tint="-0.499984740745262"/>
        </patternFill>
      </fill>
      <border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theme="5" tint="-0.499984740745262"/>
        </patternFill>
      </fill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theme="0" tint="-0.34998626667073579"/>
        </patternFill>
      </fill>
    </dxf>
    <dxf>
      <font>
        <b/>
        <i val="0"/>
        <color theme="0"/>
      </font>
      <fill>
        <patternFill>
          <bgColor theme="5" tint="-0.499984740745262"/>
        </patternFill>
      </fill>
      <border>
        <left style="thin">
          <color theme="0"/>
        </left>
        <right style="thin">
          <color theme="0"/>
        </right>
        <vertical/>
        <horizontal/>
      </border>
    </dxf>
    <dxf>
      <fill>
        <patternFill>
          <bgColor theme="0" tint="-0.34998626667073579"/>
        </patternFill>
      </fill>
    </dxf>
  </dxfs>
  <tableStyles count="0" defaultTableStyle="TableStyleMedium9" defaultPivotStyle="PivotStyleLight16"/>
  <colors>
    <mruColors>
      <color rgb="FF2313F1"/>
      <color rgb="FF170BB5"/>
      <color rgb="FFCC6600"/>
      <color rgb="FF00B0F0"/>
      <color rgb="FFFFFFCC"/>
      <color rgb="FFCC0000"/>
      <color rgb="FF0066CC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croll" dx="22" fmlaLink="$D$4" horiz="1" max="25" min="12" page="10" val="15"/>
</file>

<file path=xl/ctrlProps/ctrlProp10.xml><?xml version="1.0" encoding="utf-8"?>
<formControlPr xmlns="http://schemas.microsoft.com/office/spreadsheetml/2009/9/main" objectType="Scroll" dx="16" fmlaLink="$E$8" horiz="1" inc="25" max="2400" min="750" page="10" val="825"/>
</file>

<file path=xl/ctrlProps/ctrlProp100.xml><?xml version="1.0" encoding="utf-8"?>
<formControlPr xmlns="http://schemas.microsoft.com/office/spreadsheetml/2009/9/main" objectType="Scroll" dx="16" fmlaLink="$D$7" horiz="1" max="1" page="10"/>
</file>

<file path=xl/ctrlProps/ctrlProp101.xml><?xml version="1.0" encoding="utf-8"?>
<formControlPr xmlns="http://schemas.microsoft.com/office/spreadsheetml/2009/9/main" objectType="Scroll" dx="16" fmlaLink="$A$8" horiz="1" inc="5" max="50" min="5" page="10" val="20"/>
</file>

<file path=xl/ctrlProps/ctrlProp102.xml><?xml version="1.0" encoding="utf-8"?>
<formControlPr xmlns="http://schemas.microsoft.com/office/spreadsheetml/2009/9/main" objectType="Scroll" dx="16" fmlaLink="$A$9" horiz="1" inc="5" max="50" min="5" page="10" val="5"/>
</file>

<file path=xl/ctrlProps/ctrlProp103.xml><?xml version="1.0" encoding="utf-8"?>
<formControlPr xmlns="http://schemas.microsoft.com/office/spreadsheetml/2009/9/main" objectType="Scroll" dx="16" fmlaLink="$D$4" horiz="1" max="10" min="4" page="10" val="4"/>
</file>

<file path=xl/ctrlProps/ctrlProp104.xml><?xml version="1.0" encoding="utf-8"?>
<formControlPr xmlns="http://schemas.microsoft.com/office/spreadsheetml/2009/9/main" objectType="Scroll" dx="16" fmlaLink="$A$3" horiz="1" inc="25" max="1250" min="750" page="10" val="750"/>
</file>

<file path=xl/ctrlProps/ctrlProp105.xml><?xml version="1.0" encoding="utf-8"?>
<formControlPr xmlns="http://schemas.microsoft.com/office/spreadsheetml/2009/9/main" objectType="Scroll" dx="16" fmlaLink="$A$5" horiz="1" inc="5" max="100" min="5" page="10" val="25"/>
</file>

<file path=xl/ctrlProps/ctrlProp106.xml><?xml version="1.0" encoding="utf-8"?>
<formControlPr xmlns="http://schemas.microsoft.com/office/spreadsheetml/2009/9/main" objectType="Scroll" dx="16" fmlaLink="$A$6" horiz="1" inc="25" max="500" min="150" page="10" val="300"/>
</file>

<file path=xl/ctrlProps/ctrlProp107.xml><?xml version="1.0" encoding="utf-8"?>
<formControlPr xmlns="http://schemas.microsoft.com/office/spreadsheetml/2009/9/main" objectType="Scroll" dx="16" fmlaLink="$D$7" horiz="1" max="1" page="10"/>
</file>

<file path=xl/ctrlProps/ctrlProp108.xml><?xml version="1.0" encoding="utf-8"?>
<formControlPr xmlns="http://schemas.microsoft.com/office/spreadsheetml/2009/9/main" objectType="Scroll" dx="16" fmlaLink="$A$9" horiz="1" inc="5" max="50" min="5" page="10" val="20"/>
</file>

<file path=xl/ctrlProps/ctrlProp109.xml><?xml version="1.0" encoding="utf-8"?>
<formControlPr xmlns="http://schemas.microsoft.com/office/spreadsheetml/2009/9/main" objectType="Scroll" dx="16" fmlaLink="$A$10" horiz="1" inc="5" max="50" min="5" page="10" val="5"/>
</file>

<file path=xl/ctrlProps/ctrlProp11.xml><?xml version="1.0" encoding="utf-8"?>
<formControlPr xmlns="http://schemas.microsoft.com/office/spreadsheetml/2009/9/main" objectType="Scroll" dx="16" fmlaLink="$D$9" horiz="1" max="10" min="2" page="10" val="10"/>
</file>

<file path=xl/ctrlProps/ctrlProp110.xml><?xml version="1.0" encoding="utf-8"?>
<formControlPr xmlns="http://schemas.microsoft.com/office/spreadsheetml/2009/9/main" objectType="Scroll" dx="16" fmlaLink="$D$4" horiz="1" max="10" min="4" page="10" val="4"/>
</file>

<file path=xl/ctrlProps/ctrlProp111.xml><?xml version="1.0" encoding="utf-8"?>
<formControlPr xmlns="http://schemas.microsoft.com/office/spreadsheetml/2009/9/main" objectType="Scroll" dx="16" fmlaLink="$A$3" horiz="1" inc="25" max="1250" min="750" page="10" val="750"/>
</file>

<file path=xl/ctrlProps/ctrlProp112.xml><?xml version="1.0" encoding="utf-8"?>
<formControlPr xmlns="http://schemas.microsoft.com/office/spreadsheetml/2009/9/main" objectType="Scroll" dx="16" fmlaLink="$A$8" horiz="1" inc="5" max="750" min="500" page="10" val="500"/>
</file>

<file path=xl/ctrlProps/ctrlProp113.xml><?xml version="1.0" encoding="utf-8"?>
<formControlPr xmlns="http://schemas.microsoft.com/office/spreadsheetml/2009/9/main" objectType="Scroll" dx="16" fmlaLink="$A$8" horiz="1" inc="5" max="50" min="25" page="10" val="25"/>
</file>

<file path=xl/ctrlProps/ctrlProp114.xml><?xml version="1.0" encoding="utf-8"?>
<formControlPr xmlns="http://schemas.microsoft.com/office/spreadsheetml/2009/9/main" objectType="Scroll" dx="16" fmlaLink="$A$9" horiz="1" inc="5" max="25" min="5" page="10" val="5"/>
</file>

<file path=xl/ctrlProps/ctrlProp115.xml><?xml version="1.0" encoding="utf-8"?>
<formControlPr xmlns="http://schemas.microsoft.com/office/spreadsheetml/2009/9/main" objectType="Scroll" dx="16" fmlaLink="$A$10" horiz="1" inc="5" max="25" min="5" page="10" val="25"/>
</file>

<file path=xl/ctrlProps/ctrlProp116.xml><?xml version="1.0" encoding="utf-8"?>
<formControlPr xmlns="http://schemas.microsoft.com/office/spreadsheetml/2009/9/main" objectType="Scroll" dx="16" fmlaLink="$E$7" horiz="1" max="1" page="10"/>
</file>

<file path=xl/ctrlProps/ctrlProp117.xml><?xml version="1.0" encoding="utf-8"?>
<formControlPr xmlns="http://schemas.microsoft.com/office/spreadsheetml/2009/9/main" objectType="Scroll" dx="16" fmlaLink="$A$6" horiz="1" inc="25" max="750" min="150" page="10" val="250"/>
</file>

<file path=xl/ctrlProps/ctrlProp118.xml><?xml version="1.0" encoding="utf-8"?>
<formControlPr xmlns="http://schemas.microsoft.com/office/spreadsheetml/2009/9/main" objectType="Scroll" dx="16" fmlaLink="$A$5" horiz="1" max="25" min="1" page="10" val="25"/>
</file>

<file path=xl/ctrlProps/ctrlProp119.xml><?xml version="1.0" encoding="utf-8"?>
<formControlPr xmlns="http://schemas.microsoft.com/office/spreadsheetml/2009/9/main" objectType="Scroll" dx="16" fmlaLink="$E$4" horiz="1" max="10" min="4" page="10" val="5"/>
</file>

<file path=xl/ctrlProps/ctrlProp12.xml><?xml version="1.0" encoding="utf-8"?>
<formControlPr xmlns="http://schemas.microsoft.com/office/spreadsheetml/2009/9/main" objectType="Scroll" dx="16" fmlaLink="$E$11" horiz="1" inc="25" max="2500" min="50" page="10" val="1500"/>
</file>

<file path=xl/ctrlProps/ctrlProp120.xml><?xml version="1.0" encoding="utf-8"?>
<formControlPr xmlns="http://schemas.microsoft.com/office/spreadsheetml/2009/9/main" objectType="Scroll" dx="16" fmlaLink="$A$3" horiz="1" inc="25" max="1250" min="750" page="10" val="800"/>
</file>

<file path=xl/ctrlProps/ctrlProp121.xml><?xml version="1.0" encoding="utf-8"?>
<formControlPr xmlns="http://schemas.microsoft.com/office/spreadsheetml/2009/9/main" objectType="Scroll" dx="22" fmlaLink="$F$20" horiz="1" max="15" min="1" page="10" val="6"/>
</file>

<file path=xl/ctrlProps/ctrlProp122.xml><?xml version="1.0" encoding="utf-8"?>
<formControlPr xmlns="http://schemas.microsoft.com/office/spreadsheetml/2009/9/main" objectType="Scroll" dx="22" fmlaLink="$F$21" horiz="1" max="6" min="1" page="10" val="3"/>
</file>

<file path=xl/ctrlProps/ctrlProp13.xml><?xml version="1.0" encoding="utf-8"?>
<formControlPr xmlns="http://schemas.microsoft.com/office/spreadsheetml/2009/9/main" objectType="Scroll" dx="16" fmlaLink="$D$12" horiz="1" max="1" page="10"/>
</file>

<file path=xl/ctrlProps/ctrlProp14.xml><?xml version="1.0" encoding="utf-8"?>
<formControlPr xmlns="http://schemas.microsoft.com/office/spreadsheetml/2009/9/main" objectType="Scroll" dx="16" fmlaLink="$E$7" horiz="1" inc="25" max="1800" min="750" page="10" val="1050"/>
</file>

<file path=xl/ctrlProps/ctrlProp15.xml><?xml version="1.0" encoding="utf-8"?>
<formControlPr xmlns="http://schemas.microsoft.com/office/spreadsheetml/2009/9/main" objectType="Scroll" dx="16" fmlaLink="$D$8" horiz="1" max="10" min="2" page="10" val="8"/>
</file>

<file path=xl/ctrlProps/ctrlProp16.xml><?xml version="1.0" encoding="utf-8"?>
<formControlPr xmlns="http://schemas.microsoft.com/office/spreadsheetml/2009/9/main" objectType="Scroll" dx="16" fmlaLink="$E$9" horiz="1" inc="25" max="10000" min="750" page="10" val="5000"/>
</file>

<file path=xl/ctrlProps/ctrlProp17.xml><?xml version="1.0" encoding="utf-8"?>
<formControlPr xmlns="http://schemas.microsoft.com/office/spreadsheetml/2009/9/main" objectType="Scroll" dx="16" fmlaLink="$E$10" horiz="1" inc="25" max="2500" min="500" page="10" val="2500"/>
</file>

<file path=xl/ctrlProps/ctrlProp18.xml><?xml version="1.0" encoding="utf-8"?>
<formControlPr xmlns="http://schemas.microsoft.com/office/spreadsheetml/2009/9/main" objectType="Scroll" dx="16" fmlaLink="$D$11" horiz="1" max="1" page="10" val="0"/>
</file>

<file path=xl/ctrlProps/ctrlProp19.xml><?xml version="1.0" encoding="utf-8"?>
<formControlPr xmlns="http://schemas.microsoft.com/office/spreadsheetml/2009/9/main" objectType="Scroll" dx="16" fmlaLink="$E$7" horiz="1" inc="250" max="3000" min="750" page="10" val="1500"/>
</file>

<file path=xl/ctrlProps/ctrlProp2.xml><?xml version="1.0" encoding="utf-8"?>
<formControlPr xmlns="http://schemas.microsoft.com/office/spreadsheetml/2009/9/main" objectType="Scroll" dx="22" fmlaLink="$D$5" horiz="1" max="11" min="5" page="10" val="8"/>
</file>

<file path=xl/ctrlProps/ctrlProp20.xml><?xml version="1.0" encoding="utf-8"?>
<formControlPr xmlns="http://schemas.microsoft.com/office/spreadsheetml/2009/9/main" objectType="Scroll" dx="16" fmlaLink="$D$8" horiz="1" max="36" min="5" page="10" val="12"/>
</file>

<file path=xl/ctrlProps/ctrlProp21.xml><?xml version="1.0" encoding="utf-8"?>
<formControlPr xmlns="http://schemas.microsoft.com/office/spreadsheetml/2009/9/main" objectType="Scroll" dx="16" fmlaLink="$E$9" horiz="1" max="100" min="5" page="10" val="30"/>
</file>

<file path=xl/ctrlProps/ctrlProp22.xml><?xml version="1.0" encoding="utf-8"?>
<formControlPr xmlns="http://schemas.microsoft.com/office/spreadsheetml/2009/9/main" objectType="Scroll" dx="16" fmlaLink="$D$11" horiz="1" max="1" page="10"/>
</file>

<file path=xl/ctrlProps/ctrlProp23.xml><?xml version="1.0" encoding="utf-8"?>
<formControlPr xmlns="http://schemas.microsoft.com/office/spreadsheetml/2009/9/main" objectType="Scroll" dx="16" fmlaLink="$E$10" horiz="1" max="150" page="10" val="0"/>
</file>

<file path=xl/ctrlProps/ctrlProp24.xml><?xml version="1.0" encoding="utf-8"?>
<formControlPr xmlns="http://schemas.microsoft.com/office/spreadsheetml/2009/9/main" objectType="Scroll" dx="22" fmlaLink="$D$3" horiz="1" max="25" min="12" page="10" val="15"/>
</file>

<file path=xl/ctrlProps/ctrlProp25.xml><?xml version="1.0" encoding="utf-8"?>
<formControlPr xmlns="http://schemas.microsoft.com/office/spreadsheetml/2009/9/main" objectType="Scroll" dx="22" fmlaLink="$D$4" horiz="1" max="11" min="5" page="10" val="10"/>
</file>

<file path=xl/ctrlProps/ctrlProp26.xml><?xml version="1.0" encoding="utf-8"?>
<formControlPr xmlns="http://schemas.microsoft.com/office/spreadsheetml/2009/9/main" objectType="Scroll" dx="22" fmlaLink="$A$6" horiz="1" inc="25" max="2000" min="750" page="10" val="1250"/>
</file>

<file path=xl/ctrlProps/ctrlProp27.xml><?xml version="1.0" encoding="utf-8"?>
<formControlPr xmlns="http://schemas.microsoft.com/office/spreadsheetml/2009/9/main" objectType="Scroll" dx="22" fmlaLink="$D$3" horiz="1" max="25" min="12" page="10" val="15"/>
</file>

<file path=xl/ctrlProps/ctrlProp28.xml><?xml version="1.0" encoding="utf-8"?>
<formControlPr xmlns="http://schemas.microsoft.com/office/spreadsheetml/2009/9/main" objectType="Scroll" dx="22" fmlaLink="$D$4" horiz="1" max="11" min="5" page="10" val="10"/>
</file>

<file path=xl/ctrlProps/ctrlProp29.xml><?xml version="1.0" encoding="utf-8"?>
<formControlPr xmlns="http://schemas.microsoft.com/office/spreadsheetml/2009/9/main" objectType="Scroll" dx="22" fmlaLink="$A$6" horiz="1" inc="25" max="2000" min="750" page="10" val="1250"/>
</file>

<file path=xl/ctrlProps/ctrlProp3.xml><?xml version="1.0" encoding="utf-8"?>
<formControlPr xmlns="http://schemas.microsoft.com/office/spreadsheetml/2009/9/main" objectType="Scroll" dx="22" fmlaLink="$E$7" horiz="1" inc="25" max="2000" min="750" page="10" val="750"/>
</file>

<file path=xl/ctrlProps/ctrlProp30.xml><?xml version="1.0" encoding="utf-8"?>
<formControlPr xmlns="http://schemas.microsoft.com/office/spreadsheetml/2009/9/main" objectType="Scroll" dx="22" fmlaLink="$D$3" horiz="1" max="25" min="12" page="10" val="15"/>
</file>

<file path=xl/ctrlProps/ctrlProp31.xml><?xml version="1.0" encoding="utf-8"?>
<formControlPr xmlns="http://schemas.microsoft.com/office/spreadsheetml/2009/9/main" objectType="Scroll" dx="22" fmlaLink="$D$4" horiz="1" max="11" min="5" page="10" val="10"/>
</file>

<file path=xl/ctrlProps/ctrlProp32.xml><?xml version="1.0" encoding="utf-8"?>
<formControlPr xmlns="http://schemas.microsoft.com/office/spreadsheetml/2009/9/main" objectType="Scroll" dx="22" fmlaLink="$E$6" horiz="1" inc="25" max="5000" min="750" page="10" val="1250"/>
</file>

<file path=xl/ctrlProps/ctrlProp33.xml><?xml version="1.0" encoding="utf-8"?>
<formControlPr xmlns="http://schemas.microsoft.com/office/spreadsheetml/2009/9/main" objectType="Scroll" dx="22" fmlaLink="$D$7" horiz="1" max="10" min="2" page="10" val="5"/>
</file>

<file path=xl/ctrlProps/ctrlProp34.xml><?xml version="1.0" encoding="utf-8"?>
<formControlPr xmlns="http://schemas.microsoft.com/office/spreadsheetml/2009/9/main" objectType="Scroll" dx="22" fmlaLink="$E$8" horiz="1" inc="25" max="500" min="25" page="10" val="25"/>
</file>

<file path=xl/ctrlProps/ctrlProp35.xml><?xml version="1.0" encoding="utf-8"?>
<formControlPr xmlns="http://schemas.microsoft.com/office/spreadsheetml/2009/9/main" objectType="Scroll" dx="22" fmlaLink="$D$3" horiz="1" max="25" min="12" page="10" val="15"/>
</file>

<file path=xl/ctrlProps/ctrlProp36.xml><?xml version="1.0" encoding="utf-8"?>
<formControlPr xmlns="http://schemas.microsoft.com/office/spreadsheetml/2009/9/main" objectType="Scroll" dx="22" fmlaLink="$D$4" horiz="1" max="11" min="5" page="10" val="10"/>
</file>

<file path=xl/ctrlProps/ctrlProp37.xml><?xml version="1.0" encoding="utf-8"?>
<formControlPr xmlns="http://schemas.microsoft.com/office/spreadsheetml/2009/9/main" objectType="Scroll" dx="22" fmlaLink="$E$6" horiz="1" inc="25" max="5000" min="750" page="10" val="1250"/>
</file>

<file path=xl/ctrlProps/ctrlProp38.xml><?xml version="1.0" encoding="utf-8"?>
<formControlPr xmlns="http://schemas.microsoft.com/office/spreadsheetml/2009/9/main" objectType="Scroll" dx="22" fmlaLink="$D$7" horiz="1" max="10" min="2" page="10" val="5"/>
</file>

<file path=xl/ctrlProps/ctrlProp39.xml><?xml version="1.0" encoding="utf-8"?>
<formControlPr xmlns="http://schemas.microsoft.com/office/spreadsheetml/2009/9/main" objectType="Scroll" dx="22" fmlaLink="$E$8" horiz="1" inc="25" max="500" min="25" page="10" val="25"/>
</file>

<file path=xl/ctrlProps/ctrlProp4.xml><?xml version="1.0" encoding="utf-8"?>
<formControlPr xmlns="http://schemas.microsoft.com/office/spreadsheetml/2009/9/main" objectType="Radio" firstButton="1" fmlaLink="$A$3" lockText="1"/>
</file>

<file path=xl/ctrlProps/ctrlProp40.xml><?xml version="1.0" encoding="utf-8"?>
<formControlPr xmlns="http://schemas.microsoft.com/office/spreadsheetml/2009/9/main" objectType="Scroll" dx="22" fmlaLink="$F$3" horiz="1" inc="250" max="5000" min="1000" page="10" val="2500"/>
</file>

<file path=xl/ctrlProps/ctrlProp41.xml><?xml version="1.0" encoding="utf-8"?>
<formControlPr xmlns="http://schemas.microsoft.com/office/spreadsheetml/2009/9/main" objectType="Scroll" dx="22" fmlaLink="$G$4" horiz="1" inc="5" max="70" min="40" page="10" val="50"/>
</file>

<file path=xl/ctrlProps/ctrlProp42.xml><?xml version="1.0" encoding="utf-8"?>
<formControlPr xmlns="http://schemas.microsoft.com/office/spreadsheetml/2009/9/main" objectType="Scroll" dx="22" fmlaLink="$E$7" horiz="1" inc="5" max="250" min="50" page="10" val="150"/>
</file>

<file path=xl/ctrlProps/ctrlProp43.xml><?xml version="1.0" encoding="utf-8"?>
<formControlPr xmlns="http://schemas.microsoft.com/office/spreadsheetml/2009/9/main" objectType="Scroll" dx="22" fmlaLink="$E$8" horiz="1" inc="5" max="150" min="20" page="10" val="70"/>
</file>

<file path=xl/ctrlProps/ctrlProp44.xml><?xml version="1.0" encoding="utf-8"?>
<formControlPr xmlns="http://schemas.microsoft.com/office/spreadsheetml/2009/9/main" objectType="Scroll" dx="22" fmlaLink="$F$3" horiz="1" inc="250" max="5000" min="1000" page="10" val="2500"/>
</file>

<file path=xl/ctrlProps/ctrlProp45.xml><?xml version="1.0" encoding="utf-8"?>
<formControlPr xmlns="http://schemas.microsoft.com/office/spreadsheetml/2009/9/main" objectType="Scroll" dx="22" fmlaLink="$G$4" horiz="1" inc="5" max="70" min="40" page="10" val="50"/>
</file>

<file path=xl/ctrlProps/ctrlProp46.xml><?xml version="1.0" encoding="utf-8"?>
<formControlPr xmlns="http://schemas.microsoft.com/office/spreadsheetml/2009/9/main" objectType="Scroll" dx="22" fmlaLink="$E$7" horiz="1" inc="5" max="250" min="50" page="10" val="150"/>
</file>

<file path=xl/ctrlProps/ctrlProp47.xml><?xml version="1.0" encoding="utf-8"?>
<formControlPr xmlns="http://schemas.microsoft.com/office/spreadsheetml/2009/9/main" objectType="Scroll" dx="22" fmlaLink="$E$8" horiz="1" inc="5" max="150" min="20" page="10" val="70"/>
</file>

<file path=xl/ctrlProps/ctrlProp48.xml><?xml version="1.0" encoding="utf-8"?>
<formControlPr xmlns="http://schemas.microsoft.com/office/spreadsheetml/2009/9/main" objectType="Scroll" dx="22" fmlaLink="$E$12" horiz="1" inc="5" max="25" min="5" page="10" val="20"/>
</file>

<file path=xl/ctrlProps/ctrlProp49.xml><?xml version="1.0" encoding="utf-8"?>
<formControlPr xmlns="http://schemas.microsoft.com/office/spreadsheetml/2009/9/main" objectType="Scroll" dx="22" fmlaLink="$F$3" horiz="1" inc="25" max="2500" min="500" page="10" val="1000"/>
</file>

<file path=xl/ctrlProps/ctrlProp5.xml><?xml version="1.0" encoding="utf-8"?>
<formControlPr xmlns="http://schemas.microsoft.com/office/spreadsheetml/2009/9/main" objectType="Radio" checked="Checked" lockText="1"/>
</file>

<file path=xl/ctrlProps/ctrlProp50.xml><?xml version="1.0" encoding="utf-8"?>
<formControlPr xmlns="http://schemas.microsoft.com/office/spreadsheetml/2009/9/main" objectType="Scroll" dx="22" fmlaLink="$F$4" horiz="1" inc="25" max="1500" min="200" page="10" val="775"/>
</file>

<file path=xl/ctrlProps/ctrlProp51.xml><?xml version="1.0" encoding="utf-8"?>
<formControlPr xmlns="http://schemas.microsoft.com/office/spreadsheetml/2009/9/main" objectType="Scroll" dx="22" fmlaLink="$F$5" horiz="1" inc="25" max="2500" min="500" page="10" val="550"/>
</file>

<file path=xl/ctrlProps/ctrlProp52.xml><?xml version="1.0" encoding="utf-8"?>
<formControlPr xmlns="http://schemas.microsoft.com/office/spreadsheetml/2009/9/main" objectType="Scroll" dx="22" fmlaLink="$E$8" horiz="1" inc="25" max="500" min="50" page="10" val="50"/>
</file>

<file path=xl/ctrlProps/ctrlProp53.xml><?xml version="1.0" encoding="utf-8"?>
<formControlPr xmlns="http://schemas.microsoft.com/office/spreadsheetml/2009/9/main" objectType="Scroll" dx="16" fmlaLink="$E$3" horiz="1" inc="25" max="1250" min="600" page="10" val="750"/>
</file>

<file path=xl/ctrlProps/ctrlProp54.xml><?xml version="1.0" encoding="utf-8"?>
<formControlPr xmlns="http://schemas.microsoft.com/office/spreadsheetml/2009/9/main" objectType="Scroll" dx="16" fmlaLink="$D$4" horiz="1" max="10" min="2" page="10" val="4"/>
</file>

<file path=xl/ctrlProps/ctrlProp55.xml><?xml version="1.0" encoding="utf-8"?>
<formControlPr xmlns="http://schemas.microsoft.com/office/spreadsheetml/2009/9/main" objectType="Scroll" dx="16" fmlaLink="$E$4" horiz="1" inc="25" max="2500" min="50" page="10" val="250"/>
</file>

<file path=xl/ctrlProps/ctrlProp56.xml><?xml version="1.0" encoding="utf-8"?>
<formControlPr xmlns="http://schemas.microsoft.com/office/spreadsheetml/2009/9/main" objectType="Scroll" dx="16" fmlaLink="$D$7" horiz="1" max="1" page="10" val="0"/>
</file>

<file path=xl/ctrlProps/ctrlProp57.xml><?xml version="1.0" encoding="utf-8"?>
<formControlPr xmlns="http://schemas.microsoft.com/office/spreadsheetml/2009/9/main" objectType="Scroll" dx="16" fmlaLink="$C$10" horiz="1" inc="50" max="2500" min="100" page="10" val="200"/>
</file>

<file path=xl/ctrlProps/ctrlProp58.xml><?xml version="1.0" encoding="utf-8"?>
<formControlPr xmlns="http://schemas.microsoft.com/office/spreadsheetml/2009/9/main" objectType="Scroll" dx="16" fmlaLink="$D$10" horiz="1" inc="25" max="250" min="25" page="10" val="25"/>
</file>

<file path=xl/ctrlProps/ctrlProp59.xml><?xml version="1.0" encoding="utf-8"?>
<formControlPr xmlns="http://schemas.microsoft.com/office/spreadsheetml/2009/9/main" objectType="Scroll" dx="22" fmlaLink="$E$17" horiz="1" max="11" min="1" page="10" val="7"/>
</file>

<file path=xl/ctrlProps/ctrlProp6.xml><?xml version="1.0" encoding="utf-8"?>
<formControlPr xmlns="http://schemas.microsoft.com/office/spreadsheetml/2009/9/main" objectType="Scroll" dx="22" fmlaLink="$D$4" horiz="1" max="25" min="12" page="10" val="15"/>
</file>

<file path=xl/ctrlProps/ctrlProp60.xml><?xml version="1.0" encoding="utf-8"?>
<formControlPr xmlns="http://schemas.microsoft.com/office/spreadsheetml/2009/9/main" objectType="Scroll" dx="16" fmlaLink="$E$3" horiz="1" inc="25" max="1250" min="600" page="10" val="750"/>
</file>

<file path=xl/ctrlProps/ctrlProp61.xml><?xml version="1.0" encoding="utf-8"?>
<formControlPr xmlns="http://schemas.microsoft.com/office/spreadsheetml/2009/9/main" objectType="Scroll" dx="16" fmlaLink="$D$4" horiz="1" max="10" min="2" page="10" val="4"/>
</file>

<file path=xl/ctrlProps/ctrlProp62.xml><?xml version="1.0" encoding="utf-8"?>
<formControlPr xmlns="http://schemas.microsoft.com/office/spreadsheetml/2009/9/main" objectType="Scroll" dx="16" fmlaLink="$E$6" horiz="1" inc="25" max="2500" min="50" page="10" val="250"/>
</file>

<file path=xl/ctrlProps/ctrlProp63.xml><?xml version="1.0" encoding="utf-8"?>
<formControlPr xmlns="http://schemas.microsoft.com/office/spreadsheetml/2009/9/main" objectType="Scroll" dx="16" fmlaLink="$D$7" horiz="1" max="1" page="10" val="0"/>
</file>

<file path=xl/ctrlProps/ctrlProp64.xml><?xml version="1.0" encoding="utf-8"?>
<formControlPr xmlns="http://schemas.microsoft.com/office/spreadsheetml/2009/9/main" objectType="Scroll" dx="16" fmlaLink="$E$9" horiz="1" inc="50" max="2500" min="100" page="10" val="200"/>
</file>

<file path=xl/ctrlProps/ctrlProp65.xml><?xml version="1.0" encoding="utf-8"?>
<formControlPr xmlns="http://schemas.microsoft.com/office/spreadsheetml/2009/9/main" objectType="Scroll" dx="16" fmlaLink="$E$10" horiz="1" inc="5" max="250" min="5" page="10" val="25"/>
</file>

<file path=xl/ctrlProps/ctrlProp66.xml><?xml version="1.0" encoding="utf-8"?>
<formControlPr xmlns="http://schemas.microsoft.com/office/spreadsheetml/2009/9/main" objectType="Scroll" dx="16" fmlaLink="$E$8" horiz="1" inc="5" max="150" min="25" page="10" val="25"/>
</file>

<file path=xl/ctrlProps/ctrlProp67.xml><?xml version="1.0" encoding="utf-8"?>
<formControlPr xmlns="http://schemas.microsoft.com/office/spreadsheetml/2009/9/main" objectType="Scroll" dx="22" fmlaLink="$E$3" horiz="1" inc="25" max="1250" min="800" page="10" val="1000"/>
</file>

<file path=xl/ctrlProps/ctrlProp68.xml><?xml version="1.0" encoding="utf-8"?>
<formControlPr xmlns="http://schemas.microsoft.com/office/spreadsheetml/2009/9/main" objectType="Scroll" dx="22" fmlaLink="$D$4" horiz="1" inc="12" max="120" min="12" page="10" val="12"/>
</file>

<file path=xl/ctrlProps/ctrlProp69.xml><?xml version="1.0" encoding="utf-8"?>
<formControlPr xmlns="http://schemas.microsoft.com/office/spreadsheetml/2009/9/main" objectType="Scroll" dx="22" fmlaLink="$E$5" horiz="1" inc="25" max="500" min="50" page="10" val="50"/>
</file>

<file path=xl/ctrlProps/ctrlProp7.xml><?xml version="1.0" encoding="utf-8"?>
<formControlPr xmlns="http://schemas.microsoft.com/office/spreadsheetml/2009/9/main" objectType="Scroll" dx="22" fmlaLink="$D$5" horiz="1" max="11" min="5" page="10" val="8"/>
</file>

<file path=xl/ctrlProps/ctrlProp70.xml><?xml version="1.0" encoding="utf-8"?>
<formControlPr xmlns="http://schemas.microsoft.com/office/spreadsheetml/2009/9/main" objectType="Scroll" dx="16" fmlaLink="$A$3" horiz="1" inc="25" max="500" min="100" page="10" val="250"/>
</file>

<file path=xl/ctrlProps/ctrlProp71.xml><?xml version="1.0" encoding="utf-8"?>
<formControlPr xmlns="http://schemas.microsoft.com/office/spreadsheetml/2009/9/main" objectType="Scroll" dx="16" fmlaLink="$D$4" horiz="1" inc="6" max="60" min="12" page="10" val="60"/>
</file>

<file path=xl/ctrlProps/ctrlProp72.xml><?xml version="1.0" encoding="utf-8"?>
<formControlPr xmlns="http://schemas.microsoft.com/office/spreadsheetml/2009/9/main" objectType="Scroll" dx="16" fmlaLink="$A$6" horiz="1" inc="25" max="500" min="75" page="10" val="175"/>
</file>

<file path=xl/ctrlProps/ctrlProp73.xml><?xml version="1.0" encoding="utf-8"?>
<formControlPr xmlns="http://schemas.microsoft.com/office/spreadsheetml/2009/9/main" objectType="Scroll" dx="16" fmlaLink="$A$7" horiz="1" inc="5" max="25" min="5" page="10" val="25"/>
</file>

<file path=xl/ctrlProps/ctrlProp74.xml><?xml version="1.0" encoding="utf-8"?>
<formControlPr xmlns="http://schemas.microsoft.com/office/spreadsheetml/2009/9/main" objectType="Scroll" dx="16" fmlaLink="$A$5" horiz="1" max="13" min="9" page="10" val="10"/>
</file>

<file path=xl/ctrlProps/ctrlProp75.xml><?xml version="1.0" encoding="utf-8"?>
<formControlPr xmlns="http://schemas.microsoft.com/office/spreadsheetml/2009/9/main" objectType="Scroll" dx="16" fmlaLink="$A$3" horiz="1" inc="25" max="500" min="100" page="10" val="250"/>
</file>

<file path=xl/ctrlProps/ctrlProp76.xml><?xml version="1.0" encoding="utf-8"?>
<formControlPr xmlns="http://schemas.microsoft.com/office/spreadsheetml/2009/9/main" objectType="Scroll" dx="16" fmlaLink="$D$4" horiz="1" inc="6" max="60" min="12" page="10" val="60"/>
</file>

<file path=xl/ctrlProps/ctrlProp77.xml><?xml version="1.0" encoding="utf-8"?>
<formControlPr xmlns="http://schemas.microsoft.com/office/spreadsheetml/2009/9/main" objectType="Scroll" dx="16" fmlaLink="$A$6" horiz="1" inc="25" max="500" min="75" page="10" val="175"/>
</file>

<file path=xl/ctrlProps/ctrlProp78.xml><?xml version="1.0" encoding="utf-8"?>
<formControlPr xmlns="http://schemas.microsoft.com/office/spreadsheetml/2009/9/main" objectType="Scroll" dx="16" fmlaLink="$A$7" horiz="1" inc="5" max="25" min="5" page="10" val="25"/>
</file>

<file path=xl/ctrlProps/ctrlProp79.xml><?xml version="1.0" encoding="utf-8"?>
<formControlPr xmlns="http://schemas.microsoft.com/office/spreadsheetml/2009/9/main" objectType="Scroll" dx="16" fmlaLink="$A$5" horiz="1" max="13" min="9" page="10" val="10"/>
</file>

<file path=xl/ctrlProps/ctrlProp8.xml><?xml version="1.0" encoding="utf-8"?>
<formControlPr xmlns="http://schemas.microsoft.com/office/spreadsheetml/2009/9/main" objectType="Scroll" dx="22" fmlaLink="$E$7" horiz="1" inc="25" max="2000" min="750" page="10" val="750"/>
</file>

<file path=xl/ctrlProps/ctrlProp80.xml><?xml version="1.0" encoding="utf-8"?>
<formControlPr xmlns="http://schemas.microsoft.com/office/spreadsheetml/2009/9/main" objectType="Scroll" dx="16" fmlaLink="$A$8" horiz="1" inc="25" max="100" min="25" page="10" val="25"/>
</file>

<file path=xl/ctrlProps/ctrlProp81.xml><?xml version="1.0" encoding="utf-8"?>
<formControlPr xmlns="http://schemas.microsoft.com/office/spreadsheetml/2009/9/main" objectType="Scroll" dx="22" fmlaLink="$E$3" horiz="1" inc="25" max="1500" min="800" page="10" val="1250"/>
</file>

<file path=xl/ctrlProps/ctrlProp82.xml><?xml version="1.0" encoding="utf-8"?>
<formControlPr xmlns="http://schemas.microsoft.com/office/spreadsheetml/2009/9/main" objectType="Scroll" dx="22" fmlaLink="$D$4" horiz="1" inc="12" max="120" min="12" page="10" val="12"/>
</file>

<file path=xl/ctrlProps/ctrlProp83.xml><?xml version="1.0" encoding="utf-8"?>
<formControlPr xmlns="http://schemas.microsoft.com/office/spreadsheetml/2009/9/main" objectType="Scroll" dx="22" fmlaLink="$E$5" horiz="1" inc="25" max="500" min="50" page="10" val="50"/>
</file>

<file path=xl/ctrlProps/ctrlProp84.xml><?xml version="1.0" encoding="utf-8"?>
<formControlPr xmlns="http://schemas.microsoft.com/office/spreadsheetml/2009/9/main" objectType="Scroll" dx="22" fmlaLink="$F$3" horiz="1" inc="25" max="1500" min="800" page="10" val="1250"/>
</file>

<file path=xl/ctrlProps/ctrlProp85.xml><?xml version="1.0" encoding="utf-8"?>
<formControlPr xmlns="http://schemas.microsoft.com/office/spreadsheetml/2009/9/main" objectType="Scroll" dx="22" fmlaLink="$E$4" horiz="1" inc="12" max="120" min="12" page="10" val="12"/>
</file>

<file path=xl/ctrlProps/ctrlProp86.xml><?xml version="1.0" encoding="utf-8"?>
<formControlPr xmlns="http://schemas.microsoft.com/office/spreadsheetml/2009/9/main" objectType="Scroll" dx="22" fmlaLink="$F$5" horiz="1" inc="25" max="500" min="50" page="10" val="50"/>
</file>

<file path=xl/ctrlProps/ctrlProp87.xml><?xml version="1.0" encoding="utf-8"?>
<formControlPr xmlns="http://schemas.microsoft.com/office/spreadsheetml/2009/9/main" objectType="Scroll" dx="22" fmlaLink="$F$6" horiz="1" inc="5" max="150" min="25" page="10" val="25"/>
</file>

<file path=xl/ctrlProps/ctrlProp88.xml><?xml version="1.0" encoding="utf-8"?>
<formControlPr xmlns="http://schemas.microsoft.com/office/spreadsheetml/2009/9/main" objectType="Radio" checked="Checked" firstButton="1" fmlaLink="$G$3" lockText="1"/>
</file>

<file path=xl/ctrlProps/ctrlProp89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Scroll" dx="22" fmlaLink="$A$3" horiz="1" max="3" min="1" page="10" val="3"/>
</file>

<file path=xl/ctrlProps/ctrlProp90.xml><?xml version="1.0" encoding="utf-8"?>
<formControlPr xmlns="http://schemas.microsoft.com/office/spreadsheetml/2009/9/main" objectType="Scroll" dx="16" fmlaLink="$A$3" horiz="1" inc="25" max="500" min="100" page="10" val="250"/>
</file>

<file path=xl/ctrlProps/ctrlProp91.xml><?xml version="1.0" encoding="utf-8"?>
<formControlPr xmlns="http://schemas.microsoft.com/office/spreadsheetml/2009/9/main" objectType="Scroll" dx="16" fmlaLink="$E$4" horiz="1" inc="6" max="60" min="12" page="10" val="60"/>
</file>

<file path=xl/ctrlProps/ctrlProp92.xml><?xml version="1.0" encoding="utf-8"?>
<formControlPr xmlns="http://schemas.microsoft.com/office/spreadsheetml/2009/9/main" objectType="Scroll" dx="16" fmlaLink="$A$6" horiz="1" inc="25" max="2000" min="1200" page="10" val="1400"/>
</file>

<file path=xl/ctrlProps/ctrlProp93.xml><?xml version="1.0" encoding="utf-8"?>
<formControlPr xmlns="http://schemas.microsoft.com/office/spreadsheetml/2009/9/main" objectType="Scroll" dx="16" fmlaLink="$A$9" horiz="1" inc="25" max="500" min="75" page="10" val="175"/>
</file>

<file path=xl/ctrlProps/ctrlProp94.xml><?xml version="1.0" encoding="utf-8"?>
<formControlPr xmlns="http://schemas.microsoft.com/office/spreadsheetml/2009/9/main" objectType="Scroll" dx="16" fmlaLink="$A$10" horiz="1" inc="5" max="25" min="5" page="10" val="25"/>
</file>

<file path=xl/ctrlProps/ctrlProp95.xml><?xml version="1.0" encoding="utf-8"?>
<formControlPr xmlns="http://schemas.microsoft.com/office/spreadsheetml/2009/9/main" objectType="Scroll" dx="16" fmlaLink="$G$4" horiz="1" max="16" min="1" page="10" val="6"/>
</file>

<file path=xl/ctrlProps/ctrlProp96.xml><?xml version="1.0" encoding="utf-8"?>
<formControlPr xmlns="http://schemas.microsoft.com/office/spreadsheetml/2009/9/main" objectType="Scroll" dx="16" fmlaLink="$A$8" horiz="1" max="2" min="1" page="10"/>
</file>

<file path=xl/ctrlProps/ctrlProp97.xml><?xml version="1.0" encoding="utf-8"?>
<formControlPr xmlns="http://schemas.microsoft.com/office/spreadsheetml/2009/9/main" objectType="Scroll" dx="16" fmlaLink="$A$7" horiz="1" inc="25" max="1250" min="750" page="10" val="800"/>
</file>

<file path=xl/ctrlProps/ctrlProp98.xml><?xml version="1.0" encoding="utf-8"?>
<formControlPr xmlns="http://schemas.microsoft.com/office/spreadsheetml/2009/9/main" objectType="Scroll" dx="16" fmlaLink="$A$5" horiz="1" inc="5" max="100" min="5" page="10" val="25"/>
</file>

<file path=xl/ctrlProps/ctrlProp99.xml><?xml version="1.0" encoding="utf-8"?>
<formControlPr xmlns="http://schemas.microsoft.com/office/spreadsheetml/2009/9/main" objectType="Scroll" dx="16" fmlaLink="$A$6" horiz="1" inc="25" max="500" min="150" page="10" val="300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1019175</xdr:colOff>
          <xdr:row>3</xdr:row>
          <xdr:rowOff>28575</xdr:rowOff>
        </xdr:from>
        <xdr:to>
          <xdr:col>2</xdr:col>
          <xdr:colOff>200025</xdr:colOff>
          <xdr:row>3</xdr:row>
          <xdr:rowOff>190500</xdr:rowOff>
        </xdr:to>
        <xdr:sp macro="" textlink="">
          <xdr:nvSpPr>
            <xdr:cNvPr id="90113" name="Scroll Bar 1" hidden="1">
              <a:extLst>
                <a:ext uri="{63B3BB69-23CF-44E3-9099-C40C66FF867C}">
                  <a14:compatExt spid="_x0000_s90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1019175</xdr:colOff>
          <xdr:row>4</xdr:row>
          <xdr:rowOff>28575</xdr:rowOff>
        </xdr:from>
        <xdr:to>
          <xdr:col>2</xdr:col>
          <xdr:colOff>200025</xdr:colOff>
          <xdr:row>4</xdr:row>
          <xdr:rowOff>190500</xdr:rowOff>
        </xdr:to>
        <xdr:sp macro="" textlink="">
          <xdr:nvSpPr>
            <xdr:cNvPr id="90115" name="Scroll Bar 3" hidden="1">
              <a:extLst>
                <a:ext uri="{63B3BB69-23CF-44E3-9099-C40C66FF867C}">
                  <a14:compatExt spid="_x0000_s90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1019175</xdr:colOff>
          <xdr:row>6</xdr:row>
          <xdr:rowOff>28575</xdr:rowOff>
        </xdr:from>
        <xdr:to>
          <xdr:col>2</xdr:col>
          <xdr:colOff>200025</xdr:colOff>
          <xdr:row>6</xdr:row>
          <xdr:rowOff>190500</xdr:rowOff>
        </xdr:to>
        <xdr:sp macro="" textlink="">
          <xdr:nvSpPr>
            <xdr:cNvPr id="90116" name="Scroll Bar 4" hidden="1">
              <a:extLst>
                <a:ext uri="{63B3BB69-23CF-44E3-9099-C40C66FF867C}">
                  <a14:compatExt spid="_x0000_s90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561975</xdr:colOff>
          <xdr:row>2</xdr:row>
          <xdr:rowOff>9525</xdr:rowOff>
        </xdr:from>
        <xdr:to>
          <xdr:col>1</xdr:col>
          <xdr:colOff>819150</xdr:colOff>
          <xdr:row>2</xdr:row>
          <xdr:rowOff>228600</xdr:rowOff>
        </xdr:to>
        <xdr:sp macro="" textlink="">
          <xdr:nvSpPr>
            <xdr:cNvPr id="90117" name="Option Button 5" hidden="1">
              <a:extLst>
                <a:ext uri="{63B3BB69-23CF-44E3-9099-C40C66FF867C}">
                  <a14:compatExt spid="_x0000_s90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152400</xdr:colOff>
          <xdr:row>2</xdr:row>
          <xdr:rowOff>9525</xdr:rowOff>
        </xdr:from>
        <xdr:to>
          <xdr:col>3</xdr:col>
          <xdr:colOff>66675</xdr:colOff>
          <xdr:row>2</xdr:row>
          <xdr:rowOff>228600</xdr:rowOff>
        </xdr:to>
        <xdr:sp macro="" textlink="">
          <xdr:nvSpPr>
            <xdr:cNvPr id="90118" name="Option Button 6" hidden="1">
              <a:extLst>
                <a:ext uri="{63B3BB69-23CF-44E3-9099-C40C66FF867C}">
                  <a14:compatExt spid="_x0000_s90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2</xdr:row>
          <xdr:rowOff>28575</xdr:rowOff>
        </xdr:from>
        <xdr:to>
          <xdr:col>4</xdr:col>
          <xdr:colOff>752475</xdr:colOff>
          <xdr:row>2</xdr:row>
          <xdr:rowOff>190500</xdr:rowOff>
        </xdr:to>
        <xdr:sp macro="" textlink="">
          <xdr:nvSpPr>
            <xdr:cNvPr id="172033" name="Scroll Bar 1" hidden="1">
              <a:extLst>
                <a:ext uri="{63B3BB69-23CF-44E3-9099-C40C66FF867C}">
                  <a14:compatExt spid="_x0000_s172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3</xdr:row>
          <xdr:rowOff>19050</xdr:rowOff>
        </xdr:from>
        <xdr:to>
          <xdr:col>4</xdr:col>
          <xdr:colOff>752475</xdr:colOff>
          <xdr:row>3</xdr:row>
          <xdr:rowOff>180975</xdr:rowOff>
        </xdr:to>
        <xdr:sp macro="" textlink="">
          <xdr:nvSpPr>
            <xdr:cNvPr id="172034" name="Scroll Bar 2" hidden="1">
              <a:extLst>
                <a:ext uri="{63B3BB69-23CF-44E3-9099-C40C66FF867C}">
                  <a14:compatExt spid="_x0000_s172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6</xdr:row>
          <xdr:rowOff>19050</xdr:rowOff>
        </xdr:from>
        <xdr:to>
          <xdr:col>4</xdr:col>
          <xdr:colOff>533400</xdr:colOff>
          <xdr:row>6</xdr:row>
          <xdr:rowOff>180975</xdr:rowOff>
        </xdr:to>
        <xdr:sp macro="" textlink="">
          <xdr:nvSpPr>
            <xdr:cNvPr id="172035" name="Scroll Bar 3" hidden="1">
              <a:extLst>
                <a:ext uri="{63B3BB69-23CF-44E3-9099-C40C66FF867C}">
                  <a14:compatExt spid="_x0000_s172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7</xdr:row>
          <xdr:rowOff>9525</xdr:rowOff>
        </xdr:from>
        <xdr:to>
          <xdr:col>4</xdr:col>
          <xdr:colOff>533400</xdr:colOff>
          <xdr:row>7</xdr:row>
          <xdr:rowOff>171450</xdr:rowOff>
        </xdr:to>
        <xdr:sp macro="" textlink="">
          <xdr:nvSpPr>
            <xdr:cNvPr id="172036" name="Scroll Bar 4" hidden="1">
              <a:extLst>
                <a:ext uri="{63B3BB69-23CF-44E3-9099-C40C66FF867C}">
                  <a14:compatExt spid="_x0000_s172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7</xdr:col>
      <xdr:colOff>371475</xdr:colOff>
      <xdr:row>4</xdr:row>
      <xdr:rowOff>114300</xdr:rowOff>
    </xdr:from>
    <xdr:to>
      <xdr:col>11</xdr:col>
      <xdr:colOff>38100</xdr:colOff>
      <xdr:row>11</xdr:row>
      <xdr:rowOff>678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7275" y="1019175"/>
          <a:ext cx="2162175" cy="124845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2</xdr:row>
          <xdr:rowOff>28575</xdr:rowOff>
        </xdr:from>
        <xdr:to>
          <xdr:col>4</xdr:col>
          <xdr:colOff>752475</xdr:colOff>
          <xdr:row>2</xdr:row>
          <xdr:rowOff>190500</xdr:rowOff>
        </xdr:to>
        <xdr:sp macro="" textlink="">
          <xdr:nvSpPr>
            <xdr:cNvPr id="188417" name="Scroll Bar 1" hidden="1">
              <a:extLst>
                <a:ext uri="{63B3BB69-23CF-44E3-9099-C40C66FF867C}">
                  <a14:compatExt spid="_x0000_s188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3</xdr:row>
          <xdr:rowOff>19050</xdr:rowOff>
        </xdr:from>
        <xdr:to>
          <xdr:col>4</xdr:col>
          <xdr:colOff>752475</xdr:colOff>
          <xdr:row>3</xdr:row>
          <xdr:rowOff>180975</xdr:rowOff>
        </xdr:to>
        <xdr:sp macro="" textlink="">
          <xdr:nvSpPr>
            <xdr:cNvPr id="188418" name="Scroll Bar 2" hidden="1">
              <a:extLst>
                <a:ext uri="{63B3BB69-23CF-44E3-9099-C40C66FF867C}">
                  <a14:compatExt spid="_x0000_s188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6</xdr:row>
          <xdr:rowOff>19050</xdr:rowOff>
        </xdr:from>
        <xdr:to>
          <xdr:col>4</xdr:col>
          <xdr:colOff>533400</xdr:colOff>
          <xdr:row>6</xdr:row>
          <xdr:rowOff>180975</xdr:rowOff>
        </xdr:to>
        <xdr:sp macro="" textlink="">
          <xdr:nvSpPr>
            <xdr:cNvPr id="188419" name="Scroll Bar 3" hidden="1">
              <a:extLst>
                <a:ext uri="{63B3BB69-23CF-44E3-9099-C40C66FF867C}">
                  <a14:compatExt spid="_x0000_s188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7</xdr:row>
          <xdr:rowOff>9525</xdr:rowOff>
        </xdr:from>
        <xdr:to>
          <xdr:col>4</xdr:col>
          <xdr:colOff>533400</xdr:colOff>
          <xdr:row>7</xdr:row>
          <xdr:rowOff>171450</xdr:rowOff>
        </xdr:to>
        <xdr:sp macro="" textlink="">
          <xdr:nvSpPr>
            <xdr:cNvPr id="188420" name="Scroll Bar 4" hidden="1">
              <a:extLst>
                <a:ext uri="{63B3BB69-23CF-44E3-9099-C40C66FF867C}">
                  <a14:compatExt spid="_x0000_s188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11</xdr:row>
          <xdr:rowOff>28575</xdr:rowOff>
        </xdr:from>
        <xdr:to>
          <xdr:col>4</xdr:col>
          <xdr:colOff>542925</xdr:colOff>
          <xdr:row>11</xdr:row>
          <xdr:rowOff>190500</xdr:rowOff>
        </xdr:to>
        <xdr:sp macro="" textlink="">
          <xdr:nvSpPr>
            <xdr:cNvPr id="188421" name="Scroll Bar 5" hidden="1">
              <a:extLst>
                <a:ext uri="{63B3BB69-23CF-44E3-9099-C40C66FF867C}">
                  <a14:compatExt spid="_x0000_s188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1562100</xdr:colOff>
          <xdr:row>2</xdr:row>
          <xdr:rowOff>47625</xdr:rowOff>
        </xdr:from>
        <xdr:to>
          <xdr:col>3</xdr:col>
          <xdr:colOff>314325</xdr:colOff>
          <xdr:row>3</xdr:row>
          <xdr:rowOff>0</xdr:rowOff>
        </xdr:to>
        <xdr:sp macro="" textlink="">
          <xdr:nvSpPr>
            <xdr:cNvPr id="217089" name="Scroll Bar 1" hidden="1">
              <a:extLst>
                <a:ext uri="{63B3BB69-23CF-44E3-9099-C40C66FF867C}">
                  <a14:compatExt spid="_x0000_s217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1562100</xdr:colOff>
          <xdr:row>3</xdr:row>
          <xdr:rowOff>28575</xdr:rowOff>
        </xdr:from>
        <xdr:to>
          <xdr:col>3</xdr:col>
          <xdr:colOff>314325</xdr:colOff>
          <xdr:row>3</xdr:row>
          <xdr:rowOff>190500</xdr:rowOff>
        </xdr:to>
        <xdr:sp macro="" textlink="">
          <xdr:nvSpPr>
            <xdr:cNvPr id="217091" name="Scroll Bar 3" hidden="1">
              <a:extLst>
                <a:ext uri="{63B3BB69-23CF-44E3-9099-C40C66FF867C}">
                  <a14:compatExt spid="_x0000_s217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1562100</xdr:colOff>
          <xdr:row>4</xdr:row>
          <xdr:rowOff>9525</xdr:rowOff>
        </xdr:from>
        <xdr:to>
          <xdr:col>3</xdr:col>
          <xdr:colOff>314325</xdr:colOff>
          <xdr:row>4</xdr:row>
          <xdr:rowOff>171450</xdr:rowOff>
        </xdr:to>
        <xdr:sp macro="" textlink="">
          <xdr:nvSpPr>
            <xdr:cNvPr id="217092" name="Scroll Bar 4" hidden="1">
              <a:extLst>
                <a:ext uri="{63B3BB69-23CF-44E3-9099-C40C66FF867C}">
                  <a14:compatExt spid="_x0000_s217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1152525</xdr:colOff>
          <xdr:row>7</xdr:row>
          <xdr:rowOff>19050</xdr:rowOff>
        </xdr:from>
        <xdr:to>
          <xdr:col>2</xdr:col>
          <xdr:colOff>1638300</xdr:colOff>
          <xdr:row>7</xdr:row>
          <xdr:rowOff>180975</xdr:rowOff>
        </xdr:to>
        <xdr:sp macro="" textlink="">
          <xdr:nvSpPr>
            <xdr:cNvPr id="217093" name="Scroll Bar 5" hidden="1">
              <a:extLst>
                <a:ext uri="{63B3BB69-23CF-44E3-9099-C40C66FF867C}">
                  <a14:compatExt spid="_x0000_s217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2</xdr:row>
          <xdr:rowOff>57150</xdr:rowOff>
        </xdr:from>
        <xdr:to>
          <xdr:col>2</xdr:col>
          <xdr:colOff>1057275</xdr:colOff>
          <xdr:row>3</xdr:row>
          <xdr:rowOff>9525</xdr:rowOff>
        </xdr:to>
        <xdr:sp macro="" textlink="">
          <xdr:nvSpPr>
            <xdr:cNvPr id="145409" name="Scroll Bar 1" hidden="1">
              <a:extLst>
                <a:ext uri="{63B3BB69-23CF-44E3-9099-C40C66FF867C}">
                  <a14:compatExt spid="_x0000_s145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3</xdr:row>
          <xdr:rowOff>38100</xdr:rowOff>
        </xdr:from>
        <xdr:to>
          <xdr:col>2</xdr:col>
          <xdr:colOff>1057275</xdr:colOff>
          <xdr:row>3</xdr:row>
          <xdr:rowOff>200025</xdr:rowOff>
        </xdr:to>
        <xdr:sp macro="" textlink="">
          <xdr:nvSpPr>
            <xdr:cNvPr id="145410" name="Scroll Bar 2" hidden="1">
              <a:extLst>
                <a:ext uri="{63B3BB69-23CF-44E3-9099-C40C66FF867C}">
                  <a14:compatExt spid="_x0000_s145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5</xdr:row>
          <xdr:rowOff>38100</xdr:rowOff>
        </xdr:from>
        <xdr:to>
          <xdr:col>2</xdr:col>
          <xdr:colOff>1066800</xdr:colOff>
          <xdr:row>5</xdr:row>
          <xdr:rowOff>200025</xdr:rowOff>
        </xdr:to>
        <xdr:sp macro="" textlink="">
          <xdr:nvSpPr>
            <xdr:cNvPr id="145411" name="Scroll Bar 3" hidden="1">
              <a:extLst>
                <a:ext uri="{63B3BB69-23CF-44E3-9099-C40C66FF867C}">
                  <a14:compatExt spid="_x0000_s145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6</xdr:row>
          <xdr:rowOff>19050</xdr:rowOff>
        </xdr:from>
        <xdr:to>
          <xdr:col>2</xdr:col>
          <xdr:colOff>1066800</xdr:colOff>
          <xdr:row>6</xdr:row>
          <xdr:rowOff>180975</xdr:rowOff>
        </xdr:to>
        <xdr:sp macro="" textlink="">
          <xdr:nvSpPr>
            <xdr:cNvPr id="145412" name="Scroll Bar 4" hidden="1">
              <a:extLst>
                <a:ext uri="{63B3BB69-23CF-44E3-9099-C40C66FF867C}">
                  <a14:compatExt spid="_x0000_s145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7</xdr:row>
          <xdr:rowOff>28575</xdr:rowOff>
        </xdr:from>
        <xdr:to>
          <xdr:col>2</xdr:col>
          <xdr:colOff>1066800</xdr:colOff>
          <xdr:row>7</xdr:row>
          <xdr:rowOff>190500</xdr:rowOff>
        </xdr:to>
        <xdr:sp macro="" textlink="">
          <xdr:nvSpPr>
            <xdr:cNvPr id="145420" name="Scroll Bar 12" hidden="1">
              <a:extLst>
                <a:ext uri="{63B3BB69-23CF-44E3-9099-C40C66FF867C}">
                  <a14:compatExt spid="_x0000_s145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8</xdr:row>
          <xdr:rowOff>19050</xdr:rowOff>
        </xdr:from>
        <xdr:to>
          <xdr:col>2</xdr:col>
          <xdr:colOff>1066800</xdr:colOff>
          <xdr:row>8</xdr:row>
          <xdr:rowOff>180975</xdr:rowOff>
        </xdr:to>
        <xdr:sp macro="" textlink="">
          <xdr:nvSpPr>
            <xdr:cNvPr id="145422" name="Scroll Bar 14" hidden="1">
              <a:extLst>
                <a:ext uri="{63B3BB69-23CF-44E3-9099-C40C66FF867C}">
                  <a14:compatExt spid="_x0000_s1454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8</xdr:col>
      <xdr:colOff>171450</xdr:colOff>
      <xdr:row>6</xdr:row>
      <xdr:rowOff>28575</xdr:rowOff>
    </xdr:from>
    <xdr:to>
      <xdr:col>11</xdr:col>
      <xdr:colOff>476250</xdr:colOff>
      <xdr:row>12</xdr:row>
      <xdr:rowOff>171450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5200" y="1304925"/>
          <a:ext cx="2352675" cy="140017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600075</xdr:colOff>
          <xdr:row>16</xdr:row>
          <xdr:rowOff>28575</xdr:rowOff>
        </xdr:from>
        <xdr:to>
          <xdr:col>7</xdr:col>
          <xdr:colOff>47625</xdr:colOff>
          <xdr:row>16</xdr:row>
          <xdr:rowOff>190500</xdr:rowOff>
        </xdr:to>
        <xdr:sp macro="" textlink="">
          <xdr:nvSpPr>
            <xdr:cNvPr id="145423" name="Scroll Bar 15" hidden="1">
              <a:extLst>
                <a:ext uri="{63B3BB69-23CF-44E3-9099-C40C66FF867C}">
                  <a14:compatExt spid="_x0000_s1454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2</xdr:row>
          <xdr:rowOff>47625</xdr:rowOff>
        </xdr:from>
        <xdr:to>
          <xdr:col>2</xdr:col>
          <xdr:colOff>1057275</xdr:colOff>
          <xdr:row>3</xdr:row>
          <xdr:rowOff>0</xdr:rowOff>
        </xdr:to>
        <xdr:sp macro="" textlink="">
          <xdr:nvSpPr>
            <xdr:cNvPr id="146433" name="Scroll Bar 1" hidden="1">
              <a:extLst>
                <a:ext uri="{63B3BB69-23CF-44E3-9099-C40C66FF867C}">
                  <a14:compatExt spid="_x0000_s146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3</xdr:row>
          <xdr:rowOff>38100</xdr:rowOff>
        </xdr:from>
        <xdr:to>
          <xdr:col>2</xdr:col>
          <xdr:colOff>1057275</xdr:colOff>
          <xdr:row>3</xdr:row>
          <xdr:rowOff>200025</xdr:rowOff>
        </xdr:to>
        <xdr:sp macro="" textlink="">
          <xdr:nvSpPr>
            <xdr:cNvPr id="146434" name="Scroll Bar 2" hidden="1">
              <a:extLst>
                <a:ext uri="{63B3BB69-23CF-44E3-9099-C40C66FF867C}">
                  <a14:compatExt spid="_x0000_s146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5</xdr:row>
          <xdr:rowOff>9525</xdr:rowOff>
        </xdr:from>
        <xdr:to>
          <xdr:col>2</xdr:col>
          <xdr:colOff>1066800</xdr:colOff>
          <xdr:row>5</xdr:row>
          <xdr:rowOff>171450</xdr:rowOff>
        </xdr:to>
        <xdr:sp macro="" textlink="">
          <xdr:nvSpPr>
            <xdr:cNvPr id="146435" name="Scroll Bar 3" hidden="1">
              <a:extLst>
                <a:ext uri="{63B3BB69-23CF-44E3-9099-C40C66FF867C}">
                  <a14:compatExt spid="_x0000_s146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6</xdr:row>
          <xdr:rowOff>0</xdr:rowOff>
        </xdr:from>
        <xdr:to>
          <xdr:col>2</xdr:col>
          <xdr:colOff>1066800</xdr:colOff>
          <xdr:row>6</xdr:row>
          <xdr:rowOff>161925</xdr:rowOff>
        </xdr:to>
        <xdr:sp macro="" textlink="">
          <xdr:nvSpPr>
            <xdr:cNvPr id="146436" name="Scroll Bar 4" hidden="1">
              <a:extLst>
                <a:ext uri="{63B3BB69-23CF-44E3-9099-C40C66FF867C}">
                  <a14:compatExt spid="_x0000_s146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8</xdr:row>
          <xdr:rowOff>28575</xdr:rowOff>
        </xdr:from>
        <xdr:to>
          <xdr:col>2</xdr:col>
          <xdr:colOff>1066800</xdr:colOff>
          <xdr:row>8</xdr:row>
          <xdr:rowOff>190500</xdr:rowOff>
        </xdr:to>
        <xdr:sp macro="" textlink="">
          <xdr:nvSpPr>
            <xdr:cNvPr id="146439" name="Scroll Bar 7" hidden="1">
              <a:extLst>
                <a:ext uri="{63B3BB69-23CF-44E3-9099-C40C66FF867C}">
                  <a14:compatExt spid="_x0000_s1464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9</xdr:row>
          <xdr:rowOff>19050</xdr:rowOff>
        </xdr:from>
        <xdr:to>
          <xdr:col>2</xdr:col>
          <xdr:colOff>1066800</xdr:colOff>
          <xdr:row>9</xdr:row>
          <xdr:rowOff>180975</xdr:rowOff>
        </xdr:to>
        <xdr:sp macro="" textlink="">
          <xdr:nvSpPr>
            <xdr:cNvPr id="146440" name="Scroll Bar 8" hidden="1">
              <a:extLst>
                <a:ext uri="{63B3BB69-23CF-44E3-9099-C40C66FF867C}">
                  <a14:compatExt spid="_x0000_s1464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581025</xdr:colOff>
          <xdr:row>7</xdr:row>
          <xdr:rowOff>28575</xdr:rowOff>
        </xdr:from>
        <xdr:to>
          <xdr:col>2</xdr:col>
          <xdr:colOff>1066800</xdr:colOff>
          <xdr:row>7</xdr:row>
          <xdr:rowOff>190500</xdr:rowOff>
        </xdr:to>
        <xdr:sp macro="" textlink="">
          <xdr:nvSpPr>
            <xdr:cNvPr id="146441" name="Scroll Bar 9" hidden="1">
              <a:extLst>
                <a:ext uri="{63B3BB69-23CF-44E3-9099-C40C66FF867C}">
                  <a14:compatExt spid="_x0000_s1464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142875</xdr:colOff>
      <xdr:row>15</xdr:row>
      <xdr:rowOff>19050</xdr:rowOff>
    </xdr:from>
    <xdr:to>
      <xdr:col>2</xdr:col>
      <xdr:colOff>771525</xdr:colOff>
      <xdr:row>21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3152775"/>
          <a:ext cx="2381250" cy="133350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2</xdr:row>
          <xdr:rowOff>19050</xdr:rowOff>
        </xdr:from>
        <xdr:to>
          <xdr:col>2</xdr:col>
          <xdr:colOff>771525</xdr:colOff>
          <xdr:row>2</xdr:row>
          <xdr:rowOff>180975</xdr:rowOff>
        </xdr:to>
        <xdr:sp macro="" textlink="">
          <xdr:nvSpPr>
            <xdr:cNvPr id="241665" name="Scroll Bar 1" hidden="1">
              <a:extLst>
                <a:ext uri="{63B3BB69-23CF-44E3-9099-C40C66FF867C}">
                  <a14:compatExt spid="_x0000_s2416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3</xdr:row>
          <xdr:rowOff>19050</xdr:rowOff>
        </xdr:from>
        <xdr:to>
          <xdr:col>2</xdr:col>
          <xdr:colOff>771525</xdr:colOff>
          <xdr:row>3</xdr:row>
          <xdr:rowOff>180975</xdr:rowOff>
        </xdr:to>
        <xdr:sp macro="" textlink="">
          <xdr:nvSpPr>
            <xdr:cNvPr id="241666" name="Scroll Bar 2" hidden="1">
              <a:extLst>
                <a:ext uri="{63B3BB69-23CF-44E3-9099-C40C66FF867C}">
                  <a14:compatExt spid="_x0000_s2416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4</xdr:row>
          <xdr:rowOff>19050</xdr:rowOff>
        </xdr:from>
        <xdr:to>
          <xdr:col>2</xdr:col>
          <xdr:colOff>771525</xdr:colOff>
          <xdr:row>4</xdr:row>
          <xdr:rowOff>180975</xdr:rowOff>
        </xdr:to>
        <xdr:sp macro="" textlink="">
          <xdr:nvSpPr>
            <xdr:cNvPr id="241667" name="Scroll Bar 3" hidden="1">
              <a:extLst>
                <a:ext uri="{63B3BB69-23CF-44E3-9099-C40C66FF867C}">
                  <a14:compatExt spid="_x0000_s2416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7</xdr:col>
      <xdr:colOff>238125</xdr:colOff>
      <xdr:row>6</xdr:row>
      <xdr:rowOff>47625</xdr:rowOff>
    </xdr:from>
    <xdr:to>
      <xdr:col>11</xdr:col>
      <xdr:colOff>66675</xdr:colOff>
      <xdr:row>12</xdr:row>
      <xdr:rowOff>168926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0" y="1362075"/>
          <a:ext cx="2333625" cy="1321451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2</xdr:row>
          <xdr:rowOff>47625</xdr:rowOff>
        </xdr:from>
        <xdr:to>
          <xdr:col>2</xdr:col>
          <xdr:colOff>228600</xdr:colOff>
          <xdr:row>3</xdr:row>
          <xdr:rowOff>0</xdr:rowOff>
        </xdr:to>
        <xdr:sp macro="" textlink="">
          <xdr:nvSpPr>
            <xdr:cNvPr id="273411" name="Scroll Bar 3" hidden="1">
              <a:extLst>
                <a:ext uri="{63B3BB69-23CF-44E3-9099-C40C66FF867C}">
                  <a14:compatExt spid="_x0000_s273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3</xdr:row>
          <xdr:rowOff>38100</xdr:rowOff>
        </xdr:from>
        <xdr:to>
          <xdr:col>2</xdr:col>
          <xdr:colOff>228600</xdr:colOff>
          <xdr:row>3</xdr:row>
          <xdr:rowOff>200025</xdr:rowOff>
        </xdr:to>
        <xdr:sp macro="" textlink="">
          <xdr:nvSpPr>
            <xdr:cNvPr id="273412" name="Scroll Bar 4" hidden="1">
              <a:extLst>
                <a:ext uri="{63B3BB69-23CF-44E3-9099-C40C66FF867C}">
                  <a14:compatExt spid="_x0000_s273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5</xdr:row>
          <xdr:rowOff>19050</xdr:rowOff>
        </xdr:from>
        <xdr:to>
          <xdr:col>2</xdr:col>
          <xdr:colOff>228600</xdr:colOff>
          <xdr:row>5</xdr:row>
          <xdr:rowOff>180975</xdr:rowOff>
        </xdr:to>
        <xdr:sp macro="" textlink="">
          <xdr:nvSpPr>
            <xdr:cNvPr id="273414" name="Scroll Bar 6" hidden="1">
              <a:extLst>
                <a:ext uri="{63B3BB69-23CF-44E3-9099-C40C66FF867C}">
                  <a14:compatExt spid="_x0000_s273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6</xdr:row>
          <xdr:rowOff>9525</xdr:rowOff>
        </xdr:from>
        <xdr:to>
          <xdr:col>2</xdr:col>
          <xdr:colOff>228600</xdr:colOff>
          <xdr:row>6</xdr:row>
          <xdr:rowOff>171450</xdr:rowOff>
        </xdr:to>
        <xdr:sp macro="" textlink="">
          <xdr:nvSpPr>
            <xdr:cNvPr id="273415" name="Scroll Bar 7" hidden="1">
              <a:extLst>
                <a:ext uri="{63B3BB69-23CF-44E3-9099-C40C66FF867C}">
                  <a14:compatExt spid="_x0000_s273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4</xdr:row>
          <xdr:rowOff>28575</xdr:rowOff>
        </xdr:from>
        <xdr:to>
          <xdr:col>2</xdr:col>
          <xdr:colOff>228600</xdr:colOff>
          <xdr:row>4</xdr:row>
          <xdr:rowOff>190500</xdr:rowOff>
        </xdr:to>
        <xdr:sp macro="" textlink="">
          <xdr:nvSpPr>
            <xdr:cNvPr id="273418" name="Scroll Bar 10" hidden="1">
              <a:extLst>
                <a:ext uri="{63B3BB69-23CF-44E3-9099-C40C66FF867C}">
                  <a14:compatExt spid="_x0000_s273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238124</xdr:colOff>
      <xdr:row>13</xdr:row>
      <xdr:rowOff>76199</xdr:rowOff>
    </xdr:from>
    <xdr:to>
      <xdr:col>2</xdr:col>
      <xdr:colOff>152400</xdr:colOff>
      <xdr:row>19</xdr:row>
      <xdr:rowOff>119452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4" y="2724149"/>
          <a:ext cx="2038351" cy="1186253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2</xdr:row>
          <xdr:rowOff>47625</xdr:rowOff>
        </xdr:from>
        <xdr:to>
          <xdr:col>2</xdr:col>
          <xdr:colOff>228600</xdr:colOff>
          <xdr:row>3</xdr:row>
          <xdr:rowOff>0</xdr:rowOff>
        </xdr:to>
        <xdr:sp macro="" textlink="">
          <xdr:nvSpPr>
            <xdr:cNvPr id="279553" name="Scroll Bar 1" hidden="1">
              <a:extLst>
                <a:ext uri="{63B3BB69-23CF-44E3-9099-C40C66FF867C}">
                  <a14:compatExt spid="_x0000_s279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3</xdr:row>
          <xdr:rowOff>38100</xdr:rowOff>
        </xdr:from>
        <xdr:to>
          <xdr:col>2</xdr:col>
          <xdr:colOff>228600</xdr:colOff>
          <xdr:row>3</xdr:row>
          <xdr:rowOff>200025</xdr:rowOff>
        </xdr:to>
        <xdr:sp macro="" textlink="">
          <xdr:nvSpPr>
            <xdr:cNvPr id="279554" name="Scroll Bar 2" hidden="1">
              <a:extLst>
                <a:ext uri="{63B3BB69-23CF-44E3-9099-C40C66FF867C}">
                  <a14:compatExt spid="_x0000_s2795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5</xdr:row>
          <xdr:rowOff>19050</xdr:rowOff>
        </xdr:from>
        <xdr:to>
          <xdr:col>2</xdr:col>
          <xdr:colOff>228600</xdr:colOff>
          <xdr:row>5</xdr:row>
          <xdr:rowOff>180975</xdr:rowOff>
        </xdr:to>
        <xdr:sp macro="" textlink="">
          <xdr:nvSpPr>
            <xdr:cNvPr id="279555" name="Scroll Bar 3" hidden="1">
              <a:extLst>
                <a:ext uri="{63B3BB69-23CF-44E3-9099-C40C66FF867C}">
                  <a14:compatExt spid="_x0000_s2795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6</xdr:row>
          <xdr:rowOff>9525</xdr:rowOff>
        </xdr:from>
        <xdr:to>
          <xdr:col>2</xdr:col>
          <xdr:colOff>228600</xdr:colOff>
          <xdr:row>6</xdr:row>
          <xdr:rowOff>171450</xdr:rowOff>
        </xdr:to>
        <xdr:sp macro="" textlink="">
          <xdr:nvSpPr>
            <xdr:cNvPr id="279556" name="Scroll Bar 4" hidden="1">
              <a:extLst>
                <a:ext uri="{63B3BB69-23CF-44E3-9099-C40C66FF867C}">
                  <a14:compatExt spid="_x0000_s2795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4</xdr:row>
          <xdr:rowOff>28575</xdr:rowOff>
        </xdr:from>
        <xdr:to>
          <xdr:col>2</xdr:col>
          <xdr:colOff>228600</xdr:colOff>
          <xdr:row>4</xdr:row>
          <xdr:rowOff>190500</xdr:rowOff>
        </xdr:to>
        <xdr:sp macro="" textlink="">
          <xdr:nvSpPr>
            <xdr:cNvPr id="279557" name="Scroll Bar 5" hidden="1">
              <a:extLst>
                <a:ext uri="{63B3BB69-23CF-44E3-9099-C40C66FF867C}">
                  <a14:compatExt spid="_x0000_s2795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7</xdr:row>
          <xdr:rowOff>0</xdr:rowOff>
        </xdr:from>
        <xdr:to>
          <xdr:col>2</xdr:col>
          <xdr:colOff>228600</xdr:colOff>
          <xdr:row>7</xdr:row>
          <xdr:rowOff>161925</xdr:rowOff>
        </xdr:to>
        <xdr:sp macro="" textlink="">
          <xdr:nvSpPr>
            <xdr:cNvPr id="279559" name="Scroll Bar 7" hidden="1">
              <a:extLst>
                <a:ext uri="{63B3BB69-23CF-44E3-9099-C40C66FF867C}">
                  <a14:compatExt spid="_x0000_s2795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228600</xdr:colOff>
      <xdr:row>13</xdr:row>
      <xdr:rowOff>57150</xdr:rowOff>
    </xdr:from>
    <xdr:to>
      <xdr:col>2</xdr:col>
      <xdr:colOff>210578</xdr:colOff>
      <xdr:row>19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2705100"/>
          <a:ext cx="2106053" cy="1209675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2</xdr:row>
          <xdr:rowOff>19050</xdr:rowOff>
        </xdr:from>
        <xdr:to>
          <xdr:col>2</xdr:col>
          <xdr:colOff>771525</xdr:colOff>
          <xdr:row>2</xdr:row>
          <xdr:rowOff>180975</xdr:rowOff>
        </xdr:to>
        <xdr:sp macro="" textlink="">
          <xdr:nvSpPr>
            <xdr:cNvPr id="276481" name="Scroll Bar 1" hidden="1">
              <a:extLst>
                <a:ext uri="{63B3BB69-23CF-44E3-9099-C40C66FF867C}">
                  <a14:compatExt spid="_x0000_s276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3</xdr:row>
          <xdr:rowOff>19050</xdr:rowOff>
        </xdr:from>
        <xdr:to>
          <xdr:col>2</xdr:col>
          <xdr:colOff>771525</xdr:colOff>
          <xdr:row>3</xdr:row>
          <xdr:rowOff>180975</xdr:rowOff>
        </xdr:to>
        <xdr:sp macro="" textlink="">
          <xdr:nvSpPr>
            <xdr:cNvPr id="276482" name="Scroll Bar 2" hidden="1">
              <a:extLst>
                <a:ext uri="{63B3BB69-23CF-44E3-9099-C40C66FF867C}">
                  <a14:compatExt spid="_x0000_s276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4</xdr:row>
          <xdr:rowOff>19050</xdr:rowOff>
        </xdr:from>
        <xdr:to>
          <xdr:col>2</xdr:col>
          <xdr:colOff>771525</xdr:colOff>
          <xdr:row>4</xdr:row>
          <xdr:rowOff>180975</xdr:rowOff>
        </xdr:to>
        <xdr:sp macro="" textlink="">
          <xdr:nvSpPr>
            <xdr:cNvPr id="276483" name="Scroll Bar 3" hidden="1">
              <a:extLst>
                <a:ext uri="{63B3BB69-23CF-44E3-9099-C40C66FF867C}">
                  <a14:compatExt spid="_x0000_s276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7</xdr:col>
      <xdr:colOff>238125</xdr:colOff>
      <xdr:row>6</xdr:row>
      <xdr:rowOff>47625</xdr:rowOff>
    </xdr:from>
    <xdr:to>
      <xdr:col>11</xdr:col>
      <xdr:colOff>66675</xdr:colOff>
      <xdr:row>12</xdr:row>
      <xdr:rowOff>168926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0" y="1362075"/>
          <a:ext cx="2333625" cy="1321451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2</xdr:row>
          <xdr:rowOff>19050</xdr:rowOff>
        </xdr:from>
        <xdr:to>
          <xdr:col>3</xdr:col>
          <xdr:colOff>771525</xdr:colOff>
          <xdr:row>2</xdr:row>
          <xdr:rowOff>180975</xdr:rowOff>
        </xdr:to>
        <xdr:sp macro="" textlink="">
          <xdr:nvSpPr>
            <xdr:cNvPr id="230401" name="Scroll Bar 1" hidden="1">
              <a:extLst>
                <a:ext uri="{63B3BB69-23CF-44E3-9099-C40C66FF867C}">
                  <a14:compatExt spid="_x0000_s2304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3</xdr:row>
          <xdr:rowOff>19050</xdr:rowOff>
        </xdr:from>
        <xdr:to>
          <xdr:col>3</xdr:col>
          <xdr:colOff>771525</xdr:colOff>
          <xdr:row>3</xdr:row>
          <xdr:rowOff>180975</xdr:rowOff>
        </xdr:to>
        <xdr:sp macro="" textlink="">
          <xdr:nvSpPr>
            <xdr:cNvPr id="230402" name="Scroll Bar 2" hidden="1">
              <a:extLst>
                <a:ext uri="{63B3BB69-23CF-44E3-9099-C40C66FF867C}">
                  <a14:compatExt spid="_x0000_s2304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4</xdr:row>
          <xdr:rowOff>19050</xdr:rowOff>
        </xdr:from>
        <xdr:to>
          <xdr:col>3</xdr:col>
          <xdr:colOff>771525</xdr:colOff>
          <xdr:row>4</xdr:row>
          <xdr:rowOff>180975</xdr:rowOff>
        </xdr:to>
        <xdr:sp macro="" textlink="">
          <xdr:nvSpPr>
            <xdr:cNvPr id="230403" name="Scroll Bar 3" hidden="1">
              <a:extLst>
                <a:ext uri="{63B3BB69-23CF-44E3-9099-C40C66FF867C}">
                  <a14:compatExt spid="_x0000_s2304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285750</xdr:colOff>
          <xdr:row>5</xdr:row>
          <xdr:rowOff>28575</xdr:rowOff>
        </xdr:from>
        <xdr:to>
          <xdr:col>3</xdr:col>
          <xdr:colOff>771525</xdr:colOff>
          <xdr:row>5</xdr:row>
          <xdr:rowOff>190500</xdr:rowOff>
        </xdr:to>
        <xdr:sp macro="" textlink="">
          <xdr:nvSpPr>
            <xdr:cNvPr id="230405" name="Scroll Bar 5" hidden="1">
              <a:extLst>
                <a:ext uri="{63B3BB69-23CF-44E3-9099-C40C66FF867C}">
                  <a14:compatExt spid="_x0000_s2304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10</xdr:col>
      <xdr:colOff>161925</xdr:colOff>
      <xdr:row>12</xdr:row>
      <xdr:rowOff>38100</xdr:rowOff>
    </xdr:from>
    <xdr:to>
      <xdr:col>13</xdr:col>
      <xdr:colOff>731799</xdr:colOff>
      <xdr:row>18</xdr:row>
      <xdr:rowOff>180975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96275" y="2486025"/>
          <a:ext cx="2400300" cy="1343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1019175</xdr:colOff>
          <xdr:row>3</xdr:row>
          <xdr:rowOff>28575</xdr:rowOff>
        </xdr:from>
        <xdr:to>
          <xdr:col>2</xdr:col>
          <xdr:colOff>257175</xdr:colOff>
          <xdr:row>3</xdr:row>
          <xdr:rowOff>190500</xdr:rowOff>
        </xdr:to>
        <xdr:sp macro="" textlink="">
          <xdr:nvSpPr>
            <xdr:cNvPr id="118785" name="Scroll Bar 1" hidden="1">
              <a:extLst>
                <a:ext uri="{63B3BB69-23CF-44E3-9099-C40C66FF867C}">
                  <a14:compatExt spid="_x0000_s1187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1019175</xdr:colOff>
          <xdr:row>4</xdr:row>
          <xdr:rowOff>28575</xdr:rowOff>
        </xdr:from>
        <xdr:to>
          <xdr:col>2</xdr:col>
          <xdr:colOff>257175</xdr:colOff>
          <xdr:row>4</xdr:row>
          <xdr:rowOff>190500</xdr:rowOff>
        </xdr:to>
        <xdr:sp macro="" textlink="">
          <xdr:nvSpPr>
            <xdr:cNvPr id="118786" name="Scroll Bar 2" hidden="1">
              <a:extLst>
                <a:ext uri="{63B3BB69-23CF-44E3-9099-C40C66FF867C}">
                  <a14:compatExt spid="_x0000_s1187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1019175</xdr:colOff>
          <xdr:row>6</xdr:row>
          <xdr:rowOff>28575</xdr:rowOff>
        </xdr:from>
        <xdr:to>
          <xdr:col>2</xdr:col>
          <xdr:colOff>257175</xdr:colOff>
          <xdr:row>6</xdr:row>
          <xdr:rowOff>190500</xdr:rowOff>
        </xdr:to>
        <xdr:sp macro="" textlink="">
          <xdr:nvSpPr>
            <xdr:cNvPr id="118787" name="Scroll Bar 3" hidden="1">
              <a:extLst>
                <a:ext uri="{63B3BB69-23CF-44E3-9099-C40C66FF867C}">
                  <a14:compatExt spid="_x0000_s1187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657225</xdr:colOff>
          <xdr:row>2</xdr:row>
          <xdr:rowOff>38100</xdr:rowOff>
        </xdr:from>
        <xdr:to>
          <xdr:col>1</xdr:col>
          <xdr:colOff>1143000</xdr:colOff>
          <xdr:row>2</xdr:row>
          <xdr:rowOff>200025</xdr:rowOff>
        </xdr:to>
        <xdr:sp macro="" textlink="">
          <xdr:nvSpPr>
            <xdr:cNvPr id="118790" name="Scroll Bar 6" hidden="1">
              <a:extLst>
                <a:ext uri="{63B3BB69-23CF-44E3-9099-C40C66FF867C}">
                  <a14:compatExt spid="_x0000_s1187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16</xdr:row>
      <xdr:rowOff>47626</xdr:rowOff>
    </xdr:from>
    <xdr:to>
      <xdr:col>2</xdr:col>
      <xdr:colOff>38433</xdr:colOff>
      <xdr:row>22</xdr:row>
      <xdr:rowOff>123826</xdr:rowOff>
    </xdr:to>
    <xdr:pic>
      <xdr:nvPicPr>
        <xdr:cNvPr id="2" name="Picture 1" descr="91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400" y="2695576"/>
          <a:ext cx="2029158" cy="12192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838200</xdr:colOff>
          <xdr:row>1</xdr:row>
          <xdr:rowOff>200025</xdr:rowOff>
        </xdr:from>
        <xdr:to>
          <xdr:col>10</xdr:col>
          <xdr:colOff>180975</xdr:colOff>
          <xdr:row>3</xdr:row>
          <xdr:rowOff>0</xdr:rowOff>
        </xdr:to>
        <xdr:sp macro="" textlink="">
          <xdr:nvSpPr>
            <xdr:cNvPr id="70657" name="Option Button 1" hidden="1">
              <a:extLst>
                <a:ext uri="{63B3BB69-23CF-44E3-9099-C40C66FF867C}">
                  <a14:compatExt spid="_x0000_s706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1</xdr:row>
          <xdr:rowOff>200025</xdr:rowOff>
        </xdr:from>
        <xdr:to>
          <xdr:col>10</xdr:col>
          <xdr:colOff>533400</xdr:colOff>
          <xdr:row>3</xdr:row>
          <xdr:rowOff>0</xdr:rowOff>
        </xdr:to>
        <xdr:sp macro="" textlink="">
          <xdr:nvSpPr>
            <xdr:cNvPr id="70658" name="Option Button 2" hidden="1">
              <a:extLst>
                <a:ext uri="{63B3BB69-23CF-44E3-9099-C40C66FF867C}">
                  <a14:compatExt spid="_x0000_s706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2</xdr:row>
          <xdr:rowOff>47625</xdr:rowOff>
        </xdr:from>
        <xdr:to>
          <xdr:col>2</xdr:col>
          <xdr:colOff>228600</xdr:colOff>
          <xdr:row>3</xdr:row>
          <xdr:rowOff>0</xdr:rowOff>
        </xdr:to>
        <xdr:sp macro="" textlink="">
          <xdr:nvSpPr>
            <xdr:cNvPr id="70659" name="Scroll Bar 3" hidden="1">
              <a:extLst>
                <a:ext uri="{63B3BB69-23CF-44E3-9099-C40C66FF867C}">
                  <a14:compatExt spid="_x0000_s706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3</xdr:row>
          <xdr:rowOff>38100</xdr:rowOff>
        </xdr:from>
        <xdr:to>
          <xdr:col>2</xdr:col>
          <xdr:colOff>228600</xdr:colOff>
          <xdr:row>3</xdr:row>
          <xdr:rowOff>200025</xdr:rowOff>
        </xdr:to>
        <xdr:sp macro="" textlink="">
          <xdr:nvSpPr>
            <xdr:cNvPr id="70660" name="Scroll Bar 4" hidden="1">
              <a:extLst>
                <a:ext uri="{63B3BB69-23CF-44E3-9099-C40C66FF867C}">
                  <a14:compatExt spid="_x0000_s706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5</xdr:row>
          <xdr:rowOff>38100</xdr:rowOff>
        </xdr:from>
        <xdr:to>
          <xdr:col>2</xdr:col>
          <xdr:colOff>228600</xdr:colOff>
          <xdr:row>5</xdr:row>
          <xdr:rowOff>200025</xdr:rowOff>
        </xdr:to>
        <xdr:sp macro="" textlink="">
          <xdr:nvSpPr>
            <xdr:cNvPr id="70661" name="Scroll Bar 5" hidden="1">
              <a:extLst>
                <a:ext uri="{63B3BB69-23CF-44E3-9099-C40C66FF867C}">
                  <a14:compatExt spid="_x0000_s706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8</xdr:row>
          <xdr:rowOff>9525</xdr:rowOff>
        </xdr:from>
        <xdr:to>
          <xdr:col>2</xdr:col>
          <xdr:colOff>228600</xdr:colOff>
          <xdr:row>8</xdr:row>
          <xdr:rowOff>171450</xdr:rowOff>
        </xdr:to>
        <xdr:sp macro="" textlink="">
          <xdr:nvSpPr>
            <xdr:cNvPr id="70662" name="Scroll Bar 6" hidden="1">
              <a:extLst>
                <a:ext uri="{63B3BB69-23CF-44E3-9099-C40C66FF867C}">
                  <a14:compatExt spid="_x0000_s706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9</xdr:row>
          <xdr:rowOff>0</xdr:rowOff>
        </xdr:from>
        <xdr:to>
          <xdr:col>2</xdr:col>
          <xdr:colOff>228600</xdr:colOff>
          <xdr:row>9</xdr:row>
          <xdr:rowOff>161925</xdr:rowOff>
        </xdr:to>
        <xdr:sp macro="" textlink="">
          <xdr:nvSpPr>
            <xdr:cNvPr id="70663" name="Scroll Bar 7" hidden="1">
              <a:extLst>
                <a:ext uri="{63B3BB69-23CF-44E3-9099-C40C66FF867C}">
                  <a14:compatExt spid="_x0000_s706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390525</xdr:colOff>
          <xdr:row>3</xdr:row>
          <xdr:rowOff>38100</xdr:rowOff>
        </xdr:from>
        <xdr:to>
          <xdr:col>9</xdr:col>
          <xdr:colOff>876300</xdr:colOff>
          <xdr:row>3</xdr:row>
          <xdr:rowOff>200025</xdr:rowOff>
        </xdr:to>
        <xdr:sp macro="" textlink="">
          <xdr:nvSpPr>
            <xdr:cNvPr id="70664" name="Scroll Bar 8" hidden="1">
              <a:extLst>
                <a:ext uri="{63B3BB69-23CF-44E3-9099-C40C66FF867C}">
                  <a14:compatExt spid="_x0000_s706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7</xdr:row>
          <xdr:rowOff>19050</xdr:rowOff>
        </xdr:from>
        <xdr:to>
          <xdr:col>2</xdr:col>
          <xdr:colOff>228600</xdr:colOff>
          <xdr:row>7</xdr:row>
          <xdr:rowOff>180975</xdr:rowOff>
        </xdr:to>
        <xdr:sp macro="" textlink="">
          <xdr:nvSpPr>
            <xdr:cNvPr id="70665" name="Scroll Bar 9" hidden="1">
              <a:extLst>
                <a:ext uri="{63B3BB69-23CF-44E3-9099-C40C66FF867C}">
                  <a14:compatExt spid="_x0000_s706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1866900</xdr:colOff>
          <xdr:row>6</xdr:row>
          <xdr:rowOff>28575</xdr:rowOff>
        </xdr:from>
        <xdr:to>
          <xdr:col>2</xdr:col>
          <xdr:colOff>228600</xdr:colOff>
          <xdr:row>6</xdr:row>
          <xdr:rowOff>190500</xdr:rowOff>
        </xdr:to>
        <xdr:sp macro="" textlink="">
          <xdr:nvSpPr>
            <xdr:cNvPr id="70667" name="Scroll Bar 11" hidden="1">
              <a:extLst>
                <a:ext uri="{63B3BB69-23CF-44E3-9099-C40C66FF867C}">
                  <a14:compatExt spid="_x0000_s706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297099</xdr:colOff>
      <xdr:row>14</xdr:row>
      <xdr:rowOff>77416</xdr:rowOff>
    </xdr:from>
    <xdr:to>
      <xdr:col>5</xdr:col>
      <xdr:colOff>906699</xdr:colOff>
      <xdr:row>16</xdr:row>
      <xdr:rowOff>8714</xdr:rowOff>
    </xdr:to>
    <xdr:sp macro="" textlink="">
      <xdr:nvSpPr>
        <xdr:cNvPr id="2" name="Up Arrow 1"/>
        <xdr:cNvSpPr/>
      </xdr:nvSpPr>
      <xdr:spPr>
        <a:xfrm>
          <a:off x="4350290" y="3046379"/>
          <a:ext cx="609600" cy="316351"/>
        </a:xfrm>
        <a:prstGeom prst="up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  <xdr:twoCellAnchor>
    <xdr:from>
      <xdr:col>5</xdr:col>
      <xdr:colOff>1143000</xdr:colOff>
      <xdr:row>16</xdr:row>
      <xdr:rowOff>161925</xdr:rowOff>
    </xdr:from>
    <xdr:to>
      <xdr:col>6</xdr:col>
      <xdr:colOff>190500</xdr:colOff>
      <xdr:row>18</xdr:row>
      <xdr:rowOff>47625</xdr:rowOff>
    </xdr:to>
    <xdr:sp macro="" textlink="">
      <xdr:nvSpPr>
        <xdr:cNvPr id="4" name="Right Arrow 3"/>
        <xdr:cNvSpPr/>
      </xdr:nvSpPr>
      <xdr:spPr>
        <a:xfrm>
          <a:off x="2533650" y="5010150"/>
          <a:ext cx="200025" cy="266700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id-ID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4</xdr:row>
          <xdr:rowOff>19050</xdr:rowOff>
        </xdr:from>
        <xdr:to>
          <xdr:col>2</xdr:col>
          <xdr:colOff>1047750</xdr:colOff>
          <xdr:row>4</xdr:row>
          <xdr:rowOff>180975</xdr:rowOff>
        </xdr:to>
        <xdr:sp macro="" textlink="">
          <xdr:nvSpPr>
            <xdr:cNvPr id="55297" name="Scroll Bar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5</xdr:row>
          <xdr:rowOff>19050</xdr:rowOff>
        </xdr:from>
        <xdr:to>
          <xdr:col>2</xdr:col>
          <xdr:colOff>1047750</xdr:colOff>
          <xdr:row>5</xdr:row>
          <xdr:rowOff>180975</xdr:rowOff>
        </xdr:to>
        <xdr:sp macro="" textlink="">
          <xdr:nvSpPr>
            <xdr:cNvPr id="55298" name="Scroll Bar 2" hidden="1">
              <a:extLst>
                <a:ext uri="{63B3BB69-23CF-44E3-9099-C40C66FF867C}">
                  <a14:compatExt spid="_x0000_s55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6</xdr:row>
          <xdr:rowOff>19050</xdr:rowOff>
        </xdr:from>
        <xdr:to>
          <xdr:col>2</xdr:col>
          <xdr:colOff>1047750</xdr:colOff>
          <xdr:row>6</xdr:row>
          <xdr:rowOff>180975</xdr:rowOff>
        </xdr:to>
        <xdr:sp macro="" textlink="">
          <xdr:nvSpPr>
            <xdr:cNvPr id="55299" name="Scroll Bar 3" hidden="1">
              <a:extLst>
                <a:ext uri="{63B3BB69-23CF-44E3-9099-C40C66FF867C}">
                  <a14:compatExt spid="_x0000_s55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7</xdr:row>
          <xdr:rowOff>19050</xdr:rowOff>
        </xdr:from>
        <xdr:to>
          <xdr:col>2</xdr:col>
          <xdr:colOff>1047750</xdr:colOff>
          <xdr:row>7</xdr:row>
          <xdr:rowOff>180975</xdr:rowOff>
        </xdr:to>
        <xdr:sp macro="" textlink="">
          <xdr:nvSpPr>
            <xdr:cNvPr id="55300" name="Scroll Bar 4" hidden="1">
              <a:extLst>
                <a:ext uri="{63B3BB69-23CF-44E3-9099-C40C66FF867C}">
                  <a14:compatExt spid="_x0000_s55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8</xdr:row>
          <xdr:rowOff>19050</xdr:rowOff>
        </xdr:from>
        <xdr:to>
          <xdr:col>2</xdr:col>
          <xdr:colOff>1047750</xdr:colOff>
          <xdr:row>8</xdr:row>
          <xdr:rowOff>180975</xdr:rowOff>
        </xdr:to>
        <xdr:sp macro="" textlink="">
          <xdr:nvSpPr>
            <xdr:cNvPr id="55301" name="Scroll Bar 5" hidden="1">
              <a:extLst>
                <a:ext uri="{63B3BB69-23CF-44E3-9099-C40C66FF867C}">
                  <a14:compatExt spid="_x0000_s55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3</xdr:row>
          <xdr:rowOff>19050</xdr:rowOff>
        </xdr:from>
        <xdr:to>
          <xdr:col>2</xdr:col>
          <xdr:colOff>1047750</xdr:colOff>
          <xdr:row>3</xdr:row>
          <xdr:rowOff>180975</xdr:rowOff>
        </xdr:to>
        <xdr:sp macro="" textlink="">
          <xdr:nvSpPr>
            <xdr:cNvPr id="55302" name="Scroll Bar 6" hidden="1">
              <a:extLst>
                <a:ext uri="{63B3BB69-23CF-44E3-9099-C40C66FF867C}">
                  <a14:compatExt spid="_x0000_s55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2</xdr:row>
          <xdr:rowOff>19050</xdr:rowOff>
        </xdr:from>
        <xdr:to>
          <xdr:col>2</xdr:col>
          <xdr:colOff>1047750</xdr:colOff>
          <xdr:row>2</xdr:row>
          <xdr:rowOff>180975</xdr:rowOff>
        </xdr:to>
        <xdr:sp macro="" textlink="">
          <xdr:nvSpPr>
            <xdr:cNvPr id="55303" name="Scroll Bar 7" hidden="1">
              <a:extLst>
                <a:ext uri="{63B3BB69-23CF-44E3-9099-C40C66FF867C}">
                  <a14:compatExt spid="_x0000_s55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8</xdr:col>
      <xdr:colOff>142875</xdr:colOff>
      <xdr:row>7</xdr:row>
      <xdr:rowOff>66675</xdr:rowOff>
    </xdr:from>
    <xdr:to>
      <xdr:col>10</xdr:col>
      <xdr:colOff>1186815</xdr:colOff>
      <xdr:row>13</xdr:row>
      <xdr:rowOff>123825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72275" y="1619250"/>
          <a:ext cx="2263140" cy="1257300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4</xdr:row>
          <xdr:rowOff>19050</xdr:rowOff>
        </xdr:from>
        <xdr:to>
          <xdr:col>2</xdr:col>
          <xdr:colOff>1047750</xdr:colOff>
          <xdr:row>4</xdr:row>
          <xdr:rowOff>180975</xdr:rowOff>
        </xdr:to>
        <xdr:sp macro="" textlink="">
          <xdr:nvSpPr>
            <xdr:cNvPr id="56321" name="Scroll Bar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5</xdr:row>
          <xdr:rowOff>19050</xdr:rowOff>
        </xdr:from>
        <xdr:to>
          <xdr:col>2</xdr:col>
          <xdr:colOff>1047750</xdr:colOff>
          <xdr:row>5</xdr:row>
          <xdr:rowOff>180975</xdr:rowOff>
        </xdr:to>
        <xdr:sp macro="" textlink="">
          <xdr:nvSpPr>
            <xdr:cNvPr id="56322" name="Scroll Bar 2" hidden="1">
              <a:extLst>
                <a:ext uri="{63B3BB69-23CF-44E3-9099-C40C66FF867C}">
                  <a14:compatExt spid="_x0000_s56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6</xdr:row>
          <xdr:rowOff>19050</xdr:rowOff>
        </xdr:from>
        <xdr:to>
          <xdr:col>2</xdr:col>
          <xdr:colOff>1047750</xdr:colOff>
          <xdr:row>6</xdr:row>
          <xdr:rowOff>180975</xdr:rowOff>
        </xdr:to>
        <xdr:sp macro="" textlink="">
          <xdr:nvSpPr>
            <xdr:cNvPr id="56323" name="Scroll Bar 3" hidden="1">
              <a:extLst>
                <a:ext uri="{63B3BB69-23CF-44E3-9099-C40C66FF867C}">
                  <a14:compatExt spid="_x0000_s563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8</xdr:row>
          <xdr:rowOff>19050</xdr:rowOff>
        </xdr:from>
        <xdr:to>
          <xdr:col>2</xdr:col>
          <xdr:colOff>1047750</xdr:colOff>
          <xdr:row>8</xdr:row>
          <xdr:rowOff>180975</xdr:rowOff>
        </xdr:to>
        <xdr:sp macro="" textlink="">
          <xdr:nvSpPr>
            <xdr:cNvPr id="56324" name="Scroll Bar 4" hidden="1">
              <a:extLst>
                <a:ext uri="{63B3BB69-23CF-44E3-9099-C40C66FF867C}">
                  <a14:compatExt spid="_x0000_s56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9</xdr:row>
          <xdr:rowOff>19050</xdr:rowOff>
        </xdr:from>
        <xdr:to>
          <xdr:col>2</xdr:col>
          <xdr:colOff>1047750</xdr:colOff>
          <xdr:row>9</xdr:row>
          <xdr:rowOff>180975</xdr:rowOff>
        </xdr:to>
        <xdr:sp macro="" textlink="">
          <xdr:nvSpPr>
            <xdr:cNvPr id="56325" name="Scroll Bar 5" hidden="1">
              <a:extLst>
                <a:ext uri="{63B3BB69-23CF-44E3-9099-C40C66FF867C}">
                  <a14:compatExt spid="_x0000_s56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3</xdr:row>
          <xdr:rowOff>19050</xdr:rowOff>
        </xdr:from>
        <xdr:to>
          <xdr:col>2</xdr:col>
          <xdr:colOff>1047750</xdr:colOff>
          <xdr:row>3</xdr:row>
          <xdr:rowOff>180975</xdr:rowOff>
        </xdr:to>
        <xdr:sp macro="" textlink="">
          <xdr:nvSpPr>
            <xdr:cNvPr id="56326" name="Scroll Bar 6" hidden="1">
              <a:extLst>
                <a:ext uri="{63B3BB69-23CF-44E3-9099-C40C66FF867C}">
                  <a14:compatExt spid="_x0000_s563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2</xdr:row>
          <xdr:rowOff>19050</xdr:rowOff>
        </xdr:from>
        <xdr:to>
          <xdr:col>2</xdr:col>
          <xdr:colOff>1047750</xdr:colOff>
          <xdr:row>2</xdr:row>
          <xdr:rowOff>180975</xdr:rowOff>
        </xdr:to>
        <xdr:sp macro="" textlink="">
          <xdr:nvSpPr>
            <xdr:cNvPr id="56327" name="Scroll Bar 7" hidden="1">
              <a:extLst>
                <a:ext uri="{63B3BB69-23CF-44E3-9099-C40C66FF867C}">
                  <a14:compatExt spid="_x0000_s56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7</xdr:row>
          <xdr:rowOff>19050</xdr:rowOff>
        </xdr:from>
        <xdr:to>
          <xdr:col>2</xdr:col>
          <xdr:colOff>1047750</xdr:colOff>
          <xdr:row>7</xdr:row>
          <xdr:rowOff>180975</xdr:rowOff>
        </xdr:to>
        <xdr:sp macro="" textlink="">
          <xdr:nvSpPr>
            <xdr:cNvPr id="56328" name="Scroll Bar 8" hidden="1">
              <a:extLst>
                <a:ext uri="{63B3BB69-23CF-44E3-9099-C40C66FF867C}">
                  <a14:compatExt spid="_x0000_s56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6</xdr:col>
      <xdr:colOff>142875</xdr:colOff>
      <xdr:row>12</xdr:row>
      <xdr:rowOff>95250</xdr:rowOff>
    </xdr:from>
    <xdr:to>
      <xdr:col>7</xdr:col>
      <xdr:colOff>1000125</xdr:colOff>
      <xdr:row>19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2676525"/>
          <a:ext cx="2381250" cy="1295400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7</xdr:row>
          <xdr:rowOff>19050</xdr:rowOff>
        </xdr:from>
        <xdr:to>
          <xdr:col>3</xdr:col>
          <xdr:colOff>1047750</xdr:colOff>
          <xdr:row>7</xdr:row>
          <xdr:rowOff>180975</xdr:rowOff>
        </xdr:to>
        <xdr:sp macro="" textlink="">
          <xdr:nvSpPr>
            <xdr:cNvPr id="61441" name="Scroll Bar 1" hidden="1">
              <a:extLst>
                <a:ext uri="{63B3BB69-23CF-44E3-9099-C40C66FF867C}">
                  <a14:compatExt spid="_x0000_s614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8</xdr:row>
          <xdr:rowOff>9525</xdr:rowOff>
        </xdr:from>
        <xdr:to>
          <xdr:col>3</xdr:col>
          <xdr:colOff>1047750</xdr:colOff>
          <xdr:row>8</xdr:row>
          <xdr:rowOff>171450</xdr:rowOff>
        </xdr:to>
        <xdr:sp macro="" textlink="">
          <xdr:nvSpPr>
            <xdr:cNvPr id="61442" name="Scroll Bar 2" hidden="1">
              <a:extLst>
                <a:ext uri="{63B3BB69-23CF-44E3-9099-C40C66FF867C}">
                  <a14:compatExt spid="_x0000_s614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9</xdr:row>
          <xdr:rowOff>0</xdr:rowOff>
        </xdr:from>
        <xdr:to>
          <xdr:col>3</xdr:col>
          <xdr:colOff>1047750</xdr:colOff>
          <xdr:row>9</xdr:row>
          <xdr:rowOff>161925</xdr:rowOff>
        </xdr:to>
        <xdr:sp macro="" textlink="">
          <xdr:nvSpPr>
            <xdr:cNvPr id="61444" name="Scroll Bar 4" hidden="1">
              <a:extLst>
                <a:ext uri="{63B3BB69-23CF-44E3-9099-C40C66FF867C}">
                  <a14:compatExt spid="_x0000_s614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6</xdr:row>
          <xdr:rowOff>19050</xdr:rowOff>
        </xdr:from>
        <xdr:to>
          <xdr:col>3</xdr:col>
          <xdr:colOff>1047750</xdr:colOff>
          <xdr:row>6</xdr:row>
          <xdr:rowOff>180975</xdr:rowOff>
        </xdr:to>
        <xdr:sp macro="" textlink="">
          <xdr:nvSpPr>
            <xdr:cNvPr id="61445" name="Scroll Bar 5" hidden="1">
              <a:extLst>
                <a:ext uri="{63B3BB69-23CF-44E3-9099-C40C66FF867C}">
                  <a14:compatExt spid="_x0000_s614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5</xdr:row>
          <xdr:rowOff>19050</xdr:rowOff>
        </xdr:from>
        <xdr:to>
          <xdr:col>3</xdr:col>
          <xdr:colOff>1047750</xdr:colOff>
          <xdr:row>5</xdr:row>
          <xdr:rowOff>180975</xdr:rowOff>
        </xdr:to>
        <xdr:sp macro="" textlink="">
          <xdr:nvSpPr>
            <xdr:cNvPr id="61446" name="Scroll Bar 6" hidden="1">
              <a:extLst>
                <a:ext uri="{63B3BB69-23CF-44E3-9099-C40C66FF867C}">
                  <a14:compatExt spid="_x0000_s614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4</xdr:row>
          <xdr:rowOff>19050</xdr:rowOff>
        </xdr:from>
        <xdr:to>
          <xdr:col>3</xdr:col>
          <xdr:colOff>1047750</xdr:colOff>
          <xdr:row>4</xdr:row>
          <xdr:rowOff>180975</xdr:rowOff>
        </xdr:to>
        <xdr:sp macro="" textlink="">
          <xdr:nvSpPr>
            <xdr:cNvPr id="61447" name="Scroll Bar 7" hidden="1">
              <a:extLst>
                <a:ext uri="{63B3BB69-23CF-44E3-9099-C40C66FF867C}">
                  <a14:compatExt spid="_x0000_s614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3</xdr:row>
          <xdr:rowOff>19050</xdr:rowOff>
        </xdr:from>
        <xdr:to>
          <xdr:col>3</xdr:col>
          <xdr:colOff>1047750</xdr:colOff>
          <xdr:row>3</xdr:row>
          <xdr:rowOff>180975</xdr:rowOff>
        </xdr:to>
        <xdr:sp macro="" textlink="">
          <xdr:nvSpPr>
            <xdr:cNvPr id="61448" name="Scroll Bar 8" hidden="1">
              <a:extLst>
                <a:ext uri="{63B3BB69-23CF-44E3-9099-C40C66FF867C}">
                  <a14:compatExt spid="_x0000_s614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561975</xdr:colOff>
          <xdr:row>2</xdr:row>
          <xdr:rowOff>28575</xdr:rowOff>
        </xdr:from>
        <xdr:to>
          <xdr:col>3</xdr:col>
          <xdr:colOff>1047750</xdr:colOff>
          <xdr:row>2</xdr:row>
          <xdr:rowOff>190500</xdr:rowOff>
        </xdr:to>
        <xdr:sp macro="" textlink="">
          <xdr:nvSpPr>
            <xdr:cNvPr id="61449" name="Scroll Bar 9" hidden="1">
              <a:extLst>
                <a:ext uri="{63B3BB69-23CF-44E3-9099-C40C66FF867C}">
                  <a14:compatExt spid="_x0000_s614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123825</xdr:colOff>
      <xdr:row>17</xdr:row>
      <xdr:rowOff>28575</xdr:rowOff>
    </xdr:from>
    <xdr:to>
      <xdr:col>4</xdr:col>
      <xdr:colOff>320094</xdr:colOff>
      <xdr:row>24</xdr:row>
      <xdr:rowOff>161925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3638550"/>
          <a:ext cx="2491794" cy="14097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371475</xdr:colOff>
          <xdr:row>19</xdr:row>
          <xdr:rowOff>28575</xdr:rowOff>
        </xdr:from>
        <xdr:to>
          <xdr:col>8</xdr:col>
          <xdr:colOff>857250</xdr:colOff>
          <xdr:row>19</xdr:row>
          <xdr:rowOff>190500</xdr:rowOff>
        </xdr:to>
        <xdr:sp macro="" textlink="">
          <xdr:nvSpPr>
            <xdr:cNvPr id="61450" name="Scroll Bar 10" hidden="1">
              <a:extLst>
                <a:ext uri="{63B3BB69-23CF-44E3-9099-C40C66FF867C}">
                  <a14:compatExt spid="_x0000_s614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371475</xdr:colOff>
          <xdr:row>20</xdr:row>
          <xdr:rowOff>19050</xdr:rowOff>
        </xdr:from>
        <xdr:to>
          <xdr:col>8</xdr:col>
          <xdr:colOff>857250</xdr:colOff>
          <xdr:row>20</xdr:row>
          <xdr:rowOff>180975</xdr:rowOff>
        </xdr:to>
        <xdr:sp macro="" textlink="">
          <xdr:nvSpPr>
            <xdr:cNvPr id="61451" name="Scroll Bar 11" hidden="1">
              <a:extLst>
                <a:ext uri="{63B3BB69-23CF-44E3-9099-C40C66FF867C}">
                  <a14:compatExt spid="_x0000_s614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1552575</xdr:colOff>
          <xdr:row>7</xdr:row>
          <xdr:rowOff>28575</xdr:rowOff>
        </xdr:from>
        <xdr:to>
          <xdr:col>2</xdr:col>
          <xdr:colOff>2038350</xdr:colOff>
          <xdr:row>8</xdr:row>
          <xdr:rowOff>0</xdr:rowOff>
        </xdr:to>
        <xdr:sp macro="" textlink="">
          <xdr:nvSpPr>
            <xdr:cNvPr id="150529" name="Scroll Bar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1552575</xdr:colOff>
          <xdr:row>8</xdr:row>
          <xdr:rowOff>28575</xdr:rowOff>
        </xdr:from>
        <xdr:to>
          <xdr:col>2</xdr:col>
          <xdr:colOff>2038350</xdr:colOff>
          <xdr:row>9</xdr:row>
          <xdr:rowOff>0</xdr:rowOff>
        </xdr:to>
        <xdr:sp macro="" textlink="">
          <xdr:nvSpPr>
            <xdr:cNvPr id="150530" name="Scroll Bar 2" hidden="1">
              <a:extLst>
                <a:ext uri="{63B3BB69-23CF-44E3-9099-C40C66FF867C}">
                  <a14:compatExt spid="_x0000_s1505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1552575</xdr:colOff>
          <xdr:row>9</xdr:row>
          <xdr:rowOff>180975</xdr:rowOff>
        </xdr:from>
        <xdr:to>
          <xdr:col>2</xdr:col>
          <xdr:colOff>2038350</xdr:colOff>
          <xdr:row>10</xdr:row>
          <xdr:rowOff>152400</xdr:rowOff>
        </xdr:to>
        <xdr:sp macro="" textlink="">
          <xdr:nvSpPr>
            <xdr:cNvPr id="150531" name="Scroll Bar 3" hidden="1">
              <a:extLst>
                <a:ext uri="{63B3BB69-23CF-44E3-9099-C40C66FF867C}">
                  <a14:compatExt spid="_x0000_s1505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1552575</xdr:colOff>
          <xdr:row>10</xdr:row>
          <xdr:rowOff>180975</xdr:rowOff>
        </xdr:from>
        <xdr:to>
          <xdr:col>2</xdr:col>
          <xdr:colOff>2038350</xdr:colOff>
          <xdr:row>11</xdr:row>
          <xdr:rowOff>152400</xdr:rowOff>
        </xdr:to>
        <xdr:sp macro="" textlink="">
          <xdr:nvSpPr>
            <xdr:cNvPr id="150532" name="Scroll Bar 4" hidden="1">
              <a:extLst>
                <a:ext uri="{63B3BB69-23CF-44E3-9099-C40C66FF867C}">
                  <a14:compatExt spid="_x0000_s1505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6</xdr:row>
          <xdr:rowOff>28575</xdr:rowOff>
        </xdr:from>
        <xdr:to>
          <xdr:col>2</xdr:col>
          <xdr:colOff>2181225</xdr:colOff>
          <xdr:row>6</xdr:row>
          <xdr:rowOff>190500</xdr:rowOff>
        </xdr:to>
        <xdr:sp macro="" textlink="">
          <xdr:nvSpPr>
            <xdr:cNvPr id="151553" name="Scroll Bar 1" hidden="1">
              <a:extLst>
                <a:ext uri="{63B3BB69-23CF-44E3-9099-C40C66FF867C}">
                  <a14:compatExt spid="_x0000_s151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7</xdr:row>
          <xdr:rowOff>28575</xdr:rowOff>
        </xdr:from>
        <xdr:to>
          <xdr:col>2</xdr:col>
          <xdr:colOff>2181225</xdr:colOff>
          <xdr:row>7</xdr:row>
          <xdr:rowOff>190500</xdr:rowOff>
        </xdr:to>
        <xdr:sp macro="" textlink="">
          <xdr:nvSpPr>
            <xdr:cNvPr id="151554" name="Scroll Bar 2" hidden="1">
              <a:extLst>
                <a:ext uri="{63B3BB69-23CF-44E3-9099-C40C66FF867C}">
                  <a14:compatExt spid="_x0000_s1515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8</xdr:row>
          <xdr:rowOff>28575</xdr:rowOff>
        </xdr:from>
        <xdr:to>
          <xdr:col>2</xdr:col>
          <xdr:colOff>2181225</xdr:colOff>
          <xdr:row>8</xdr:row>
          <xdr:rowOff>190500</xdr:rowOff>
        </xdr:to>
        <xdr:sp macro="" textlink="">
          <xdr:nvSpPr>
            <xdr:cNvPr id="151555" name="Scroll Bar 3" hidden="1">
              <a:extLst>
                <a:ext uri="{63B3BB69-23CF-44E3-9099-C40C66FF867C}">
                  <a14:compatExt spid="_x0000_s1515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9</xdr:row>
          <xdr:rowOff>28575</xdr:rowOff>
        </xdr:from>
        <xdr:to>
          <xdr:col>2</xdr:col>
          <xdr:colOff>2181225</xdr:colOff>
          <xdr:row>9</xdr:row>
          <xdr:rowOff>190500</xdr:rowOff>
        </xdr:to>
        <xdr:sp macro="" textlink="">
          <xdr:nvSpPr>
            <xdr:cNvPr id="151556" name="Scroll Bar 4" hidden="1">
              <a:extLst>
                <a:ext uri="{63B3BB69-23CF-44E3-9099-C40C66FF867C}">
                  <a14:compatExt spid="_x0000_s1515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1695450</xdr:colOff>
          <xdr:row>10</xdr:row>
          <xdr:rowOff>28575</xdr:rowOff>
        </xdr:from>
        <xdr:to>
          <xdr:col>2</xdr:col>
          <xdr:colOff>2181225</xdr:colOff>
          <xdr:row>10</xdr:row>
          <xdr:rowOff>190500</xdr:rowOff>
        </xdr:to>
        <xdr:sp macro="" textlink="">
          <xdr:nvSpPr>
            <xdr:cNvPr id="151557" name="Scroll Bar 5" hidden="1">
              <a:extLst>
                <a:ext uri="{63B3BB69-23CF-44E3-9099-C40C66FF867C}">
                  <a14:compatExt spid="_x0000_s1515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6</xdr:row>
          <xdr:rowOff>28575</xdr:rowOff>
        </xdr:from>
        <xdr:to>
          <xdr:col>2</xdr:col>
          <xdr:colOff>2486025</xdr:colOff>
          <xdr:row>6</xdr:row>
          <xdr:rowOff>190500</xdr:rowOff>
        </xdr:to>
        <xdr:sp macro="" textlink="">
          <xdr:nvSpPr>
            <xdr:cNvPr id="152577" name="Scroll Bar 1" hidden="1">
              <a:extLst>
                <a:ext uri="{63B3BB69-23CF-44E3-9099-C40C66FF867C}">
                  <a14:compatExt spid="_x0000_s1525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7</xdr:row>
          <xdr:rowOff>19050</xdr:rowOff>
        </xdr:from>
        <xdr:to>
          <xdr:col>2</xdr:col>
          <xdr:colOff>2486025</xdr:colOff>
          <xdr:row>7</xdr:row>
          <xdr:rowOff>180975</xdr:rowOff>
        </xdr:to>
        <xdr:sp macro="" textlink="">
          <xdr:nvSpPr>
            <xdr:cNvPr id="152578" name="Scroll Bar 2" hidden="1">
              <a:extLst>
                <a:ext uri="{63B3BB69-23CF-44E3-9099-C40C66FF867C}">
                  <a14:compatExt spid="_x0000_s1525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8</xdr:row>
          <xdr:rowOff>9525</xdr:rowOff>
        </xdr:from>
        <xdr:to>
          <xdr:col>2</xdr:col>
          <xdr:colOff>2486025</xdr:colOff>
          <xdr:row>8</xdr:row>
          <xdr:rowOff>171450</xdr:rowOff>
        </xdr:to>
        <xdr:sp macro="" textlink="">
          <xdr:nvSpPr>
            <xdr:cNvPr id="152579" name="Scroll Bar 3" hidden="1">
              <a:extLst>
                <a:ext uri="{63B3BB69-23CF-44E3-9099-C40C66FF867C}">
                  <a14:compatExt spid="_x0000_s1525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9</xdr:row>
          <xdr:rowOff>190500</xdr:rowOff>
        </xdr:from>
        <xdr:to>
          <xdr:col>2</xdr:col>
          <xdr:colOff>2486025</xdr:colOff>
          <xdr:row>10</xdr:row>
          <xdr:rowOff>152400</xdr:rowOff>
        </xdr:to>
        <xdr:sp macro="" textlink="">
          <xdr:nvSpPr>
            <xdr:cNvPr id="152580" name="Scroll Bar 4" hidden="1">
              <a:extLst>
                <a:ext uri="{63B3BB69-23CF-44E3-9099-C40C66FF867C}">
                  <a14:compatExt spid="_x0000_s1525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2000250</xdr:colOff>
          <xdr:row>9</xdr:row>
          <xdr:rowOff>0</xdr:rowOff>
        </xdr:from>
        <xdr:to>
          <xdr:col>2</xdr:col>
          <xdr:colOff>2486025</xdr:colOff>
          <xdr:row>9</xdr:row>
          <xdr:rowOff>161925</xdr:rowOff>
        </xdr:to>
        <xdr:sp macro="" textlink="">
          <xdr:nvSpPr>
            <xdr:cNvPr id="152581" name="Scroll Bar 5" hidden="1">
              <a:extLst>
                <a:ext uri="{63B3BB69-23CF-44E3-9099-C40C66FF867C}">
                  <a14:compatExt spid="_x0000_s1525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1019175</xdr:colOff>
          <xdr:row>2</xdr:row>
          <xdr:rowOff>28575</xdr:rowOff>
        </xdr:from>
        <xdr:to>
          <xdr:col>2</xdr:col>
          <xdr:colOff>200025</xdr:colOff>
          <xdr:row>2</xdr:row>
          <xdr:rowOff>190500</xdr:rowOff>
        </xdr:to>
        <xdr:sp macro="" textlink="">
          <xdr:nvSpPr>
            <xdr:cNvPr id="155649" name="Scroll Bar 1" hidden="1">
              <a:extLst>
                <a:ext uri="{63B3BB69-23CF-44E3-9099-C40C66FF867C}">
                  <a14:compatExt spid="_x0000_s1556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1019175</xdr:colOff>
          <xdr:row>3</xdr:row>
          <xdr:rowOff>28575</xdr:rowOff>
        </xdr:from>
        <xdr:to>
          <xdr:col>2</xdr:col>
          <xdr:colOff>200025</xdr:colOff>
          <xdr:row>3</xdr:row>
          <xdr:rowOff>190500</xdr:rowOff>
        </xdr:to>
        <xdr:sp macro="" textlink="">
          <xdr:nvSpPr>
            <xdr:cNvPr id="155650" name="Scroll Bar 2" hidden="1">
              <a:extLst>
                <a:ext uri="{63B3BB69-23CF-44E3-9099-C40C66FF867C}">
                  <a14:compatExt spid="_x0000_s1556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1019175</xdr:colOff>
          <xdr:row>5</xdr:row>
          <xdr:rowOff>28575</xdr:rowOff>
        </xdr:from>
        <xdr:to>
          <xdr:col>2</xdr:col>
          <xdr:colOff>200025</xdr:colOff>
          <xdr:row>5</xdr:row>
          <xdr:rowOff>190500</xdr:rowOff>
        </xdr:to>
        <xdr:sp macro="" textlink="">
          <xdr:nvSpPr>
            <xdr:cNvPr id="155651" name="Scroll Bar 3" hidden="1">
              <a:extLst>
                <a:ext uri="{63B3BB69-23CF-44E3-9099-C40C66FF867C}">
                  <a14:compatExt spid="_x0000_s1556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1019175</xdr:colOff>
          <xdr:row>2</xdr:row>
          <xdr:rowOff>28575</xdr:rowOff>
        </xdr:from>
        <xdr:to>
          <xdr:col>2</xdr:col>
          <xdr:colOff>285750</xdr:colOff>
          <xdr:row>2</xdr:row>
          <xdr:rowOff>190500</xdr:rowOff>
        </xdr:to>
        <xdr:sp macro="" textlink="">
          <xdr:nvSpPr>
            <xdr:cNvPr id="91137" name="Scroll Bar 1" hidden="1">
              <a:extLst>
                <a:ext uri="{63B3BB69-23CF-44E3-9099-C40C66FF867C}">
                  <a14:compatExt spid="_x0000_s9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1019175</xdr:colOff>
          <xdr:row>3</xdr:row>
          <xdr:rowOff>28575</xdr:rowOff>
        </xdr:from>
        <xdr:to>
          <xdr:col>2</xdr:col>
          <xdr:colOff>285750</xdr:colOff>
          <xdr:row>3</xdr:row>
          <xdr:rowOff>190500</xdr:rowOff>
        </xdr:to>
        <xdr:sp macro="" textlink="">
          <xdr:nvSpPr>
            <xdr:cNvPr id="91138" name="Scroll Bar 2" hidden="1">
              <a:extLst>
                <a:ext uri="{63B3BB69-23CF-44E3-9099-C40C66FF867C}">
                  <a14:compatExt spid="_x0000_s9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1019175</xdr:colOff>
          <xdr:row>5</xdr:row>
          <xdr:rowOff>28575</xdr:rowOff>
        </xdr:from>
        <xdr:to>
          <xdr:col>2</xdr:col>
          <xdr:colOff>285750</xdr:colOff>
          <xdr:row>5</xdr:row>
          <xdr:rowOff>190500</xdr:rowOff>
        </xdr:to>
        <xdr:sp macro="" textlink="">
          <xdr:nvSpPr>
            <xdr:cNvPr id="91139" name="Scroll Bar 3" hidden="1">
              <a:extLst>
                <a:ext uri="{63B3BB69-23CF-44E3-9099-C40C66FF867C}">
                  <a14:compatExt spid="_x0000_s9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</xdr:row>
          <xdr:rowOff>38100</xdr:rowOff>
        </xdr:from>
        <xdr:to>
          <xdr:col>2</xdr:col>
          <xdr:colOff>504825</xdr:colOff>
          <xdr:row>2</xdr:row>
          <xdr:rowOff>200025</xdr:rowOff>
        </xdr:to>
        <xdr:sp macro="" textlink="">
          <xdr:nvSpPr>
            <xdr:cNvPr id="154625" name="Scroll Bar 1" hidden="1">
              <a:extLst>
                <a:ext uri="{63B3BB69-23CF-44E3-9099-C40C66FF867C}">
                  <a14:compatExt spid="_x0000_s1546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3</xdr:row>
          <xdr:rowOff>28575</xdr:rowOff>
        </xdr:from>
        <xdr:to>
          <xdr:col>2</xdr:col>
          <xdr:colOff>504825</xdr:colOff>
          <xdr:row>3</xdr:row>
          <xdr:rowOff>190500</xdr:rowOff>
        </xdr:to>
        <xdr:sp macro="" textlink="">
          <xdr:nvSpPr>
            <xdr:cNvPr id="154626" name="Scroll Bar 2" hidden="1">
              <a:extLst>
                <a:ext uri="{63B3BB69-23CF-44E3-9099-C40C66FF867C}">
                  <a14:compatExt spid="_x0000_s1546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5</xdr:row>
          <xdr:rowOff>47625</xdr:rowOff>
        </xdr:from>
        <xdr:to>
          <xdr:col>2</xdr:col>
          <xdr:colOff>495300</xdr:colOff>
          <xdr:row>5</xdr:row>
          <xdr:rowOff>209550</xdr:rowOff>
        </xdr:to>
        <xdr:sp macro="" textlink="">
          <xdr:nvSpPr>
            <xdr:cNvPr id="154627" name="Scroll Bar 3" hidden="1">
              <a:extLst>
                <a:ext uri="{63B3BB69-23CF-44E3-9099-C40C66FF867C}">
                  <a14:compatExt spid="_x0000_s1546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6</xdr:row>
          <xdr:rowOff>28575</xdr:rowOff>
        </xdr:from>
        <xdr:to>
          <xdr:col>2</xdr:col>
          <xdr:colOff>495300</xdr:colOff>
          <xdr:row>6</xdr:row>
          <xdr:rowOff>190500</xdr:rowOff>
        </xdr:to>
        <xdr:sp macro="" textlink="">
          <xdr:nvSpPr>
            <xdr:cNvPr id="154630" name="Scroll Bar 6" hidden="1">
              <a:extLst>
                <a:ext uri="{63B3BB69-23CF-44E3-9099-C40C66FF867C}">
                  <a14:compatExt spid="_x0000_s1546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7</xdr:row>
          <xdr:rowOff>19050</xdr:rowOff>
        </xdr:from>
        <xdr:to>
          <xdr:col>2</xdr:col>
          <xdr:colOff>495300</xdr:colOff>
          <xdr:row>7</xdr:row>
          <xdr:rowOff>180975</xdr:rowOff>
        </xdr:to>
        <xdr:sp macro="" textlink="">
          <xdr:nvSpPr>
            <xdr:cNvPr id="154632" name="Scroll Bar 8" hidden="1">
              <a:extLst>
                <a:ext uri="{63B3BB69-23CF-44E3-9099-C40C66FF867C}">
                  <a14:compatExt spid="_x0000_s1546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200025</xdr:colOff>
      <xdr:row>13</xdr:row>
      <xdr:rowOff>76200</xdr:rowOff>
    </xdr:from>
    <xdr:to>
      <xdr:col>3</xdr:col>
      <xdr:colOff>303345</xdr:colOff>
      <xdr:row>19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2828925"/>
          <a:ext cx="2189295" cy="12763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2</xdr:row>
          <xdr:rowOff>38100</xdr:rowOff>
        </xdr:from>
        <xdr:to>
          <xdr:col>2</xdr:col>
          <xdr:colOff>504825</xdr:colOff>
          <xdr:row>2</xdr:row>
          <xdr:rowOff>200025</xdr:rowOff>
        </xdr:to>
        <xdr:sp macro="" textlink="">
          <xdr:nvSpPr>
            <xdr:cNvPr id="186369" name="Scroll Bar 1" hidden="1">
              <a:extLst>
                <a:ext uri="{63B3BB69-23CF-44E3-9099-C40C66FF867C}">
                  <a14:compatExt spid="_x0000_s186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3</xdr:row>
          <xdr:rowOff>28575</xdr:rowOff>
        </xdr:from>
        <xdr:to>
          <xdr:col>2</xdr:col>
          <xdr:colOff>504825</xdr:colOff>
          <xdr:row>3</xdr:row>
          <xdr:rowOff>190500</xdr:rowOff>
        </xdr:to>
        <xdr:sp macro="" textlink="">
          <xdr:nvSpPr>
            <xdr:cNvPr id="186370" name="Scroll Bar 2" hidden="1">
              <a:extLst>
                <a:ext uri="{63B3BB69-23CF-44E3-9099-C40C66FF867C}">
                  <a14:compatExt spid="_x0000_s186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5</xdr:row>
          <xdr:rowOff>47625</xdr:rowOff>
        </xdr:from>
        <xdr:to>
          <xdr:col>2</xdr:col>
          <xdr:colOff>495300</xdr:colOff>
          <xdr:row>5</xdr:row>
          <xdr:rowOff>209550</xdr:rowOff>
        </xdr:to>
        <xdr:sp macro="" textlink="">
          <xdr:nvSpPr>
            <xdr:cNvPr id="186371" name="Scroll Bar 3" hidden="1">
              <a:extLst>
                <a:ext uri="{63B3BB69-23CF-44E3-9099-C40C66FF867C}">
                  <a14:compatExt spid="_x0000_s1863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6</xdr:row>
          <xdr:rowOff>28575</xdr:rowOff>
        </xdr:from>
        <xdr:to>
          <xdr:col>2</xdr:col>
          <xdr:colOff>495300</xdr:colOff>
          <xdr:row>6</xdr:row>
          <xdr:rowOff>190500</xdr:rowOff>
        </xdr:to>
        <xdr:sp macro="" textlink="">
          <xdr:nvSpPr>
            <xdr:cNvPr id="186372" name="Scroll Bar 4" hidden="1">
              <a:extLst>
                <a:ext uri="{63B3BB69-23CF-44E3-9099-C40C66FF867C}">
                  <a14:compatExt spid="_x0000_s1863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7</xdr:row>
          <xdr:rowOff>19050</xdr:rowOff>
        </xdr:from>
        <xdr:to>
          <xdr:col>2</xdr:col>
          <xdr:colOff>495300</xdr:colOff>
          <xdr:row>7</xdr:row>
          <xdr:rowOff>180975</xdr:rowOff>
        </xdr:to>
        <xdr:sp macro="" textlink="">
          <xdr:nvSpPr>
            <xdr:cNvPr id="186373" name="Scroll Bar 5" hidden="1">
              <a:extLst>
                <a:ext uri="{63B3BB69-23CF-44E3-9099-C40C66FF867C}">
                  <a14:compatExt spid="_x0000_s1863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</xdr:col>
      <xdr:colOff>142875</xdr:colOff>
      <xdr:row>13</xdr:row>
      <xdr:rowOff>38100</xdr:rowOff>
    </xdr:from>
    <xdr:to>
      <xdr:col>3</xdr:col>
      <xdr:colOff>314325</xdr:colOff>
      <xdr:row>19</xdr:row>
      <xdr:rowOff>123825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2790825"/>
          <a:ext cx="2257425" cy="12573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trlProp" Target="../ctrlProps/ctrlProp43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42.xml"/><Relationship Id="rId5" Type="http://schemas.openxmlformats.org/officeDocument/2006/relationships/ctrlProp" Target="../ctrlProps/ctrlProp41.xml"/><Relationship Id="rId4" Type="http://schemas.openxmlformats.org/officeDocument/2006/relationships/ctrlProp" Target="../ctrlProps/ctrlProp4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4.xml"/><Relationship Id="rId7" Type="http://schemas.openxmlformats.org/officeDocument/2006/relationships/ctrlProp" Target="../ctrlProps/ctrlProp48.xml"/><Relationship Id="rId2" Type="http://schemas.openxmlformats.org/officeDocument/2006/relationships/vmlDrawing" Target="../drawings/vmlDrawing11.vml"/><Relationship Id="rId1" Type="http://schemas.openxmlformats.org/officeDocument/2006/relationships/drawing" Target="../drawings/drawing11.xml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ctrlProp" Target="../ctrlProps/ctrlProp4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49.xml"/><Relationship Id="rId2" Type="http://schemas.openxmlformats.org/officeDocument/2006/relationships/vmlDrawing" Target="../drawings/vmlDrawing12.vml"/><Relationship Id="rId1" Type="http://schemas.openxmlformats.org/officeDocument/2006/relationships/drawing" Target="../drawings/drawing12.xml"/><Relationship Id="rId6" Type="http://schemas.openxmlformats.org/officeDocument/2006/relationships/ctrlProp" Target="../ctrlProps/ctrlProp52.xml"/><Relationship Id="rId5" Type="http://schemas.openxmlformats.org/officeDocument/2006/relationships/ctrlProp" Target="../ctrlProps/ctrlProp51.xml"/><Relationship Id="rId4" Type="http://schemas.openxmlformats.org/officeDocument/2006/relationships/ctrlProp" Target="../ctrlProps/ctrlProp50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7.xml"/><Relationship Id="rId3" Type="http://schemas.openxmlformats.org/officeDocument/2006/relationships/vmlDrawing" Target="../drawings/vmlDrawing13.vml"/><Relationship Id="rId7" Type="http://schemas.openxmlformats.org/officeDocument/2006/relationships/ctrlProp" Target="../ctrlProps/ctrlProp56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55.xml"/><Relationship Id="rId5" Type="http://schemas.openxmlformats.org/officeDocument/2006/relationships/ctrlProp" Target="../ctrlProps/ctrlProp54.xml"/><Relationship Id="rId10" Type="http://schemas.openxmlformats.org/officeDocument/2006/relationships/ctrlProp" Target="../ctrlProps/ctrlProp59.xml"/><Relationship Id="rId4" Type="http://schemas.openxmlformats.org/officeDocument/2006/relationships/ctrlProp" Target="../ctrlProps/ctrlProp53.xml"/><Relationship Id="rId9" Type="http://schemas.openxmlformats.org/officeDocument/2006/relationships/ctrlProp" Target="../ctrlProps/ctrlProp58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4.xml"/><Relationship Id="rId3" Type="http://schemas.openxmlformats.org/officeDocument/2006/relationships/vmlDrawing" Target="../drawings/vmlDrawing14.vml"/><Relationship Id="rId7" Type="http://schemas.openxmlformats.org/officeDocument/2006/relationships/ctrlProp" Target="../ctrlProps/ctrlProp63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62.xml"/><Relationship Id="rId5" Type="http://schemas.openxmlformats.org/officeDocument/2006/relationships/ctrlProp" Target="../ctrlProps/ctrlProp61.xml"/><Relationship Id="rId10" Type="http://schemas.openxmlformats.org/officeDocument/2006/relationships/ctrlProp" Target="../ctrlProps/ctrlProp66.xml"/><Relationship Id="rId4" Type="http://schemas.openxmlformats.org/officeDocument/2006/relationships/ctrlProp" Target="../ctrlProps/ctrlProp60.xml"/><Relationship Id="rId9" Type="http://schemas.openxmlformats.org/officeDocument/2006/relationships/ctrlProp" Target="../ctrlProps/ctrlProp65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7.xml"/><Relationship Id="rId2" Type="http://schemas.openxmlformats.org/officeDocument/2006/relationships/vmlDrawing" Target="../drawings/vmlDrawing15.vml"/><Relationship Id="rId1" Type="http://schemas.openxmlformats.org/officeDocument/2006/relationships/drawing" Target="../drawings/drawing15.xml"/><Relationship Id="rId5" Type="http://schemas.openxmlformats.org/officeDocument/2006/relationships/ctrlProp" Target="../ctrlProps/ctrlProp69.xml"/><Relationship Id="rId4" Type="http://schemas.openxmlformats.org/officeDocument/2006/relationships/ctrlProp" Target="../ctrlProps/ctrlProp68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0.xml"/><Relationship Id="rId7" Type="http://schemas.openxmlformats.org/officeDocument/2006/relationships/ctrlProp" Target="../ctrlProps/ctrlProp74.xml"/><Relationship Id="rId2" Type="http://schemas.openxmlformats.org/officeDocument/2006/relationships/vmlDrawing" Target="../drawings/vmlDrawing16.vml"/><Relationship Id="rId1" Type="http://schemas.openxmlformats.org/officeDocument/2006/relationships/drawing" Target="../drawings/drawing16.xml"/><Relationship Id="rId6" Type="http://schemas.openxmlformats.org/officeDocument/2006/relationships/ctrlProp" Target="../ctrlProps/ctrlProp73.xml"/><Relationship Id="rId5" Type="http://schemas.openxmlformats.org/officeDocument/2006/relationships/ctrlProp" Target="../ctrlProps/ctrlProp72.xml"/><Relationship Id="rId4" Type="http://schemas.openxmlformats.org/officeDocument/2006/relationships/ctrlProp" Target="../ctrlProps/ctrlProp71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9.xml"/><Relationship Id="rId3" Type="http://schemas.openxmlformats.org/officeDocument/2006/relationships/vmlDrawing" Target="../drawings/vmlDrawing17.vml"/><Relationship Id="rId7" Type="http://schemas.openxmlformats.org/officeDocument/2006/relationships/ctrlProp" Target="../ctrlProps/ctrlProp78.x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77.xml"/><Relationship Id="rId5" Type="http://schemas.openxmlformats.org/officeDocument/2006/relationships/ctrlProp" Target="../ctrlProps/ctrlProp76.xml"/><Relationship Id="rId4" Type="http://schemas.openxmlformats.org/officeDocument/2006/relationships/ctrlProp" Target="../ctrlProps/ctrlProp75.xml"/><Relationship Id="rId9" Type="http://schemas.openxmlformats.org/officeDocument/2006/relationships/ctrlProp" Target="../ctrlProps/ctrlProp80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1.xml"/><Relationship Id="rId2" Type="http://schemas.openxmlformats.org/officeDocument/2006/relationships/vmlDrawing" Target="../drawings/vmlDrawing18.vml"/><Relationship Id="rId1" Type="http://schemas.openxmlformats.org/officeDocument/2006/relationships/drawing" Target="../drawings/drawing18.xml"/><Relationship Id="rId5" Type="http://schemas.openxmlformats.org/officeDocument/2006/relationships/ctrlProp" Target="../ctrlProps/ctrlProp83.xml"/><Relationship Id="rId4" Type="http://schemas.openxmlformats.org/officeDocument/2006/relationships/ctrlProp" Target="../ctrlProps/ctrlProp82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84.xml"/><Relationship Id="rId2" Type="http://schemas.openxmlformats.org/officeDocument/2006/relationships/vmlDrawing" Target="../drawings/vmlDrawing19.vml"/><Relationship Id="rId1" Type="http://schemas.openxmlformats.org/officeDocument/2006/relationships/drawing" Target="../drawings/drawing19.xml"/><Relationship Id="rId6" Type="http://schemas.openxmlformats.org/officeDocument/2006/relationships/ctrlProp" Target="../ctrlProps/ctrlProp87.xml"/><Relationship Id="rId5" Type="http://schemas.openxmlformats.org/officeDocument/2006/relationships/ctrlProp" Target="../ctrlProps/ctrlProp86.xml"/><Relationship Id="rId4" Type="http://schemas.openxmlformats.org/officeDocument/2006/relationships/ctrlProp" Target="../ctrlProps/ctrlProp85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8.xml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3.xml"/><Relationship Id="rId3" Type="http://schemas.openxmlformats.org/officeDocument/2006/relationships/ctrlProp" Target="../ctrlProps/ctrlProp88.xml"/><Relationship Id="rId7" Type="http://schemas.openxmlformats.org/officeDocument/2006/relationships/ctrlProp" Target="../ctrlProps/ctrlProp92.xml"/><Relationship Id="rId12" Type="http://schemas.openxmlformats.org/officeDocument/2006/relationships/ctrlProp" Target="../ctrlProps/ctrlProp97.xml"/><Relationship Id="rId2" Type="http://schemas.openxmlformats.org/officeDocument/2006/relationships/vmlDrawing" Target="../drawings/vmlDrawing20.vml"/><Relationship Id="rId1" Type="http://schemas.openxmlformats.org/officeDocument/2006/relationships/drawing" Target="../drawings/drawing20.xml"/><Relationship Id="rId6" Type="http://schemas.openxmlformats.org/officeDocument/2006/relationships/ctrlProp" Target="../ctrlProps/ctrlProp91.xml"/><Relationship Id="rId11" Type="http://schemas.openxmlformats.org/officeDocument/2006/relationships/ctrlProp" Target="../ctrlProps/ctrlProp96.xml"/><Relationship Id="rId5" Type="http://schemas.openxmlformats.org/officeDocument/2006/relationships/ctrlProp" Target="../ctrlProps/ctrlProp90.xml"/><Relationship Id="rId10" Type="http://schemas.openxmlformats.org/officeDocument/2006/relationships/ctrlProp" Target="../ctrlProps/ctrlProp95.xml"/><Relationship Id="rId4" Type="http://schemas.openxmlformats.org/officeDocument/2006/relationships/ctrlProp" Target="../ctrlProps/ctrlProp89.xml"/><Relationship Id="rId9" Type="http://schemas.openxmlformats.org/officeDocument/2006/relationships/ctrlProp" Target="../ctrlProps/ctrlProp94.x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2.xml"/><Relationship Id="rId3" Type="http://schemas.openxmlformats.org/officeDocument/2006/relationships/vmlDrawing" Target="../drawings/vmlDrawing21.vml"/><Relationship Id="rId7" Type="http://schemas.openxmlformats.org/officeDocument/2006/relationships/ctrlProp" Target="../ctrlProps/ctrlProp101.x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100.xml"/><Relationship Id="rId5" Type="http://schemas.openxmlformats.org/officeDocument/2006/relationships/ctrlProp" Target="../ctrlProps/ctrlProp99.xml"/><Relationship Id="rId10" Type="http://schemas.openxmlformats.org/officeDocument/2006/relationships/ctrlProp" Target="../ctrlProps/ctrlProp104.xml"/><Relationship Id="rId4" Type="http://schemas.openxmlformats.org/officeDocument/2006/relationships/ctrlProp" Target="../ctrlProps/ctrlProp98.xml"/><Relationship Id="rId9" Type="http://schemas.openxmlformats.org/officeDocument/2006/relationships/ctrlProp" Target="../ctrlProps/ctrlProp103.xm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09.xml"/><Relationship Id="rId3" Type="http://schemas.openxmlformats.org/officeDocument/2006/relationships/vmlDrawing" Target="../drawings/vmlDrawing22.vml"/><Relationship Id="rId7" Type="http://schemas.openxmlformats.org/officeDocument/2006/relationships/ctrlProp" Target="../ctrlProps/ctrlProp108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107.xml"/><Relationship Id="rId11" Type="http://schemas.openxmlformats.org/officeDocument/2006/relationships/ctrlProp" Target="../ctrlProps/ctrlProp112.xml"/><Relationship Id="rId5" Type="http://schemas.openxmlformats.org/officeDocument/2006/relationships/ctrlProp" Target="../ctrlProps/ctrlProp106.xml"/><Relationship Id="rId10" Type="http://schemas.openxmlformats.org/officeDocument/2006/relationships/ctrlProp" Target="../ctrlProps/ctrlProp111.xml"/><Relationship Id="rId4" Type="http://schemas.openxmlformats.org/officeDocument/2006/relationships/ctrlProp" Target="../ctrlProps/ctrlProp105.xml"/><Relationship Id="rId9" Type="http://schemas.openxmlformats.org/officeDocument/2006/relationships/ctrlProp" Target="../ctrlProps/ctrlProp110.x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7.xml"/><Relationship Id="rId13" Type="http://schemas.openxmlformats.org/officeDocument/2006/relationships/ctrlProp" Target="../ctrlProps/ctrlProp122.xml"/><Relationship Id="rId3" Type="http://schemas.openxmlformats.org/officeDocument/2006/relationships/vmlDrawing" Target="../drawings/vmlDrawing23.vml"/><Relationship Id="rId7" Type="http://schemas.openxmlformats.org/officeDocument/2006/relationships/ctrlProp" Target="../ctrlProps/ctrlProp116.xml"/><Relationship Id="rId12" Type="http://schemas.openxmlformats.org/officeDocument/2006/relationships/ctrlProp" Target="../ctrlProps/ctrlProp121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115.xml"/><Relationship Id="rId11" Type="http://schemas.openxmlformats.org/officeDocument/2006/relationships/ctrlProp" Target="../ctrlProps/ctrlProp120.xml"/><Relationship Id="rId5" Type="http://schemas.openxmlformats.org/officeDocument/2006/relationships/ctrlProp" Target="../ctrlProps/ctrlProp114.xml"/><Relationship Id="rId10" Type="http://schemas.openxmlformats.org/officeDocument/2006/relationships/ctrlProp" Target="../ctrlProps/ctrlProp119.xml"/><Relationship Id="rId4" Type="http://schemas.openxmlformats.org/officeDocument/2006/relationships/ctrlProp" Target="../ctrlProps/ctrlProp113.xml"/><Relationship Id="rId9" Type="http://schemas.openxmlformats.org/officeDocument/2006/relationships/ctrlProp" Target="../ctrlProps/ctrlProp11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0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4.xml"/><Relationship Id="rId7" Type="http://schemas.openxmlformats.org/officeDocument/2006/relationships/ctrlProp" Target="../ctrlProps/ctrlProp18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17.xml"/><Relationship Id="rId5" Type="http://schemas.openxmlformats.org/officeDocument/2006/relationships/ctrlProp" Target="../ctrlProps/ctrlProp16.xml"/><Relationship Id="rId4" Type="http://schemas.openxmlformats.org/officeDocument/2006/relationships/ctrlProp" Target="../ctrlProps/ctrlProp1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9.xml"/><Relationship Id="rId7" Type="http://schemas.openxmlformats.org/officeDocument/2006/relationships/ctrlProp" Target="../ctrlProps/ctrlProp23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Relationship Id="rId6" Type="http://schemas.openxmlformats.org/officeDocument/2006/relationships/ctrlProp" Target="../ctrlProps/ctrlProp22.xml"/><Relationship Id="rId5" Type="http://schemas.openxmlformats.org/officeDocument/2006/relationships/ctrlProp" Target="../ctrlProps/ctrlProp21.xml"/><Relationship Id="rId4" Type="http://schemas.openxmlformats.org/officeDocument/2006/relationships/ctrlProp" Target="../ctrlProps/ctrlProp2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4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9.xml"/><Relationship Id="rId5" Type="http://schemas.openxmlformats.org/officeDocument/2006/relationships/ctrlProp" Target="../ctrlProps/ctrlProp28.xml"/><Relationship Id="rId4" Type="http://schemas.openxmlformats.org/officeDocument/2006/relationships/ctrlProp" Target="../ctrlProps/ctrlProp2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4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3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2.xml"/><Relationship Id="rId5" Type="http://schemas.openxmlformats.org/officeDocument/2006/relationships/ctrlProp" Target="../ctrlProps/ctrlProp31.xml"/><Relationship Id="rId4" Type="http://schemas.openxmlformats.org/officeDocument/2006/relationships/ctrlProp" Target="../ctrlProps/ctrlProp30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9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38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37.xml"/><Relationship Id="rId5" Type="http://schemas.openxmlformats.org/officeDocument/2006/relationships/ctrlProp" Target="../ctrlProps/ctrlProp36.xml"/><Relationship Id="rId4" Type="http://schemas.openxmlformats.org/officeDocument/2006/relationships/ctrlProp" Target="../ctrlProps/ctrlProp3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"/>
  <sheetViews>
    <sheetView showGridLines="0" tabSelected="1" workbookViewId="0">
      <selection activeCell="E10" sqref="E10"/>
    </sheetView>
  </sheetViews>
  <sheetFormatPr defaultRowHeight="15" x14ac:dyDescent="0.2"/>
  <cols>
    <col min="1" max="1" width="5.85546875" style="1" customWidth="1"/>
    <col min="2" max="2" width="19.5703125" style="1" customWidth="1"/>
    <col min="3" max="3" width="5.140625" style="1" customWidth="1"/>
    <col min="4" max="4" width="12.7109375" style="1" customWidth="1"/>
    <col min="5" max="9" width="13.5703125" style="1" customWidth="1"/>
    <col min="10" max="10" width="5.85546875" style="1" customWidth="1"/>
    <col min="11" max="16384" width="9.140625" style="1"/>
  </cols>
  <sheetData>
    <row r="1" spans="1:9" ht="19.5" customHeight="1" x14ac:dyDescent="0.2"/>
    <row r="2" spans="1:9" ht="18.75" x14ac:dyDescent="0.2">
      <c r="B2" s="9" t="str">
        <f>"TABEL DATA - INPUT "&amp;IF(A3=1,"BARIS","KOLOM")</f>
        <v>TABEL DATA - INPUT KOLOM</v>
      </c>
      <c r="C2" s="9"/>
    </row>
    <row r="3" spans="1:9" ht="18.75" customHeight="1" x14ac:dyDescent="0.2">
      <c r="A3" s="2">
        <v>2</v>
      </c>
      <c r="B3" s="298" t="s">
        <v>53</v>
      </c>
      <c r="C3" s="298"/>
      <c r="D3" s="298"/>
      <c r="F3" s="299" t="str">
        <f>"Luas Tanah (data yang berubah dalam susunan satu "&amp;IF(A3=1,"baris)","kolom)")</f>
        <v>Luas Tanah (data yang berubah dalam susunan satu kolom)</v>
      </c>
      <c r="G3" s="299"/>
      <c r="H3" s="299"/>
      <c r="I3" s="299"/>
    </row>
    <row r="4" spans="1:9" ht="17.25" customHeight="1" x14ac:dyDescent="0.2">
      <c r="A4" s="92">
        <f>D6-2</f>
        <v>118</v>
      </c>
      <c r="B4" s="83" t="s">
        <v>45</v>
      </c>
      <c r="C4" s="83"/>
      <c r="D4" s="71">
        <v>15</v>
      </c>
    </row>
    <row r="5" spans="1:9" ht="17.25" customHeight="1" x14ac:dyDescent="0.2">
      <c r="A5" s="92">
        <f>A4+5</f>
        <v>123</v>
      </c>
      <c r="B5" s="83" t="s">
        <v>46</v>
      </c>
      <c r="C5" s="83"/>
      <c r="D5" s="71">
        <v>8</v>
      </c>
    </row>
    <row r="6" spans="1:9" ht="17.25" customHeight="1" x14ac:dyDescent="0.2">
      <c r="A6" s="92">
        <f t="shared" ref="A6:A8" si="0">A5+5</f>
        <v>128</v>
      </c>
      <c r="B6" s="83" t="s">
        <v>54</v>
      </c>
      <c r="C6" s="83"/>
      <c r="D6" s="71">
        <f>D4*D5</f>
        <v>120</v>
      </c>
    </row>
    <row r="7" spans="1:9" ht="17.25" customHeight="1" x14ac:dyDescent="0.2">
      <c r="A7" s="92">
        <f t="shared" si="0"/>
        <v>133</v>
      </c>
      <c r="B7" s="83" t="s">
        <v>55</v>
      </c>
      <c r="C7" s="83"/>
      <c r="D7" s="71">
        <f>E7*1000</f>
        <v>750000</v>
      </c>
      <c r="E7" s="2">
        <v>750</v>
      </c>
    </row>
    <row r="8" spans="1:9" x14ac:dyDescent="0.2">
      <c r="A8" s="92">
        <f t="shared" si="0"/>
        <v>138</v>
      </c>
    </row>
    <row r="9" spans="1:9" x14ac:dyDescent="0.2">
      <c r="D9" s="15"/>
    </row>
    <row r="10" spans="1:9" x14ac:dyDescent="0.2">
      <c r="D10" s="80" t="s">
        <v>47</v>
      </c>
      <c r="E10" s="79">
        <f>IF(A3=2,D6*D7,110)</f>
        <v>90000000</v>
      </c>
      <c r="F10" s="91" t="str">
        <f>IF(A3=1,A5,"")</f>
        <v/>
      </c>
      <c r="G10" s="91" t="str">
        <f>IF(F10="","",A6)</f>
        <v/>
      </c>
      <c r="H10" s="91" t="str">
        <f>IF(G10="","",A7)</f>
        <v/>
      </c>
      <c r="I10" s="91" t="str">
        <f>IF(H10="","",A8)</f>
        <v/>
      </c>
    </row>
    <row r="11" spans="1:9" x14ac:dyDescent="0.2">
      <c r="D11" s="86">
        <f>IF(A3=1,D6*D7,A4)</f>
        <v>118</v>
      </c>
      <c r="E11" s="88"/>
      <c r="F11" s="89"/>
      <c r="G11" s="90"/>
      <c r="H11" s="90"/>
      <c r="I11" s="87"/>
    </row>
    <row r="12" spans="1:9" x14ac:dyDescent="0.2">
      <c r="D12" s="69">
        <f>IF(A$3=2,A5,"")</f>
        <v>123</v>
      </c>
    </row>
    <row r="13" spans="1:9" x14ac:dyDescent="0.2">
      <c r="D13" s="69">
        <f t="shared" ref="D13:D15" si="1">IF(A$3=2,A6,"")</f>
        <v>128</v>
      </c>
    </row>
    <row r="14" spans="1:9" x14ac:dyDescent="0.2">
      <c r="D14" s="69">
        <f t="shared" si="1"/>
        <v>133</v>
      </c>
    </row>
    <row r="15" spans="1:9" x14ac:dyDescent="0.2">
      <c r="D15" s="69">
        <f t="shared" si="1"/>
        <v>138</v>
      </c>
    </row>
    <row r="16" spans="1:9" ht="19.5" customHeight="1" x14ac:dyDescent="0.2"/>
  </sheetData>
  <mergeCells count="2">
    <mergeCell ref="B3:D3"/>
    <mergeCell ref="F3:I3"/>
  </mergeCells>
  <conditionalFormatting sqref="D12:D15">
    <cfRule type="notContainsBlanks" dxfId="22" priority="3">
      <formula>LEN(TRIM(D12))&gt;0</formula>
    </cfRule>
  </conditionalFormatting>
  <conditionalFormatting sqref="E10:I10">
    <cfRule type="notContainsBlanks" dxfId="21" priority="1">
      <formula>LEN(TRIM(E10))&gt;0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0113" r:id="rId4" name="Scroll Bar 1">
              <controlPr defaultSize="0" autoPict="0">
                <anchor moveWithCells="1">
                  <from>
                    <xdr:col>1</xdr:col>
                    <xdr:colOff>1019175</xdr:colOff>
                    <xdr:row>3</xdr:row>
                    <xdr:rowOff>28575</xdr:rowOff>
                  </from>
                  <to>
                    <xdr:col>2</xdr:col>
                    <xdr:colOff>200025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115" r:id="rId5" name="Scroll Bar 3">
              <controlPr defaultSize="0" autoPict="0">
                <anchor moveWithCells="1">
                  <from>
                    <xdr:col>1</xdr:col>
                    <xdr:colOff>1019175</xdr:colOff>
                    <xdr:row>4</xdr:row>
                    <xdr:rowOff>28575</xdr:rowOff>
                  </from>
                  <to>
                    <xdr:col>2</xdr:col>
                    <xdr:colOff>200025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116" r:id="rId6" name="Scroll Bar 4">
              <controlPr defaultSize="0" autoPict="0">
                <anchor moveWithCells="1">
                  <from>
                    <xdr:col>1</xdr:col>
                    <xdr:colOff>1019175</xdr:colOff>
                    <xdr:row>6</xdr:row>
                    <xdr:rowOff>28575</xdr:rowOff>
                  </from>
                  <to>
                    <xdr:col>2</xdr:col>
                    <xdr:colOff>200025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117" r:id="rId7" name="Option Button 5">
              <controlPr defaultSize="0" autoFill="0" autoLine="0" autoPict="0">
                <anchor moveWithCells="1">
                  <from>
                    <xdr:col>1</xdr:col>
                    <xdr:colOff>561975</xdr:colOff>
                    <xdr:row>2</xdr:row>
                    <xdr:rowOff>9525</xdr:rowOff>
                  </from>
                  <to>
                    <xdr:col>1</xdr:col>
                    <xdr:colOff>819150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118" r:id="rId8" name="Option Button 6">
              <controlPr defaultSize="0" autoFill="0" autoLine="0" autoPict="0">
                <anchor moveWithCells="1">
                  <from>
                    <xdr:col>2</xdr:col>
                    <xdr:colOff>152400</xdr:colOff>
                    <xdr:row>2</xdr:row>
                    <xdr:rowOff>9525</xdr:rowOff>
                  </from>
                  <to>
                    <xdr:col>3</xdr:col>
                    <xdr:colOff>66675</xdr:colOff>
                    <xdr:row>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1"/>
  <sheetViews>
    <sheetView showGridLines="0" workbookViewId="0">
      <selection activeCell="D13" sqref="D13:D17"/>
    </sheetView>
  </sheetViews>
  <sheetFormatPr defaultRowHeight="15" x14ac:dyDescent="0.2"/>
  <cols>
    <col min="1" max="1" width="5.85546875" style="1" customWidth="1"/>
    <col min="2" max="2" width="7.42578125" style="1" customWidth="1"/>
    <col min="3" max="3" width="11.5703125" style="1" customWidth="1"/>
    <col min="4" max="4" width="12.7109375" style="1" customWidth="1"/>
    <col min="5" max="5" width="13.7109375" style="1" customWidth="1"/>
    <col min="6" max="6" width="10.7109375" style="1" customWidth="1"/>
    <col min="7" max="7" width="5.42578125" style="1" customWidth="1"/>
    <col min="8" max="8" width="13.28515625" style="1" customWidth="1"/>
    <col min="9" max="9" width="5.85546875" style="1" customWidth="1"/>
    <col min="10" max="11" width="9.140625" style="1"/>
    <col min="12" max="12" width="5.85546875" style="1" customWidth="1"/>
    <col min="13" max="16384" width="9.140625" style="1"/>
  </cols>
  <sheetData>
    <row r="1" spans="2:8" ht="19.5" customHeight="1" x14ac:dyDescent="0.2"/>
    <row r="2" spans="2:8" ht="18.75" x14ac:dyDescent="0.2">
      <c r="B2" s="9" t="s">
        <v>127</v>
      </c>
    </row>
    <row r="3" spans="2:8" ht="16.5" customHeight="1" x14ac:dyDescent="0.2">
      <c r="B3" s="192" t="s">
        <v>109</v>
      </c>
      <c r="C3" s="8"/>
      <c r="D3" s="8"/>
      <c r="E3" s="8"/>
      <c r="F3" s="193">
        <v>2500</v>
      </c>
    </row>
    <row r="4" spans="2:8" ht="16.5" customHeight="1" x14ac:dyDescent="0.2">
      <c r="B4" s="192" t="s">
        <v>110</v>
      </c>
      <c r="C4" s="8"/>
      <c r="D4" s="8"/>
      <c r="E4" s="8"/>
      <c r="F4" s="194">
        <f>G4/100</f>
        <v>0.5</v>
      </c>
      <c r="G4" s="1">
        <v>50</v>
      </c>
      <c r="H4" s="205" t="s">
        <v>121</v>
      </c>
    </row>
    <row r="5" spans="2:8" ht="9.75" customHeight="1" x14ac:dyDescent="0.2"/>
    <row r="6" spans="2:8" ht="30" x14ac:dyDescent="0.2">
      <c r="B6" s="312" t="s">
        <v>113</v>
      </c>
      <c r="C6" s="312"/>
      <c r="D6" s="197" t="s">
        <v>109</v>
      </c>
      <c r="E6" s="198" t="s">
        <v>111</v>
      </c>
    </row>
    <row r="7" spans="2:8" ht="16.5" customHeight="1" x14ac:dyDescent="0.2">
      <c r="B7" s="195" t="s">
        <v>114</v>
      </c>
      <c r="C7" s="190"/>
      <c r="D7" s="196">
        <f>F3*F4</f>
        <v>1250</v>
      </c>
      <c r="E7" s="73">
        <v>150</v>
      </c>
    </row>
    <row r="8" spans="2:8" ht="16.5" customHeight="1" x14ac:dyDescent="0.2">
      <c r="B8" s="195" t="s">
        <v>115</v>
      </c>
      <c r="C8" s="190"/>
      <c r="D8" s="196">
        <f>F3-D7</f>
        <v>1250</v>
      </c>
      <c r="E8" s="73">
        <v>70</v>
      </c>
    </row>
    <row r="9" spans="2:8" ht="9.75" customHeight="1" x14ac:dyDescent="0.2"/>
    <row r="10" spans="2:8" x14ac:dyDescent="0.2">
      <c r="D10" s="179" t="s">
        <v>112</v>
      </c>
      <c r="E10" s="199">
        <f>(D7*E7)+(D8*E8)</f>
        <v>275000</v>
      </c>
      <c r="F10" s="202" t="s">
        <v>126</v>
      </c>
    </row>
    <row r="11" spans="2:8" ht="9.75" customHeight="1" x14ac:dyDescent="0.2"/>
    <row r="12" spans="2:8" ht="17.25" customHeight="1" x14ac:dyDescent="0.2">
      <c r="B12" s="56"/>
      <c r="C12" s="200" t="s">
        <v>117</v>
      </c>
      <c r="D12" s="203">
        <f>E10</f>
        <v>275000</v>
      </c>
      <c r="E12" s="201" t="s">
        <v>50</v>
      </c>
    </row>
    <row r="13" spans="2:8" x14ac:dyDescent="0.2">
      <c r="C13" s="189">
        <v>0.6</v>
      </c>
      <c r="D13" s="53"/>
      <c r="F13" s="68" t="str">
        <f>"("&amp;TEXT(C13*F$3,"#.## x ")&amp;TEXT(E$7,"#) + ")&amp;"("&amp;TEXT((1-C13)*F$3,"0 x ")&amp;TEXT(E$8,"# ) = ")&amp;TEXT((C13*F$3)*E$7+(1-C13)*F$3*E$8,"#.###")</f>
        <v>(1.500 x 150) + (1000 x 70 ) = 295.000</v>
      </c>
    </row>
    <row r="14" spans="2:8" x14ac:dyDescent="0.2">
      <c r="C14" s="189">
        <v>0.7</v>
      </c>
      <c r="D14" s="53"/>
      <c r="E14" s="191"/>
      <c r="F14" s="68" t="str">
        <f t="shared" ref="F14:F17" si="0">"("&amp;TEXT(C14*F$3,"#.## x ")&amp;TEXT(E$7,"#) + ")&amp;"("&amp;TEXT((1-C14)*F$3,"0 x ")&amp;TEXT(E$8,"# ) = ")&amp;TEXT((C14*F$3)*E$7+(1-C14)*F$3*E$8,"#.###")</f>
        <v>(1.750 x 150) + (750 x 70 ) = 315.000</v>
      </c>
    </row>
    <row r="15" spans="2:8" x14ac:dyDescent="0.2">
      <c r="C15" s="189">
        <f t="shared" ref="C15:C17" si="1">C14+10%</f>
        <v>0.79999999999999993</v>
      </c>
      <c r="D15" s="53"/>
      <c r="E15" s="191"/>
      <c r="F15" s="68" t="str">
        <f t="shared" si="0"/>
        <v>(2.000 x 150) + (500 x 70 ) = 335.000</v>
      </c>
    </row>
    <row r="16" spans="2:8" x14ac:dyDescent="0.2">
      <c r="C16" s="189">
        <f t="shared" si="1"/>
        <v>0.89999999999999991</v>
      </c>
      <c r="D16" s="53"/>
      <c r="E16" s="191"/>
      <c r="F16" s="68" t="str">
        <f t="shared" si="0"/>
        <v>(2.250 x 150) + (250 x 70 ) = 355.000</v>
      </c>
    </row>
    <row r="17" spans="3:6" x14ac:dyDescent="0.2">
      <c r="C17" s="189">
        <f t="shared" si="1"/>
        <v>0.99999999999999989</v>
      </c>
      <c r="D17" s="53"/>
      <c r="E17" s="90"/>
      <c r="F17" s="68" t="str">
        <f t="shared" si="0"/>
        <v>(2.500 x 150) + (0 x 70 ) = 375.000</v>
      </c>
    </row>
    <row r="18" spans="3:6" ht="19.5" customHeight="1" x14ac:dyDescent="0.2">
      <c r="D18" s="90"/>
      <c r="E18" s="90"/>
      <c r="F18" s="24"/>
    </row>
    <row r="19" spans="3:6" x14ac:dyDescent="0.2">
      <c r="D19" s="90"/>
      <c r="E19" s="90"/>
      <c r="F19" s="24"/>
    </row>
    <row r="20" spans="3:6" x14ac:dyDescent="0.2">
      <c r="D20" s="90"/>
      <c r="E20" s="90"/>
      <c r="F20" s="87"/>
    </row>
    <row r="21" spans="3:6" x14ac:dyDescent="0.2">
      <c r="D21" s="24"/>
      <c r="E21" s="24"/>
      <c r="F21" s="24"/>
    </row>
  </sheetData>
  <mergeCells count="1">
    <mergeCell ref="B6:C6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2033" r:id="rId4" name="Scroll Bar 1">
              <controlPr defaultSize="0" autoPict="0">
                <anchor moveWithCells="1">
                  <from>
                    <xdr:col>4</xdr:col>
                    <xdr:colOff>266700</xdr:colOff>
                    <xdr:row>2</xdr:row>
                    <xdr:rowOff>28575</xdr:rowOff>
                  </from>
                  <to>
                    <xdr:col>4</xdr:col>
                    <xdr:colOff>752475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34" r:id="rId5" name="Scroll Bar 2">
              <controlPr defaultSize="0" autoPict="0">
                <anchor moveWithCells="1">
                  <from>
                    <xdr:col>4</xdr:col>
                    <xdr:colOff>266700</xdr:colOff>
                    <xdr:row>3</xdr:row>
                    <xdr:rowOff>19050</xdr:rowOff>
                  </from>
                  <to>
                    <xdr:col>4</xdr:col>
                    <xdr:colOff>752475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35" r:id="rId6" name="Scroll Bar 3">
              <controlPr defaultSize="0" autoPict="0">
                <anchor moveWithCells="1">
                  <from>
                    <xdr:col>4</xdr:col>
                    <xdr:colOff>47625</xdr:colOff>
                    <xdr:row>6</xdr:row>
                    <xdr:rowOff>19050</xdr:rowOff>
                  </from>
                  <to>
                    <xdr:col>4</xdr:col>
                    <xdr:colOff>533400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36" r:id="rId7" name="Scroll Bar 4">
              <controlPr defaultSize="0" autoPict="0">
                <anchor moveWithCells="1">
                  <from>
                    <xdr:col>4</xdr:col>
                    <xdr:colOff>47625</xdr:colOff>
                    <xdr:row>7</xdr:row>
                    <xdr:rowOff>9525</xdr:rowOff>
                  </from>
                  <to>
                    <xdr:col>4</xdr:col>
                    <xdr:colOff>533400</xdr:colOff>
                    <xdr:row>7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23"/>
  <sheetViews>
    <sheetView showGridLines="0" workbookViewId="0">
      <selection activeCell="D16" sqref="D16:F20"/>
    </sheetView>
  </sheetViews>
  <sheetFormatPr defaultRowHeight="15" x14ac:dyDescent="0.2"/>
  <cols>
    <col min="1" max="1" width="5.85546875" style="1" customWidth="1"/>
    <col min="2" max="2" width="7.42578125" style="1" customWidth="1"/>
    <col min="3" max="4" width="12.7109375" style="1" customWidth="1"/>
    <col min="5" max="5" width="13.7109375" style="1" customWidth="1"/>
    <col min="6" max="6" width="11.85546875" style="1" customWidth="1"/>
    <col min="7" max="7" width="4.140625" style="1" customWidth="1"/>
    <col min="8" max="13" width="9.140625" style="1"/>
    <col min="14" max="14" width="5.85546875" style="1" customWidth="1"/>
    <col min="15" max="16384" width="9.140625" style="1"/>
  </cols>
  <sheetData>
    <row r="1" spans="2:13" ht="19.5" customHeight="1" x14ac:dyDescent="0.2"/>
    <row r="2" spans="2:13" ht="18.75" x14ac:dyDescent="0.2">
      <c r="B2" s="9" t="s">
        <v>127</v>
      </c>
    </row>
    <row r="3" spans="2:13" ht="16.5" customHeight="1" x14ac:dyDescent="0.2">
      <c r="B3" s="192" t="s">
        <v>109</v>
      </c>
      <c r="C3" s="8"/>
      <c r="D3" s="8"/>
      <c r="E3" s="8"/>
      <c r="F3" s="210">
        <v>2500</v>
      </c>
    </row>
    <row r="4" spans="2:13" ht="16.5" customHeight="1" x14ac:dyDescent="0.2">
      <c r="B4" s="192" t="s">
        <v>110</v>
      </c>
      <c r="C4" s="8"/>
      <c r="D4" s="8"/>
      <c r="E4" s="8"/>
      <c r="F4" s="211">
        <f>G4/100</f>
        <v>0.5</v>
      </c>
      <c r="G4" s="1">
        <v>50</v>
      </c>
      <c r="H4" s="205" t="s">
        <v>121</v>
      </c>
    </row>
    <row r="5" spans="2:13" ht="9.75" customHeight="1" x14ac:dyDescent="0.2"/>
    <row r="6" spans="2:13" ht="30" x14ac:dyDescent="0.2">
      <c r="B6" s="314" t="s">
        <v>113</v>
      </c>
      <c r="C6" s="314"/>
      <c r="D6" s="208" t="s">
        <v>109</v>
      </c>
      <c r="E6" s="207" t="s">
        <v>111</v>
      </c>
    </row>
    <row r="7" spans="2:13" ht="16.5" customHeight="1" x14ac:dyDescent="0.2">
      <c r="B7" s="195" t="s">
        <v>114</v>
      </c>
      <c r="C7" s="190"/>
      <c r="D7" s="209">
        <f>F3*F4</f>
        <v>1250</v>
      </c>
      <c r="E7" s="73">
        <v>150</v>
      </c>
    </row>
    <row r="8" spans="2:13" ht="16.5" customHeight="1" x14ac:dyDescent="0.2">
      <c r="B8" s="195" t="s">
        <v>115</v>
      </c>
      <c r="C8" s="190"/>
      <c r="D8" s="209">
        <f>F3-D7</f>
        <v>1250</v>
      </c>
      <c r="E8" s="73">
        <v>70</v>
      </c>
    </row>
    <row r="9" spans="2:13" ht="9.75" customHeight="1" x14ac:dyDescent="0.2"/>
    <row r="10" spans="2:13" x14ac:dyDescent="0.2">
      <c r="C10" s="181" t="s">
        <v>112</v>
      </c>
      <c r="D10" s="199">
        <f>(D7*E7)+(D8*E8)</f>
        <v>275000</v>
      </c>
    </row>
    <row r="11" spans="2:13" ht="9.75" customHeight="1" x14ac:dyDescent="0.2"/>
    <row r="12" spans="2:13" ht="17.25" customHeight="1" x14ac:dyDescent="0.2">
      <c r="B12" s="182" t="s">
        <v>116</v>
      </c>
      <c r="C12" s="8"/>
      <c r="D12" s="8"/>
      <c r="E12" s="173">
        <v>20</v>
      </c>
      <c r="H12" s="317" t="s">
        <v>122</v>
      </c>
      <c r="I12" s="317"/>
    </row>
    <row r="13" spans="2:13" ht="9.75" customHeight="1" x14ac:dyDescent="0.2">
      <c r="H13" s="317"/>
      <c r="I13" s="317"/>
    </row>
    <row r="14" spans="2:13" x14ac:dyDescent="0.2">
      <c r="C14" s="78" t="s">
        <v>112</v>
      </c>
      <c r="D14" s="313" t="s">
        <v>118</v>
      </c>
      <c r="E14" s="313"/>
      <c r="F14" s="313"/>
      <c r="H14" s="33" t="s">
        <v>123</v>
      </c>
      <c r="I14" s="206"/>
      <c r="J14" s="206"/>
      <c r="K14" s="206"/>
      <c r="L14" s="212">
        <v>0.7</v>
      </c>
    </row>
    <row r="15" spans="2:13" x14ac:dyDescent="0.2">
      <c r="C15" s="187">
        <f>D10</f>
        <v>275000</v>
      </c>
      <c r="D15" s="188">
        <v>140</v>
      </c>
      <c r="E15" s="188">
        <f>D15+E12</f>
        <v>160</v>
      </c>
      <c r="F15" s="61">
        <f>E15+E12</f>
        <v>180</v>
      </c>
      <c r="H15" s="97" t="s">
        <v>124</v>
      </c>
      <c r="I15" s="20"/>
      <c r="J15" s="20"/>
      <c r="K15" s="20"/>
      <c r="L15" s="213">
        <v>160</v>
      </c>
    </row>
    <row r="16" spans="2:13" x14ac:dyDescent="0.2">
      <c r="C16" s="189">
        <v>0.6</v>
      </c>
      <c r="D16" s="186"/>
      <c r="E16" s="186"/>
      <c r="F16" s="53"/>
      <c r="H16" s="315" t="s">
        <v>125</v>
      </c>
      <c r="I16" s="315"/>
      <c r="J16" s="315"/>
      <c r="K16" s="315"/>
      <c r="L16" s="294">
        <f>INDEX(LABA,MATCH(L14,C15:C20,),MATCH(L15,C15:F15,))</f>
        <v>0</v>
      </c>
      <c r="M16" s="72"/>
    </row>
    <row r="17" spans="3:13" x14ac:dyDescent="0.2">
      <c r="C17" s="189">
        <v>0.7</v>
      </c>
      <c r="D17" s="186"/>
      <c r="E17" s="186"/>
      <c r="F17" s="53"/>
      <c r="H17" s="316" t="str">
        <f>"Jika jumlah barang yang terjual sebanyak "&amp;TEXT(F3,"#.000 ")&amp;"unit, dan sebanyak "&amp;TEXT(L14,"#%")&amp;" terjual pada harga tertinggi dengan laba per unit Rp "&amp;TEXT(L15,"#.000")&amp;", jumlah laba yang diperoleh sebesar Rp "&amp;TEXT(L16,"#.000")</f>
        <v>Jika jumlah barang yang terjual sebanyak 2.500 unit, dan sebanyak 70% terjual pada harga tertinggi dengan laba per unit Rp 160, jumlah laba yang diperoleh sebesar Rp 000</v>
      </c>
      <c r="I17" s="316"/>
      <c r="J17" s="316"/>
      <c r="K17" s="316"/>
      <c r="L17" s="316"/>
      <c r="M17" s="316"/>
    </row>
    <row r="18" spans="3:13" x14ac:dyDescent="0.2">
      <c r="C18" s="189">
        <f t="shared" ref="C18:C20" si="0">C17+10%</f>
        <v>0.79999999999999993</v>
      </c>
      <c r="D18" s="186"/>
      <c r="E18" s="186"/>
      <c r="F18" s="53"/>
      <c r="H18" s="316"/>
      <c r="I18" s="316"/>
      <c r="J18" s="316"/>
      <c r="K18" s="316"/>
      <c r="L18" s="316"/>
      <c r="M18" s="316"/>
    </row>
    <row r="19" spans="3:13" x14ac:dyDescent="0.2">
      <c r="C19" s="189">
        <f t="shared" si="0"/>
        <v>0.89999999999999991</v>
      </c>
      <c r="D19" s="186"/>
      <c r="E19" s="186"/>
      <c r="F19" s="53"/>
      <c r="H19" s="316"/>
      <c r="I19" s="316"/>
      <c r="J19" s="316"/>
      <c r="K19" s="316"/>
      <c r="L19" s="316"/>
      <c r="M19" s="316"/>
    </row>
    <row r="20" spans="3:13" x14ac:dyDescent="0.2">
      <c r="C20" s="189">
        <f t="shared" si="0"/>
        <v>0.99999999999999989</v>
      </c>
      <c r="D20" s="186"/>
      <c r="E20" s="186"/>
      <c r="F20" s="53"/>
    </row>
    <row r="21" spans="3:13" ht="19.5" customHeight="1" x14ac:dyDescent="0.2"/>
    <row r="23" spans="3:13" x14ac:dyDescent="0.2">
      <c r="L23" s="69"/>
    </row>
  </sheetData>
  <mergeCells count="5">
    <mergeCell ref="D14:F14"/>
    <mergeCell ref="B6:C6"/>
    <mergeCell ref="H16:K16"/>
    <mergeCell ref="H17:M19"/>
    <mergeCell ref="H12:I13"/>
  </mergeCells>
  <dataValidations count="2">
    <dataValidation type="list" allowBlank="1" showInputMessage="1" showErrorMessage="1" sqref="L14">
      <formula1>$C$16:$C$20</formula1>
    </dataValidation>
    <dataValidation type="list" allowBlank="1" showInputMessage="1" showErrorMessage="1" sqref="L15">
      <formula1>$D$15:$F$15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8417" r:id="rId3" name="Scroll Bar 1">
              <controlPr defaultSize="0" autoPict="0">
                <anchor moveWithCells="1">
                  <from>
                    <xdr:col>4</xdr:col>
                    <xdr:colOff>266700</xdr:colOff>
                    <xdr:row>2</xdr:row>
                    <xdr:rowOff>28575</xdr:rowOff>
                  </from>
                  <to>
                    <xdr:col>4</xdr:col>
                    <xdr:colOff>752475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18" r:id="rId4" name="Scroll Bar 2">
              <controlPr defaultSize="0" autoPict="0">
                <anchor moveWithCells="1">
                  <from>
                    <xdr:col>4</xdr:col>
                    <xdr:colOff>266700</xdr:colOff>
                    <xdr:row>3</xdr:row>
                    <xdr:rowOff>19050</xdr:rowOff>
                  </from>
                  <to>
                    <xdr:col>4</xdr:col>
                    <xdr:colOff>752475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19" r:id="rId5" name="Scroll Bar 3">
              <controlPr defaultSize="0" autoPict="0">
                <anchor moveWithCells="1">
                  <from>
                    <xdr:col>4</xdr:col>
                    <xdr:colOff>47625</xdr:colOff>
                    <xdr:row>6</xdr:row>
                    <xdr:rowOff>19050</xdr:rowOff>
                  </from>
                  <to>
                    <xdr:col>4</xdr:col>
                    <xdr:colOff>533400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20" r:id="rId6" name="Scroll Bar 4">
              <controlPr defaultSize="0" autoPict="0">
                <anchor moveWithCells="1">
                  <from>
                    <xdr:col>4</xdr:col>
                    <xdr:colOff>47625</xdr:colOff>
                    <xdr:row>7</xdr:row>
                    <xdr:rowOff>9525</xdr:rowOff>
                  </from>
                  <to>
                    <xdr:col>4</xdr:col>
                    <xdr:colOff>533400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21" r:id="rId7" name="Scroll Bar 5">
              <controlPr defaultSize="0" autoPict="0">
                <anchor moveWithCells="1">
                  <from>
                    <xdr:col>4</xdr:col>
                    <xdr:colOff>57150</xdr:colOff>
                    <xdr:row>11</xdr:row>
                    <xdr:rowOff>28575</xdr:rowOff>
                  </from>
                  <to>
                    <xdr:col>4</xdr:col>
                    <xdr:colOff>542925</xdr:colOff>
                    <xdr:row>11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26"/>
  <sheetViews>
    <sheetView showGridLines="0" workbookViewId="0">
      <selection activeCell="F12" sqref="F12:I21"/>
    </sheetView>
  </sheetViews>
  <sheetFormatPr defaultRowHeight="15" x14ac:dyDescent="0.2"/>
  <cols>
    <col min="1" max="1" width="5.85546875" style="1" customWidth="1"/>
    <col min="2" max="2" width="6.85546875" style="1" customWidth="1"/>
    <col min="3" max="3" width="26" style="1" customWidth="1"/>
    <col min="4" max="4" width="6.7109375" style="1" customWidth="1"/>
    <col min="5" max="5" width="10" style="1" customWidth="1"/>
    <col min="6" max="9" width="12" style="1" customWidth="1"/>
    <col min="10" max="10" width="19.7109375" style="1" customWidth="1"/>
    <col min="11" max="11" width="5.85546875" style="1" customWidth="1"/>
    <col min="12" max="16384" width="9.140625" style="1"/>
  </cols>
  <sheetData>
    <row r="1" spans="2:11" ht="19.5" customHeight="1" x14ac:dyDescent="0.2"/>
    <row r="2" spans="2:11" ht="18.75" x14ac:dyDescent="0.2">
      <c r="B2" s="9" t="str">
        <f ca="1">UPPER(B6)</f>
        <v>PROYEKSI PENJUALAN TAHUN 2017</v>
      </c>
      <c r="C2" s="9"/>
    </row>
    <row r="3" spans="2:11" ht="16.5" customHeight="1" x14ac:dyDescent="0.2">
      <c r="B3" s="33" t="str">
        <f ca="1">"Penjualan Tahun "&amp;TEXT(TODAY(),"yyy")-1</f>
        <v>Penjualan Tahun 2016</v>
      </c>
      <c r="C3" s="33"/>
      <c r="D3" s="33"/>
      <c r="E3" s="71">
        <f>F3*1000</f>
        <v>1000000</v>
      </c>
      <c r="F3" s="1">
        <v>1000</v>
      </c>
      <c r="G3" s="222" t="s">
        <v>121</v>
      </c>
    </row>
    <row r="4" spans="2:11" ht="16.5" customHeight="1" x14ac:dyDescent="0.2">
      <c r="B4" s="33" t="str">
        <f ca="1">"Pertumbuhan Tahun "&amp;TEXT(TODAY(),"yyy")</f>
        <v>Pertumbuhan Tahun 2017</v>
      </c>
      <c r="C4" s="33"/>
      <c r="D4" s="33"/>
      <c r="E4" s="217">
        <f>F4/10000</f>
        <v>7.7499999999999999E-2</v>
      </c>
      <c r="F4" s="1">
        <v>775</v>
      </c>
      <c r="G4" s="222" t="s">
        <v>121</v>
      </c>
    </row>
    <row r="5" spans="2:11" ht="16.5" customHeight="1" x14ac:dyDescent="0.2">
      <c r="B5" s="97" t="str">
        <f ca="1">"Beban Tahun "&amp;TEXT(TODAY(),"yyy")</f>
        <v>Beban Tahun 2017</v>
      </c>
      <c r="C5" s="97"/>
      <c r="D5" s="97"/>
      <c r="E5" s="218">
        <f>F5/10000</f>
        <v>5.5E-2</v>
      </c>
      <c r="F5" s="1">
        <v>550</v>
      </c>
      <c r="G5" s="222" t="s">
        <v>121</v>
      </c>
    </row>
    <row r="6" spans="2:11" x14ac:dyDescent="0.2">
      <c r="B6" s="214" t="str">
        <f ca="1">"Proyeksi Penjualan Tahun "&amp;TEXT(TODAY(),"yyy")</f>
        <v>Proyeksi Penjualan Tahun 2017</v>
      </c>
      <c r="C6" s="214"/>
      <c r="D6" s="214"/>
      <c r="E6" s="215">
        <f>E3+(E3*E4)-(E3*E5)</f>
        <v>1022500</v>
      </c>
      <c r="F6" s="205" t="s">
        <v>128</v>
      </c>
    </row>
    <row r="7" spans="2:11" ht="9.75" customHeight="1" x14ac:dyDescent="0.2"/>
    <row r="8" spans="2:11" ht="16.5" customHeight="1" x14ac:dyDescent="0.2">
      <c r="C8" s="83" t="s">
        <v>129</v>
      </c>
      <c r="D8" s="219">
        <f>E8/10000</f>
        <v>5.0000000000000001E-3</v>
      </c>
      <c r="E8" s="1">
        <v>50</v>
      </c>
      <c r="F8" s="222" t="s">
        <v>121</v>
      </c>
    </row>
    <row r="9" spans="2:11" ht="9.75" customHeight="1" x14ac:dyDescent="0.2"/>
    <row r="10" spans="2:11" x14ac:dyDescent="0.2">
      <c r="D10" s="72"/>
      <c r="E10" s="72"/>
      <c r="F10" s="318" t="s">
        <v>119</v>
      </c>
      <c r="G10" s="318"/>
      <c r="H10" s="318"/>
      <c r="I10" s="318"/>
    </row>
    <row r="11" spans="2:11" x14ac:dyDescent="0.2">
      <c r="D11" s="169"/>
      <c r="E11" s="216">
        <f>E6</f>
        <v>1022500</v>
      </c>
      <c r="F11" s="52">
        <v>0.05</v>
      </c>
      <c r="G11" s="47">
        <f>F11+$D8</f>
        <v>5.5E-2</v>
      </c>
      <c r="H11" s="47">
        <f>G11+$D8</f>
        <v>0.06</v>
      </c>
      <c r="I11" s="52">
        <f>H11+$D8</f>
        <v>6.5000000000000002E-2</v>
      </c>
    </row>
    <row r="12" spans="2:11" x14ac:dyDescent="0.2">
      <c r="D12" s="319" t="s">
        <v>120</v>
      </c>
      <c r="E12" s="204">
        <v>7.4999999999999997E-2</v>
      </c>
      <c r="F12" s="53"/>
      <c r="G12" s="27"/>
      <c r="H12" s="53"/>
      <c r="I12" s="27"/>
    </row>
    <row r="13" spans="2:11" x14ac:dyDescent="0.2">
      <c r="D13" s="320"/>
      <c r="E13" s="204">
        <f>E12+0.5%</f>
        <v>0.08</v>
      </c>
      <c r="F13" s="53"/>
      <c r="G13" s="27"/>
      <c r="H13" s="53"/>
      <c r="I13" s="27"/>
    </row>
    <row r="14" spans="2:11" x14ac:dyDescent="0.2">
      <c r="D14" s="320"/>
      <c r="E14" s="204">
        <f t="shared" ref="E14:E21" si="0">E13+0.5%</f>
        <v>8.5000000000000006E-2</v>
      </c>
      <c r="F14" s="53"/>
      <c r="G14" s="27"/>
      <c r="H14" s="53"/>
      <c r="I14" s="27"/>
    </row>
    <row r="15" spans="2:11" x14ac:dyDescent="0.2">
      <c r="D15" s="320"/>
      <c r="E15" s="204">
        <f t="shared" si="0"/>
        <v>9.0000000000000011E-2</v>
      </c>
      <c r="F15" s="53"/>
      <c r="G15" s="27"/>
      <c r="H15" s="53"/>
      <c r="I15" s="27"/>
      <c r="K15" s="1" t="s">
        <v>12</v>
      </c>
    </row>
    <row r="16" spans="2:11" x14ac:dyDescent="0.2">
      <c r="D16" s="320"/>
      <c r="E16" s="204">
        <f t="shared" si="0"/>
        <v>9.5000000000000015E-2</v>
      </c>
      <c r="F16" s="53"/>
      <c r="G16" s="27"/>
      <c r="H16" s="53"/>
      <c r="I16" s="27"/>
    </row>
    <row r="17" spans="3:10" x14ac:dyDescent="0.2">
      <c r="D17" s="320"/>
      <c r="E17" s="204">
        <f t="shared" si="0"/>
        <v>0.10000000000000002</v>
      </c>
      <c r="F17" s="53"/>
      <c r="G17" s="27"/>
      <c r="H17" s="53"/>
      <c r="I17" s="27"/>
    </row>
    <row r="18" spans="3:10" x14ac:dyDescent="0.2">
      <c r="D18" s="320"/>
      <c r="E18" s="204">
        <f t="shared" si="0"/>
        <v>0.10500000000000002</v>
      </c>
      <c r="F18" s="53"/>
      <c r="G18" s="27"/>
      <c r="H18" s="53"/>
      <c r="I18" s="27"/>
    </row>
    <row r="19" spans="3:10" x14ac:dyDescent="0.2">
      <c r="D19" s="320"/>
      <c r="E19" s="204">
        <f t="shared" si="0"/>
        <v>0.11000000000000003</v>
      </c>
      <c r="F19" s="53"/>
      <c r="G19" s="27"/>
      <c r="H19" s="53"/>
      <c r="I19" s="27"/>
    </row>
    <row r="20" spans="3:10" x14ac:dyDescent="0.2">
      <c r="D20" s="320"/>
      <c r="E20" s="204">
        <f t="shared" si="0"/>
        <v>0.11500000000000003</v>
      </c>
      <c r="F20" s="53"/>
      <c r="G20" s="27"/>
      <c r="H20" s="53"/>
      <c r="I20" s="27"/>
    </row>
    <row r="21" spans="3:10" x14ac:dyDescent="0.2">
      <c r="D21" s="320"/>
      <c r="E21" s="204">
        <f t="shared" si="0"/>
        <v>0.12000000000000004</v>
      </c>
      <c r="F21" s="53"/>
      <c r="G21" s="27"/>
      <c r="H21" s="53"/>
      <c r="I21" s="27"/>
    </row>
    <row r="22" spans="3:10" ht="9.75" customHeight="1" x14ac:dyDescent="0.2"/>
    <row r="23" spans="3:10" ht="15" customHeight="1" x14ac:dyDescent="0.2">
      <c r="C23" s="220" t="s">
        <v>132</v>
      </c>
      <c r="D23" s="321">
        <v>5.5E-2</v>
      </c>
      <c r="E23" s="322"/>
      <c r="F23" s="327" t="str">
        <f ca="1">B3&amp;" sebanyak "&amp;TEXT(E3,"#.### ")&amp;" unit dengan "&amp;LOWER(B4)&amp;" sebesar "&amp;TEXT(D23,"#,00%")&amp;" dan kenaikan "&amp;LOWER(B5)&amp;" sebesar "&amp;TEXT(D24,"#,00%")&amp;", "&amp;LOWER(B6)&amp;" sebanyak "&amp;TEXT(D25,"#.000")&amp;" unit "</f>
        <v xml:space="preserve">Penjualan Tahun 2016 sebanyak 1.000.000  unit dengan pertumbuhan tahun 2017 sebesar 5,50% dan kenaikan beban tahun 2017 sebesar 10,00%, proyeksi penjualan tahun 2017 sebanyak 000 unit </v>
      </c>
      <c r="G23" s="327"/>
      <c r="H23" s="327"/>
      <c r="I23" s="327"/>
      <c r="J23" s="327"/>
    </row>
    <row r="24" spans="3:10" x14ac:dyDescent="0.2">
      <c r="C24" s="221" t="s">
        <v>130</v>
      </c>
      <c r="D24" s="323">
        <v>0.10000000000000002</v>
      </c>
      <c r="E24" s="324"/>
      <c r="F24" s="327"/>
      <c r="G24" s="327"/>
      <c r="H24" s="327"/>
      <c r="I24" s="327"/>
      <c r="J24" s="327"/>
    </row>
    <row r="25" spans="3:10" x14ac:dyDescent="0.2">
      <c r="C25" s="223" t="s">
        <v>131</v>
      </c>
      <c r="D25" s="325">
        <f>INDEX(PROYEKSI,MATCH(D24,E11:E21,),MATCH(D23,E11:I11,))</f>
        <v>0</v>
      </c>
      <c r="E25" s="326"/>
      <c r="F25" s="327"/>
      <c r="G25" s="327"/>
      <c r="H25" s="327"/>
      <c r="I25" s="327"/>
      <c r="J25" s="327"/>
    </row>
    <row r="26" spans="3:10" ht="19.5" customHeight="1" x14ac:dyDescent="0.2"/>
  </sheetData>
  <mergeCells count="6">
    <mergeCell ref="F10:I10"/>
    <mergeCell ref="D12:D21"/>
    <mergeCell ref="D23:E23"/>
    <mergeCell ref="D24:E24"/>
    <mergeCell ref="D25:E25"/>
    <mergeCell ref="F23:J25"/>
  </mergeCells>
  <dataValidations count="2">
    <dataValidation type="list" allowBlank="1" showInputMessage="1" showErrorMessage="1" sqref="D23">
      <formula1>$F$11:$I$11</formula1>
    </dataValidation>
    <dataValidation type="list" allowBlank="1" showInputMessage="1" showErrorMessage="1" sqref="D24">
      <formula1>$E$12:$E$21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7089" r:id="rId3" name="Scroll Bar 1">
              <controlPr defaultSize="0" autoPict="0">
                <anchor moveWithCells="1">
                  <from>
                    <xdr:col>2</xdr:col>
                    <xdr:colOff>1562100</xdr:colOff>
                    <xdr:row>2</xdr:row>
                    <xdr:rowOff>47625</xdr:rowOff>
                  </from>
                  <to>
                    <xdr:col>3</xdr:col>
                    <xdr:colOff>314325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91" r:id="rId4" name="Scroll Bar 3">
              <controlPr defaultSize="0" autoPict="0">
                <anchor moveWithCells="1">
                  <from>
                    <xdr:col>2</xdr:col>
                    <xdr:colOff>1562100</xdr:colOff>
                    <xdr:row>3</xdr:row>
                    <xdr:rowOff>28575</xdr:rowOff>
                  </from>
                  <to>
                    <xdr:col>3</xdr:col>
                    <xdr:colOff>314325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92" r:id="rId5" name="Scroll Bar 4">
              <controlPr defaultSize="0" autoPict="0">
                <anchor moveWithCells="1">
                  <from>
                    <xdr:col>2</xdr:col>
                    <xdr:colOff>1562100</xdr:colOff>
                    <xdr:row>4</xdr:row>
                    <xdr:rowOff>9525</xdr:rowOff>
                  </from>
                  <to>
                    <xdr:col>3</xdr:col>
                    <xdr:colOff>314325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93" r:id="rId6" name="Scroll Bar 5">
              <controlPr defaultSize="0" autoPict="0">
                <anchor moveWithCells="1">
                  <from>
                    <xdr:col>2</xdr:col>
                    <xdr:colOff>1152525</xdr:colOff>
                    <xdr:row>7</xdr:row>
                    <xdr:rowOff>19050</xdr:rowOff>
                  </from>
                  <to>
                    <xdr:col>2</xdr:col>
                    <xdr:colOff>1638300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2"/>
  <sheetViews>
    <sheetView showGridLines="0" workbookViewId="0">
      <selection activeCell="G5" sqref="G5:G15"/>
    </sheetView>
  </sheetViews>
  <sheetFormatPr defaultRowHeight="15" customHeight="1" x14ac:dyDescent="0.2"/>
  <cols>
    <col min="1" max="1" width="5.85546875" style="103" customWidth="1"/>
    <col min="2" max="2" width="26.28515625" style="1" customWidth="1"/>
    <col min="3" max="3" width="16.85546875" style="1" customWidth="1"/>
    <col min="4" max="4" width="14.85546875" style="1" customWidth="1"/>
    <col min="5" max="5" width="5.85546875" style="2" customWidth="1"/>
    <col min="6" max="6" width="16" style="1" customWidth="1"/>
    <col min="7" max="7" width="15.5703125" style="1" customWidth="1"/>
    <col min="8" max="8" width="3.5703125" style="1" customWidth="1"/>
    <col min="9" max="9" width="12.42578125" style="1" customWidth="1"/>
    <col min="10" max="11" width="9.140625" style="1"/>
    <col min="12" max="12" width="11.42578125" style="1" customWidth="1"/>
    <col min="13" max="13" width="5.85546875" style="1" customWidth="1"/>
    <col min="14" max="16384" width="9.140625" style="1"/>
  </cols>
  <sheetData>
    <row r="1" spans="2:9" ht="19.5" customHeight="1" x14ac:dyDescent="0.2">
      <c r="B1" s="104"/>
      <c r="C1" s="105"/>
      <c r="D1" s="104"/>
    </row>
    <row r="2" spans="2:9" ht="15" customHeight="1" x14ac:dyDescent="0.3">
      <c r="B2" s="106" t="s">
        <v>73</v>
      </c>
      <c r="C2" s="104"/>
      <c r="D2" s="104"/>
    </row>
    <row r="3" spans="2:9" ht="16.5" customHeight="1" x14ac:dyDescent="0.2">
      <c r="B3" s="85" t="s">
        <v>63</v>
      </c>
      <c r="C3" s="8"/>
      <c r="D3" s="107">
        <f>E3/10000</f>
        <v>7.4999999999999997E-2</v>
      </c>
      <c r="E3" s="2">
        <v>750</v>
      </c>
      <c r="F3" s="112"/>
      <c r="G3" s="113" t="s">
        <v>74</v>
      </c>
      <c r="I3" s="183" t="s">
        <v>24</v>
      </c>
    </row>
    <row r="4" spans="2:9" ht="16.5" customHeight="1" x14ac:dyDescent="0.2">
      <c r="B4" s="182" t="s">
        <v>66</v>
      </c>
      <c r="C4" s="8"/>
      <c r="D4" s="108">
        <v>4</v>
      </c>
      <c r="E4" s="2">
        <v>250</v>
      </c>
      <c r="F4" s="84" t="s">
        <v>5</v>
      </c>
      <c r="G4" s="111">
        <f>-PV(D3,D4,,D6,D7)</f>
        <v>187200132.44409373</v>
      </c>
      <c r="I4" s="69" t="s">
        <v>135</v>
      </c>
    </row>
    <row r="5" spans="2:9" ht="16.5" customHeight="1" x14ac:dyDescent="0.2">
      <c r="B5" s="182" t="s">
        <v>68</v>
      </c>
      <c r="C5" s="8"/>
      <c r="D5" s="46">
        <v>0</v>
      </c>
      <c r="E5" s="2">
        <v>1</v>
      </c>
      <c r="F5" s="73">
        <f>D8</f>
        <v>200000000</v>
      </c>
      <c r="G5" s="71"/>
      <c r="I5" s="69" t="s">
        <v>104</v>
      </c>
    </row>
    <row r="6" spans="2:9" ht="16.5" customHeight="1" x14ac:dyDescent="0.2">
      <c r="B6" s="182" t="s">
        <v>70</v>
      </c>
      <c r="C6" s="8"/>
      <c r="D6" s="14">
        <f>E4*1000000</f>
        <v>250000000</v>
      </c>
      <c r="E6" s="2">
        <v>2</v>
      </c>
      <c r="F6" s="73">
        <f>F5+D$9</f>
        <v>225000000</v>
      </c>
      <c r="G6" s="71"/>
      <c r="I6" s="56" t="s">
        <v>105</v>
      </c>
    </row>
    <row r="7" spans="2:9" ht="16.5" customHeight="1" x14ac:dyDescent="0.2">
      <c r="B7" s="97" t="s">
        <v>71</v>
      </c>
      <c r="C7" s="20"/>
      <c r="D7" s="110">
        <v>0</v>
      </c>
      <c r="E7" s="2">
        <v>3</v>
      </c>
      <c r="F7" s="73">
        <f t="shared" ref="F7:F15" si="0">F6+D$9</f>
        <v>250000000</v>
      </c>
      <c r="G7" s="71"/>
    </row>
    <row r="8" spans="2:9" ht="16.5" customHeight="1" x14ac:dyDescent="0.2">
      <c r="B8" s="83" t="s">
        <v>133</v>
      </c>
      <c r="C8" s="224"/>
      <c r="D8" s="225">
        <f>C10*1000000</f>
        <v>200000000</v>
      </c>
      <c r="E8" s="2">
        <v>4</v>
      </c>
      <c r="F8" s="73">
        <f t="shared" si="0"/>
        <v>275000000</v>
      </c>
      <c r="G8" s="71"/>
    </row>
    <row r="9" spans="2:9" ht="16.5" customHeight="1" x14ac:dyDescent="0.2">
      <c r="B9" s="83" t="s">
        <v>134</v>
      </c>
      <c r="C9" s="224"/>
      <c r="D9" s="225">
        <f>D10*1000000</f>
        <v>25000000</v>
      </c>
      <c r="E9" s="2">
        <v>5</v>
      </c>
      <c r="F9" s="73">
        <f t="shared" si="0"/>
        <v>300000000</v>
      </c>
      <c r="G9" s="71"/>
    </row>
    <row r="10" spans="2:9" ht="16.5" customHeight="1" x14ac:dyDescent="0.2">
      <c r="C10" s="2">
        <v>200</v>
      </c>
      <c r="D10" s="2">
        <v>25</v>
      </c>
      <c r="E10" s="2">
        <v>6</v>
      </c>
      <c r="F10" s="73">
        <f t="shared" si="0"/>
        <v>325000000</v>
      </c>
      <c r="G10" s="71"/>
    </row>
    <row r="11" spans="2:9" ht="16.5" customHeight="1" x14ac:dyDescent="0.2">
      <c r="E11" s="2">
        <v>7</v>
      </c>
      <c r="F11" s="73">
        <f t="shared" si="0"/>
        <v>350000000</v>
      </c>
      <c r="G11" s="71"/>
    </row>
    <row r="12" spans="2:9" ht="16.5" customHeight="1" x14ac:dyDescent="0.2">
      <c r="E12" s="2">
        <v>8</v>
      </c>
      <c r="F12" s="73">
        <f t="shared" si="0"/>
        <v>375000000</v>
      </c>
      <c r="G12" s="71"/>
    </row>
    <row r="13" spans="2:9" ht="16.5" customHeight="1" x14ac:dyDescent="0.2">
      <c r="E13" s="2">
        <v>9</v>
      </c>
      <c r="F13" s="73">
        <f t="shared" si="0"/>
        <v>400000000</v>
      </c>
      <c r="G13" s="71"/>
      <c r="I13" s="69"/>
    </row>
    <row r="14" spans="2:9" ht="16.5" customHeight="1" x14ac:dyDescent="0.2">
      <c r="E14" s="2">
        <v>10</v>
      </c>
      <c r="F14" s="73">
        <f t="shared" si="0"/>
        <v>425000000</v>
      </c>
      <c r="G14" s="71"/>
      <c r="I14" s="1" t="s">
        <v>106</v>
      </c>
    </row>
    <row r="15" spans="2:9" ht="16.5" customHeight="1" x14ac:dyDescent="0.2">
      <c r="E15" s="2">
        <v>11</v>
      </c>
      <c r="F15" s="73">
        <f t="shared" si="0"/>
        <v>450000000</v>
      </c>
      <c r="G15" s="71"/>
    </row>
    <row r="16" spans="2:9" ht="9.75" customHeight="1" x14ac:dyDescent="0.2"/>
    <row r="17" spans="5:12" ht="16.5" customHeight="1" x14ac:dyDescent="0.2">
      <c r="E17" s="18">
        <v>7</v>
      </c>
      <c r="F17" s="33" t="s">
        <v>136</v>
      </c>
      <c r="G17" s="206"/>
      <c r="H17" s="206"/>
      <c r="I17" s="71">
        <f>VLOOKUP(E17,E5:G15,2)</f>
        <v>350000000</v>
      </c>
      <c r="K17" s="15"/>
      <c r="L17" s="15"/>
    </row>
    <row r="18" spans="5:12" ht="15" customHeight="1" x14ac:dyDescent="0.2">
      <c r="F18" s="97" t="s">
        <v>137</v>
      </c>
      <c r="G18" s="20"/>
      <c r="H18" s="20"/>
      <c r="I18" s="227">
        <f>VLOOKUP(E17,E5:G15,3)</f>
        <v>0</v>
      </c>
      <c r="J18" s="72"/>
      <c r="K18" s="72"/>
      <c r="L18" s="72"/>
    </row>
    <row r="19" spans="5:12" ht="15" customHeight="1" x14ac:dyDescent="0.2">
      <c r="F19" s="328" t="str">
        <f>"Artinya, jika seseorang menghendaki nilai uang sebesar Rp "&amp;TEXT(I17,"#.000")&amp;" dengan cara menabung selama "&amp;D4&amp;" tahun, dengan asumsi suku bunga per tahun tetap sebesar "&amp;TEXT(D3,"#,00%")&amp;", secara teoritis jumlah yang harus ditabung saat sebesar Rp "&amp;TEXT(I18,"#.###")</f>
        <v xml:space="preserve">Artinya, jika seseorang menghendaki nilai uang sebesar Rp 350.000.000 dengan cara menabung selama 4 tahun, dengan asumsi suku bunga per tahun tetap sebesar 7,50%, secara teoritis jumlah yang harus ditabung saat sebesar Rp </v>
      </c>
      <c r="G19" s="328"/>
      <c r="H19" s="328"/>
      <c r="I19" s="328"/>
      <c r="J19" s="328"/>
      <c r="K19" s="328"/>
      <c r="L19" s="328"/>
    </row>
    <row r="20" spans="5:12" ht="15" customHeight="1" x14ac:dyDescent="0.2">
      <c r="F20" s="328"/>
      <c r="G20" s="328"/>
      <c r="H20" s="328"/>
      <c r="I20" s="328"/>
      <c r="J20" s="328"/>
      <c r="K20" s="328"/>
      <c r="L20" s="328"/>
    </row>
    <row r="21" spans="5:12" ht="15" customHeight="1" x14ac:dyDescent="0.2">
      <c r="F21" s="328"/>
      <c r="G21" s="328"/>
      <c r="H21" s="328"/>
      <c r="I21" s="328"/>
      <c r="J21" s="328"/>
      <c r="K21" s="328"/>
      <c r="L21" s="328"/>
    </row>
    <row r="22" spans="5:12" ht="19.5" customHeight="1" x14ac:dyDescent="0.2"/>
  </sheetData>
  <mergeCells count="1">
    <mergeCell ref="F19:L21"/>
  </mergeCells>
  <pageMargins left="0.75" right="0.75" top="1" bottom="1" header="0.5" footer="0.5"/>
  <pageSetup paperSize="9"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5409" r:id="rId4" name="Scroll Bar 1">
              <controlPr defaultSize="0" autoPict="0">
                <anchor moveWithCells="1">
                  <from>
                    <xdr:col>2</xdr:col>
                    <xdr:colOff>571500</xdr:colOff>
                    <xdr:row>2</xdr:row>
                    <xdr:rowOff>57150</xdr:rowOff>
                  </from>
                  <to>
                    <xdr:col>2</xdr:col>
                    <xdr:colOff>1057275</xdr:colOff>
                    <xdr:row>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10" r:id="rId5" name="Scroll Bar 2">
              <controlPr defaultSize="0" autoPict="0">
                <anchor moveWithCells="1">
                  <from>
                    <xdr:col>2</xdr:col>
                    <xdr:colOff>571500</xdr:colOff>
                    <xdr:row>3</xdr:row>
                    <xdr:rowOff>38100</xdr:rowOff>
                  </from>
                  <to>
                    <xdr:col>2</xdr:col>
                    <xdr:colOff>1057275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11" r:id="rId6" name="Scroll Bar 3">
              <controlPr defaultSize="0" autoPict="0">
                <anchor moveWithCells="1">
                  <from>
                    <xdr:col>2</xdr:col>
                    <xdr:colOff>581025</xdr:colOff>
                    <xdr:row>5</xdr:row>
                    <xdr:rowOff>38100</xdr:rowOff>
                  </from>
                  <to>
                    <xdr:col>2</xdr:col>
                    <xdr:colOff>1066800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12" r:id="rId7" name="Scroll Bar 4">
              <controlPr defaultSize="0" autoPict="0">
                <anchor moveWithCells="1">
                  <from>
                    <xdr:col>2</xdr:col>
                    <xdr:colOff>581025</xdr:colOff>
                    <xdr:row>6</xdr:row>
                    <xdr:rowOff>19050</xdr:rowOff>
                  </from>
                  <to>
                    <xdr:col>2</xdr:col>
                    <xdr:colOff>1066800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0" r:id="rId8" name="Scroll Bar 12">
              <controlPr defaultSize="0" autoPict="0">
                <anchor moveWithCells="1">
                  <from>
                    <xdr:col>2</xdr:col>
                    <xdr:colOff>581025</xdr:colOff>
                    <xdr:row>7</xdr:row>
                    <xdr:rowOff>28575</xdr:rowOff>
                  </from>
                  <to>
                    <xdr:col>2</xdr:col>
                    <xdr:colOff>1066800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2" r:id="rId9" name="Scroll Bar 14">
              <controlPr defaultSize="0" autoPict="0">
                <anchor moveWithCells="1">
                  <from>
                    <xdr:col>2</xdr:col>
                    <xdr:colOff>581025</xdr:colOff>
                    <xdr:row>8</xdr:row>
                    <xdr:rowOff>19050</xdr:rowOff>
                  </from>
                  <to>
                    <xdr:col>2</xdr:col>
                    <xdr:colOff>1066800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23" r:id="rId10" name="Scroll Bar 15">
              <controlPr defaultSize="0" autoPict="0">
                <anchor moveWithCells="1">
                  <from>
                    <xdr:col>6</xdr:col>
                    <xdr:colOff>600075</xdr:colOff>
                    <xdr:row>16</xdr:row>
                    <xdr:rowOff>28575</xdr:rowOff>
                  </from>
                  <to>
                    <xdr:col>7</xdr:col>
                    <xdr:colOff>47625</xdr:colOff>
                    <xdr:row>16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showGridLines="0" topLeftCell="D1" workbookViewId="0">
      <selection activeCell="H4" sqref="H4:M14"/>
    </sheetView>
  </sheetViews>
  <sheetFormatPr defaultRowHeight="15" customHeight="1" x14ac:dyDescent="0.2"/>
  <cols>
    <col min="1" max="1" width="5.85546875" style="103" customWidth="1"/>
    <col min="2" max="2" width="26.28515625" style="1" customWidth="1"/>
    <col min="3" max="3" width="16.85546875" style="1" customWidth="1"/>
    <col min="4" max="4" width="16" style="1" customWidth="1"/>
    <col min="5" max="5" width="4.5703125" style="2" customWidth="1"/>
    <col min="6" max="6" width="5.140625" style="1" customWidth="1"/>
    <col min="7" max="13" width="13.42578125" style="1" customWidth="1"/>
    <col min="14" max="14" width="5.85546875" style="1" customWidth="1"/>
    <col min="15" max="16384" width="9.140625" style="1"/>
  </cols>
  <sheetData>
    <row r="1" spans="2:13" ht="19.5" customHeight="1" x14ac:dyDescent="0.2">
      <c r="B1" s="104"/>
      <c r="C1" s="105"/>
      <c r="D1" s="104"/>
    </row>
    <row r="2" spans="2:13" ht="15" customHeight="1" x14ac:dyDescent="0.3">
      <c r="B2" s="106" t="s">
        <v>73</v>
      </c>
      <c r="C2" s="104"/>
      <c r="D2" s="104"/>
    </row>
    <row r="3" spans="2:13" ht="16.5" customHeight="1" x14ac:dyDescent="0.2">
      <c r="B3" s="85" t="s">
        <v>63</v>
      </c>
      <c r="C3" s="8"/>
      <c r="D3" s="107">
        <f>E3/10000</f>
        <v>7.4999999999999997E-2</v>
      </c>
      <c r="E3" s="2">
        <v>750</v>
      </c>
      <c r="F3" s="50"/>
      <c r="G3" s="116">
        <f>-PV(D3,D4,,D6,D7)</f>
        <v>187200132.44409373</v>
      </c>
      <c r="H3" s="48">
        <v>7.0000000000000007E-2</v>
      </c>
      <c r="I3" s="47">
        <f>H3+$D8</f>
        <v>7.2500000000000009E-2</v>
      </c>
      <c r="J3" s="48">
        <f t="shared" ref="J3:M3" si="0">I3+$D8</f>
        <v>7.5000000000000011E-2</v>
      </c>
      <c r="K3" s="47">
        <f t="shared" si="0"/>
        <v>7.7500000000000013E-2</v>
      </c>
      <c r="L3" s="48">
        <f t="shared" si="0"/>
        <v>8.0000000000000016E-2</v>
      </c>
      <c r="M3" s="52">
        <f t="shared" si="0"/>
        <v>8.2500000000000018E-2</v>
      </c>
    </row>
    <row r="4" spans="2:13" ht="16.5" customHeight="1" x14ac:dyDescent="0.2">
      <c r="B4" s="85" t="s">
        <v>66</v>
      </c>
      <c r="C4" s="8"/>
      <c r="D4" s="108">
        <v>4</v>
      </c>
      <c r="F4" s="329" t="s">
        <v>75</v>
      </c>
      <c r="G4" s="115">
        <f>D9</f>
        <v>200000000</v>
      </c>
      <c r="H4" s="53"/>
      <c r="I4" s="53"/>
      <c r="J4" s="53"/>
      <c r="K4" s="53"/>
      <c r="L4" s="53"/>
      <c r="M4" s="53"/>
    </row>
    <row r="5" spans="2:13" ht="16.5" customHeight="1" x14ac:dyDescent="0.2">
      <c r="B5" s="85" t="s">
        <v>68</v>
      </c>
      <c r="C5" s="8"/>
      <c r="D5" s="46">
        <v>0</v>
      </c>
      <c r="F5" s="330"/>
      <c r="G5" s="115">
        <f>G4+D$10</f>
        <v>225000000</v>
      </c>
      <c r="H5" s="53"/>
      <c r="I5" s="53"/>
      <c r="J5" s="53"/>
      <c r="K5" s="53"/>
      <c r="L5" s="53"/>
      <c r="M5" s="53"/>
    </row>
    <row r="6" spans="2:13" ht="16.5" customHeight="1" x14ac:dyDescent="0.2">
      <c r="B6" s="85" t="s">
        <v>70</v>
      </c>
      <c r="C6" s="8"/>
      <c r="D6" s="109">
        <f>E6*1000000</f>
        <v>250000000</v>
      </c>
      <c r="E6" s="2">
        <v>250</v>
      </c>
      <c r="F6" s="330"/>
      <c r="G6" s="115">
        <f t="shared" ref="G6:G14" si="1">G5+D$10</f>
        <v>250000000</v>
      </c>
      <c r="H6" s="53"/>
      <c r="I6" s="53"/>
      <c r="J6" s="53"/>
      <c r="K6" s="53"/>
      <c r="L6" s="53"/>
      <c r="M6" s="53"/>
    </row>
    <row r="7" spans="2:13" ht="16.5" customHeight="1" x14ac:dyDescent="0.2">
      <c r="B7" s="85" t="s">
        <v>71</v>
      </c>
      <c r="C7" s="8"/>
      <c r="D7" s="162">
        <v>0</v>
      </c>
      <c r="F7" s="330"/>
      <c r="G7" s="115">
        <f t="shared" si="1"/>
        <v>275000000</v>
      </c>
      <c r="H7" s="53"/>
      <c r="I7" s="53"/>
      <c r="J7" s="53"/>
      <c r="K7" s="53"/>
      <c r="L7" s="53"/>
      <c r="M7" s="53"/>
    </row>
    <row r="8" spans="2:13" s="24" customFormat="1" ht="16.5" customHeight="1" x14ac:dyDescent="0.2">
      <c r="B8" s="228" t="s">
        <v>138</v>
      </c>
      <c r="C8" s="229"/>
      <c r="D8" s="230">
        <f>E8/10000</f>
        <v>2.5000000000000001E-3</v>
      </c>
      <c r="E8" s="236">
        <v>25</v>
      </c>
      <c r="F8" s="330"/>
      <c r="G8" s="115">
        <f t="shared" si="1"/>
        <v>300000000</v>
      </c>
      <c r="H8" s="53"/>
      <c r="I8" s="53"/>
      <c r="J8" s="53"/>
      <c r="K8" s="53"/>
      <c r="L8" s="53"/>
      <c r="M8" s="53"/>
    </row>
    <row r="9" spans="2:13" ht="16.5" customHeight="1" x14ac:dyDescent="0.2">
      <c r="B9" s="231" t="s">
        <v>133</v>
      </c>
      <c r="C9" s="232"/>
      <c r="D9" s="225">
        <f>E9*1000000</f>
        <v>200000000</v>
      </c>
      <c r="E9" s="2">
        <v>200</v>
      </c>
      <c r="F9" s="330"/>
      <c r="G9" s="115">
        <f t="shared" si="1"/>
        <v>325000000</v>
      </c>
      <c r="H9" s="53"/>
      <c r="I9" s="53"/>
      <c r="J9" s="53"/>
      <c r="K9" s="53"/>
      <c r="L9" s="53"/>
      <c r="M9" s="53"/>
    </row>
    <row r="10" spans="2:13" ht="16.5" customHeight="1" x14ac:dyDescent="0.2">
      <c r="B10" s="233" t="s">
        <v>134</v>
      </c>
      <c r="C10" s="234"/>
      <c r="D10" s="235">
        <f>E10*1000000</f>
        <v>25000000</v>
      </c>
      <c r="E10" s="2">
        <v>25</v>
      </c>
      <c r="F10" s="330"/>
      <c r="G10" s="115">
        <f t="shared" si="1"/>
        <v>350000000</v>
      </c>
      <c r="H10" s="53"/>
      <c r="I10" s="53"/>
      <c r="J10" s="53"/>
      <c r="K10" s="53"/>
      <c r="L10" s="53"/>
      <c r="M10" s="53"/>
    </row>
    <row r="11" spans="2:13" ht="16.5" customHeight="1" x14ac:dyDescent="0.2">
      <c r="B11" s="104"/>
      <c r="C11" s="32"/>
      <c r="D11" s="88"/>
      <c r="F11" s="330"/>
      <c r="G11" s="115">
        <f t="shared" si="1"/>
        <v>375000000</v>
      </c>
      <c r="H11" s="53"/>
      <c r="I11" s="53"/>
      <c r="J11" s="53"/>
      <c r="K11" s="53"/>
      <c r="L11" s="53"/>
      <c r="M11" s="53"/>
    </row>
    <row r="12" spans="2:13" ht="16.5" customHeight="1" x14ac:dyDescent="0.2">
      <c r="B12" s="1" t="s">
        <v>24</v>
      </c>
      <c r="C12" s="24"/>
      <c r="D12" s="117"/>
      <c r="F12" s="330"/>
      <c r="G12" s="115">
        <f t="shared" si="1"/>
        <v>400000000</v>
      </c>
      <c r="H12" s="53"/>
      <c r="I12" s="53"/>
      <c r="J12" s="53"/>
      <c r="K12" s="53"/>
      <c r="L12" s="53"/>
      <c r="M12" s="53"/>
    </row>
    <row r="13" spans="2:13" ht="15.75" customHeight="1" x14ac:dyDescent="0.2">
      <c r="B13" s="1" t="s">
        <v>139</v>
      </c>
      <c r="C13" s="24"/>
      <c r="D13" s="117"/>
      <c r="F13" s="330"/>
      <c r="G13" s="115">
        <f t="shared" si="1"/>
        <v>425000000</v>
      </c>
      <c r="H13" s="53"/>
      <c r="I13" s="53"/>
      <c r="J13" s="53"/>
      <c r="K13" s="53"/>
      <c r="L13" s="53"/>
      <c r="M13" s="53"/>
    </row>
    <row r="14" spans="2:13" ht="15.75" customHeight="1" x14ac:dyDescent="0.2">
      <c r="B14" s="1" t="s">
        <v>104</v>
      </c>
      <c r="C14" s="24"/>
      <c r="D14" s="117"/>
      <c r="F14" s="330"/>
      <c r="G14" s="115">
        <f t="shared" si="1"/>
        <v>450000000</v>
      </c>
      <c r="H14" s="53"/>
      <c r="I14" s="53"/>
      <c r="J14" s="53"/>
      <c r="K14" s="53"/>
      <c r="L14" s="53"/>
      <c r="M14" s="53"/>
    </row>
    <row r="15" spans="2:13" ht="15.75" customHeight="1" x14ac:dyDescent="0.2">
      <c r="B15" s="56" t="s">
        <v>152</v>
      </c>
      <c r="C15" s="24"/>
      <c r="D15" s="117"/>
    </row>
    <row r="16" spans="2:13" ht="15.75" customHeight="1" x14ac:dyDescent="0.2">
      <c r="C16" s="24"/>
      <c r="D16" s="117"/>
      <c r="F16" s="175" t="s">
        <v>140</v>
      </c>
      <c r="G16" s="175"/>
      <c r="H16" s="206"/>
      <c r="I16" s="14">
        <v>350000000</v>
      </c>
    </row>
    <row r="17" spans="2:13" ht="15.75" customHeight="1" x14ac:dyDescent="0.2">
      <c r="C17" s="24"/>
      <c r="D17" s="117"/>
      <c r="F17" s="176" t="s">
        <v>141</v>
      </c>
      <c r="G17" s="176"/>
      <c r="H17" s="20"/>
      <c r="I17" s="237">
        <v>7.2500000000000009E-2</v>
      </c>
    </row>
    <row r="18" spans="2:13" ht="15.75" customHeight="1" x14ac:dyDescent="0.2">
      <c r="C18" s="24"/>
      <c r="D18" s="117"/>
      <c r="F18" s="318" t="s">
        <v>154</v>
      </c>
      <c r="G18" s="318"/>
      <c r="H18" s="318"/>
      <c r="I18" s="238">
        <f>INDEX(TABUNGAN,MATCH(I16,G3:G14,),MATCH(I17,G3:M3,))</f>
        <v>0</v>
      </c>
      <c r="J18" s="72"/>
      <c r="K18" s="72"/>
      <c r="L18" s="72"/>
      <c r="M18" s="72"/>
    </row>
    <row r="19" spans="2:13" ht="15.75" customHeight="1" x14ac:dyDescent="0.2">
      <c r="C19" s="24"/>
      <c r="D19" s="117"/>
      <c r="F19" s="331" t="str">
        <f>"Jika seseorang menghendaki nilai yang akan datang sebesar Rp "&amp;TEXT(I16,"#.###")&amp;" dengan cara menabung selama "&amp;D4&amp;" tahun, pada tingkat suku bunga tabungan "&amp;TEXT(I17,"#,00%")&amp;" per tahun, secara teoritis nilai yang harus ditabung saat ini sebesar Rp "&amp;TEXT(I18,"#.###")</f>
        <v xml:space="preserve">Jika seseorang menghendaki nilai yang akan datang sebesar Rp 350.000.000 dengan cara menabung selama 4 tahun, pada tingkat suku bunga tabungan 7,25% per tahun, secara teoritis nilai yang harus ditabung saat ini sebesar Rp </v>
      </c>
      <c r="G19" s="331"/>
      <c r="H19" s="331"/>
      <c r="I19" s="331"/>
      <c r="J19" s="331"/>
      <c r="K19" s="331"/>
      <c r="L19" s="331"/>
      <c r="M19" s="331"/>
    </row>
    <row r="20" spans="2:13" ht="15.75" customHeight="1" x14ac:dyDescent="0.2">
      <c r="C20" s="24"/>
      <c r="D20" s="117"/>
      <c r="F20" s="331"/>
      <c r="G20" s="331"/>
      <c r="H20" s="331"/>
      <c r="I20" s="331"/>
      <c r="J20" s="331"/>
      <c r="K20" s="331"/>
      <c r="L20" s="331"/>
      <c r="M20" s="331"/>
    </row>
    <row r="21" spans="2:13" ht="15.75" customHeight="1" x14ac:dyDescent="0.2">
      <c r="C21" s="24"/>
      <c r="D21" s="117"/>
      <c r="F21" s="331"/>
      <c r="G21" s="331"/>
      <c r="H21" s="331"/>
      <c r="I21" s="331"/>
      <c r="J21" s="331"/>
      <c r="K21" s="331"/>
      <c r="L21" s="331"/>
      <c r="M21" s="331"/>
    </row>
    <row r="22" spans="2:13" ht="15.75" customHeight="1" x14ac:dyDescent="0.2">
      <c r="C22" s="87"/>
      <c r="D22" s="24"/>
    </row>
    <row r="23" spans="2:13" ht="15.75" customHeight="1" x14ac:dyDescent="0.2">
      <c r="B23" s="1" t="s">
        <v>106</v>
      </c>
    </row>
    <row r="24" spans="2:13" ht="19.5" customHeight="1" x14ac:dyDescent="0.2"/>
  </sheetData>
  <mergeCells count="3">
    <mergeCell ref="F4:F14"/>
    <mergeCell ref="F18:H18"/>
    <mergeCell ref="F19:M21"/>
  </mergeCells>
  <conditionalFormatting sqref="H4:M14">
    <cfRule type="cellIs" dxfId="10" priority="1" operator="equal">
      <formula>$I$18</formula>
    </cfRule>
  </conditionalFormatting>
  <dataValidations count="2">
    <dataValidation type="list" allowBlank="1" showInputMessage="1" showErrorMessage="1" sqref="I16">
      <formula1>$G$4:$G$14</formula1>
    </dataValidation>
    <dataValidation type="list" allowBlank="1" showInputMessage="1" showErrorMessage="1" sqref="I17">
      <formula1>$H$3:$M$3</formula1>
    </dataValidation>
  </dataValidations>
  <pageMargins left="0.75" right="0.75" top="1" bottom="1" header="0.5" footer="0.5"/>
  <pageSetup paperSize="9"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6433" r:id="rId4" name="Scroll Bar 1">
              <controlPr defaultSize="0" autoPict="0">
                <anchor moveWithCells="1">
                  <from>
                    <xdr:col>2</xdr:col>
                    <xdr:colOff>571500</xdr:colOff>
                    <xdr:row>2</xdr:row>
                    <xdr:rowOff>47625</xdr:rowOff>
                  </from>
                  <to>
                    <xdr:col>2</xdr:col>
                    <xdr:colOff>1057275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34" r:id="rId5" name="Scroll Bar 2">
              <controlPr defaultSize="0" autoPict="0">
                <anchor moveWithCells="1">
                  <from>
                    <xdr:col>2</xdr:col>
                    <xdr:colOff>571500</xdr:colOff>
                    <xdr:row>3</xdr:row>
                    <xdr:rowOff>38100</xdr:rowOff>
                  </from>
                  <to>
                    <xdr:col>2</xdr:col>
                    <xdr:colOff>1057275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35" r:id="rId6" name="Scroll Bar 3">
              <controlPr defaultSize="0" autoPict="0">
                <anchor moveWithCells="1">
                  <from>
                    <xdr:col>2</xdr:col>
                    <xdr:colOff>581025</xdr:colOff>
                    <xdr:row>5</xdr:row>
                    <xdr:rowOff>9525</xdr:rowOff>
                  </from>
                  <to>
                    <xdr:col>2</xdr:col>
                    <xdr:colOff>1066800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36" r:id="rId7" name="Scroll Bar 4">
              <controlPr defaultSize="0" autoPict="0">
                <anchor moveWithCells="1">
                  <from>
                    <xdr:col>2</xdr:col>
                    <xdr:colOff>581025</xdr:colOff>
                    <xdr:row>6</xdr:row>
                    <xdr:rowOff>0</xdr:rowOff>
                  </from>
                  <to>
                    <xdr:col>2</xdr:col>
                    <xdr:colOff>1066800</xdr:colOff>
                    <xdr:row>6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39" r:id="rId8" name="Scroll Bar 7">
              <controlPr defaultSize="0" autoPict="0">
                <anchor moveWithCells="1">
                  <from>
                    <xdr:col>2</xdr:col>
                    <xdr:colOff>581025</xdr:colOff>
                    <xdr:row>8</xdr:row>
                    <xdr:rowOff>28575</xdr:rowOff>
                  </from>
                  <to>
                    <xdr:col>2</xdr:col>
                    <xdr:colOff>1066800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0" r:id="rId9" name="Scroll Bar 8">
              <controlPr defaultSize="0" autoPict="0">
                <anchor moveWithCells="1">
                  <from>
                    <xdr:col>2</xdr:col>
                    <xdr:colOff>581025</xdr:colOff>
                    <xdr:row>9</xdr:row>
                    <xdr:rowOff>19050</xdr:rowOff>
                  </from>
                  <to>
                    <xdr:col>2</xdr:col>
                    <xdr:colOff>1066800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1" r:id="rId10" name="Scroll Bar 9">
              <controlPr defaultSize="0" autoPict="0">
                <anchor moveWithCells="1">
                  <from>
                    <xdr:col>2</xdr:col>
                    <xdr:colOff>581025</xdr:colOff>
                    <xdr:row>7</xdr:row>
                    <xdr:rowOff>28575</xdr:rowOff>
                  </from>
                  <to>
                    <xdr:col>2</xdr:col>
                    <xdr:colOff>1066800</xdr:colOff>
                    <xdr:row>7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20"/>
  <sheetViews>
    <sheetView showGridLines="0" workbookViewId="0">
      <selection activeCell="D9" sqref="D9:D18"/>
    </sheetView>
  </sheetViews>
  <sheetFormatPr defaultRowHeight="15" x14ac:dyDescent="0.2"/>
  <cols>
    <col min="1" max="1" width="5.85546875" style="1" customWidth="1"/>
    <col min="2" max="2" width="21.7109375" style="1" customWidth="1"/>
    <col min="3" max="3" width="12.85546875" style="1" customWidth="1"/>
    <col min="4" max="4" width="14.85546875" style="1" customWidth="1"/>
    <col min="5" max="5" width="5.85546875" style="1" customWidth="1"/>
    <col min="6" max="6" width="15.140625" style="1" customWidth="1"/>
    <col min="7" max="7" width="5.85546875" style="1" customWidth="1"/>
    <col min="8" max="8" width="10.140625" style="1" customWidth="1"/>
    <col min="9" max="13" width="9.140625" style="1"/>
    <col min="14" max="14" width="5.85546875" style="1" customWidth="1"/>
    <col min="15" max="16384" width="9.140625" style="1"/>
  </cols>
  <sheetData>
    <row r="1" spans="2:8" ht="19.5" customHeight="1" x14ac:dyDescent="0.2"/>
    <row r="2" spans="2:8" ht="18.75" x14ac:dyDescent="0.2">
      <c r="B2" s="9" t="s">
        <v>18</v>
      </c>
    </row>
    <row r="3" spans="2:8" ht="16.5" customHeight="1" x14ac:dyDescent="0.2">
      <c r="B3" s="242" t="s">
        <v>142</v>
      </c>
      <c r="C3" s="8"/>
      <c r="D3" s="243">
        <f>E3/10000</f>
        <v>0.1</v>
      </c>
      <c r="E3" s="1">
        <v>1000</v>
      </c>
      <c r="F3" s="205" t="s">
        <v>121</v>
      </c>
      <c r="H3" s="78" t="s">
        <v>24</v>
      </c>
    </row>
    <row r="4" spans="2:8" ht="16.5" customHeight="1" x14ac:dyDescent="0.2">
      <c r="B4" s="242" t="s">
        <v>143</v>
      </c>
      <c r="C4" s="8"/>
      <c r="D4" s="244">
        <v>12</v>
      </c>
      <c r="E4" s="205" t="s">
        <v>121</v>
      </c>
      <c r="H4" s="1" t="s">
        <v>153</v>
      </c>
    </row>
    <row r="5" spans="2:8" ht="16.5" customHeight="1" x14ac:dyDescent="0.2">
      <c r="B5" s="242" t="s">
        <v>144</v>
      </c>
      <c r="C5" s="8"/>
      <c r="D5" s="245">
        <f>E5*1000000</f>
        <v>50000000</v>
      </c>
      <c r="E5" s="1">
        <v>50</v>
      </c>
      <c r="F5" s="205" t="s">
        <v>121</v>
      </c>
      <c r="H5" s="1" t="s">
        <v>104</v>
      </c>
    </row>
    <row r="6" spans="2:8" ht="15.75" customHeight="1" x14ac:dyDescent="0.2">
      <c r="C6" s="239"/>
      <c r="D6" s="240"/>
      <c r="H6" s="56" t="s">
        <v>105</v>
      </c>
    </row>
    <row r="7" spans="2:8" ht="15.75" customHeight="1" x14ac:dyDescent="0.2">
      <c r="C7" s="241"/>
      <c r="D7" s="247" t="s">
        <v>145</v>
      </c>
    </row>
    <row r="8" spans="2:8" ht="15.75" customHeight="1" x14ac:dyDescent="0.2">
      <c r="C8" s="248" t="s">
        <v>146</v>
      </c>
      <c r="D8" s="249">
        <f>D5/D4+(D5*D3/12)</f>
        <v>4583333.333333333</v>
      </c>
      <c r="E8" s="222" t="s">
        <v>171</v>
      </c>
    </row>
    <row r="9" spans="2:8" ht="15.75" customHeight="1" x14ac:dyDescent="0.2">
      <c r="C9" s="246">
        <v>12</v>
      </c>
      <c r="D9" s="257"/>
    </row>
    <row r="10" spans="2:8" ht="15.75" customHeight="1" x14ac:dyDescent="0.2">
      <c r="C10" s="246">
        <v>24</v>
      </c>
      <c r="D10" s="257"/>
    </row>
    <row r="11" spans="2:8" ht="15.75" customHeight="1" x14ac:dyDescent="0.2">
      <c r="C11" s="246">
        <v>36</v>
      </c>
      <c r="D11" s="257"/>
    </row>
    <row r="12" spans="2:8" ht="15.75" customHeight="1" x14ac:dyDescent="0.2">
      <c r="C12" s="246">
        <v>48</v>
      </c>
      <c r="D12" s="257"/>
    </row>
    <row r="13" spans="2:8" ht="15.75" customHeight="1" x14ac:dyDescent="0.2">
      <c r="C13" s="246">
        <v>60</v>
      </c>
      <c r="D13" s="257"/>
    </row>
    <row r="14" spans="2:8" ht="15.75" customHeight="1" x14ac:dyDescent="0.2">
      <c r="C14" s="246">
        <v>72</v>
      </c>
      <c r="D14" s="257"/>
      <c r="F14" s="2">
        <f>VLOOKUP(H16,C9:D18,2)</f>
        <v>0</v>
      </c>
      <c r="H14" s="1" t="s">
        <v>106</v>
      </c>
    </row>
    <row r="15" spans="2:8" ht="15.75" customHeight="1" x14ac:dyDescent="0.2">
      <c r="C15" s="246">
        <v>84</v>
      </c>
      <c r="D15" s="258"/>
    </row>
    <row r="16" spans="2:8" ht="15.75" customHeight="1" x14ac:dyDescent="0.2">
      <c r="C16" s="246">
        <v>96</v>
      </c>
      <c r="D16" s="258"/>
      <c r="E16" s="259" t="s">
        <v>151</v>
      </c>
      <c r="H16" s="260">
        <v>60</v>
      </c>
    </row>
    <row r="17" spans="3:13" ht="15.75" customHeight="1" x14ac:dyDescent="0.2">
      <c r="C17" s="246">
        <v>108</v>
      </c>
      <c r="D17" s="258"/>
      <c r="F17" s="316" t="str">
        <f>"Artinya, jika seseorang meminjam uang sebesar Rp "&amp;TEXT(D5,"#.###")&amp;" dengan jangka waktu pinjam selama "&amp;H16&amp;" bulan dan tingkat suku bunga pinjaman "&amp;TEXT(D3,"#,00%")&amp;", angsuran pinjaman per bulan sebesar Rp "&amp;TEXT(VLOOKUP(H16,C9:D18,2),"#.###,00")</f>
        <v>Artinya, jika seseorang meminjam uang sebesar Rp 50.000.000 dengan jangka waktu pinjam selama 60 bulan dan tingkat suku bunga pinjaman 10,00%, angsuran pinjaman per bulan sebesar Rp ,00</v>
      </c>
      <c r="G17" s="316"/>
      <c r="H17" s="316"/>
      <c r="I17" s="316"/>
      <c r="J17" s="316"/>
      <c r="K17" s="316"/>
      <c r="L17" s="316"/>
      <c r="M17" s="316"/>
    </row>
    <row r="18" spans="3:13" ht="15.75" customHeight="1" x14ac:dyDescent="0.2">
      <c r="C18" s="246">
        <v>120</v>
      </c>
      <c r="D18" s="258"/>
      <c r="F18" s="316"/>
      <c r="G18" s="316"/>
      <c r="H18" s="316"/>
      <c r="I18" s="316"/>
      <c r="J18" s="316"/>
      <c r="K18" s="316"/>
      <c r="L18" s="316"/>
      <c r="M18" s="316"/>
    </row>
    <row r="19" spans="3:13" ht="15.75" customHeight="1" x14ac:dyDescent="0.2">
      <c r="F19" s="316"/>
      <c r="G19" s="316"/>
      <c r="H19" s="316"/>
      <c r="I19" s="316"/>
      <c r="J19" s="316"/>
      <c r="K19" s="316"/>
      <c r="L19" s="316"/>
      <c r="M19" s="316"/>
    </row>
    <row r="20" spans="3:13" ht="19.5" customHeight="1" x14ac:dyDescent="0.2"/>
  </sheetData>
  <mergeCells count="1">
    <mergeCell ref="F17:M19"/>
  </mergeCells>
  <conditionalFormatting sqref="D9:D18">
    <cfRule type="cellIs" dxfId="9" priority="1" operator="equal">
      <formula>$F$14</formula>
    </cfRule>
  </conditionalFormatting>
  <dataValidations count="1">
    <dataValidation type="list" allowBlank="1" showInputMessage="1" showErrorMessage="1" sqref="H16">
      <formula1>$C$9:$C$18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41665" r:id="rId3" name="Scroll Bar 1">
              <controlPr defaultSize="0" autoPict="0">
                <anchor moveWithCells="1">
                  <from>
                    <xdr:col>2</xdr:col>
                    <xdr:colOff>285750</xdr:colOff>
                    <xdr:row>2</xdr:row>
                    <xdr:rowOff>19050</xdr:rowOff>
                  </from>
                  <to>
                    <xdr:col>2</xdr:col>
                    <xdr:colOff>771525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66" r:id="rId4" name="Scroll Bar 2">
              <controlPr defaultSize="0" autoPict="0">
                <anchor moveWithCells="1">
                  <from>
                    <xdr:col>2</xdr:col>
                    <xdr:colOff>285750</xdr:colOff>
                    <xdr:row>3</xdr:row>
                    <xdr:rowOff>19050</xdr:rowOff>
                  </from>
                  <to>
                    <xdr:col>2</xdr:col>
                    <xdr:colOff>771525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67" r:id="rId5" name="Scroll Bar 3">
              <controlPr defaultSize="0" autoPict="0">
                <anchor moveWithCells="1">
                  <from>
                    <xdr:col>2</xdr:col>
                    <xdr:colOff>285750</xdr:colOff>
                    <xdr:row>4</xdr:row>
                    <xdr:rowOff>19050</xdr:rowOff>
                  </from>
                  <to>
                    <xdr:col>2</xdr:col>
                    <xdr:colOff>771525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8"/>
  <sheetViews>
    <sheetView showGridLines="0" workbookViewId="0">
      <selection activeCell="G5" sqref="G5:G20"/>
    </sheetView>
  </sheetViews>
  <sheetFormatPr defaultRowHeight="15" customHeight="1" x14ac:dyDescent="0.2"/>
  <cols>
    <col min="1" max="1" width="6" style="1" customWidth="1"/>
    <col min="2" max="2" width="31.85546875" style="1" customWidth="1"/>
    <col min="3" max="3" width="4.85546875" style="1" customWidth="1"/>
    <col min="4" max="4" width="17.28515625" style="1" customWidth="1"/>
    <col min="5" max="5" width="3.85546875" style="1" customWidth="1"/>
    <col min="6" max="6" width="16.28515625" style="1" customWidth="1"/>
    <col min="7" max="7" width="16.140625" style="1" customWidth="1"/>
    <col min="8" max="8" width="3.85546875" style="1" customWidth="1"/>
    <col min="9" max="9" width="15.42578125" style="1" customWidth="1"/>
    <col min="10" max="10" width="5.85546875" style="275" customWidth="1"/>
    <col min="11" max="11" width="11.7109375" style="1" customWidth="1"/>
    <col min="12" max="12" width="3.28515625" style="275" customWidth="1"/>
    <col min="13" max="13" width="15.28515625" style="1" customWidth="1"/>
    <col min="14" max="14" width="5.85546875" style="1" customWidth="1"/>
    <col min="15" max="16384" width="9.140625" style="1"/>
  </cols>
  <sheetData>
    <row r="1" spans="1:13" ht="19.5" customHeight="1" x14ac:dyDescent="0.2">
      <c r="H1" s="68"/>
      <c r="I1" s="2" t="s">
        <v>163</v>
      </c>
    </row>
    <row r="2" spans="1:13" ht="16.5" customHeight="1" x14ac:dyDescent="0.2">
      <c r="B2" s="9" t="s">
        <v>165</v>
      </c>
    </row>
    <row r="3" spans="1:13" ht="16.5" customHeight="1" x14ac:dyDescent="0.2">
      <c r="A3" s="2">
        <v>250</v>
      </c>
      <c r="B3" s="276" t="s">
        <v>8</v>
      </c>
      <c r="C3" s="6"/>
      <c r="D3" s="10">
        <f>A3*1000000</f>
        <v>250000000</v>
      </c>
      <c r="E3" s="15"/>
      <c r="F3" s="22"/>
      <c r="G3" s="23" t="s">
        <v>11</v>
      </c>
      <c r="I3" s="78" t="s">
        <v>50</v>
      </c>
      <c r="J3" s="280"/>
      <c r="K3" s="2"/>
      <c r="L3" s="280"/>
      <c r="M3" s="2"/>
    </row>
    <row r="4" spans="1:13" ht="16.5" customHeight="1" x14ac:dyDescent="0.2">
      <c r="A4" s="2"/>
      <c r="B4" s="276" t="s">
        <v>9</v>
      </c>
      <c r="C4" s="6"/>
      <c r="D4" s="11">
        <v>60</v>
      </c>
      <c r="E4" s="15"/>
      <c r="F4" s="20" t="s">
        <v>8</v>
      </c>
      <c r="G4" s="21">
        <f>D3/D4+(D3*D5/12)</f>
        <v>6250000</v>
      </c>
      <c r="H4" s="222"/>
      <c r="I4" s="274" t="s">
        <v>161</v>
      </c>
      <c r="J4" s="274" t="s">
        <v>167</v>
      </c>
      <c r="K4" s="274" t="s">
        <v>164</v>
      </c>
      <c r="L4" s="274" t="s">
        <v>162</v>
      </c>
      <c r="M4" s="274" t="s">
        <v>168</v>
      </c>
    </row>
    <row r="5" spans="1:13" ht="16.5" customHeight="1" x14ac:dyDescent="0.2">
      <c r="A5" s="2">
        <v>10</v>
      </c>
      <c r="B5" s="276" t="s">
        <v>166</v>
      </c>
      <c r="C5" s="6"/>
      <c r="D5" s="12">
        <f>A5/100</f>
        <v>0.1</v>
      </c>
      <c r="E5" s="32"/>
      <c r="F5" s="17">
        <f>D6</f>
        <v>175000000</v>
      </c>
      <c r="G5" s="19"/>
      <c r="I5" s="27">
        <f>F5/D$4</f>
        <v>2916666.6666666665</v>
      </c>
      <c r="J5" s="281" t="s">
        <v>167</v>
      </c>
      <c r="K5" s="27">
        <f>F5*(D$5/12)</f>
        <v>1458333.3333333333</v>
      </c>
      <c r="L5" s="281" t="s">
        <v>162</v>
      </c>
      <c r="M5" s="27">
        <f>SUM(I5,K5)</f>
        <v>4375000</v>
      </c>
    </row>
    <row r="6" spans="1:13" ht="16.5" customHeight="1" x14ac:dyDescent="0.2">
      <c r="A6" s="2">
        <v>175</v>
      </c>
      <c r="B6" s="276" t="s">
        <v>15</v>
      </c>
      <c r="C6" s="6"/>
      <c r="D6" s="14">
        <f>A6*1000000</f>
        <v>175000000</v>
      </c>
      <c r="E6" s="67"/>
      <c r="F6" s="17">
        <f t="shared" ref="F6:F20" si="0">F5+D$7</f>
        <v>200000000</v>
      </c>
      <c r="G6" s="19"/>
      <c r="I6" s="27">
        <f t="shared" ref="I6:I20" si="1">F6/D$4</f>
        <v>3333333.3333333335</v>
      </c>
      <c r="J6" s="281" t="s">
        <v>167</v>
      </c>
      <c r="K6" s="27">
        <f t="shared" ref="K6:K20" si="2">F6*(D$5/12)</f>
        <v>1666666.6666666667</v>
      </c>
      <c r="L6" s="281" t="s">
        <v>162</v>
      </c>
      <c r="M6" s="27">
        <f t="shared" ref="M6:M20" si="3">SUM(I6,K6)</f>
        <v>5000000</v>
      </c>
    </row>
    <row r="7" spans="1:13" ht="16.5" customHeight="1" x14ac:dyDescent="0.2">
      <c r="A7" s="2">
        <v>25</v>
      </c>
      <c r="B7" s="276" t="s">
        <v>16</v>
      </c>
      <c r="C7" s="6"/>
      <c r="D7" s="14">
        <f>A7*1000000</f>
        <v>25000000</v>
      </c>
      <c r="E7" s="15"/>
      <c r="F7" s="17">
        <f t="shared" si="0"/>
        <v>225000000</v>
      </c>
      <c r="G7" s="19"/>
      <c r="I7" s="27">
        <f t="shared" si="1"/>
        <v>3750000</v>
      </c>
      <c r="J7" s="281" t="s">
        <v>167</v>
      </c>
      <c r="K7" s="27">
        <f t="shared" si="2"/>
        <v>1875000</v>
      </c>
      <c r="L7" s="281" t="s">
        <v>162</v>
      </c>
      <c r="M7" s="27">
        <f t="shared" si="3"/>
        <v>5625000</v>
      </c>
    </row>
    <row r="8" spans="1:13" ht="15" customHeight="1" x14ac:dyDescent="0.2">
      <c r="F8" s="17">
        <f t="shared" si="0"/>
        <v>250000000</v>
      </c>
      <c r="G8" s="19"/>
      <c r="I8" s="27">
        <f t="shared" si="1"/>
        <v>4166666.6666666665</v>
      </c>
      <c r="J8" s="281" t="s">
        <v>167</v>
      </c>
      <c r="K8" s="27">
        <f t="shared" si="2"/>
        <v>2083333.3333333333</v>
      </c>
      <c r="L8" s="281" t="s">
        <v>162</v>
      </c>
      <c r="M8" s="27">
        <f t="shared" si="3"/>
        <v>6250000</v>
      </c>
    </row>
    <row r="9" spans="1:13" ht="15" customHeight="1" x14ac:dyDescent="0.25">
      <c r="B9" s="279" t="s">
        <v>24</v>
      </c>
      <c r="C9" s="278"/>
      <c r="D9" s="278"/>
      <c r="F9" s="17">
        <f t="shared" si="0"/>
        <v>275000000</v>
      </c>
      <c r="G9" s="19"/>
      <c r="I9" s="27">
        <f t="shared" si="1"/>
        <v>4583333.333333333</v>
      </c>
      <c r="J9" s="281" t="s">
        <v>167</v>
      </c>
      <c r="K9" s="27">
        <f t="shared" si="2"/>
        <v>2291666.6666666665</v>
      </c>
      <c r="L9" s="281" t="s">
        <v>162</v>
      </c>
      <c r="M9" s="27">
        <f t="shared" si="3"/>
        <v>6875000</v>
      </c>
    </row>
    <row r="10" spans="1:13" ht="15" customHeight="1" x14ac:dyDescent="0.2">
      <c r="B10" s="278" t="s">
        <v>169</v>
      </c>
      <c r="C10" s="278"/>
      <c r="D10" s="278"/>
      <c r="F10" s="17">
        <f t="shared" si="0"/>
        <v>300000000</v>
      </c>
      <c r="G10" s="19"/>
      <c r="I10" s="27">
        <f t="shared" si="1"/>
        <v>5000000</v>
      </c>
      <c r="J10" s="281" t="s">
        <v>167</v>
      </c>
      <c r="K10" s="27">
        <f t="shared" si="2"/>
        <v>2500000</v>
      </c>
      <c r="L10" s="281" t="s">
        <v>162</v>
      </c>
      <c r="M10" s="27">
        <f t="shared" si="3"/>
        <v>7500000</v>
      </c>
    </row>
    <row r="11" spans="1:13" ht="15" customHeight="1" x14ac:dyDescent="0.2">
      <c r="B11" s="278" t="s">
        <v>25</v>
      </c>
      <c r="C11" s="278"/>
      <c r="D11" s="278"/>
      <c r="F11" s="17">
        <f t="shared" si="0"/>
        <v>325000000</v>
      </c>
      <c r="G11" s="19"/>
      <c r="I11" s="27">
        <f t="shared" si="1"/>
        <v>5416666.666666667</v>
      </c>
      <c r="J11" s="281" t="s">
        <v>167</v>
      </c>
      <c r="K11" s="27">
        <f t="shared" si="2"/>
        <v>2708333.3333333335</v>
      </c>
      <c r="L11" s="281" t="s">
        <v>162</v>
      </c>
      <c r="M11" s="27">
        <f t="shared" si="3"/>
        <v>8125000</v>
      </c>
    </row>
    <row r="12" spans="1:13" ht="15" customHeight="1" x14ac:dyDescent="0.2">
      <c r="B12" s="278" t="s">
        <v>170</v>
      </c>
      <c r="C12" s="278"/>
      <c r="D12" s="278"/>
      <c r="F12" s="17">
        <f t="shared" si="0"/>
        <v>350000000</v>
      </c>
      <c r="G12" s="19"/>
      <c r="I12" s="27">
        <f t="shared" si="1"/>
        <v>5833333.333333333</v>
      </c>
      <c r="J12" s="281" t="s">
        <v>167</v>
      </c>
      <c r="K12" s="27">
        <f t="shared" si="2"/>
        <v>2916666.6666666665</v>
      </c>
      <c r="L12" s="281" t="s">
        <v>162</v>
      </c>
      <c r="M12" s="27">
        <f t="shared" si="3"/>
        <v>8750000</v>
      </c>
    </row>
    <row r="13" spans="1:13" ht="15" customHeight="1" x14ac:dyDescent="0.2">
      <c r="B13" s="283" t="s">
        <v>27</v>
      </c>
      <c r="C13" s="278"/>
      <c r="D13" s="278"/>
      <c r="F13" s="17">
        <f t="shared" si="0"/>
        <v>375000000</v>
      </c>
      <c r="G13" s="19"/>
      <c r="I13" s="27">
        <f t="shared" si="1"/>
        <v>6250000</v>
      </c>
      <c r="J13" s="281" t="s">
        <v>167</v>
      </c>
      <c r="K13" s="27">
        <f t="shared" si="2"/>
        <v>3125000</v>
      </c>
      <c r="L13" s="281" t="s">
        <v>162</v>
      </c>
      <c r="M13" s="27">
        <f t="shared" si="3"/>
        <v>9375000</v>
      </c>
    </row>
    <row r="14" spans="1:13" ht="15" customHeight="1" x14ac:dyDescent="0.2">
      <c r="B14" s="278"/>
      <c r="C14" s="278"/>
      <c r="D14" s="278"/>
      <c r="F14" s="17">
        <f t="shared" si="0"/>
        <v>400000000</v>
      </c>
      <c r="G14" s="19"/>
      <c r="I14" s="27">
        <f t="shared" si="1"/>
        <v>6666666.666666667</v>
      </c>
      <c r="J14" s="281" t="s">
        <v>167</v>
      </c>
      <c r="K14" s="27">
        <f t="shared" si="2"/>
        <v>3333333.3333333335</v>
      </c>
      <c r="L14" s="281" t="s">
        <v>162</v>
      </c>
      <c r="M14" s="27">
        <f t="shared" si="3"/>
        <v>10000000</v>
      </c>
    </row>
    <row r="15" spans="1:13" ht="15" customHeight="1" x14ac:dyDescent="0.2">
      <c r="B15" s="278"/>
      <c r="C15" s="278"/>
      <c r="D15" s="278"/>
      <c r="F15" s="17">
        <f t="shared" si="0"/>
        <v>425000000</v>
      </c>
      <c r="G15" s="19"/>
      <c r="I15" s="27">
        <f t="shared" si="1"/>
        <v>7083333.333333333</v>
      </c>
      <c r="J15" s="281" t="s">
        <v>167</v>
      </c>
      <c r="K15" s="27">
        <f t="shared" si="2"/>
        <v>3541666.6666666665</v>
      </c>
      <c r="L15" s="281" t="s">
        <v>162</v>
      </c>
      <c r="M15" s="27">
        <f t="shared" si="3"/>
        <v>10625000</v>
      </c>
    </row>
    <row r="16" spans="1:13" ht="15" customHeight="1" x14ac:dyDescent="0.2">
      <c r="B16" s="278"/>
      <c r="C16" s="278"/>
      <c r="D16" s="278"/>
      <c r="F16" s="17">
        <f t="shared" si="0"/>
        <v>450000000</v>
      </c>
      <c r="G16" s="19"/>
      <c r="I16" s="27">
        <f t="shared" si="1"/>
        <v>7500000</v>
      </c>
      <c r="J16" s="281" t="s">
        <v>167</v>
      </c>
      <c r="K16" s="27">
        <f t="shared" si="2"/>
        <v>3750000</v>
      </c>
      <c r="L16" s="281" t="s">
        <v>162</v>
      </c>
      <c r="M16" s="27">
        <f t="shared" si="3"/>
        <v>11250000</v>
      </c>
    </row>
    <row r="17" spans="2:13" ht="15" customHeight="1" x14ac:dyDescent="0.2">
      <c r="B17" s="278"/>
      <c r="C17" s="278"/>
      <c r="D17" s="278"/>
      <c r="F17" s="17">
        <f t="shared" si="0"/>
        <v>475000000</v>
      </c>
      <c r="G17" s="19"/>
      <c r="I17" s="27">
        <f t="shared" si="1"/>
        <v>7916666.666666667</v>
      </c>
      <c r="J17" s="281" t="s">
        <v>167</v>
      </c>
      <c r="K17" s="27">
        <f t="shared" si="2"/>
        <v>3958333.3333333335</v>
      </c>
      <c r="L17" s="281" t="s">
        <v>162</v>
      </c>
      <c r="M17" s="27">
        <f t="shared" si="3"/>
        <v>11875000</v>
      </c>
    </row>
    <row r="18" spans="2:13" ht="15" customHeight="1" x14ac:dyDescent="0.2">
      <c r="B18" s="278"/>
      <c r="C18" s="278"/>
      <c r="D18" s="278"/>
      <c r="F18" s="17">
        <f t="shared" si="0"/>
        <v>500000000</v>
      </c>
      <c r="G18" s="19"/>
      <c r="I18" s="27">
        <f t="shared" si="1"/>
        <v>8333333.333333333</v>
      </c>
      <c r="J18" s="281" t="s">
        <v>167</v>
      </c>
      <c r="K18" s="27">
        <f t="shared" si="2"/>
        <v>4166666.6666666665</v>
      </c>
      <c r="L18" s="281" t="s">
        <v>162</v>
      </c>
      <c r="M18" s="27">
        <f t="shared" si="3"/>
        <v>12500000</v>
      </c>
    </row>
    <row r="19" spans="2:13" ht="15" customHeight="1" x14ac:dyDescent="0.2">
      <c r="B19" s="278"/>
      <c r="C19" s="278"/>
      <c r="D19" s="278"/>
      <c r="F19" s="17">
        <f t="shared" si="0"/>
        <v>525000000</v>
      </c>
      <c r="G19" s="19"/>
      <c r="I19" s="27">
        <f t="shared" si="1"/>
        <v>8750000</v>
      </c>
      <c r="J19" s="281" t="s">
        <v>167</v>
      </c>
      <c r="K19" s="27">
        <f t="shared" si="2"/>
        <v>4375000</v>
      </c>
      <c r="L19" s="281" t="s">
        <v>162</v>
      </c>
      <c r="M19" s="27">
        <f t="shared" si="3"/>
        <v>13125000</v>
      </c>
    </row>
    <row r="20" spans="2:13" ht="15" customHeight="1" x14ac:dyDescent="0.2">
      <c r="B20" s="278"/>
      <c r="C20" s="278"/>
      <c r="D20" s="278"/>
      <c r="F20" s="17">
        <f t="shared" si="0"/>
        <v>550000000</v>
      </c>
      <c r="G20" s="19"/>
      <c r="I20" s="27">
        <f t="shared" si="1"/>
        <v>9166666.666666666</v>
      </c>
      <c r="J20" s="281" t="s">
        <v>167</v>
      </c>
      <c r="K20" s="27">
        <f t="shared" si="2"/>
        <v>4583333.333333333</v>
      </c>
      <c r="L20" s="281" t="s">
        <v>162</v>
      </c>
      <c r="M20" s="27">
        <f t="shared" si="3"/>
        <v>13750000</v>
      </c>
    </row>
    <row r="21" spans="2:13" ht="15" customHeight="1" x14ac:dyDescent="0.25">
      <c r="B21" s="282" t="s">
        <v>28</v>
      </c>
      <c r="C21" s="278"/>
      <c r="D21" s="278"/>
    </row>
    <row r="22" spans="2:13" ht="19.5" customHeight="1" x14ac:dyDescent="0.2">
      <c r="C22" s="2">
        <v>12</v>
      </c>
    </row>
    <row r="23" spans="2:13" x14ac:dyDescent="0.2">
      <c r="C23" s="2">
        <v>13</v>
      </c>
    </row>
    <row r="24" spans="2:13" x14ac:dyDescent="0.2">
      <c r="C24" s="2">
        <v>14</v>
      </c>
    </row>
    <row r="25" spans="2:13" x14ac:dyDescent="0.2">
      <c r="C25" s="2">
        <v>15</v>
      </c>
    </row>
    <row r="26" spans="2:13" x14ac:dyDescent="0.2">
      <c r="C26" s="2">
        <v>16</v>
      </c>
    </row>
    <row r="68" ht="19.5" customHeight="1" x14ac:dyDescent="0.2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3411" r:id="rId3" name="Scroll Bar 3">
              <controlPr defaultSize="0" autoPict="0">
                <anchor moveWithCells="1">
                  <from>
                    <xdr:col>1</xdr:col>
                    <xdr:colOff>1866900</xdr:colOff>
                    <xdr:row>2</xdr:row>
                    <xdr:rowOff>47625</xdr:rowOff>
                  </from>
                  <to>
                    <xdr:col>2</xdr:col>
                    <xdr:colOff>228600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3412" r:id="rId4" name="Scroll Bar 4">
              <controlPr defaultSize="0" autoPict="0">
                <anchor moveWithCells="1">
                  <from>
                    <xdr:col>1</xdr:col>
                    <xdr:colOff>1866900</xdr:colOff>
                    <xdr:row>3</xdr:row>
                    <xdr:rowOff>38100</xdr:rowOff>
                  </from>
                  <to>
                    <xdr:col>2</xdr:col>
                    <xdr:colOff>228600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3414" r:id="rId5" name="Scroll Bar 6">
              <controlPr defaultSize="0" autoPict="0">
                <anchor moveWithCells="1">
                  <from>
                    <xdr:col>1</xdr:col>
                    <xdr:colOff>1866900</xdr:colOff>
                    <xdr:row>5</xdr:row>
                    <xdr:rowOff>19050</xdr:rowOff>
                  </from>
                  <to>
                    <xdr:col>2</xdr:col>
                    <xdr:colOff>228600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3415" r:id="rId6" name="Scroll Bar 7">
              <controlPr defaultSize="0" autoPict="0">
                <anchor moveWithCells="1">
                  <from>
                    <xdr:col>1</xdr:col>
                    <xdr:colOff>1866900</xdr:colOff>
                    <xdr:row>6</xdr:row>
                    <xdr:rowOff>9525</xdr:rowOff>
                  </from>
                  <to>
                    <xdr:col>2</xdr:col>
                    <xdr:colOff>228600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3418" r:id="rId7" name="Scroll Bar 10">
              <controlPr defaultSize="0" autoPict="0">
                <anchor moveWithCells="1">
                  <from>
                    <xdr:col>1</xdr:col>
                    <xdr:colOff>1866900</xdr:colOff>
                    <xdr:row>4</xdr:row>
                    <xdr:rowOff>28575</xdr:rowOff>
                  </from>
                  <to>
                    <xdr:col>2</xdr:col>
                    <xdr:colOff>228600</xdr:colOff>
                    <xdr:row>4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8"/>
  <sheetViews>
    <sheetView showGridLines="0" workbookViewId="0">
      <selection activeCell="H5" sqref="H5:L20"/>
    </sheetView>
  </sheetViews>
  <sheetFormatPr defaultRowHeight="15" customHeight="1" x14ac:dyDescent="0.2"/>
  <cols>
    <col min="1" max="1" width="6" style="1" customWidth="1"/>
    <col min="2" max="2" width="31.85546875" style="1" customWidth="1"/>
    <col min="3" max="3" width="4.7109375" style="1" customWidth="1"/>
    <col min="4" max="4" width="17.28515625" style="1" customWidth="1"/>
    <col min="5" max="6" width="3.85546875" style="1" customWidth="1"/>
    <col min="7" max="7" width="16.140625" style="1" customWidth="1"/>
    <col min="8" max="8" width="13" style="1" customWidth="1"/>
    <col min="9" max="9" width="13" style="275" customWidth="1"/>
    <col min="10" max="10" width="13" style="1" customWidth="1"/>
    <col min="11" max="11" width="13" style="275" customWidth="1"/>
    <col min="12" max="12" width="13" style="1" customWidth="1"/>
    <col min="13" max="13" width="5.85546875" style="1" customWidth="1"/>
    <col min="14" max="16384" width="9.140625" style="1"/>
  </cols>
  <sheetData>
    <row r="1" spans="1:12" ht="19.5" customHeight="1" x14ac:dyDescent="0.2">
      <c r="H1" s="2" t="s">
        <v>163</v>
      </c>
    </row>
    <row r="2" spans="1:12" ht="16.5" customHeight="1" x14ac:dyDescent="0.2">
      <c r="B2" s="9" t="s">
        <v>165</v>
      </c>
    </row>
    <row r="3" spans="1:12" ht="16.5" customHeight="1" x14ac:dyDescent="0.2">
      <c r="A3" s="2">
        <v>250</v>
      </c>
      <c r="B3" s="276" t="s">
        <v>8</v>
      </c>
      <c r="C3" s="6"/>
      <c r="D3" s="10">
        <f>A3*1000000</f>
        <v>250000000</v>
      </c>
      <c r="E3" s="15"/>
      <c r="F3" s="15"/>
      <c r="H3" s="333" t="s">
        <v>166</v>
      </c>
      <c r="I3" s="334"/>
      <c r="J3" s="334"/>
      <c r="K3" s="334"/>
      <c r="L3" s="334"/>
    </row>
    <row r="4" spans="1:12" ht="16.5" customHeight="1" x14ac:dyDescent="0.2">
      <c r="A4" s="2"/>
      <c r="B4" s="276" t="s">
        <v>9</v>
      </c>
      <c r="C4" s="6"/>
      <c r="D4" s="11">
        <v>60</v>
      </c>
      <c r="E4" s="15"/>
      <c r="F4" s="289"/>
      <c r="G4" s="290">
        <f>D3/D4+(D3*D5/12)</f>
        <v>6250000</v>
      </c>
      <c r="H4" s="284">
        <v>9.5000000000000001E-2</v>
      </c>
      <c r="I4" s="284">
        <f>H4+D8</f>
        <v>9.7500000000000003E-2</v>
      </c>
      <c r="J4" s="284">
        <f>I4+D8</f>
        <v>0.1</v>
      </c>
      <c r="K4" s="284">
        <f>J4+D8</f>
        <v>0.10250000000000001</v>
      </c>
      <c r="L4" s="285">
        <f>K4+D8</f>
        <v>0.10500000000000001</v>
      </c>
    </row>
    <row r="5" spans="1:12" ht="16.5" customHeight="1" x14ac:dyDescent="0.2">
      <c r="A5" s="2">
        <v>10</v>
      </c>
      <c r="B5" s="276" t="s">
        <v>166</v>
      </c>
      <c r="C5" s="6"/>
      <c r="D5" s="12">
        <f>A5/100</f>
        <v>0.1</v>
      </c>
      <c r="E5" s="32"/>
      <c r="F5" s="332" t="s">
        <v>174</v>
      </c>
      <c r="G5" s="17">
        <f>D6</f>
        <v>175000000</v>
      </c>
      <c r="H5" s="288"/>
      <c r="I5" s="288"/>
      <c r="J5" s="288"/>
      <c r="K5" s="288"/>
      <c r="L5" s="287"/>
    </row>
    <row r="6" spans="1:12" ht="16.5" customHeight="1" x14ac:dyDescent="0.2">
      <c r="A6" s="2">
        <v>175</v>
      </c>
      <c r="B6" s="276" t="s">
        <v>15</v>
      </c>
      <c r="C6" s="6"/>
      <c r="D6" s="14">
        <f>A6*1000000</f>
        <v>175000000</v>
      </c>
      <c r="E6" s="67"/>
      <c r="F6" s="332"/>
      <c r="G6" s="17">
        <f t="shared" ref="G6:G20" si="0">G5+D$7</f>
        <v>200000000</v>
      </c>
      <c r="H6" s="288"/>
      <c r="I6" s="288"/>
      <c r="J6" s="288"/>
      <c r="K6" s="288"/>
      <c r="L6" s="287"/>
    </row>
    <row r="7" spans="1:12" ht="16.5" customHeight="1" x14ac:dyDescent="0.2">
      <c r="A7" s="2">
        <v>25</v>
      </c>
      <c r="B7" s="276" t="s">
        <v>16</v>
      </c>
      <c r="C7" s="6"/>
      <c r="D7" s="14">
        <f>A7*1000000</f>
        <v>25000000</v>
      </c>
      <c r="E7" s="15"/>
      <c r="F7" s="332"/>
      <c r="G7" s="17">
        <f t="shared" si="0"/>
        <v>225000000</v>
      </c>
      <c r="H7" s="288"/>
      <c r="I7" s="288"/>
      <c r="J7" s="288"/>
      <c r="K7" s="288"/>
      <c r="L7" s="287"/>
    </row>
    <row r="8" spans="1:12" ht="15" customHeight="1" x14ac:dyDescent="0.2">
      <c r="A8" s="2">
        <v>25</v>
      </c>
      <c r="B8" s="276" t="s">
        <v>16</v>
      </c>
      <c r="C8" s="6"/>
      <c r="D8" s="12">
        <f>A8/10000</f>
        <v>2.5000000000000001E-3</v>
      </c>
      <c r="F8" s="332"/>
      <c r="G8" s="17">
        <f t="shared" si="0"/>
        <v>250000000</v>
      </c>
      <c r="H8" s="288"/>
      <c r="I8" s="288"/>
      <c r="J8" s="288"/>
      <c r="K8" s="288"/>
      <c r="L8" s="287"/>
    </row>
    <row r="9" spans="1:12" ht="15" customHeight="1" x14ac:dyDescent="0.2">
      <c r="C9" s="278"/>
      <c r="D9" s="278"/>
      <c r="F9" s="332"/>
      <c r="G9" s="17">
        <f t="shared" si="0"/>
        <v>275000000</v>
      </c>
      <c r="H9" s="288"/>
      <c r="I9" s="288"/>
      <c r="J9" s="288"/>
      <c r="K9" s="288"/>
      <c r="L9" s="287"/>
    </row>
    <row r="10" spans="1:12" ht="15" customHeight="1" x14ac:dyDescent="0.25">
      <c r="B10" s="279" t="s">
        <v>24</v>
      </c>
      <c r="C10" s="278"/>
      <c r="D10" s="278"/>
      <c r="F10" s="332"/>
      <c r="G10" s="17">
        <f t="shared" si="0"/>
        <v>300000000</v>
      </c>
      <c r="H10" s="288"/>
      <c r="I10" s="288"/>
      <c r="J10" s="288"/>
      <c r="K10" s="288"/>
      <c r="L10" s="287"/>
    </row>
    <row r="11" spans="1:12" ht="15" customHeight="1" x14ac:dyDescent="0.2">
      <c r="B11" s="278" t="s">
        <v>175</v>
      </c>
      <c r="C11" s="278"/>
      <c r="D11" s="278"/>
      <c r="F11" s="332"/>
      <c r="G11" s="17">
        <f t="shared" si="0"/>
        <v>325000000</v>
      </c>
      <c r="H11" s="288"/>
      <c r="I11" s="288"/>
      <c r="J11" s="288"/>
      <c r="K11" s="288"/>
      <c r="L11" s="287"/>
    </row>
    <row r="12" spans="1:12" ht="15" customHeight="1" x14ac:dyDescent="0.2">
      <c r="B12" s="278" t="s">
        <v>172</v>
      </c>
      <c r="C12" s="278"/>
      <c r="D12" s="278"/>
      <c r="F12" s="332"/>
      <c r="G12" s="17">
        <f t="shared" si="0"/>
        <v>350000000</v>
      </c>
      <c r="H12" s="288"/>
      <c r="I12" s="288"/>
      <c r="J12" s="288"/>
      <c r="K12" s="288"/>
      <c r="L12" s="287"/>
    </row>
    <row r="13" spans="1:12" ht="15" customHeight="1" x14ac:dyDescent="0.2">
      <c r="B13" s="283" t="s">
        <v>173</v>
      </c>
      <c r="C13" s="278"/>
      <c r="D13" s="278"/>
      <c r="F13" s="332"/>
      <c r="G13" s="17">
        <f t="shared" si="0"/>
        <v>375000000</v>
      </c>
      <c r="H13" s="288"/>
      <c r="I13" s="288"/>
      <c r="J13" s="288"/>
      <c r="K13" s="288"/>
      <c r="L13" s="287"/>
    </row>
    <row r="14" spans="1:12" ht="15" customHeight="1" x14ac:dyDescent="0.2">
      <c r="B14" s="283"/>
      <c r="C14" s="278"/>
      <c r="D14" s="278"/>
      <c r="F14" s="332"/>
      <c r="G14" s="17">
        <f t="shared" si="0"/>
        <v>400000000</v>
      </c>
      <c r="H14" s="288"/>
      <c r="I14" s="288"/>
      <c r="J14" s="288"/>
      <c r="K14" s="288"/>
      <c r="L14" s="287"/>
    </row>
    <row r="15" spans="1:12" ht="15" customHeight="1" x14ac:dyDescent="0.2">
      <c r="B15" s="278"/>
      <c r="C15" s="278"/>
      <c r="D15" s="278"/>
      <c r="F15" s="332"/>
      <c r="G15" s="17">
        <f t="shared" si="0"/>
        <v>425000000</v>
      </c>
      <c r="H15" s="288"/>
      <c r="I15" s="288"/>
      <c r="J15" s="288"/>
      <c r="K15" s="288"/>
      <c r="L15" s="287"/>
    </row>
    <row r="16" spans="1:12" ht="15" customHeight="1" x14ac:dyDescent="0.2">
      <c r="B16" s="278"/>
      <c r="C16" s="278"/>
      <c r="D16" s="278"/>
      <c r="F16" s="332"/>
      <c r="G16" s="17">
        <f t="shared" si="0"/>
        <v>450000000</v>
      </c>
      <c r="H16" s="288"/>
      <c r="I16" s="288"/>
      <c r="J16" s="288"/>
      <c r="K16" s="288"/>
      <c r="L16" s="287"/>
    </row>
    <row r="17" spans="2:12" ht="15" customHeight="1" x14ac:dyDescent="0.2">
      <c r="B17" s="278"/>
      <c r="C17" s="278"/>
      <c r="D17" s="278"/>
      <c r="F17" s="332"/>
      <c r="G17" s="17">
        <f t="shared" si="0"/>
        <v>475000000</v>
      </c>
      <c r="H17" s="288"/>
      <c r="I17" s="288"/>
      <c r="J17" s="288"/>
      <c r="K17" s="288"/>
      <c r="L17" s="287"/>
    </row>
    <row r="18" spans="2:12" ht="15" customHeight="1" x14ac:dyDescent="0.2">
      <c r="B18" s="278"/>
      <c r="C18" s="278"/>
      <c r="D18" s="278"/>
      <c r="F18" s="332"/>
      <c r="G18" s="17">
        <f t="shared" si="0"/>
        <v>500000000</v>
      </c>
      <c r="H18" s="288"/>
      <c r="I18" s="288"/>
      <c r="J18" s="288"/>
      <c r="K18" s="288"/>
      <c r="L18" s="287"/>
    </row>
    <row r="19" spans="2:12" ht="15" customHeight="1" x14ac:dyDescent="0.2">
      <c r="B19" s="278"/>
      <c r="C19" s="278"/>
      <c r="D19" s="278"/>
      <c r="F19" s="332"/>
      <c r="G19" s="17">
        <f t="shared" si="0"/>
        <v>525000000</v>
      </c>
      <c r="H19" s="288"/>
      <c r="I19" s="288"/>
      <c r="J19" s="288"/>
      <c r="K19" s="288"/>
      <c r="L19" s="287"/>
    </row>
    <row r="20" spans="2:12" ht="15" customHeight="1" x14ac:dyDescent="0.2">
      <c r="B20" s="278"/>
      <c r="C20" s="278"/>
      <c r="D20" s="278"/>
      <c r="F20" s="332"/>
      <c r="G20" s="17">
        <f t="shared" si="0"/>
        <v>550000000</v>
      </c>
      <c r="H20" s="288"/>
      <c r="I20" s="288"/>
      <c r="J20" s="288"/>
      <c r="K20" s="288"/>
      <c r="L20" s="287"/>
    </row>
    <row r="21" spans="2:12" ht="15" customHeight="1" x14ac:dyDescent="0.25">
      <c r="B21" s="282" t="s">
        <v>106</v>
      </c>
      <c r="C21" s="278"/>
      <c r="D21" s="278"/>
    </row>
    <row r="22" spans="2:12" ht="19.5" customHeight="1" x14ac:dyDescent="0.2">
      <c r="C22" s="2">
        <v>12</v>
      </c>
    </row>
    <row r="23" spans="2:12" x14ac:dyDescent="0.2">
      <c r="C23" s="2">
        <v>13</v>
      </c>
    </row>
    <row r="24" spans="2:12" x14ac:dyDescent="0.2">
      <c r="C24" s="2">
        <v>14</v>
      </c>
    </row>
    <row r="25" spans="2:12" x14ac:dyDescent="0.2">
      <c r="C25" s="2">
        <v>15</v>
      </c>
    </row>
    <row r="26" spans="2:12" x14ac:dyDescent="0.2">
      <c r="C26" s="2">
        <v>16</v>
      </c>
    </row>
    <row r="68" ht="19.5" customHeight="1" x14ac:dyDescent="0.2"/>
  </sheetData>
  <mergeCells count="2">
    <mergeCell ref="F5:F20"/>
    <mergeCell ref="H3:L3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9553" r:id="rId4" name="Scroll Bar 1">
              <controlPr defaultSize="0" autoPict="0">
                <anchor moveWithCells="1">
                  <from>
                    <xdr:col>1</xdr:col>
                    <xdr:colOff>1866900</xdr:colOff>
                    <xdr:row>2</xdr:row>
                    <xdr:rowOff>47625</xdr:rowOff>
                  </from>
                  <to>
                    <xdr:col>2</xdr:col>
                    <xdr:colOff>228600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554" r:id="rId5" name="Scroll Bar 2">
              <controlPr defaultSize="0" autoPict="0">
                <anchor moveWithCells="1">
                  <from>
                    <xdr:col>1</xdr:col>
                    <xdr:colOff>1866900</xdr:colOff>
                    <xdr:row>3</xdr:row>
                    <xdr:rowOff>38100</xdr:rowOff>
                  </from>
                  <to>
                    <xdr:col>2</xdr:col>
                    <xdr:colOff>228600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555" r:id="rId6" name="Scroll Bar 3">
              <controlPr defaultSize="0" autoPict="0">
                <anchor moveWithCells="1">
                  <from>
                    <xdr:col>1</xdr:col>
                    <xdr:colOff>1866900</xdr:colOff>
                    <xdr:row>5</xdr:row>
                    <xdr:rowOff>19050</xdr:rowOff>
                  </from>
                  <to>
                    <xdr:col>2</xdr:col>
                    <xdr:colOff>228600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556" r:id="rId7" name="Scroll Bar 4">
              <controlPr defaultSize="0" autoPict="0">
                <anchor moveWithCells="1">
                  <from>
                    <xdr:col>1</xdr:col>
                    <xdr:colOff>1866900</xdr:colOff>
                    <xdr:row>6</xdr:row>
                    <xdr:rowOff>9525</xdr:rowOff>
                  </from>
                  <to>
                    <xdr:col>2</xdr:col>
                    <xdr:colOff>228600</xdr:colOff>
                    <xdr:row>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557" r:id="rId8" name="Scroll Bar 5">
              <controlPr defaultSize="0" autoPict="0">
                <anchor moveWithCells="1">
                  <from>
                    <xdr:col>1</xdr:col>
                    <xdr:colOff>1866900</xdr:colOff>
                    <xdr:row>4</xdr:row>
                    <xdr:rowOff>28575</xdr:rowOff>
                  </from>
                  <to>
                    <xdr:col>2</xdr:col>
                    <xdr:colOff>228600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9559" r:id="rId9" name="Scroll Bar 7">
              <controlPr defaultSize="0" autoPict="0">
                <anchor moveWithCells="1">
                  <from>
                    <xdr:col>1</xdr:col>
                    <xdr:colOff>1866900</xdr:colOff>
                    <xdr:row>7</xdr:row>
                    <xdr:rowOff>0</xdr:rowOff>
                  </from>
                  <to>
                    <xdr:col>2</xdr:col>
                    <xdr:colOff>228600</xdr:colOff>
                    <xdr:row>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20"/>
  <sheetViews>
    <sheetView showGridLines="0" workbookViewId="0">
      <selection activeCell="D9" sqref="D9:D18"/>
    </sheetView>
  </sheetViews>
  <sheetFormatPr defaultRowHeight="15" x14ac:dyDescent="0.2"/>
  <cols>
    <col min="1" max="1" width="5.85546875" style="1" customWidth="1"/>
    <col min="2" max="2" width="21.7109375" style="1" customWidth="1"/>
    <col min="3" max="3" width="12.85546875" style="1" customWidth="1"/>
    <col min="4" max="4" width="14.85546875" style="1" customWidth="1"/>
    <col min="5" max="5" width="5.85546875" style="1" customWidth="1"/>
    <col min="6" max="6" width="15.140625" style="1" customWidth="1"/>
    <col min="7" max="7" width="5.85546875" style="1" customWidth="1"/>
    <col min="8" max="8" width="10.140625" style="1" customWidth="1"/>
    <col min="9" max="13" width="9.140625" style="1"/>
    <col min="14" max="14" width="5.85546875" style="1" customWidth="1"/>
    <col min="15" max="16384" width="9.140625" style="1"/>
  </cols>
  <sheetData>
    <row r="1" spans="2:8" ht="19.5" customHeight="1" x14ac:dyDescent="0.2"/>
    <row r="2" spans="2:8" ht="18.75" x14ac:dyDescent="0.2">
      <c r="B2" s="9" t="s">
        <v>14</v>
      </c>
    </row>
    <row r="3" spans="2:8" ht="16.5" customHeight="1" x14ac:dyDescent="0.2">
      <c r="B3" s="242" t="s">
        <v>142</v>
      </c>
      <c r="C3" s="8"/>
      <c r="D3" s="243">
        <f>E3/10000</f>
        <v>0.125</v>
      </c>
      <c r="E3" s="1">
        <v>1250</v>
      </c>
      <c r="F3" s="205" t="s">
        <v>121</v>
      </c>
      <c r="H3" s="78" t="s">
        <v>24</v>
      </c>
    </row>
    <row r="4" spans="2:8" ht="16.5" customHeight="1" x14ac:dyDescent="0.2">
      <c r="B4" s="242" t="s">
        <v>143</v>
      </c>
      <c r="C4" s="8"/>
      <c r="D4" s="244">
        <v>12</v>
      </c>
      <c r="E4" s="205" t="s">
        <v>121</v>
      </c>
      <c r="H4" s="1" t="s">
        <v>153</v>
      </c>
    </row>
    <row r="5" spans="2:8" ht="16.5" customHeight="1" x14ac:dyDescent="0.2">
      <c r="B5" s="242" t="s">
        <v>144</v>
      </c>
      <c r="C5" s="8"/>
      <c r="D5" s="245">
        <f>E5*1000000</f>
        <v>50000000</v>
      </c>
      <c r="E5" s="1">
        <v>50</v>
      </c>
      <c r="F5" s="205" t="s">
        <v>121</v>
      </c>
      <c r="H5" s="1" t="s">
        <v>104</v>
      </c>
    </row>
    <row r="6" spans="2:8" ht="15.75" customHeight="1" x14ac:dyDescent="0.2">
      <c r="C6" s="239"/>
      <c r="D6" s="240"/>
      <c r="H6" s="56" t="s">
        <v>105</v>
      </c>
    </row>
    <row r="7" spans="2:8" ht="15.75" customHeight="1" x14ac:dyDescent="0.2">
      <c r="C7" s="241"/>
      <c r="D7" s="247" t="s">
        <v>145</v>
      </c>
    </row>
    <row r="8" spans="2:8" ht="15.75" customHeight="1" x14ac:dyDescent="0.2">
      <c r="C8" s="248" t="s">
        <v>146</v>
      </c>
      <c r="D8" s="249">
        <f>-PMT(D3/12,D4,D5)</f>
        <v>4454143.1355300117</v>
      </c>
      <c r="E8" s="222" t="s">
        <v>147</v>
      </c>
    </row>
    <row r="9" spans="2:8" ht="15.75" customHeight="1" x14ac:dyDescent="0.2">
      <c r="C9" s="246">
        <v>12</v>
      </c>
      <c r="D9" s="257"/>
    </row>
    <row r="10" spans="2:8" ht="15.75" customHeight="1" x14ac:dyDescent="0.2">
      <c r="C10" s="246">
        <v>24</v>
      </c>
      <c r="D10" s="257"/>
    </row>
    <row r="11" spans="2:8" ht="15.75" customHeight="1" x14ac:dyDescent="0.2">
      <c r="C11" s="246">
        <v>36</v>
      </c>
      <c r="D11" s="257"/>
    </row>
    <row r="12" spans="2:8" ht="15.75" customHeight="1" x14ac:dyDescent="0.2">
      <c r="C12" s="246">
        <v>48</v>
      </c>
      <c r="D12" s="257"/>
    </row>
    <row r="13" spans="2:8" ht="15.75" customHeight="1" x14ac:dyDescent="0.2">
      <c r="C13" s="246">
        <v>60</v>
      </c>
      <c r="D13" s="257"/>
    </row>
    <row r="14" spans="2:8" ht="15.75" customHeight="1" x14ac:dyDescent="0.2">
      <c r="C14" s="246">
        <v>72</v>
      </c>
      <c r="D14" s="257"/>
      <c r="F14" s="2">
        <f>VLOOKUP(H16,C9:D18,2)</f>
        <v>0</v>
      </c>
      <c r="H14" s="1" t="s">
        <v>106</v>
      </c>
    </row>
    <row r="15" spans="2:8" ht="15.75" customHeight="1" x14ac:dyDescent="0.2">
      <c r="C15" s="246">
        <v>84</v>
      </c>
      <c r="D15" s="258"/>
    </row>
    <row r="16" spans="2:8" ht="15.75" customHeight="1" x14ac:dyDescent="0.2">
      <c r="C16" s="246">
        <v>96</v>
      </c>
      <c r="D16" s="258"/>
      <c r="E16" s="259" t="s">
        <v>151</v>
      </c>
      <c r="H16" s="260">
        <v>60</v>
      </c>
    </row>
    <row r="17" spans="3:13" ht="15.75" customHeight="1" x14ac:dyDescent="0.2">
      <c r="C17" s="246">
        <v>108</v>
      </c>
      <c r="D17" s="258"/>
      <c r="F17" s="316" t="str">
        <f>"Artinya, jika seseorang meminjam uang sebesar Rp "&amp;TEXT(D5,"#.###")&amp;" dengan jangka waktu pinjam selama "&amp;H16&amp;" bulan dan tingkat suku bunga pinjaman "&amp;TEXT(D3,"#,00%")&amp;", angsuran pinjaman per bulan sebesar Rp "&amp;TEXT(VLOOKUP(H16,C9:D18,2),"#.###,00")</f>
        <v>Artinya, jika seseorang meminjam uang sebesar Rp 50.000.000 dengan jangka waktu pinjam selama 60 bulan dan tingkat suku bunga pinjaman 12,50%, angsuran pinjaman per bulan sebesar Rp ,00</v>
      </c>
      <c r="G17" s="316"/>
      <c r="H17" s="316"/>
      <c r="I17" s="316"/>
      <c r="J17" s="316"/>
      <c r="K17" s="316"/>
      <c r="L17" s="316"/>
      <c r="M17" s="316"/>
    </row>
    <row r="18" spans="3:13" ht="15.75" customHeight="1" x14ac:dyDescent="0.2">
      <c r="C18" s="246">
        <v>120</v>
      </c>
      <c r="D18" s="258"/>
      <c r="F18" s="316"/>
      <c r="G18" s="316"/>
      <c r="H18" s="316"/>
      <c r="I18" s="316"/>
      <c r="J18" s="316"/>
      <c r="K18" s="316"/>
      <c r="L18" s="316"/>
      <c r="M18" s="316"/>
    </row>
    <row r="19" spans="3:13" ht="15.75" customHeight="1" x14ac:dyDescent="0.2">
      <c r="F19" s="316"/>
      <c r="G19" s="316"/>
      <c r="H19" s="316"/>
      <c r="I19" s="316"/>
      <c r="J19" s="316"/>
      <c r="K19" s="316"/>
      <c r="L19" s="316"/>
      <c r="M19" s="316"/>
    </row>
    <row r="20" spans="3:13" ht="19.5" customHeight="1" x14ac:dyDescent="0.2"/>
  </sheetData>
  <mergeCells count="1">
    <mergeCell ref="F17:M19"/>
  </mergeCells>
  <conditionalFormatting sqref="D9:D18">
    <cfRule type="cellIs" dxfId="8" priority="1" operator="equal">
      <formula>$F$14</formula>
    </cfRule>
  </conditionalFormatting>
  <dataValidations count="1">
    <dataValidation type="list" allowBlank="1" showInputMessage="1" showErrorMessage="1" sqref="H16">
      <formula1>$C$9:$C$18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76481" r:id="rId3" name="Scroll Bar 1">
              <controlPr defaultSize="0" autoPict="0">
                <anchor moveWithCells="1">
                  <from>
                    <xdr:col>2</xdr:col>
                    <xdr:colOff>285750</xdr:colOff>
                    <xdr:row>2</xdr:row>
                    <xdr:rowOff>19050</xdr:rowOff>
                  </from>
                  <to>
                    <xdr:col>2</xdr:col>
                    <xdr:colOff>771525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482" r:id="rId4" name="Scroll Bar 2">
              <controlPr defaultSize="0" autoPict="0">
                <anchor moveWithCells="1">
                  <from>
                    <xdr:col>2</xdr:col>
                    <xdr:colOff>285750</xdr:colOff>
                    <xdr:row>3</xdr:row>
                    <xdr:rowOff>19050</xdr:rowOff>
                  </from>
                  <to>
                    <xdr:col>2</xdr:col>
                    <xdr:colOff>771525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6483" r:id="rId5" name="Scroll Bar 3">
              <controlPr defaultSize="0" autoPict="0">
                <anchor moveWithCells="1">
                  <from>
                    <xdr:col>2</xdr:col>
                    <xdr:colOff>285750</xdr:colOff>
                    <xdr:row>4</xdr:row>
                    <xdr:rowOff>19050</xdr:rowOff>
                  </from>
                  <to>
                    <xdr:col>2</xdr:col>
                    <xdr:colOff>771525</xdr:colOff>
                    <xdr:row>4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29"/>
  <sheetViews>
    <sheetView showGridLines="0" topLeftCell="A3" zoomScaleNormal="100" workbookViewId="0">
      <selection activeCell="E11" sqref="E11:I20"/>
    </sheetView>
  </sheetViews>
  <sheetFormatPr defaultRowHeight="15" x14ac:dyDescent="0.2"/>
  <cols>
    <col min="1" max="1" width="5.85546875" style="1" customWidth="1"/>
    <col min="2" max="2" width="21.7109375" style="1" customWidth="1"/>
    <col min="3" max="3" width="3.85546875" style="1" customWidth="1"/>
    <col min="4" max="4" width="13.7109375" style="1" customWidth="1"/>
    <col min="5" max="9" width="15" style="1" customWidth="1"/>
    <col min="10" max="10" width="2.85546875" style="1" customWidth="1"/>
    <col min="11" max="13" width="9.140625" style="1"/>
    <col min="14" max="14" width="13.42578125" style="1" customWidth="1"/>
    <col min="15" max="15" width="5.85546875" style="1" customWidth="1"/>
    <col min="16" max="16384" width="9.140625" style="1"/>
  </cols>
  <sheetData>
    <row r="1" spans="2:11" ht="19.5" customHeight="1" x14ac:dyDescent="0.2"/>
    <row r="2" spans="2:11" ht="18.75" x14ac:dyDescent="0.2">
      <c r="B2" s="9" t="s">
        <v>14</v>
      </c>
      <c r="C2" s="9"/>
    </row>
    <row r="3" spans="2:11" ht="16.5" customHeight="1" x14ac:dyDescent="0.2">
      <c r="B3" s="242" t="s">
        <v>142</v>
      </c>
      <c r="C3" s="242"/>
      <c r="D3" s="8"/>
      <c r="E3" s="243">
        <f>F3/10000</f>
        <v>0.125</v>
      </c>
      <c r="F3" s="1">
        <v>1250</v>
      </c>
      <c r="G3" s="205" t="s">
        <v>121</v>
      </c>
    </row>
    <row r="4" spans="2:11" ht="16.5" customHeight="1" x14ac:dyDescent="0.2">
      <c r="B4" s="242" t="s">
        <v>143</v>
      </c>
      <c r="C4" s="242"/>
      <c r="D4" s="8"/>
      <c r="E4" s="244">
        <v>12</v>
      </c>
      <c r="F4" s="205" t="s">
        <v>121</v>
      </c>
    </row>
    <row r="5" spans="2:11" ht="16.5" customHeight="1" x14ac:dyDescent="0.2">
      <c r="B5" s="264" t="s">
        <v>144</v>
      </c>
      <c r="C5" s="264"/>
      <c r="D5" s="20"/>
      <c r="E5" s="265">
        <f>F5*1000000</f>
        <v>50000000</v>
      </c>
      <c r="F5" s="1">
        <v>50</v>
      </c>
      <c r="G5" s="205" t="s">
        <v>121</v>
      </c>
    </row>
    <row r="6" spans="2:11" ht="16.5" customHeight="1" x14ac:dyDescent="0.2">
      <c r="B6" s="261" t="s">
        <v>149</v>
      </c>
      <c r="C6" s="261"/>
      <c r="D6" s="262"/>
      <c r="E6" s="263">
        <f>F6/10000</f>
        <v>2.5000000000000001E-3</v>
      </c>
      <c r="F6" s="1">
        <v>25</v>
      </c>
      <c r="G6" s="205" t="s">
        <v>121</v>
      </c>
    </row>
    <row r="7" spans="2:11" ht="9.75" customHeight="1" x14ac:dyDescent="0.2">
      <c r="D7" s="239"/>
      <c r="E7" s="240"/>
    </row>
    <row r="8" spans="2:11" ht="15.75" customHeight="1" x14ac:dyDescent="0.2">
      <c r="C8" s="250" t="s">
        <v>148</v>
      </c>
      <c r="E8" s="251"/>
      <c r="F8" s="251"/>
      <c r="G8" s="251"/>
      <c r="H8" s="251"/>
      <c r="I8" s="251"/>
    </row>
    <row r="9" spans="2:11" ht="15.75" customHeight="1" x14ac:dyDescent="0.2">
      <c r="D9" s="253"/>
      <c r="E9" s="336" t="s">
        <v>166</v>
      </c>
      <c r="F9" s="336"/>
      <c r="G9" s="336"/>
      <c r="H9" s="336"/>
      <c r="I9" s="336"/>
      <c r="J9" s="15"/>
      <c r="K9" s="78" t="s">
        <v>24</v>
      </c>
    </row>
    <row r="10" spans="2:11" ht="15.75" customHeight="1" x14ac:dyDescent="0.2">
      <c r="C10" s="255" t="s">
        <v>150</v>
      </c>
      <c r="D10" s="266">
        <f>-PMT(E3/12,E4,E5)</f>
        <v>4454143.1355300117</v>
      </c>
      <c r="E10" s="48">
        <v>0.12</v>
      </c>
      <c r="F10" s="252">
        <f>E10+$E6</f>
        <v>0.1225</v>
      </c>
      <c r="G10" s="252">
        <f t="shared" ref="G10:I10" si="0">F10+$E6</f>
        <v>0.125</v>
      </c>
      <c r="H10" s="252">
        <f t="shared" si="0"/>
        <v>0.1275</v>
      </c>
      <c r="I10" s="256">
        <f t="shared" si="0"/>
        <v>0.13</v>
      </c>
      <c r="J10" s="15"/>
      <c r="K10" s="1" t="s">
        <v>155</v>
      </c>
    </row>
    <row r="11" spans="2:11" ht="15.75" customHeight="1" x14ac:dyDescent="0.2">
      <c r="C11" s="335" t="s">
        <v>9</v>
      </c>
      <c r="D11" s="254">
        <v>12</v>
      </c>
      <c r="E11" s="267"/>
      <c r="F11" s="268"/>
      <c r="G11" s="268"/>
      <c r="H11" s="268"/>
      <c r="I11" s="268"/>
      <c r="K11" s="1" t="s">
        <v>104</v>
      </c>
    </row>
    <row r="12" spans="2:11" ht="15.75" customHeight="1" x14ac:dyDescent="0.2">
      <c r="C12" s="335"/>
      <c r="D12" s="254">
        <v>24</v>
      </c>
      <c r="E12" s="267"/>
      <c r="F12" s="268"/>
      <c r="G12" s="268"/>
      <c r="H12" s="268"/>
      <c r="I12" s="268"/>
      <c r="K12" s="1" t="s">
        <v>105</v>
      </c>
    </row>
    <row r="13" spans="2:11" ht="15.75" customHeight="1" x14ac:dyDescent="0.2">
      <c r="C13" s="335"/>
      <c r="D13" s="254">
        <v>36</v>
      </c>
      <c r="E13" s="267"/>
      <c r="F13" s="268"/>
      <c r="G13" s="268"/>
      <c r="H13" s="268"/>
      <c r="I13" s="268"/>
    </row>
    <row r="14" spans="2:11" ht="15.75" customHeight="1" x14ac:dyDescent="0.2">
      <c r="C14" s="335"/>
      <c r="D14" s="254">
        <v>48</v>
      </c>
      <c r="E14" s="267"/>
      <c r="F14" s="268"/>
      <c r="G14" s="268"/>
      <c r="H14" s="268"/>
      <c r="I14" s="268"/>
    </row>
    <row r="15" spans="2:11" ht="15.75" customHeight="1" x14ac:dyDescent="0.2">
      <c r="C15" s="335"/>
      <c r="D15" s="254">
        <v>60</v>
      </c>
      <c r="E15" s="267"/>
      <c r="F15" s="268"/>
      <c r="G15" s="268"/>
      <c r="H15" s="268"/>
      <c r="I15" s="268"/>
    </row>
    <row r="16" spans="2:11" ht="15.75" customHeight="1" x14ac:dyDescent="0.2">
      <c r="C16" s="335"/>
      <c r="D16" s="254">
        <v>72</v>
      </c>
      <c r="E16" s="267"/>
      <c r="F16" s="268"/>
      <c r="G16" s="268"/>
      <c r="H16" s="268"/>
      <c r="I16" s="268"/>
    </row>
    <row r="17" spans="3:14" ht="15.75" customHeight="1" x14ac:dyDescent="0.2">
      <c r="C17" s="335"/>
      <c r="D17" s="254">
        <v>84</v>
      </c>
      <c r="E17" s="269"/>
      <c r="F17" s="268"/>
      <c r="G17" s="268"/>
      <c r="H17" s="268"/>
      <c r="I17" s="268"/>
    </row>
    <row r="18" spans="3:14" ht="15.75" customHeight="1" x14ac:dyDescent="0.2">
      <c r="C18" s="335"/>
      <c r="D18" s="254">
        <v>96</v>
      </c>
      <c r="E18" s="269"/>
      <c r="F18" s="268"/>
      <c r="G18" s="268"/>
      <c r="H18" s="268"/>
      <c r="I18" s="268"/>
    </row>
    <row r="19" spans="3:14" ht="15.75" customHeight="1" x14ac:dyDescent="0.2">
      <c r="C19" s="335"/>
      <c r="D19" s="254">
        <v>108</v>
      </c>
      <c r="E19" s="269"/>
      <c r="F19" s="268"/>
      <c r="G19" s="268"/>
      <c r="H19" s="268"/>
      <c r="I19" s="268"/>
    </row>
    <row r="20" spans="3:14" ht="15.75" customHeight="1" x14ac:dyDescent="0.2">
      <c r="C20" s="335"/>
      <c r="D20" s="254">
        <v>120</v>
      </c>
      <c r="E20" s="269"/>
      <c r="F20" s="268"/>
      <c r="G20" s="268"/>
      <c r="H20" s="268"/>
      <c r="I20" s="268"/>
      <c r="K20" s="1" t="s">
        <v>106</v>
      </c>
    </row>
    <row r="21" spans="3:14" ht="9.75" customHeight="1" x14ac:dyDescent="0.2"/>
    <row r="22" spans="3:14" x14ac:dyDescent="0.2">
      <c r="C22" s="33" t="s">
        <v>156</v>
      </c>
      <c r="D22" s="33"/>
      <c r="E22" s="206"/>
      <c r="F22" s="12">
        <v>0.1275</v>
      </c>
    </row>
    <row r="23" spans="3:14" x14ac:dyDescent="0.2">
      <c r="C23" s="271" t="s">
        <v>157</v>
      </c>
      <c r="D23" s="97"/>
      <c r="E23" s="20"/>
      <c r="F23" s="272">
        <v>36</v>
      </c>
    </row>
    <row r="24" spans="3:14" x14ac:dyDescent="0.2">
      <c r="C24" s="337" t="s">
        <v>158</v>
      </c>
      <c r="D24" s="337"/>
      <c r="E24" s="337"/>
      <c r="F24" s="270">
        <f>INDEX(ANGSURAN,MATCH(F23,D10:D20,),MATCH(F22,D10:I10,))</f>
        <v>0</v>
      </c>
    </row>
    <row r="25" spans="3:14" ht="9.75" customHeight="1" x14ac:dyDescent="0.2">
      <c r="K25" s="24"/>
      <c r="L25" s="24"/>
      <c r="M25" s="24"/>
      <c r="N25" s="24"/>
    </row>
    <row r="26" spans="3:14" ht="15" customHeight="1" x14ac:dyDescent="0.2">
      <c r="D26" s="331" t="str">
        <f>"Artinya, jika seseorang meminjam dana sebesar Rp "&amp;TEXT(E5,"#.###")&amp;" dengan bunga pinjaman per tahun "&amp;TEXT(F22,"#,00%")&amp;" dan jangka waktu pinjam selama "&amp;F23&amp;" bulan, angsuran per bulan sebesar Rp "&amp;TEXT(F24,"#.000,00")</f>
        <v>Artinya, jika seseorang meminjam dana sebesar Rp 50.000.000 dengan bunga pinjaman per tahun 12,75% dan jangka waktu pinjam selama 36 bulan, angsuran per bulan sebesar Rp 000,00</v>
      </c>
      <c r="E26" s="331"/>
      <c r="F26" s="331"/>
      <c r="G26" s="331"/>
      <c r="H26" s="331"/>
      <c r="I26" s="331"/>
      <c r="J26" s="273"/>
      <c r="K26" s="273"/>
      <c r="L26" s="273"/>
      <c r="M26" s="273"/>
      <c r="N26" s="273"/>
    </row>
    <row r="27" spans="3:14" x14ac:dyDescent="0.2">
      <c r="D27" s="331"/>
      <c r="E27" s="331"/>
      <c r="F27" s="331"/>
      <c r="G27" s="331"/>
      <c r="H27" s="331"/>
      <c r="I27" s="331"/>
      <c r="J27" s="273"/>
      <c r="K27" s="273"/>
      <c r="L27" s="273"/>
      <c r="M27" s="273"/>
      <c r="N27" s="273"/>
    </row>
    <row r="28" spans="3:14" x14ac:dyDescent="0.2">
      <c r="D28" s="331"/>
      <c r="E28" s="331"/>
      <c r="F28" s="331"/>
      <c r="G28" s="331"/>
      <c r="H28" s="331"/>
      <c r="I28" s="331"/>
      <c r="J28" s="24"/>
      <c r="K28" s="24"/>
      <c r="L28" s="24"/>
      <c r="M28" s="24"/>
      <c r="N28" s="24"/>
    </row>
    <row r="29" spans="3:14" ht="19.5" customHeight="1" x14ac:dyDescent="0.2"/>
  </sheetData>
  <mergeCells count="4">
    <mergeCell ref="C11:C20"/>
    <mergeCell ref="E9:I9"/>
    <mergeCell ref="C24:E24"/>
    <mergeCell ref="D26:I28"/>
  </mergeCells>
  <conditionalFormatting sqref="E11:I20">
    <cfRule type="cellIs" dxfId="7" priority="1" operator="equal">
      <formula>$F$24</formula>
    </cfRule>
  </conditionalFormatting>
  <dataValidations count="2">
    <dataValidation type="list" allowBlank="1" showInputMessage="1" showErrorMessage="1" sqref="F22">
      <formula1>$E$10:$I$10</formula1>
    </dataValidation>
    <dataValidation type="list" allowBlank="1" showInputMessage="1" showErrorMessage="1" sqref="F23">
      <formula1>$D$11:$D$20</formula1>
    </dataValidation>
  </dataValidation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0401" r:id="rId3" name="Scroll Bar 1">
              <controlPr defaultSize="0" autoPict="0">
                <anchor moveWithCells="1">
                  <from>
                    <xdr:col>3</xdr:col>
                    <xdr:colOff>285750</xdr:colOff>
                    <xdr:row>2</xdr:row>
                    <xdr:rowOff>19050</xdr:rowOff>
                  </from>
                  <to>
                    <xdr:col>3</xdr:col>
                    <xdr:colOff>771525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402" r:id="rId4" name="Scroll Bar 2">
              <controlPr defaultSize="0" autoPict="0">
                <anchor moveWithCells="1">
                  <from>
                    <xdr:col>3</xdr:col>
                    <xdr:colOff>285750</xdr:colOff>
                    <xdr:row>3</xdr:row>
                    <xdr:rowOff>19050</xdr:rowOff>
                  </from>
                  <to>
                    <xdr:col>3</xdr:col>
                    <xdr:colOff>771525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403" r:id="rId5" name="Scroll Bar 3">
              <controlPr defaultSize="0" autoPict="0">
                <anchor moveWithCells="1">
                  <from>
                    <xdr:col>3</xdr:col>
                    <xdr:colOff>285750</xdr:colOff>
                    <xdr:row>4</xdr:row>
                    <xdr:rowOff>19050</xdr:rowOff>
                  </from>
                  <to>
                    <xdr:col>3</xdr:col>
                    <xdr:colOff>771525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405" r:id="rId6" name="Scroll Bar 5">
              <controlPr defaultSize="0" autoPict="0">
                <anchor moveWithCells="1">
                  <from>
                    <xdr:col>3</xdr:col>
                    <xdr:colOff>285750</xdr:colOff>
                    <xdr:row>5</xdr:row>
                    <xdr:rowOff>28575</xdr:rowOff>
                  </from>
                  <to>
                    <xdr:col>3</xdr:col>
                    <xdr:colOff>771525</xdr:colOff>
                    <xdr:row>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showGridLines="0" workbookViewId="0">
      <selection activeCell="D10" sqref="D10"/>
    </sheetView>
  </sheetViews>
  <sheetFormatPr defaultRowHeight="15" x14ac:dyDescent="0.2"/>
  <cols>
    <col min="1" max="1" width="5.85546875" style="1" customWidth="1"/>
    <col min="2" max="2" width="18.7109375" style="1" customWidth="1"/>
    <col min="3" max="3" width="5.5703125" style="1" customWidth="1"/>
    <col min="4" max="4" width="12.7109375" style="1" customWidth="1"/>
    <col min="5" max="9" width="13.5703125" style="1" customWidth="1"/>
    <col min="10" max="10" width="5.85546875" style="1" customWidth="1"/>
    <col min="11" max="16384" width="9.140625" style="1"/>
  </cols>
  <sheetData>
    <row r="1" spans="1:9" ht="19.5" customHeight="1" x14ac:dyDescent="0.2"/>
    <row r="2" spans="1:9" ht="18.75" x14ac:dyDescent="0.2">
      <c r="B2" s="9" t="str">
        <f>"TABEL DATA - "&amp;UPPER(C3)</f>
        <v>TABEL DATA - BARIS DAN KOLOM</v>
      </c>
      <c r="C2" s="9"/>
    </row>
    <row r="3" spans="1:9" ht="18.75" customHeight="1" x14ac:dyDescent="0.2">
      <c r="A3" s="2">
        <v>3</v>
      </c>
      <c r="B3" s="97" t="s">
        <v>57</v>
      </c>
      <c r="C3" s="99" t="str">
        <f>IF(A3=1,"Input Baris",IF(A3=2,"Input Kolom","Baris dan Kolom"))</f>
        <v>Baris dan Kolom</v>
      </c>
      <c r="D3" s="98"/>
      <c r="F3" s="101"/>
      <c r="G3" s="101"/>
      <c r="H3" s="101"/>
      <c r="I3" s="101"/>
    </row>
    <row r="4" spans="1:9" ht="17.25" customHeight="1" x14ac:dyDescent="0.2">
      <c r="A4" s="92">
        <f>D6-2</f>
        <v>118</v>
      </c>
      <c r="B4" s="83" t="s">
        <v>45</v>
      </c>
      <c r="C4" s="83"/>
      <c r="D4" s="71">
        <v>15</v>
      </c>
    </row>
    <row r="5" spans="1:9" ht="17.25" customHeight="1" x14ac:dyDescent="0.2">
      <c r="A5" s="92">
        <f>A4+5</f>
        <v>123</v>
      </c>
      <c r="B5" s="83" t="s">
        <v>46</v>
      </c>
      <c r="C5" s="83"/>
      <c r="D5" s="71">
        <v>8</v>
      </c>
    </row>
    <row r="6" spans="1:9" ht="17.25" customHeight="1" x14ac:dyDescent="0.2">
      <c r="A6" s="92">
        <f t="shared" ref="A6:A8" si="0">A5+5</f>
        <v>128</v>
      </c>
      <c r="B6" s="83" t="s">
        <v>54</v>
      </c>
      <c r="C6" s="83"/>
      <c r="D6" s="71">
        <f>D4*D5</f>
        <v>120</v>
      </c>
    </row>
    <row r="7" spans="1:9" ht="17.25" customHeight="1" x14ac:dyDescent="0.2">
      <c r="A7" s="92">
        <f t="shared" si="0"/>
        <v>133</v>
      </c>
      <c r="B7" s="83" t="s">
        <v>55</v>
      </c>
      <c r="C7" s="83"/>
      <c r="D7" s="71">
        <f>E7*1000</f>
        <v>750000</v>
      </c>
      <c r="E7" s="25">
        <v>750</v>
      </c>
    </row>
    <row r="8" spans="1:9" x14ac:dyDescent="0.2">
      <c r="A8" s="92">
        <f t="shared" si="0"/>
        <v>138</v>
      </c>
    </row>
    <row r="9" spans="1:9" x14ac:dyDescent="0.2">
      <c r="D9" s="72"/>
      <c r="E9" s="300" t="str">
        <f>IF(A3&lt;&gt;2,"Luas Tanah","")</f>
        <v>Luas Tanah</v>
      </c>
      <c r="F9" s="300"/>
      <c r="G9" s="300"/>
      <c r="H9" s="300"/>
      <c r="I9" s="300"/>
    </row>
    <row r="10" spans="1:9" x14ac:dyDescent="0.2">
      <c r="B10" s="92">
        <f>D7-50000</f>
        <v>700000</v>
      </c>
      <c r="D10" s="100">
        <f>IF(A3=3,D6*D7,"Harga")</f>
        <v>90000000</v>
      </c>
      <c r="E10" s="79">
        <f>IF(A3=2,D6*D7,IF(A3&lt;&gt;2,A4))</f>
        <v>118</v>
      </c>
      <c r="F10" s="91">
        <f>IF(A3&lt;&gt;2,A5,"")</f>
        <v>123</v>
      </c>
      <c r="G10" s="91">
        <f>IF(F10="","",A6)</f>
        <v>128</v>
      </c>
      <c r="H10" s="91">
        <f>IF(G10="","",A7)</f>
        <v>133</v>
      </c>
      <c r="I10" s="91">
        <f>IF(H10="","",A8)</f>
        <v>138</v>
      </c>
    </row>
    <row r="11" spans="1:9" x14ac:dyDescent="0.2">
      <c r="B11" s="92">
        <f>B10+25000</f>
        <v>725000</v>
      </c>
      <c r="C11" s="301" t="str">
        <f>IF(A3=1,"",IF(A3=2,"Luas Tanah","Harga per meter"))</f>
        <v>Harga per meter</v>
      </c>
      <c r="D11" s="86">
        <f>IF(A3=1,D6*D7,IF(A3=2,A4,B10))</f>
        <v>700000</v>
      </c>
      <c r="E11" s="88"/>
      <c r="F11" s="88"/>
      <c r="G11" s="88"/>
      <c r="H11" s="88"/>
      <c r="I11" s="88"/>
    </row>
    <row r="12" spans="1:9" x14ac:dyDescent="0.2">
      <c r="B12" s="92">
        <f t="shared" ref="B12:B14" si="1">B11+25000</f>
        <v>750000</v>
      </c>
      <c r="C12" s="301"/>
      <c r="D12" s="69">
        <f>IF(A$3=2,A5,IF(A3=3,B11,""))</f>
        <v>725000</v>
      </c>
    </row>
    <row r="13" spans="1:9" x14ac:dyDescent="0.2">
      <c r="B13" s="92">
        <f t="shared" si="1"/>
        <v>775000</v>
      </c>
      <c r="C13" s="301"/>
      <c r="D13" s="69">
        <f>IF(A$3=2,A6,IF(A$3=3,B12,""))</f>
        <v>750000</v>
      </c>
    </row>
    <row r="14" spans="1:9" x14ac:dyDescent="0.2">
      <c r="B14" s="92">
        <f t="shared" si="1"/>
        <v>800000</v>
      </c>
      <c r="C14" s="301"/>
      <c r="D14" s="69">
        <f t="shared" ref="D14:D15" si="2">IF(A$3=2,A7,IF(A$3=3,B13,""))</f>
        <v>775000</v>
      </c>
    </row>
    <row r="15" spans="1:9" x14ac:dyDescent="0.2">
      <c r="C15" s="301"/>
      <c r="D15" s="69">
        <f t="shared" si="2"/>
        <v>800000</v>
      </c>
    </row>
    <row r="16" spans="1:9" ht="19.5" customHeight="1" x14ac:dyDescent="0.2"/>
    <row r="21" spans="2:2" ht="19.5" customHeight="1" x14ac:dyDescent="0.2">
      <c r="B21" s="69"/>
    </row>
  </sheetData>
  <mergeCells count="2">
    <mergeCell ref="E9:I9"/>
    <mergeCell ref="C11:C15"/>
  </mergeCells>
  <conditionalFormatting sqref="D12:D15">
    <cfRule type="notContainsBlanks" dxfId="20" priority="4">
      <formula>LEN(TRIM(D12))&gt;0</formula>
    </cfRule>
  </conditionalFormatting>
  <conditionalFormatting sqref="E10:I10">
    <cfRule type="notContainsBlanks" dxfId="19" priority="3">
      <formula>LEN(TRIM(E10))&gt;0</formula>
    </cfRule>
  </conditionalFormatting>
  <conditionalFormatting sqref="C11:C15">
    <cfRule type="notContainsBlanks" dxfId="18" priority="5">
      <formula>LEN(TRIM(C11))&gt;0</formula>
    </cfRule>
  </conditionalFormatting>
  <conditionalFormatting sqref="E9:I9">
    <cfRule type="notContainsBlanks" dxfId="17" priority="1">
      <formula>LEN(TRIM(E9))&gt;0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785" r:id="rId4" name="Scroll Bar 1">
              <controlPr defaultSize="0" autoPict="0">
                <anchor moveWithCells="1">
                  <from>
                    <xdr:col>1</xdr:col>
                    <xdr:colOff>1019175</xdr:colOff>
                    <xdr:row>3</xdr:row>
                    <xdr:rowOff>28575</xdr:rowOff>
                  </from>
                  <to>
                    <xdr:col>2</xdr:col>
                    <xdr:colOff>257175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86" r:id="rId5" name="Scroll Bar 2">
              <controlPr defaultSize="0" autoPict="0">
                <anchor moveWithCells="1">
                  <from>
                    <xdr:col>1</xdr:col>
                    <xdr:colOff>1019175</xdr:colOff>
                    <xdr:row>4</xdr:row>
                    <xdr:rowOff>28575</xdr:rowOff>
                  </from>
                  <to>
                    <xdr:col>2</xdr:col>
                    <xdr:colOff>257175</xdr:colOff>
                    <xdr:row>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87" r:id="rId6" name="Scroll Bar 3">
              <controlPr defaultSize="0" autoPict="0">
                <anchor moveWithCells="1">
                  <from>
                    <xdr:col>1</xdr:col>
                    <xdr:colOff>1019175</xdr:colOff>
                    <xdr:row>6</xdr:row>
                    <xdr:rowOff>28575</xdr:rowOff>
                  </from>
                  <to>
                    <xdr:col>2</xdr:col>
                    <xdr:colOff>257175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90" r:id="rId7" name="Scroll Bar 6">
              <controlPr defaultSize="0" autoPict="0">
                <anchor moveWithCells="1">
                  <from>
                    <xdr:col>1</xdr:col>
                    <xdr:colOff>657225</xdr:colOff>
                    <xdr:row>2</xdr:row>
                    <xdr:rowOff>38100</xdr:rowOff>
                  </from>
                  <to>
                    <xdr:col>1</xdr:col>
                    <xdr:colOff>1143000</xdr:colOff>
                    <xdr:row>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1"/>
  <sheetViews>
    <sheetView showGridLines="0" zoomScaleNormal="100" workbookViewId="0">
      <selection activeCell="F14" sqref="F14:F29"/>
    </sheetView>
  </sheetViews>
  <sheetFormatPr defaultRowHeight="15" customHeight="1" x14ac:dyDescent="0.2"/>
  <cols>
    <col min="1" max="1" width="6" style="1" customWidth="1"/>
    <col min="2" max="2" width="31.85546875" style="1" customWidth="1"/>
    <col min="3" max="3" width="3.85546875" style="1" customWidth="1"/>
    <col min="4" max="4" width="0.7109375" style="1" customWidth="1"/>
    <col min="5" max="5" width="17.28515625" style="1" customWidth="1"/>
    <col min="6" max="6" width="16.140625" style="1" customWidth="1"/>
    <col min="7" max="7" width="4.28515625" style="1" customWidth="1"/>
    <col min="8" max="8" width="7.28515625" style="1" customWidth="1"/>
    <col min="9" max="13" width="14.42578125" style="1" customWidth="1"/>
    <col min="14" max="14" width="6" style="1" customWidth="1"/>
    <col min="15" max="16384" width="9.140625" style="1"/>
  </cols>
  <sheetData>
    <row r="1" spans="1:13" ht="19.5" customHeight="1" x14ac:dyDescent="0.2"/>
    <row r="2" spans="1:13" ht="16.5" customHeight="1" x14ac:dyDescent="0.2">
      <c r="B2" s="9" t="str">
        <f>"ANGSURAN PINJAMAN - "&amp;IF(A8=1,"BUNGA EFEKTIF","BUNGA TETAP (FLAT)")</f>
        <v>ANGSURAN PINJAMAN - BUNGA EFEKTIF</v>
      </c>
    </row>
    <row r="3" spans="1:13" ht="16.5" customHeight="1" x14ac:dyDescent="0.2">
      <c r="A3" s="2">
        <v>250</v>
      </c>
      <c r="B3" s="55" t="s">
        <v>8</v>
      </c>
      <c r="C3" s="6"/>
      <c r="D3" s="7"/>
      <c r="E3" s="10">
        <f>A3*1000000</f>
        <v>250000000</v>
      </c>
      <c r="F3" s="15"/>
      <c r="G3" s="4">
        <v>1</v>
      </c>
      <c r="H3" s="338" t="s">
        <v>17</v>
      </c>
      <c r="I3" s="338"/>
      <c r="J3" s="338"/>
      <c r="K3" s="338"/>
    </row>
    <row r="4" spans="1:13" ht="16.5" customHeight="1" x14ac:dyDescent="0.2">
      <c r="A4" s="2"/>
      <c r="B4" s="55" t="s">
        <v>9</v>
      </c>
      <c r="C4" s="6"/>
      <c r="D4" s="7"/>
      <c r="E4" s="11">
        <v>60</v>
      </c>
      <c r="F4" s="15"/>
      <c r="G4" s="18">
        <v>6</v>
      </c>
      <c r="H4" s="339" t="str">
        <f>B3</f>
        <v>Jumlah Pinjaman</v>
      </c>
      <c r="I4" s="339"/>
      <c r="J4" s="339"/>
      <c r="K4" s="64">
        <f>VLOOKUP(G4,PINJAM,3)</f>
        <v>300000000</v>
      </c>
    </row>
    <row r="5" spans="1:13" ht="16.5" customHeight="1" x14ac:dyDescent="0.2">
      <c r="A5" s="2">
        <v>12</v>
      </c>
      <c r="B5" s="55" t="s">
        <v>10</v>
      </c>
      <c r="C5" s="6"/>
      <c r="D5" s="7"/>
      <c r="E5" s="12">
        <f>IF(A8=1,E6,E7)</f>
        <v>0.14000000000000001</v>
      </c>
      <c r="F5" s="15"/>
      <c r="G5" s="15"/>
      <c r="H5" s="339" t="str">
        <f>B4</f>
        <v>Jangka Waktu Pinjam</v>
      </c>
      <c r="I5" s="339"/>
      <c r="J5" s="339"/>
      <c r="K5" s="11">
        <f>E4</f>
        <v>60</v>
      </c>
    </row>
    <row r="6" spans="1:13" ht="16.5" customHeight="1" x14ac:dyDescent="0.2">
      <c r="A6" s="2">
        <v>1400</v>
      </c>
      <c r="B6" s="65" t="s">
        <v>40</v>
      </c>
      <c r="C6" s="6"/>
      <c r="D6" s="7"/>
      <c r="E6" s="12">
        <f>A6/10000</f>
        <v>0.14000000000000001</v>
      </c>
      <c r="F6" s="15"/>
      <c r="G6" s="15"/>
      <c r="H6" s="339" t="str">
        <f>B5</f>
        <v>Bunga Pinjaman per Tahun</v>
      </c>
      <c r="I6" s="339"/>
      <c r="J6" s="339"/>
      <c r="K6" s="12">
        <f>E5</f>
        <v>0.14000000000000001</v>
      </c>
    </row>
    <row r="7" spans="1:13" ht="16.5" customHeight="1" x14ac:dyDescent="0.2">
      <c r="A7" s="2">
        <v>800</v>
      </c>
      <c r="B7" s="65" t="s">
        <v>41</v>
      </c>
      <c r="C7" s="6"/>
      <c r="D7" s="7"/>
      <c r="E7" s="12">
        <f>A7/10000</f>
        <v>0.08</v>
      </c>
      <c r="F7" s="32"/>
      <c r="H7" s="339" t="s">
        <v>38</v>
      </c>
      <c r="I7" s="339"/>
      <c r="J7" s="339"/>
      <c r="K7" s="14">
        <f>VLOOKUP(G4,PINJAM,4)</f>
        <v>0</v>
      </c>
    </row>
    <row r="8" spans="1:13" ht="16.5" customHeight="1" x14ac:dyDescent="0.2">
      <c r="A8" s="2">
        <v>1</v>
      </c>
      <c r="B8" s="55" t="s">
        <v>39</v>
      </c>
      <c r="C8" s="6"/>
      <c r="D8" s="7"/>
      <c r="E8" s="12" t="str">
        <f>IF(A8=1,"Efektif","Tetap (Flat)")</f>
        <v>Efektif</v>
      </c>
      <c r="F8" s="66"/>
    </row>
    <row r="9" spans="1:13" ht="16.5" customHeight="1" x14ac:dyDescent="0.2">
      <c r="A9" s="2">
        <v>175</v>
      </c>
      <c r="B9" s="55" t="s">
        <v>15</v>
      </c>
      <c r="C9" s="6"/>
      <c r="D9" s="8"/>
      <c r="E9" s="14">
        <f>A9*1000000</f>
        <v>175000000</v>
      </c>
      <c r="F9" s="67"/>
      <c r="H9" s="54" t="str">
        <f>IF(G3=2,"","Bulan")</f>
        <v>Bulan</v>
      </c>
      <c r="I9" s="54" t="str">
        <f>IF(H9="","","Pokok")</f>
        <v>Pokok</v>
      </c>
      <c r="J9" s="54" t="str">
        <f>IF(I9="","","Cicilan Pokok")</f>
        <v>Cicilan Pokok</v>
      </c>
      <c r="K9" s="300" t="str">
        <f>IF(J9="","","Bunga")</f>
        <v>Bunga</v>
      </c>
      <c r="L9" s="54" t="str">
        <f>IF(J9="","","Angsuran")</f>
        <v>Angsuran</v>
      </c>
      <c r="M9" s="54" t="str">
        <f>IF(L9="","","Saldo Pokok")</f>
        <v>Saldo Pokok</v>
      </c>
    </row>
    <row r="10" spans="1:13" ht="16.5" customHeight="1" x14ac:dyDescent="0.2">
      <c r="A10" s="2">
        <v>25</v>
      </c>
      <c r="B10" s="55" t="s">
        <v>16</v>
      </c>
      <c r="C10" s="6"/>
      <c r="D10" s="8"/>
      <c r="E10" s="14">
        <f>A10*1000000</f>
        <v>25000000</v>
      </c>
      <c r="F10" s="15"/>
      <c r="H10" s="54" t="str">
        <f>IF(G3=2,"","ke")</f>
        <v>ke</v>
      </c>
      <c r="I10" s="54" t="str">
        <f>IF(I9="","","Pinjaman")</f>
        <v>Pinjaman</v>
      </c>
      <c r="J10" s="54" t="str">
        <f>IF(J9="","","Pinjaman")</f>
        <v>Pinjaman</v>
      </c>
      <c r="K10" s="300"/>
      <c r="L10" s="54" t="str">
        <f>IF(L9="","","per Bulan")</f>
        <v>per Bulan</v>
      </c>
      <c r="M10" s="54" t="str">
        <f>IF(M9="","","Pinjaman")</f>
        <v>Pinjaman</v>
      </c>
    </row>
    <row r="11" spans="1:13" ht="15" customHeight="1" x14ac:dyDescent="0.2">
      <c r="H11" s="3">
        <f>IF(G3=1,1,"")</f>
        <v>1</v>
      </c>
      <c r="I11" s="5">
        <f>IF(H11="","",K4)</f>
        <v>300000000</v>
      </c>
      <c r="J11" s="5">
        <f>IF(H11="","",IF(A$8=1,PPMT(K$6/12,H11,K$5,-K$4,1),K$4/E$4))</f>
        <v>3480475.2432147246</v>
      </c>
      <c r="K11" s="5">
        <f>IF(H11="","",IF(A$8=1,IPMT(K$6/12,H11,K$5,-K$4),K$4*K$6/12))</f>
        <v>3500000</v>
      </c>
      <c r="L11" s="5">
        <f>IF(H11="","",SUM(J11:K11))</f>
        <v>6980475.2432147246</v>
      </c>
      <c r="M11" s="5">
        <f t="shared" ref="M11:M42" si="0">IF(H11="","",I11-J11)</f>
        <v>296519524.75678527</v>
      </c>
    </row>
    <row r="12" spans="1:13" ht="15" customHeight="1" x14ac:dyDescent="0.25">
      <c r="B12" s="279" t="s">
        <v>24</v>
      </c>
      <c r="D12" s="22"/>
      <c r="E12" s="22"/>
      <c r="F12" s="23" t="s">
        <v>11</v>
      </c>
      <c r="H12" s="3">
        <f>IF(AND(H11&lt;E$4,H11&lt;&gt;""),H11+1,"")</f>
        <v>2</v>
      </c>
      <c r="I12" s="5">
        <f>IF(H12="","",M11)</f>
        <v>296519524.75678527</v>
      </c>
      <c r="J12" s="5">
        <f t="shared" ref="J12:J13" si="1">IF(H12="","",IF(A$8=1,PPMT(K$6/12,H12,K$5,-K$4,1),K$4/E$4))</f>
        <v>3521080.7877188968</v>
      </c>
      <c r="K12" s="5">
        <f t="shared" ref="K12:K70" si="2">IF(H12="","",IF(A$8=1,IPMT(K$6/12,H12,K$5,-K$4),K$4*K$6/12))</f>
        <v>3459394.4553604769</v>
      </c>
      <c r="L12" s="5">
        <f t="shared" ref="L12:L22" si="3">IF(H12="","",SUM(J12:K12))</f>
        <v>6980475.2430793736</v>
      </c>
      <c r="M12" s="5">
        <f t="shared" si="0"/>
        <v>292998443.96906638</v>
      </c>
    </row>
    <row r="13" spans="1:13" ht="15" customHeight="1" x14ac:dyDescent="0.2">
      <c r="B13" s="1" t="s">
        <v>42</v>
      </c>
      <c r="C13" s="2"/>
      <c r="D13" s="63"/>
      <c r="E13" s="20" t="s">
        <v>8</v>
      </c>
      <c r="F13" s="21">
        <f>IF(A8=1,-PMT(E5/12,E4,E3),E3/E4+(E3*E5/12))</f>
        <v>5817062.7123469245</v>
      </c>
      <c r="H13" s="3">
        <f t="shared" ref="H13:H70" si="4">IF(AND(H12&lt;E$4,H12&lt;&gt;""),H12+1,"")</f>
        <v>3</v>
      </c>
      <c r="I13" s="5">
        <f t="shared" ref="I13:I70" si="5">IF(H13="","",M12)</f>
        <v>292998443.96906638</v>
      </c>
      <c r="J13" s="5">
        <f t="shared" si="1"/>
        <v>3562160.0635756166</v>
      </c>
      <c r="K13" s="5">
        <f t="shared" si="2"/>
        <v>3418315.1793668256</v>
      </c>
      <c r="L13" s="5">
        <f t="shared" si="3"/>
        <v>6980475.2429424422</v>
      </c>
      <c r="M13" s="5">
        <f t="shared" si="0"/>
        <v>289436283.90549076</v>
      </c>
    </row>
    <row r="14" spans="1:13" ht="15" customHeight="1" x14ac:dyDescent="0.2">
      <c r="B14" s="1" t="s">
        <v>25</v>
      </c>
      <c r="C14" s="2">
        <v>1</v>
      </c>
      <c r="D14" s="13" t="str">
        <f t="shared" ref="D14:D29" si="6">IF(AND(G$3=1,E14=K$4),"x","")</f>
        <v/>
      </c>
      <c r="E14" s="17">
        <f>E9</f>
        <v>175000000</v>
      </c>
      <c r="F14" s="19"/>
      <c r="H14" s="3">
        <f t="shared" si="4"/>
        <v>4</v>
      </c>
      <c r="I14" s="5">
        <f t="shared" si="5"/>
        <v>289436283.90549076</v>
      </c>
      <c r="J14" s="5">
        <f t="shared" ref="J14:J70" si="7">IF(H14="","",IF(A$8=1,PPMT(K$6/12,H14,K$5,-K$4,1),K$4/E$4))</f>
        <v>3603718.5976506658</v>
      </c>
      <c r="K14" s="5">
        <f t="shared" si="2"/>
        <v>3376756.6451532478</v>
      </c>
      <c r="L14" s="5">
        <f t="shared" si="3"/>
        <v>6980475.2428039135</v>
      </c>
      <c r="M14" s="5">
        <f t="shared" si="0"/>
        <v>285832565.30784011</v>
      </c>
    </row>
    <row r="15" spans="1:13" ht="15" customHeight="1" x14ac:dyDescent="0.2">
      <c r="B15" s="1" t="s">
        <v>37</v>
      </c>
      <c r="C15" s="2">
        <v>2</v>
      </c>
      <c r="D15" s="13" t="str">
        <f t="shared" si="6"/>
        <v/>
      </c>
      <c r="E15" s="17">
        <f t="shared" ref="E15:E29" si="8">E14+E$10</f>
        <v>200000000</v>
      </c>
      <c r="F15" s="19"/>
      <c r="H15" s="3">
        <f t="shared" si="4"/>
        <v>5</v>
      </c>
      <c r="I15" s="5">
        <f t="shared" si="5"/>
        <v>285832565.30784011</v>
      </c>
      <c r="J15" s="5">
        <f t="shared" si="7"/>
        <v>3645761.9812899237</v>
      </c>
      <c r="K15" s="5">
        <f t="shared" si="2"/>
        <v>3334713.2613738454</v>
      </c>
      <c r="L15" s="5">
        <f t="shared" si="3"/>
        <v>6980475.2426637691</v>
      </c>
      <c r="M15" s="5">
        <f t="shared" si="0"/>
        <v>282186803.32655019</v>
      </c>
    </row>
    <row r="16" spans="1:13" ht="15" customHeight="1" x14ac:dyDescent="0.2">
      <c r="B16" s="56" t="s">
        <v>27</v>
      </c>
      <c r="C16" s="2">
        <v>3</v>
      </c>
      <c r="D16" s="13" t="str">
        <f t="shared" si="6"/>
        <v/>
      </c>
      <c r="E16" s="17">
        <f t="shared" si="8"/>
        <v>225000000</v>
      </c>
      <c r="F16" s="19"/>
      <c r="H16" s="3">
        <f t="shared" si="4"/>
        <v>6</v>
      </c>
      <c r="I16" s="5">
        <f t="shared" si="5"/>
        <v>282186803.32655019</v>
      </c>
      <c r="J16" s="5">
        <f t="shared" si="7"/>
        <v>3688295.871071639</v>
      </c>
      <c r="K16" s="5">
        <f t="shared" si="2"/>
        <v>3292179.3714503497</v>
      </c>
      <c r="L16" s="5">
        <f t="shared" si="3"/>
        <v>6980475.2425219882</v>
      </c>
      <c r="M16" s="5">
        <f t="shared" si="0"/>
        <v>278498507.45547855</v>
      </c>
    </row>
    <row r="17" spans="2:13" ht="15" customHeight="1" x14ac:dyDescent="0.2">
      <c r="C17" s="2">
        <v>4</v>
      </c>
      <c r="D17" s="13" t="str">
        <f t="shared" si="6"/>
        <v/>
      </c>
      <c r="E17" s="17">
        <f t="shared" si="8"/>
        <v>250000000</v>
      </c>
      <c r="F17" s="19"/>
      <c r="H17" s="3">
        <f t="shared" si="4"/>
        <v>7</v>
      </c>
      <c r="I17" s="5">
        <f t="shared" si="5"/>
        <v>278498507.45547855</v>
      </c>
      <c r="J17" s="5">
        <f t="shared" si="7"/>
        <v>3731325.9895674754</v>
      </c>
      <c r="K17" s="5">
        <f t="shared" si="2"/>
        <v>3249149.2528110812</v>
      </c>
      <c r="L17" s="5">
        <f t="shared" si="3"/>
        <v>6980475.2423785571</v>
      </c>
      <c r="M17" s="5">
        <f t="shared" si="0"/>
        <v>274767181.46591109</v>
      </c>
    </row>
    <row r="18" spans="2:13" ht="15" customHeight="1" x14ac:dyDescent="0.2">
      <c r="C18" s="2">
        <v>5</v>
      </c>
      <c r="D18" s="13" t="str">
        <f t="shared" si="6"/>
        <v/>
      </c>
      <c r="E18" s="17">
        <f t="shared" si="8"/>
        <v>275000000</v>
      </c>
      <c r="F18" s="19"/>
      <c r="H18" s="3">
        <f t="shared" si="4"/>
        <v>8</v>
      </c>
      <c r="I18" s="5">
        <f t="shared" si="5"/>
        <v>274767181.46591109</v>
      </c>
      <c r="J18" s="5">
        <f t="shared" si="7"/>
        <v>3774858.1261124285</v>
      </c>
      <c r="K18" s="5">
        <f t="shared" si="2"/>
        <v>3205617.1161210188</v>
      </c>
      <c r="L18" s="5">
        <f t="shared" si="3"/>
        <v>6980475.2422334477</v>
      </c>
      <c r="M18" s="5">
        <f t="shared" si="0"/>
        <v>270992323.33979869</v>
      </c>
    </row>
    <row r="19" spans="2:13" ht="15" customHeight="1" x14ac:dyDescent="0.2">
      <c r="C19" s="2">
        <v>6</v>
      </c>
      <c r="D19" s="13" t="str">
        <f t="shared" si="6"/>
        <v>x</v>
      </c>
      <c r="E19" s="17">
        <f t="shared" si="8"/>
        <v>300000000</v>
      </c>
      <c r="F19" s="19"/>
      <c r="H19" s="3">
        <f t="shared" si="4"/>
        <v>9</v>
      </c>
      <c r="I19" s="5">
        <f t="shared" si="5"/>
        <v>270992323.33979869</v>
      </c>
      <c r="J19" s="5">
        <f t="shared" si="7"/>
        <v>3818898.1375837405</v>
      </c>
      <c r="K19" s="5">
        <f t="shared" si="2"/>
        <v>3161577.104502908</v>
      </c>
      <c r="L19" s="5">
        <f t="shared" si="3"/>
        <v>6980475.2420866489</v>
      </c>
      <c r="M19" s="5">
        <f t="shared" si="0"/>
        <v>267173425.20221496</v>
      </c>
    </row>
    <row r="20" spans="2:13" ht="15" customHeight="1" x14ac:dyDescent="0.2">
      <c r="C20" s="2">
        <v>7</v>
      </c>
      <c r="D20" s="13" t="str">
        <f t="shared" si="6"/>
        <v/>
      </c>
      <c r="E20" s="17">
        <f t="shared" si="8"/>
        <v>325000000</v>
      </c>
      <c r="F20" s="19"/>
      <c r="H20" s="3">
        <f t="shared" si="4"/>
        <v>10</v>
      </c>
      <c r="I20" s="5">
        <f t="shared" si="5"/>
        <v>267173425.20221496</v>
      </c>
      <c r="J20" s="5">
        <f t="shared" si="7"/>
        <v>3863451.9491888839</v>
      </c>
      <c r="K20" s="5">
        <f t="shared" si="2"/>
        <v>3117023.2927492512</v>
      </c>
      <c r="L20" s="5">
        <f t="shared" si="3"/>
        <v>6980475.2419381347</v>
      </c>
      <c r="M20" s="5">
        <f t="shared" si="0"/>
        <v>263309973.25302607</v>
      </c>
    </row>
    <row r="21" spans="2:13" ht="15" customHeight="1" x14ac:dyDescent="0.2">
      <c r="C21" s="2">
        <v>8</v>
      </c>
      <c r="D21" s="13" t="str">
        <f t="shared" si="6"/>
        <v/>
      </c>
      <c r="E21" s="17">
        <f t="shared" si="8"/>
        <v>350000000</v>
      </c>
      <c r="F21" s="19"/>
      <c r="H21" s="3">
        <f t="shared" si="4"/>
        <v>11</v>
      </c>
      <c r="I21" s="5">
        <f t="shared" si="5"/>
        <v>263309973.25302607</v>
      </c>
      <c r="J21" s="5">
        <f t="shared" si="7"/>
        <v>3908525.5552627542</v>
      </c>
      <c r="K21" s="5">
        <f t="shared" si="2"/>
        <v>3071949.6865251358</v>
      </c>
      <c r="L21" s="5">
        <f t="shared" si="3"/>
        <v>6980475.24178789</v>
      </c>
      <c r="M21" s="5">
        <f t="shared" si="0"/>
        <v>259401447.69776332</v>
      </c>
    </row>
    <row r="22" spans="2:13" ht="15" customHeight="1" x14ac:dyDescent="0.2">
      <c r="C22" s="2">
        <v>9</v>
      </c>
      <c r="D22" s="13" t="str">
        <f t="shared" si="6"/>
        <v/>
      </c>
      <c r="E22" s="17">
        <f t="shared" si="8"/>
        <v>375000000</v>
      </c>
      <c r="F22" s="19"/>
      <c r="H22" s="3">
        <f t="shared" si="4"/>
        <v>12</v>
      </c>
      <c r="I22" s="5">
        <f t="shared" si="5"/>
        <v>259401447.69776332</v>
      </c>
      <c r="J22" s="5">
        <f t="shared" si="7"/>
        <v>3954125.0200741529</v>
      </c>
      <c r="K22" s="5">
        <f t="shared" si="2"/>
        <v>3026350.2215617388</v>
      </c>
      <c r="L22" s="5">
        <f t="shared" si="3"/>
        <v>6980475.2416358916</v>
      </c>
      <c r="M22" s="5">
        <f t="shared" si="0"/>
        <v>255447322.67768916</v>
      </c>
    </row>
    <row r="23" spans="2:13" ht="15" customHeight="1" x14ac:dyDescent="0.2">
      <c r="C23" s="2">
        <v>10</v>
      </c>
      <c r="D23" s="13" t="str">
        <f t="shared" si="6"/>
        <v/>
      </c>
      <c r="E23" s="17">
        <f t="shared" si="8"/>
        <v>400000000</v>
      </c>
      <c r="F23" s="19"/>
      <c r="H23" s="3">
        <f t="shared" si="4"/>
        <v>13</v>
      </c>
      <c r="I23" s="5">
        <f t="shared" si="5"/>
        <v>255447322.67768916</v>
      </c>
      <c r="J23" s="5">
        <f t="shared" si="7"/>
        <v>4000256.4786416846</v>
      </c>
      <c r="K23" s="5">
        <f t="shared" si="2"/>
        <v>2980218.7628404349</v>
      </c>
      <c r="L23" s="5">
        <f t="shared" ref="L23:L70" si="9">IF(H23="","",SUM(J23:K23))</f>
        <v>6980475.24148212</v>
      </c>
      <c r="M23" s="5">
        <f t="shared" si="0"/>
        <v>251447066.19904748</v>
      </c>
    </row>
    <row r="24" spans="2:13" x14ac:dyDescent="0.25">
      <c r="B24" s="29" t="s">
        <v>28</v>
      </c>
      <c r="C24" s="2">
        <v>11</v>
      </c>
      <c r="D24" s="13" t="str">
        <f t="shared" si="6"/>
        <v/>
      </c>
      <c r="E24" s="17">
        <f t="shared" si="8"/>
        <v>425000000</v>
      </c>
      <c r="F24" s="19"/>
      <c r="H24" s="3">
        <f t="shared" si="4"/>
        <v>14</v>
      </c>
      <c r="I24" s="5">
        <f t="shared" si="5"/>
        <v>251447066.19904748</v>
      </c>
      <c r="J24" s="5">
        <f t="shared" si="7"/>
        <v>4046926.1375591708</v>
      </c>
      <c r="K24" s="5">
        <f t="shared" si="2"/>
        <v>2933549.1037673829</v>
      </c>
      <c r="L24" s="5">
        <f t="shared" si="9"/>
        <v>6980475.2413265537</v>
      </c>
      <c r="M24" s="5">
        <f t="shared" si="0"/>
        <v>247400140.0614883</v>
      </c>
    </row>
    <row r="25" spans="2:13" x14ac:dyDescent="0.2">
      <c r="C25" s="2">
        <v>12</v>
      </c>
      <c r="D25" s="13" t="str">
        <f t="shared" si="6"/>
        <v/>
      </c>
      <c r="E25" s="17">
        <f t="shared" si="8"/>
        <v>450000000</v>
      </c>
      <c r="F25" s="19"/>
      <c r="H25" s="3">
        <f t="shared" si="4"/>
        <v>15</v>
      </c>
      <c r="I25" s="5">
        <f t="shared" si="5"/>
        <v>247400140.0614883</v>
      </c>
      <c r="J25" s="5">
        <f t="shared" si="7"/>
        <v>4094140.2758306945</v>
      </c>
      <c r="K25" s="5">
        <f t="shared" si="2"/>
        <v>2886334.9653384793</v>
      </c>
      <c r="L25" s="5">
        <f t="shared" si="9"/>
        <v>6980475.2411691733</v>
      </c>
      <c r="M25" s="5">
        <f t="shared" si="0"/>
        <v>243305999.78565761</v>
      </c>
    </row>
    <row r="26" spans="2:13" x14ac:dyDescent="0.2">
      <c r="C26" s="2">
        <v>13</v>
      </c>
      <c r="D26" s="13" t="str">
        <f t="shared" si="6"/>
        <v/>
      </c>
      <c r="E26" s="17">
        <f t="shared" si="8"/>
        <v>475000000</v>
      </c>
      <c r="F26" s="19"/>
      <c r="H26" s="3">
        <f t="shared" si="4"/>
        <v>16</v>
      </c>
      <c r="I26" s="5">
        <f t="shared" si="5"/>
        <v>243305999.78565761</v>
      </c>
      <c r="J26" s="5">
        <f t="shared" si="7"/>
        <v>4141905.2457153867</v>
      </c>
      <c r="K26" s="5">
        <f t="shared" si="2"/>
        <v>2838569.9952945714</v>
      </c>
      <c r="L26" s="5">
        <f t="shared" si="9"/>
        <v>6980475.2410099581</v>
      </c>
      <c r="M26" s="5">
        <f t="shared" si="0"/>
        <v>239164094.53994223</v>
      </c>
    </row>
    <row r="27" spans="2:13" x14ac:dyDescent="0.2">
      <c r="C27" s="2">
        <v>14</v>
      </c>
      <c r="D27" s="13" t="str">
        <f t="shared" si="6"/>
        <v/>
      </c>
      <c r="E27" s="17">
        <f t="shared" si="8"/>
        <v>500000000</v>
      </c>
      <c r="F27" s="19"/>
      <c r="H27" s="3">
        <f t="shared" si="4"/>
        <v>17</v>
      </c>
      <c r="I27" s="5">
        <f t="shared" si="5"/>
        <v>239164094.53994223</v>
      </c>
      <c r="J27" s="5">
        <f t="shared" si="7"/>
        <v>4190227.4735820661</v>
      </c>
      <c r="K27" s="5">
        <f t="shared" si="2"/>
        <v>2790247.7672668179</v>
      </c>
      <c r="L27" s="5">
        <f t="shared" si="9"/>
        <v>6980475.240848884</v>
      </c>
      <c r="M27" s="5">
        <f t="shared" si="0"/>
        <v>234973867.06636018</v>
      </c>
    </row>
    <row r="28" spans="2:13" x14ac:dyDescent="0.2">
      <c r="C28" s="2">
        <v>15</v>
      </c>
      <c r="D28" s="13" t="str">
        <f t="shared" si="6"/>
        <v/>
      </c>
      <c r="E28" s="17">
        <f t="shared" si="8"/>
        <v>525000000</v>
      </c>
      <c r="F28" s="19"/>
      <c r="H28" s="3">
        <f t="shared" si="4"/>
        <v>18</v>
      </c>
      <c r="I28" s="5">
        <f t="shared" si="5"/>
        <v>234973867.06636018</v>
      </c>
      <c r="J28" s="5">
        <f t="shared" si="7"/>
        <v>4239113.4607738564</v>
      </c>
      <c r="K28" s="5">
        <f t="shared" si="2"/>
        <v>2741361.7799120732</v>
      </c>
      <c r="L28" s="5">
        <f t="shared" si="9"/>
        <v>6980475.2406859295</v>
      </c>
      <c r="M28" s="5">
        <f t="shared" si="0"/>
        <v>230734753.60558632</v>
      </c>
    </row>
    <row r="29" spans="2:13" x14ac:dyDescent="0.2">
      <c r="C29" s="2">
        <v>16</v>
      </c>
      <c r="D29" s="13" t="str">
        <f t="shared" si="6"/>
        <v/>
      </c>
      <c r="E29" s="17">
        <f t="shared" si="8"/>
        <v>550000000</v>
      </c>
      <c r="F29" s="19"/>
      <c r="H29" s="3">
        <f t="shared" si="4"/>
        <v>19</v>
      </c>
      <c r="I29" s="5">
        <f t="shared" si="5"/>
        <v>230734753.60558632</v>
      </c>
      <c r="J29" s="5">
        <f t="shared" si="7"/>
        <v>4288569.7844828852</v>
      </c>
      <c r="K29" s="5">
        <f t="shared" si="2"/>
        <v>2691905.456038191</v>
      </c>
      <c r="L29" s="5">
        <f t="shared" si="9"/>
        <v>6980475.2405210761</v>
      </c>
      <c r="M29" s="5">
        <f t="shared" si="0"/>
        <v>226446183.82110342</v>
      </c>
    </row>
    <row r="30" spans="2:13" x14ac:dyDescent="0.2">
      <c r="H30" s="3">
        <f t="shared" si="4"/>
        <v>20</v>
      </c>
      <c r="I30" s="5">
        <f t="shared" si="5"/>
        <v>226446183.82110342</v>
      </c>
      <c r="J30" s="5">
        <f t="shared" si="7"/>
        <v>4338603.0986351855</v>
      </c>
      <c r="K30" s="5">
        <f t="shared" si="2"/>
        <v>2641872.1417191126</v>
      </c>
      <c r="L30" s="5">
        <f t="shared" si="9"/>
        <v>6980475.2403542977</v>
      </c>
      <c r="M30" s="5">
        <f t="shared" si="0"/>
        <v>222107580.72246823</v>
      </c>
    </row>
    <row r="31" spans="2:13" x14ac:dyDescent="0.2">
      <c r="H31" s="3">
        <f t="shared" si="4"/>
        <v>21</v>
      </c>
      <c r="I31" s="5">
        <f t="shared" si="5"/>
        <v>222107580.72246823</v>
      </c>
      <c r="J31" s="5">
        <f t="shared" si="7"/>
        <v>4389220.1347859297</v>
      </c>
      <c r="K31" s="5">
        <f t="shared" si="2"/>
        <v>2591255.1053996459</v>
      </c>
      <c r="L31" s="5">
        <f t="shared" si="9"/>
        <v>6980475.2401855756</v>
      </c>
      <c r="M31" s="5">
        <f t="shared" si="0"/>
        <v>217718360.58768231</v>
      </c>
    </row>
    <row r="32" spans="2:13" x14ac:dyDescent="0.2">
      <c r="H32" s="3">
        <f t="shared" si="4"/>
        <v>22</v>
      </c>
      <c r="I32" s="5">
        <f t="shared" si="5"/>
        <v>217718360.58768231</v>
      </c>
      <c r="J32" s="5">
        <f t="shared" si="7"/>
        <v>4440427.7030250989</v>
      </c>
      <c r="K32" s="5">
        <f t="shared" si="2"/>
        <v>2540047.5369897848</v>
      </c>
      <c r="L32" s="5">
        <f t="shared" si="9"/>
        <v>6980475.2400148837</v>
      </c>
      <c r="M32" s="5">
        <f t="shared" si="0"/>
        <v>213277932.8846572</v>
      </c>
    </row>
    <row r="33" spans="8:13" x14ac:dyDescent="0.2">
      <c r="H33" s="3">
        <f t="shared" si="4"/>
        <v>23</v>
      </c>
      <c r="I33" s="5">
        <f t="shared" si="5"/>
        <v>213277932.8846572</v>
      </c>
      <c r="J33" s="5">
        <f t="shared" si="7"/>
        <v>4492232.6928937249</v>
      </c>
      <c r="K33" s="5">
        <f t="shared" si="2"/>
        <v>2488242.5469484748</v>
      </c>
      <c r="L33" s="5">
        <f t="shared" si="9"/>
        <v>6980475.2398421997</v>
      </c>
      <c r="M33" s="5">
        <f t="shared" si="0"/>
        <v>208785700.19176349</v>
      </c>
    </row>
    <row r="34" spans="8:13" x14ac:dyDescent="0.2">
      <c r="H34" s="3">
        <f t="shared" si="4"/>
        <v>24</v>
      </c>
      <c r="I34" s="5">
        <f t="shared" si="5"/>
        <v>208785700.19176349</v>
      </c>
      <c r="J34" s="5">
        <f t="shared" si="7"/>
        <v>4544642.0743108178</v>
      </c>
      <c r="K34" s="5">
        <f t="shared" si="2"/>
        <v>2435833.165356684</v>
      </c>
      <c r="L34" s="5">
        <f t="shared" si="9"/>
        <v>6980475.2396675013</v>
      </c>
      <c r="M34" s="5">
        <f t="shared" si="0"/>
        <v>204241058.11745268</v>
      </c>
    </row>
    <row r="35" spans="8:13" x14ac:dyDescent="0.2">
      <c r="H35" s="3">
        <f t="shared" si="4"/>
        <v>25</v>
      </c>
      <c r="I35" s="5">
        <f t="shared" si="5"/>
        <v>204241058.11745268</v>
      </c>
      <c r="J35" s="5">
        <f t="shared" si="7"/>
        <v>4597662.8985111108</v>
      </c>
      <c r="K35" s="5">
        <f t="shared" si="2"/>
        <v>2382812.3409796548</v>
      </c>
      <c r="L35" s="5">
        <f t="shared" si="9"/>
        <v>6980475.2394907661</v>
      </c>
      <c r="M35" s="5">
        <f t="shared" si="0"/>
        <v>199643395.21894157</v>
      </c>
    </row>
    <row r="36" spans="8:13" x14ac:dyDescent="0.2">
      <c r="H36" s="3">
        <f t="shared" si="4"/>
        <v>26</v>
      </c>
      <c r="I36" s="5">
        <f t="shared" si="5"/>
        <v>199643395.21894157</v>
      </c>
      <c r="J36" s="5">
        <f t="shared" si="7"/>
        <v>4651302.2989937402</v>
      </c>
      <c r="K36" s="5">
        <f t="shared" si="2"/>
        <v>2329172.9403182268</v>
      </c>
      <c r="L36" s="5">
        <f t="shared" si="9"/>
        <v>6980475.239311967</v>
      </c>
      <c r="M36" s="5">
        <f t="shared" si="0"/>
        <v>194992092.91994783</v>
      </c>
    </row>
    <row r="37" spans="8:13" x14ac:dyDescent="0.2">
      <c r="H37" s="3">
        <f t="shared" si="4"/>
        <v>27</v>
      </c>
      <c r="I37" s="5">
        <f t="shared" si="5"/>
        <v>194992092.91994783</v>
      </c>
      <c r="J37" s="5">
        <f t="shared" si="7"/>
        <v>4705567.492482001</v>
      </c>
      <c r="K37" s="5">
        <f t="shared" si="2"/>
        <v>2274907.7466490828</v>
      </c>
      <c r="L37" s="5">
        <f t="shared" si="9"/>
        <v>6980475.2391310837</v>
      </c>
      <c r="M37" s="5">
        <f t="shared" si="0"/>
        <v>190286525.42746583</v>
      </c>
    </row>
    <row r="38" spans="8:13" x14ac:dyDescent="0.2">
      <c r="H38" s="3">
        <f t="shared" si="4"/>
        <v>28</v>
      </c>
      <c r="I38" s="5">
        <f t="shared" si="5"/>
        <v>190286525.42746583</v>
      </c>
      <c r="J38" s="5">
        <f t="shared" si="7"/>
        <v>4760465.7798942905</v>
      </c>
      <c r="K38" s="5">
        <f t="shared" si="2"/>
        <v>2220009.4590537986</v>
      </c>
      <c r="L38" s="5">
        <f t="shared" si="9"/>
        <v>6980475.2389480891</v>
      </c>
      <c r="M38" s="5">
        <f t="shared" si="0"/>
        <v>185526059.64757153</v>
      </c>
    </row>
    <row r="39" spans="8:13" x14ac:dyDescent="0.2">
      <c r="H39" s="3">
        <f t="shared" si="4"/>
        <v>29</v>
      </c>
      <c r="I39" s="5">
        <f t="shared" si="5"/>
        <v>185526059.64757153</v>
      </c>
      <c r="J39" s="5">
        <f t="shared" si="7"/>
        <v>4816004.5473263906</v>
      </c>
      <c r="K39" s="5">
        <f t="shared" si="2"/>
        <v>2164470.6914365692</v>
      </c>
      <c r="L39" s="5">
        <f t="shared" si="9"/>
        <v>6980475.2387629598</v>
      </c>
      <c r="M39" s="5">
        <f t="shared" si="0"/>
        <v>180710055.10024515</v>
      </c>
    </row>
    <row r="40" spans="8:13" x14ac:dyDescent="0.2">
      <c r="H40" s="3">
        <f t="shared" si="4"/>
        <v>30</v>
      </c>
      <c r="I40" s="5">
        <f t="shared" si="5"/>
        <v>180710055.10024515</v>
      </c>
      <c r="J40" s="5">
        <f t="shared" si="7"/>
        <v>4872191.2670451989</v>
      </c>
      <c r="K40" s="5">
        <f t="shared" si="2"/>
        <v>2108283.9715304724</v>
      </c>
      <c r="L40" s="5">
        <f t="shared" si="9"/>
        <v>6980475.2385756709</v>
      </c>
      <c r="M40" s="5">
        <f t="shared" si="0"/>
        <v>175837863.83319995</v>
      </c>
    </row>
    <row r="41" spans="8:13" x14ac:dyDescent="0.2">
      <c r="H41" s="3">
        <f t="shared" si="4"/>
        <v>31</v>
      </c>
      <c r="I41" s="5">
        <f t="shared" si="5"/>
        <v>175837863.83319995</v>
      </c>
      <c r="J41" s="5">
        <f t="shared" si="7"/>
        <v>4929033.4984940598</v>
      </c>
      <c r="K41" s="5">
        <f t="shared" si="2"/>
        <v>2051441.7398921372</v>
      </c>
      <c r="L41" s="5">
        <f t="shared" si="9"/>
        <v>6980475.238386197</v>
      </c>
      <c r="M41" s="5">
        <f t="shared" si="0"/>
        <v>170908830.33470589</v>
      </c>
    </row>
    <row r="42" spans="8:13" x14ac:dyDescent="0.2">
      <c r="H42" s="3">
        <f t="shared" si="4"/>
        <v>32</v>
      </c>
      <c r="I42" s="5">
        <f t="shared" si="5"/>
        <v>170908830.33470589</v>
      </c>
      <c r="J42" s="5">
        <f t="shared" si="7"/>
        <v>4986538.8893098235</v>
      </c>
      <c r="K42" s="5">
        <f t="shared" si="2"/>
        <v>1993936.3488846889</v>
      </c>
      <c r="L42" s="5">
        <f t="shared" si="9"/>
        <v>6980475.2381945122</v>
      </c>
      <c r="M42" s="5">
        <f t="shared" si="0"/>
        <v>165922291.44539607</v>
      </c>
    </row>
    <row r="43" spans="8:13" x14ac:dyDescent="0.2">
      <c r="H43" s="3">
        <f t="shared" si="4"/>
        <v>33</v>
      </c>
      <c r="I43" s="5">
        <f t="shared" si="5"/>
        <v>165922291.44539607</v>
      </c>
      <c r="J43" s="5">
        <f t="shared" si="7"/>
        <v>5044715.1763517717</v>
      </c>
      <c r="K43" s="5">
        <f t="shared" si="2"/>
        <v>1935760.0616488196</v>
      </c>
      <c r="L43" s="5">
        <f t="shared" si="9"/>
        <v>6980475.2380005913</v>
      </c>
      <c r="M43" s="5">
        <f t="shared" ref="M43:M70" si="10">IF(H43="","",I43-J43)</f>
        <v>160877576.26904428</v>
      </c>
    </row>
    <row r="44" spans="8:13" x14ac:dyDescent="0.2">
      <c r="H44" s="3">
        <f t="shared" si="4"/>
        <v>34</v>
      </c>
      <c r="I44" s="5">
        <f t="shared" si="5"/>
        <v>160877576.26904428</v>
      </c>
      <c r="J44" s="5">
        <f t="shared" si="7"/>
        <v>5103570.1867425423</v>
      </c>
      <c r="K44" s="5">
        <f t="shared" si="2"/>
        <v>1876905.0510618661</v>
      </c>
      <c r="L44" s="5">
        <f t="shared" si="9"/>
        <v>6980475.2378044082</v>
      </c>
      <c r="M44" s="5">
        <f t="shared" si="10"/>
        <v>155774006.08230174</v>
      </c>
    </row>
    <row r="45" spans="8:13" x14ac:dyDescent="0.2">
      <c r="H45" s="3">
        <f t="shared" si="4"/>
        <v>35</v>
      </c>
      <c r="I45" s="5">
        <f t="shared" si="5"/>
        <v>155774006.08230174</v>
      </c>
      <c r="J45" s="5">
        <f t="shared" si="7"/>
        <v>5163111.8389212051</v>
      </c>
      <c r="K45" s="5">
        <f t="shared" si="2"/>
        <v>1817363.3986847308</v>
      </c>
      <c r="L45" s="5">
        <f t="shared" si="9"/>
        <v>6980475.2376059359</v>
      </c>
      <c r="M45" s="5">
        <f t="shared" si="10"/>
        <v>150610894.24338052</v>
      </c>
    </row>
    <row r="46" spans="8:13" x14ac:dyDescent="0.2">
      <c r="H46" s="3">
        <f t="shared" si="4"/>
        <v>36</v>
      </c>
      <c r="I46" s="5">
        <f t="shared" si="5"/>
        <v>150610894.24338052</v>
      </c>
      <c r="J46" s="5">
        <f t="shared" si="7"/>
        <v>5223348.1437086184</v>
      </c>
      <c r="K46" s="5">
        <f t="shared" si="2"/>
        <v>1757127.093696529</v>
      </c>
      <c r="L46" s="5">
        <f t="shared" si="9"/>
        <v>6980475.2374051474</v>
      </c>
      <c r="M46" s="5">
        <f t="shared" si="10"/>
        <v>145387546.0996719</v>
      </c>
    </row>
    <row r="47" spans="8:13" x14ac:dyDescent="0.2">
      <c r="H47" s="3">
        <f t="shared" si="4"/>
        <v>37</v>
      </c>
      <c r="I47" s="5">
        <f t="shared" si="5"/>
        <v>145387546.0996719</v>
      </c>
      <c r="J47" s="5">
        <f t="shared" si="7"/>
        <v>5284287.2053852193</v>
      </c>
      <c r="K47" s="5">
        <f t="shared" si="2"/>
        <v>1696188.0318167985</v>
      </c>
      <c r="L47" s="5">
        <f t="shared" si="9"/>
        <v>6980475.2372020176</v>
      </c>
      <c r="M47" s="5">
        <f t="shared" si="10"/>
        <v>140103258.89428669</v>
      </c>
    </row>
    <row r="48" spans="8:13" x14ac:dyDescent="0.2">
      <c r="H48" s="3">
        <f t="shared" si="4"/>
        <v>38</v>
      </c>
      <c r="I48" s="5">
        <f t="shared" si="5"/>
        <v>140103258.89428669</v>
      </c>
      <c r="J48" s="5">
        <f t="shared" si="7"/>
        <v>5345937.2227813806</v>
      </c>
      <c r="K48" s="5">
        <f t="shared" si="2"/>
        <v>1634538.0142151371</v>
      </c>
      <c r="L48" s="5">
        <f t="shared" si="9"/>
        <v>6980475.2369965175</v>
      </c>
      <c r="M48" s="5">
        <f t="shared" si="10"/>
        <v>134757321.6715053</v>
      </c>
    </row>
    <row r="49" spans="8:13" x14ac:dyDescent="0.2">
      <c r="H49" s="3">
        <f t="shared" si="4"/>
        <v>39</v>
      </c>
      <c r="I49" s="5">
        <f t="shared" si="5"/>
        <v>134757321.6715053</v>
      </c>
      <c r="J49" s="5">
        <f t="shared" si="7"/>
        <v>5408306.4903804967</v>
      </c>
      <c r="K49" s="5">
        <f t="shared" si="2"/>
        <v>1572168.746408124</v>
      </c>
      <c r="L49" s="5">
        <f t="shared" si="9"/>
        <v>6980475.2367886212</v>
      </c>
      <c r="M49" s="5">
        <f t="shared" si="10"/>
        <v>129349015.18112481</v>
      </c>
    </row>
    <row r="50" spans="8:13" x14ac:dyDescent="0.2">
      <c r="H50" s="3">
        <f t="shared" si="4"/>
        <v>40</v>
      </c>
      <c r="I50" s="5">
        <f t="shared" si="5"/>
        <v>129349015.18112481</v>
      </c>
      <c r="J50" s="5">
        <f t="shared" si="7"/>
        <v>5471403.3994349362</v>
      </c>
      <c r="K50" s="5">
        <f t="shared" si="2"/>
        <v>1509071.8371433613</v>
      </c>
      <c r="L50" s="5">
        <f t="shared" si="9"/>
        <v>6980475.2365782978</v>
      </c>
      <c r="M50" s="5">
        <f t="shared" si="10"/>
        <v>123877611.78168987</v>
      </c>
    </row>
    <row r="51" spans="8:13" x14ac:dyDescent="0.2">
      <c r="H51" s="3">
        <f t="shared" si="4"/>
        <v>41</v>
      </c>
      <c r="I51" s="5">
        <f t="shared" si="5"/>
        <v>123877611.78168987</v>
      </c>
      <c r="J51" s="5">
        <f t="shared" si="7"/>
        <v>5535236.439095011</v>
      </c>
      <c r="K51" s="5">
        <f t="shared" si="2"/>
        <v>1445238.7972705106</v>
      </c>
      <c r="L51" s="5">
        <f t="shared" si="9"/>
        <v>6980475.2363655213</v>
      </c>
      <c r="M51" s="5">
        <f t="shared" si="10"/>
        <v>118342375.34259486</v>
      </c>
    </row>
    <row r="52" spans="8:13" x14ac:dyDescent="0.2">
      <c r="H52" s="3">
        <f t="shared" si="4"/>
        <v>42</v>
      </c>
      <c r="I52" s="5">
        <f t="shared" si="5"/>
        <v>118342375.34259486</v>
      </c>
      <c r="J52" s="5">
        <f t="shared" si="7"/>
        <v>5599814.1975511182</v>
      </c>
      <c r="K52" s="5">
        <f t="shared" si="2"/>
        <v>1380661.0385991428</v>
      </c>
      <c r="L52" s="5">
        <f t="shared" si="9"/>
        <v>6980475.236150261</v>
      </c>
      <c r="M52" s="5">
        <f t="shared" si="10"/>
        <v>112742561.14504375</v>
      </c>
    </row>
    <row r="53" spans="8:13" x14ac:dyDescent="0.2">
      <c r="H53" s="3">
        <f t="shared" si="4"/>
        <v>43</v>
      </c>
      <c r="I53" s="5">
        <f t="shared" si="5"/>
        <v>112742561.14504375</v>
      </c>
      <c r="J53" s="5">
        <f t="shared" si="7"/>
        <v>5665145.3631892148</v>
      </c>
      <c r="K53" s="5">
        <f t="shared" si="2"/>
        <v>1315329.8727432759</v>
      </c>
      <c r="L53" s="5">
        <f t="shared" si="9"/>
        <v>6980475.2359324908</v>
      </c>
      <c r="M53" s="5">
        <f t="shared" si="10"/>
        <v>107077415.78185453</v>
      </c>
    </row>
    <row r="54" spans="8:13" x14ac:dyDescent="0.2">
      <c r="H54" s="3">
        <f t="shared" si="4"/>
        <v>44</v>
      </c>
      <c r="I54" s="5">
        <f t="shared" si="5"/>
        <v>107077415.78185453</v>
      </c>
      <c r="J54" s="5">
        <f t="shared" si="7"/>
        <v>5731238.7257597549</v>
      </c>
      <c r="K54" s="5">
        <f t="shared" si="2"/>
        <v>1249236.5099524239</v>
      </c>
      <c r="L54" s="5">
        <f t="shared" si="9"/>
        <v>6980475.235712179</v>
      </c>
      <c r="M54" s="5">
        <f t="shared" si="10"/>
        <v>101346177.05609477</v>
      </c>
    </row>
    <row r="55" spans="8:13" x14ac:dyDescent="0.2">
      <c r="H55" s="3">
        <f t="shared" si="4"/>
        <v>45</v>
      </c>
      <c r="I55" s="5">
        <f t="shared" si="5"/>
        <v>101346177.05609477</v>
      </c>
      <c r="J55" s="5">
        <f t="shared" si="7"/>
        <v>5798103.1775602866</v>
      </c>
      <c r="K55" s="5">
        <f t="shared" si="2"/>
        <v>1182372.0579290118</v>
      </c>
      <c r="L55" s="5">
        <f t="shared" si="9"/>
        <v>6980475.2354892986</v>
      </c>
      <c r="M55" s="5">
        <f t="shared" si="10"/>
        <v>95548073.878534481</v>
      </c>
    </row>
    <row r="56" spans="8:13" x14ac:dyDescent="0.2">
      <c r="H56" s="3">
        <f t="shared" si="4"/>
        <v>46</v>
      </c>
      <c r="I56" s="5">
        <f t="shared" si="5"/>
        <v>95548073.878534481</v>
      </c>
      <c r="J56" s="5">
        <f t="shared" si="7"/>
        <v>5865747.7146318229</v>
      </c>
      <c r="K56" s="5">
        <f t="shared" si="2"/>
        <v>1114727.5206319932</v>
      </c>
      <c r="L56" s="5">
        <f t="shared" si="9"/>
        <v>6980475.2352638161</v>
      </c>
      <c r="M56" s="5">
        <f t="shared" si="10"/>
        <v>89682326.163902655</v>
      </c>
    </row>
    <row r="57" spans="8:13" x14ac:dyDescent="0.2">
      <c r="H57" s="3">
        <f t="shared" si="4"/>
        <v>47</v>
      </c>
      <c r="I57" s="5">
        <f t="shared" si="5"/>
        <v>89682326.163902655</v>
      </c>
      <c r="J57" s="5">
        <f t="shared" si="7"/>
        <v>5934181.4379691947</v>
      </c>
      <c r="K57" s="5">
        <f t="shared" si="2"/>
        <v>1046293.7970665095</v>
      </c>
      <c r="L57" s="5">
        <f t="shared" si="9"/>
        <v>6980475.2350357044</v>
      </c>
      <c r="M57" s="5">
        <f t="shared" si="10"/>
        <v>83748144.725933462</v>
      </c>
    </row>
    <row r="58" spans="8:13" x14ac:dyDescent="0.2">
      <c r="H58" s="3">
        <f t="shared" si="4"/>
        <v>48</v>
      </c>
      <c r="I58" s="5">
        <f t="shared" si="5"/>
        <v>83748144.725933462</v>
      </c>
      <c r="J58" s="5">
        <f t="shared" si="7"/>
        <v>6003413.5547455009</v>
      </c>
      <c r="K58" s="5">
        <f t="shared" si="2"/>
        <v>977061.68005942891</v>
      </c>
      <c r="L58" s="5">
        <f t="shared" si="9"/>
        <v>6980475.2348049302</v>
      </c>
      <c r="M58" s="5">
        <f t="shared" si="10"/>
        <v>77744731.171187967</v>
      </c>
    </row>
    <row r="59" spans="8:13" x14ac:dyDescent="0.2">
      <c r="H59" s="3">
        <f t="shared" si="4"/>
        <v>49</v>
      </c>
      <c r="I59" s="5">
        <f t="shared" si="5"/>
        <v>77744731.171187967</v>
      </c>
      <c r="J59" s="5">
        <f t="shared" si="7"/>
        <v>6073453.3795508649</v>
      </c>
      <c r="K59" s="5">
        <f t="shared" si="2"/>
        <v>907021.85502059851</v>
      </c>
      <c r="L59" s="5">
        <f t="shared" si="9"/>
        <v>6980475.2345714634</v>
      </c>
      <c r="M59" s="5">
        <f t="shared" si="10"/>
        <v>71671277.791637108</v>
      </c>
    </row>
    <row r="60" spans="8:13" x14ac:dyDescent="0.2">
      <c r="H60" s="3">
        <f t="shared" si="4"/>
        <v>50</v>
      </c>
      <c r="I60" s="5">
        <f t="shared" si="5"/>
        <v>71671277.791637108</v>
      </c>
      <c r="J60" s="5">
        <f t="shared" si="7"/>
        <v>6144310.3356456254</v>
      </c>
      <c r="K60" s="5">
        <f t="shared" si="2"/>
        <v>836164.89868964837</v>
      </c>
      <c r="L60" s="5">
        <f t="shared" si="9"/>
        <v>6980475.2343352735</v>
      </c>
      <c r="M60" s="5">
        <f t="shared" si="10"/>
        <v>65526967.455991484</v>
      </c>
    </row>
    <row r="61" spans="8:13" x14ac:dyDescent="0.2">
      <c r="H61" s="3">
        <f t="shared" si="4"/>
        <v>51</v>
      </c>
      <c r="I61" s="5">
        <f t="shared" si="5"/>
        <v>65526967.455991484</v>
      </c>
      <c r="J61" s="5">
        <f t="shared" si="7"/>
        <v>6215993.9562281584</v>
      </c>
      <c r="K61" s="5">
        <f t="shared" si="2"/>
        <v>764481.27786817076</v>
      </c>
      <c r="L61" s="5">
        <f t="shared" si="9"/>
        <v>6980475.2340963297</v>
      </c>
      <c r="M61" s="5">
        <f t="shared" si="10"/>
        <v>59310973.499763325</v>
      </c>
    </row>
    <row r="62" spans="8:13" x14ac:dyDescent="0.2">
      <c r="H62" s="3">
        <f t="shared" si="4"/>
        <v>52</v>
      </c>
      <c r="I62" s="5">
        <f t="shared" si="5"/>
        <v>59310973.499763325</v>
      </c>
      <c r="J62" s="5">
        <f t="shared" si="7"/>
        <v>6288513.885717487</v>
      </c>
      <c r="K62" s="5">
        <f t="shared" si="2"/>
        <v>691961.34813710919</v>
      </c>
      <c r="L62" s="5">
        <f t="shared" si="9"/>
        <v>6980475.2338545965</v>
      </c>
      <c r="M62" s="5">
        <f t="shared" si="10"/>
        <v>53022459.614045836</v>
      </c>
    </row>
    <row r="63" spans="8:13" x14ac:dyDescent="0.2">
      <c r="H63" s="3">
        <f t="shared" si="4"/>
        <v>53</v>
      </c>
      <c r="I63" s="5">
        <f t="shared" si="5"/>
        <v>53022459.614045836</v>
      </c>
      <c r="J63" s="5">
        <f t="shared" si="7"/>
        <v>6361879.8810508577</v>
      </c>
      <c r="K63" s="5">
        <f t="shared" si="2"/>
        <v>618595.35255918512</v>
      </c>
      <c r="L63" s="5">
        <f t="shared" si="9"/>
        <v>6980475.2336100433</v>
      </c>
      <c r="M63" s="5">
        <f t="shared" si="10"/>
        <v>46660579.732994981</v>
      </c>
    </row>
    <row r="64" spans="8:13" x14ac:dyDescent="0.2">
      <c r="H64" s="3">
        <f t="shared" si="4"/>
        <v>54</v>
      </c>
      <c r="I64" s="5">
        <f t="shared" si="5"/>
        <v>46660579.732994981</v>
      </c>
      <c r="J64" s="5">
        <f t="shared" si="7"/>
        <v>6436101.8129964508</v>
      </c>
      <c r="K64" s="5">
        <f t="shared" si="2"/>
        <v>544373.42036618537</v>
      </c>
      <c r="L64" s="5">
        <f t="shared" si="9"/>
        <v>6980475.2333626365</v>
      </c>
      <c r="M64" s="5">
        <f t="shared" si="10"/>
        <v>40224477.919998527</v>
      </c>
    </row>
    <row r="65" spans="8:13" x14ac:dyDescent="0.2">
      <c r="H65" s="3">
        <f t="shared" si="4"/>
        <v>55</v>
      </c>
      <c r="I65" s="5">
        <f t="shared" si="5"/>
        <v>40224477.919998527</v>
      </c>
      <c r="J65" s="5">
        <f t="shared" si="7"/>
        <v>6511189.6674814094</v>
      </c>
      <c r="K65" s="5">
        <f t="shared" si="2"/>
        <v>469285.56563093391</v>
      </c>
      <c r="L65" s="5">
        <f t="shared" si="9"/>
        <v>6980475.2331123436</v>
      </c>
      <c r="M65" s="5">
        <f t="shared" si="10"/>
        <v>33713288.252517119</v>
      </c>
    </row>
    <row r="66" spans="8:13" x14ac:dyDescent="0.2">
      <c r="H66" s="3">
        <f t="shared" si="4"/>
        <v>56</v>
      </c>
      <c r="I66" s="5">
        <f t="shared" si="5"/>
        <v>33713288.252517119</v>
      </c>
      <c r="J66" s="5">
        <f t="shared" si="7"/>
        <v>6587153.5469353599</v>
      </c>
      <c r="K66" s="5">
        <f t="shared" si="2"/>
        <v>393321.68592377123</v>
      </c>
      <c r="L66" s="5">
        <f t="shared" si="9"/>
        <v>6980475.2328591309</v>
      </c>
      <c r="M66" s="5">
        <f t="shared" si="10"/>
        <v>27126134.705581758</v>
      </c>
    </row>
    <row r="67" spans="8:13" x14ac:dyDescent="0.2">
      <c r="H67" s="3">
        <f t="shared" si="4"/>
        <v>57</v>
      </c>
      <c r="I67" s="5">
        <f t="shared" si="5"/>
        <v>27126134.705581758</v>
      </c>
      <c r="J67" s="5">
        <f t="shared" si="7"/>
        <v>6664003.671649605</v>
      </c>
      <c r="K67" s="5">
        <f t="shared" si="2"/>
        <v>316471.5609533583</v>
      </c>
      <c r="L67" s="5">
        <f t="shared" si="9"/>
        <v>6980475.2326029632</v>
      </c>
      <c r="M67" s="5">
        <f t="shared" si="10"/>
        <v>20462131.033932153</v>
      </c>
    </row>
    <row r="68" spans="8:13" x14ac:dyDescent="0.2">
      <c r="H68" s="3">
        <f t="shared" si="4"/>
        <v>58</v>
      </c>
      <c r="I68" s="5">
        <f t="shared" si="5"/>
        <v>20462131.033932153</v>
      </c>
      <c r="J68" s="5">
        <f t="shared" si="7"/>
        <v>6741750.3811521837</v>
      </c>
      <c r="K68" s="5">
        <f t="shared" si="2"/>
        <v>238724.85119162389</v>
      </c>
      <c r="L68" s="5">
        <f t="shared" si="9"/>
        <v>6980475.2323438078</v>
      </c>
      <c r="M68" s="5">
        <f t="shared" si="10"/>
        <v>13720380.65277997</v>
      </c>
    </row>
    <row r="69" spans="8:13" x14ac:dyDescent="0.2">
      <c r="H69" s="3">
        <f t="shared" si="4"/>
        <v>59</v>
      </c>
      <c r="I69" s="5">
        <f t="shared" si="5"/>
        <v>13720380.65277997</v>
      </c>
      <c r="J69" s="5">
        <f t="shared" si="7"/>
        <v>6820404.1355989585</v>
      </c>
      <c r="K69" s="5">
        <f t="shared" si="2"/>
        <v>160071.09648266924</v>
      </c>
      <c r="L69" s="5">
        <f t="shared" si="9"/>
        <v>6980475.2320816275</v>
      </c>
      <c r="M69" s="5">
        <f t="shared" si="10"/>
        <v>6899976.5171810118</v>
      </c>
    </row>
    <row r="70" spans="8:13" x14ac:dyDescent="0.2">
      <c r="H70" s="3">
        <f t="shared" si="4"/>
        <v>60</v>
      </c>
      <c r="I70" s="5">
        <f t="shared" si="5"/>
        <v>6899976.5171810118</v>
      </c>
      <c r="J70" s="5">
        <f t="shared" si="7"/>
        <v>6899975.5171809476</v>
      </c>
      <c r="K70" s="5">
        <f t="shared" si="2"/>
        <v>80499.714635443423</v>
      </c>
      <c r="L70" s="5">
        <f t="shared" si="9"/>
        <v>6980475.2318163915</v>
      </c>
      <c r="M70" s="5">
        <f t="shared" si="10"/>
        <v>1.0000000642612576</v>
      </c>
    </row>
    <row r="71" spans="8:13" ht="19.5" customHeight="1" x14ac:dyDescent="0.2"/>
  </sheetData>
  <mergeCells count="6">
    <mergeCell ref="K9:K10"/>
    <mergeCell ref="H3:K3"/>
    <mergeCell ref="H4:J4"/>
    <mergeCell ref="H5:J5"/>
    <mergeCell ref="H6:J6"/>
    <mergeCell ref="H7:J7"/>
  </mergeCells>
  <conditionalFormatting sqref="H11:M70">
    <cfRule type="notContainsBlanks" dxfId="6" priority="6">
      <formula>LEN(TRIM(H11))&gt;0</formula>
    </cfRule>
  </conditionalFormatting>
  <conditionalFormatting sqref="I9:L10">
    <cfRule type="notContainsBlanks" dxfId="5" priority="5">
      <formula>LEN(TRIM(I9))&gt;0</formula>
    </cfRule>
  </conditionalFormatting>
  <conditionalFormatting sqref="H9:H10">
    <cfRule type="notContainsBlanks" dxfId="4" priority="4">
      <formula>LEN(TRIM(H9))&gt;0</formula>
    </cfRule>
  </conditionalFormatting>
  <conditionalFormatting sqref="M9:M10">
    <cfRule type="notContainsBlanks" dxfId="3" priority="3">
      <formula>LEN(TRIM(M9))&gt;0</formula>
    </cfRule>
  </conditionalFormatting>
  <conditionalFormatting sqref="D14:D29">
    <cfRule type="notContainsBlanks" dxfId="2" priority="2">
      <formula>LEN(TRIM(D14))&gt;0</formula>
    </cfRule>
  </conditionalFormatting>
  <conditionalFormatting sqref="F14:F29">
    <cfRule type="cellIs" dxfId="1" priority="1" operator="equal">
      <formula>$K$7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0657" r:id="rId3" name="Option Button 1">
              <controlPr defaultSize="0" autoFill="0" autoLine="0" autoPict="0">
                <anchor moveWithCells="1">
                  <from>
                    <xdr:col>9</xdr:col>
                    <xdr:colOff>838200</xdr:colOff>
                    <xdr:row>1</xdr:row>
                    <xdr:rowOff>200025</xdr:rowOff>
                  </from>
                  <to>
                    <xdr:col>10</xdr:col>
                    <xdr:colOff>180975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8" r:id="rId4" name="Option Button 2">
              <controlPr defaultSize="0" autoFill="0" autoLine="0" autoPict="0">
                <anchor moveWithCells="1">
                  <from>
                    <xdr:col>10</xdr:col>
                    <xdr:colOff>228600</xdr:colOff>
                    <xdr:row>1</xdr:row>
                    <xdr:rowOff>200025</xdr:rowOff>
                  </from>
                  <to>
                    <xdr:col>10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9" r:id="rId5" name="Scroll Bar 3">
              <controlPr defaultSize="0" autoPict="0">
                <anchor moveWithCells="1">
                  <from>
                    <xdr:col>1</xdr:col>
                    <xdr:colOff>1866900</xdr:colOff>
                    <xdr:row>2</xdr:row>
                    <xdr:rowOff>47625</xdr:rowOff>
                  </from>
                  <to>
                    <xdr:col>2</xdr:col>
                    <xdr:colOff>228600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0" r:id="rId6" name="Scroll Bar 4">
              <controlPr defaultSize="0" autoPict="0">
                <anchor moveWithCells="1">
                  <from>
                    <xdr:col>1</xdr:col>
                    <xdr:colOff>1866900</xdr:colOff>
                    <xdr:row>3</xdr:row>
                    <xdr:rowOff>38100</xdr:rowOff>
                  </from>
                  <to>
                    <xdr:col>2</xdr:col>
                    <xdr:colOff>228600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1" r:id="rId7" name="Scroll Bar 5">
              <controlPr defaultSize="0" autoPict="0">
                <anchor moveWithCells="1">
                  <from>
                    <xdr:col>1</xdr:col>
                    <xdr:colOff>1866900</xdr:colOff>
                    <xdr:row>5</xdr:row>
                    <xdr:rowOff>38100</xdr:rowOff>
                  </from>
                  <to>
                    <xdr:col>2</xdr:col>
                    <xdr:colOff>228600</xdr:colOff>
                    <xdr:row>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2" r:id="rId8" name="Scroll Bar 6">
              <controlPr defaultSize="0" autoPict="0">
                <anchor moveWithCells="1">
                  <from>
                    <xdr:col>1</xdr:col>
                    <xdr:colOff>1866900</xdr:colOff>
                    <xdr:row>8</xdr:row>
                    <xdr:rowOff>9525</xdr:rowOff>
                  </from>
                  <to>
                    <xdr:col>2</xdr:col>
                    <xdr:colOff>228600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3" r:id="rId9" name="Scroll Bar 7">
              <controlPr defaultSize="0" autoPict="0">
                <anchor moveWithCells="1">
                  <from>
                    <xdr:col>1</xdr:col>
                    <xdr:colOff>1866900</xdr:colOff>
                    <xdr:row>9</xdr:row>
                    <xdr:rowOff>0</xdr:rowOff>
                  </from>
                  <to>
                    <xdr:col>2</xdr:col>
                    <xdr:colOff>228600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4" r:id="rId10" name="Scroll Bar 8">
              <controlPr defaultSize="0" autoPict="0">
                <anchor moveWithCells="1">
                  <from>
                    <xdr:col>9</xdr:col>
                    <xdr:colOff>390525</xdr:colOff>
                    <xdr:row>3</xdr:row>
                    <xdr:rowOff>38100</xdr:rowOff>
                  </from>
                  <to>
                    <xdr:col>9</xdr:col>
                    <xdr:colOff>876300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5" r:id="rId11" name="Scroll Bar 9">
              <controlPr defaultSize="0" autoPict="0">
                <anchor moveWithCells="1">
                  <from>
                    <xdr:col>1</xdr:col>
                    <xdr:colOff>1866900</xdr:colOff>
                    <xdr:row>7</xdr:row>
                    <xdr:rowOff>19050</xdr:rowOff>
                  </from>
                  <to>
                    <xdr:col>2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67" r:id="rId12" name="Scroll Bar 11">
              <controlPr defaultSize="0" autoPict="0">
                <anchor moveWithCells="1">
                  <from>
                    <xdr:col>1</xdr:col>
                    <xdr:colOff>1866900</xdr:colOff>
                    <xdr:row>6</xdr:row>
                    <xdr:rowOff>28575</xdr:rowOff>
                  </from>
                  <to>
                    <xdr:col>2</xdr:col>
                    <xdr:colOff>228600</xdr:colOff>
                    <xdr:row>6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8"/>
  <sheetViews>
    <sheetView showGridLines="0" zoomScaleNormal="100" workbookViewId="0">
      <selection activeCell="G5" sqref="G5:G14"/>
    </sheetView>
  </sheetViews>
  <sheetFormatPr defaultRowHeight="15" customHeight="1" x14ac:dyDescent="0.25"/>
  <cols>
    <col min="1" max="1" width="5.85546875" style="29" customWidth="1"/>
    <col min="2" max="2" width="15" style="29" customWidth="1"/>
    <col min="3" max="3" width="17.28515625" style="29" customWidth="1"/>
    <col min="4" max="4" width="16.5703125" style="29" customWidth="1"/>
    <col min="5" max="5" width="4.140625" style="29" customWidth="1"/>
    <col min="6" max="6" width="18" style="29" customWidth="1"/>
    <col min="7" max="7" width="18.42578125" style="29" customWidth="1"/>
    <col min="8" max="8" width="4.140625" style="29" customWidth="1"/>
    <col min="9" max="10" width="9.140625" style="29"/>
    <col min="11" max="11" width="18.5703125" style="29" customWidth="1"/>
    <col min="12" max="12" width="5.85546875" style="29" customWidth="1"/>
    <col min="13" max="16384" width="9.140625" style="29"/>
  </cols>
  <sheetData>
    <row r="1" spans="1:10" ht="19.5" customHeight="1" x14ac:dyDescent="0.25"/>
    <row r="2" spans="1:10" ht="20.25" customHeight="1" x14ac:dyDescent="0.3">
      <c r="B2" s="38" t="s">
        <v>13</v>
      </c>
      <c r="C2" s="30"/>
    </row>
    <row r="3" spans="1:10" s="1" customFormat="1" ht="16.5" customHeight="1" x14ac:dyDescent="0.2">
      <c r="A3" s="2">
        <v>750</v>
      </c>
      <c r="B3" s="33" t="s">
        <v>0</v>
      </c>
      <c r="C3" s="34"/>
      <c r="D3" s="35">
        <f>A3/10000</f>
        <v>7.4999999999999997E-2</v>
      </c>
      <c r="F3" s="31"/>
      <c r="G3" s="39" t="s">
        <v>5</v>
      </c>
      <c r="I3" s="78" t="s">
        <v>24</v>
      </c>
    </row>
    <row r="4" spans="1:10" s="1" customFormat="1" ht="16.5" customHeight="1" x14ac:dyDescent="0.2">
      <c r="A4" s="2"/>
      <c r="B4" s="33" t="s">
        <v>20</v>
      </c>
      <c r="C4" s="34"/>
      <c r="D4" s="36">
        <v>4</v>
      </c>
      <c r="F4" s="41" t="s">
        <v>6</v>
      </c>
      <c r="G4" s="42">
        <f>-FV(D3,D4,D5,D6,D7)</f>
        <v>520850517.57812488</v>
      </c>
      <c r="I4" s="1" t="s">
        <v>160</v>
      </c>
    </row>
    <row r="5" spans="1:10" s="1" customFormat="1" ht="16.5" customHeight="1" x14ac:dyDescent="0.2">
      <c r="A5" s="2">
        <v>25</v>
      </c>
      <c r="B5" s="33" t="s">
        <v>2</v>
      </c>
      <c r="C5" s="34"/>
      <c r="D5" s="37">
        <f>A5*1000000</f>
        <v>25000000</v>
      </c>
      <c r="F5" s="44">
        <f>D8</f>
        <v>20000000</v>
      </c>
      <c r="G5" s="40"/>
      <c r="I5" s="1" t="s">
        <v>25</v>
      </c>
    </row>
    <row r="6" spans="1:10" s="1" customFormat="1" ht="16.5" customHeight="1" x14ac:dyDescent="0.2">
      <c r="A6" s="2">
        <v>300</v>
      </c>
      <c r="B6" s="33" t="s">
        <v>3</v>
      </c>
      <c r="C6" s="34"/>
      <c r="D6" s="37">
        <f>A6*1000000</f>
        <v>300000000</v>
      </c>
      <c r="F6" s="44">
        <f t="shared" ref="F6:F14" si="0">F5+D$9</f>
        <v>25000000</v>
      </c>
      <c r="G6" s="40"/>
      <c r="I6" s="1" t="s">
        <v>26</v>
      </c>
    </row>
    <row r="7" spans="1:10" s="1" customFormat="1" ht="16.5" customHeight="1" x14ac:dyDescent="0.2">
      <c r="A7" s="2"/>
      <c r="B7" s="33" t="s">
        <v>4</v>
      </c>
      <c r="C7" s="34"/>
      <c r="D7" s="37">
        <v>1</v>
      </c>
      <c r="F7" s="44">
        <f t="shared" si="0"/>
        <v>30000000</v>
      </c>
      <c r="G7" s="40"/>
      <c r="I7" s="56" t="s">
        <v>27</v>
      </c>
    </row>
    <row r="8" spans="1:10" s="1" customFormat="1" ht="16.5" customHeight="1" x14ac:dyDescent="0.2">
      <c r="A8" s="2">
        <v>20</v>
      </c>
      <c r="B8" s="33" t="s">
        <v>21</v>
      </c>
      <c r="C8" s="34"/>
      <c r="D8" s="37">
        <f>A8*1000000</f>
        <v>20000000</v>
      </c>
      <c r="F8" s="44">
        <f t="shared" si="0"/>
        <v>35000000</v>
      </c>
      <c r="G8" s="40"/>
    </row>
    <row r="9" spans="1:10" s="1" customFormat="1" ht="16.5" customHeight="1" x14ac:dyDescent="0.2">
      <c r="A9" s="2">
        <v>5</v>
      </c>
      <c r="B9" s="33" t="s">
        <v>19</v>
      </c>
      <c r="C9" s="34"/>
      <c r="D9" s="37">
        <f>A9*1000000</f>
        <v>5000000</v>
      </c>
      <c r="F9" s="44">
        <f t="shared" si="0"/>
        <v>40000000</v>
      </c>
      <c r="G9" s="40"/>
    </row>
    <row r="10" spans="1:10" s="1" customFormat="1" ht="16.5" customHeight="1" x14ac:dyDescent="0.2">
      <c r="B10" s="15"/>
      <c r="C10" s="15"/>
      <c r="D10" s="15"/>
      <c r="F10" s="44">
        <f t="shared" si="0"/>
        <v>45000000</v>
      </c>
      <c r="G10" s="40"/>
    </row>
    <row r="11" spans="1:10" s="1" customFormat="1" ht="15" customHeight="1" x14ac:dyDescent="0.2">
      <c r="F11" s="44">
        <f t="shared" si="0"/>
        <v>50000000</v>
      </c>
      <c r="G11" s="40"/>
    </row>
    <row r="12" spans="1:10" s="1" customFormat="1" ht="15" customHeight="1" x14ac:dyDescent="0.2">
      <c r="F12" s="44">
        <f t="shared" si="0"/>
        <v>55000000</v>
      </c>
      <c r="G12" s="40"/>
    </row>
    <row r="13" spans="1:10" s="1" customFormat="1" ht="15" customHeight="1" x14ac:dyDescent="0.2">
      <c r="F13" s="44">
        <f t="shared" si="0"/>
        <v>60000000</v>
      </c>
      <c r="G13" s="40"/>
    </row>
    <row r="14" spans="1:10" s="1" customFormat="1" ht="15" customHeight="1" x14ac:dyDescent="0.2">
      <c r="F14" s="44">
        <f t="shared" si="0"/>
        <v>65000000</v>
      </c>
      <c r="G14" s="40"/>
    </row>
    <row r="15" spans="1:10" s="1" customFormat="1" ht="15" customHeight="1" x14ac:dyDescent="0.25">
      <c r="I15" s="29" t="s">
        <v>28</v>
      </c>
    </row>
    <row r="16" spans="1:10" s="1" customFormat="1" ht="15" customHeight="1" x14ac:dyDescent="0.25">
      <c r="J16" s="29"/>
    </row>
    <row r="17" spans="5:10" s="1" customFormat="1" ht="15" customHeight="1" x14ac:dyDescent="0.25">
      <c r="F17" s="340" t="s">
        <v>23</v>
      </c>
      <c r="G17" s="29"/>
      <c r="I17" s="29"/>
      <c r="J17" s="29"/>
    </row>
    <row r="18" spans="5:10" s="1" customFormat="1" ht="15" customHeight="1" x14ac:dyDescent="0.25">
      <c r="F18" s="340"/>
      <c r="G18" s="277" t="s">
        <v>159</v>
      </c>
    </row>
    <row r="19" spans="5:10" s="1" customFormat="1" ht="15" customHeight="1" x14ac:dyDescent="0.25">
      <c r="F19" s="340"/>
      <c r="G19" s="57"/>
    </row>
    <row r="20" spans="5:10" s="1" customFormat="1" ht="19.5" customHeight="1" x14ac:dyDescent="0.2"/>
    <row r="21" spans="5:10" s="1" customFormat="1" ht="15" customHeight="1" x14ac:dyDescent="0.2"/>
    <row r="22" spans="5:10" ht="15" customHeight="1" x14ac:dyDescent="0.25">
      <c r="E22" s="1"/>
      <c r="I22" s="1"/>
    </row>
    <row r="23" spans="5:10" ht="15" customHeight="1" x14ac:dyDescent="0.25">
      <c r="E23" s="1"/>
      <c r="I23" s="1"/>
    </row>
    <row r="24" spans="5:10" ht="15" customHeight="1" x14ac:dyDescent="0.25">
      <c r="E24" s="1"/>
      <c r="I24" s="1"/>
    </row>
    <row r="25" spans="5:10" ht="15" customHeight="1" x14ac:dyDescent="0.25">
      <c r="E25" s="1"/>
      <c r="F25" s="1"/>
      <c r="G25" s="1"/>
      <c r="H25" s="1"/>
      <c r="I25" s="1"/>
    </row>
    <row r="28" spans="5:10" ht="19.5" customHeight="1" x14ac:dyDescent="0.25"/>
  </sheetData>
  <mergeCells count="1">
    <mergeCell ref="F17:F19"/>
  </mergeCells>
  <pageMargins left="0.75" right="0.75" top="1" bottom="1" header="0.5" footer="0.5"/>
  <pageSetup paperSize="9"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Scroll Bar 1">
              <controlPr defaultSize="0" autoPict="0">
                <anchor moveWithCells="1">
                  <from>
                    <xdr:col>2</xdr:col>
                    <xdr:colOff>561975</xdr:colOff>
                    <xdr:row>4</xdr:row>
                    <xdr:rowOff>19050</xdr:rowOff>
                  </from>
                  <to>
                    <xdr:col>2</xdr:col>
                    <xdr:colOff>1047750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8" r:id="rId5" name="Scroll Bar 2">
              <controlPr defaultSize="0" autoPict="0">
                <anchor moveWithCells="1">
                  <from>
                    <xdr:col>2</xdr:col>
                    <xdr:colOff>561975</xdr:colOff>
                    <xdr:row>5</xdr:row>
                    <xdr:rowOff>19050</xdr:rowOff>
                  </from>
                  <to>
                    <xdr:col>2</xdr:col>
                    <xdr:colOff>1047750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9" r:id="rId6" name="Scroll Bar 3">
              <controlPr defaultSize="0" autoPict="0">
                <anchor moveWithCells="1">
                  <from>
                    <xdr:col>2</xdr:col>
                    <xdr:colOff>561975</xdr:colOff>
                    <xdr:row>6</xdr:row>
                    <xdr:rowOff>19050</xdr:rowOff>
                  </from>
                  <to>
                    <xdr:col>2</xdr:col>
                    <xdr:colOff>1047750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0" r:id="rId7" name="Scroll Bar 4">
              <controlPr defaultSize="0" autoPict="0">
                <anchor moveWithCells="1">
                  <from>
                    <xdr:col>2</xdr:col>
                    <xdr:colOff>561975</xdr:colOff>
                    <xdr:row>7</xdr:row>
                    <xdr:rowOff>19050</xdr:rowOff>
                  </from>
                  <to>
                    <xdr:col>2</xdr:col>
                    <xdr:colOff>1047750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1" r:id="rId8" name="Scroll Bar 5">
              <controlPr defaultSize="0" autoPict="0">
                <anchor moveWithCells="1">
                  <from>
                    <xdr:col>2</xdr:col>
                    <xdr:colOff>561975</xdr:colOff>
                    <xdr:row>8</xdr:row>
                    <xdr:rowOff>19050</xdr:rowOff>
                  </from>
                  <to>
                    <xdr:col>2</xdr:col>
                    <xdr:colOff>1047750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2" r:id="rId9" name="Scroll Bar 6">
              <controlPr defaultSize="0" autoPict="0">
                <anchor moveWithCells="1">
                  <from>
                    <xdr:col>2</xdr:col>
                    <xdr:colOff>561975</xdr:colOff>
                    <xdr:row>3</xdr:row>
                    <xdr:rowOff>19050</xdr:rowOff>
                  </from>
                  <to>
                    <xdr:col>2</xdr:col>
                    <xdr:colOff>1047750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3" r:id="rId10" name="Scroll Bar 7">
              <controlPr defaultSize="0" autoPict="0">
                <anchor moveWithCells="1">
                  <from>
                    <xdr:col>2</xdr:col>
                    <xdr:colOff>561975</xdr:colOff>
                    <xdr:row>2</xdr:row>
                    <xdr:rowOff>19050</xdr:rowOff>
                  </from>
                  <to>
                    <xdr:col>2</xdr:col>
                    <xdr:colOff>1047750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showGridLines="0" workbookViewId="0">
      <selection activeCell="D14" sqref="D14:E23"/>
    </sheetView>
  </sheetViews>
  <sheetFormatPr defaultRowHeight="15" customHeight="1" x14ac:dyDescent="0.25"/>
  <cols>
    <col min="1" max="1" width="5.85546875" style="29" customWidth="1"/>
    <col min="2" max="2" width="15" style="29" customWidth="1"/>
    <col min="3" max="3" width="17.28515625" style="29" customWidth="1"/>
    <col min="4" max="4" width="16.5703125" style="29" customWidth="1"/>
    <col min="5" max="5" width="16.140625" style="29" customWidth="1"/>
    <col min="6" max="6" width="5.85546875" style="29" customWidth="1"/>
    <col min="7" max="7" width="22.85546875" style="29" customWidth="1"/>
    <col min="8" max="8" width="15.140625" style="29" customWidth="1"/>
    <col min="9" max="9" width="5.85546875" style="29" customWidth="1"/>
    <col min="10" max="16384" width="9.140625" style="29"/>
  </cols>
  <sheetData>
    <row r="1" spans="1:7" ht="19.5" customHeight="1" x14ac:dyDescent="0.25"/>
    <row r="2" spans="1:7" ht="20.25" customHeight="1" x14ac:dyDescent="0.3">
      <c r="B2" s="38" t="s">
        <v>13</v>
      </c>
      <c r="C2" s="30"/>
    </row>
    <row r="3" spans="1:7" s="1" customFormat="1" ht="16.5" customHeight="1" x14ac:dyDescent="0.2">
      <c r="A3" s="2">
        <v>750</v>
      </c>
      <c r="B3" s="33" t="s">
        <v>0</v>
      </c>
      <c r="C3" s="34"/>
      <c r="D3" s="35">
        <f>A3/10000</f>
        <v>7.4999999999999997E-2</v>
      </c>
      <c r="F3" s="78" t="s">
        <v>30</v>
      </c>
    </row>
    <row r="4" spans="1:7" s="1" customFormat="1" ht="16.5" customHeight="1" x14ac:dyDescent="0.2">
      <c r="A4" s="2"/>
      <c r="B4" s="33" t="s">
        <v>20</v>
      </c>
      <c r="C4" s="34"/>
      <c r="D4" s="36">
        <v>4</v>
      </c>
      <c r="F4" s="60" t="s">
        <v>31</v>
      </c>
      <c r="G4" s="61" t="s">
        <v>32</v>
      </c>
    </row>
    <row r="5" spans="1:7" s="1" customFormat="1" ht="16.5" customHeight="1" x14ac:dyDescent="0.2">
      <c r="A5" s="2">
        <v>25</v>
      </c>
      <c r="B5" s="33" t="s">
        <v>2</v>
      </c>
      <c r="C5" s="34"/>
      <c r="D5" s="37">
        <f>A5*1000000</f>
        <v>25000000</v>
      </c>
      <c r="F5" s="62" t="s">
        <v>33</v>
      </c>
      <c r="G5" s="58" t="s">
        <v>35</v>
      </c>
    </row>
    <row r="6" spans="1:7" s="1" customFormat="1" ht="16.5" customHeight="1" x14ac:dyDescent="0.2">
      <c r="A6" s="2">
        <v>300</v>
      </c>
      <c r="B6" s="33" t="s">
        <v>3</v>
      </c>
      <c r="C6" s="34"/>
      <c r="D6" s="37">
        <f>A6*1000000</f>
        <v>300000000</v>
      </c>
      <c r="F6" s="62" t="s">
        <v>34</v>
      </c>
      <c r="G6" s="59" t="s">
        <v>36</v>
      </c>
    </row>
    <row r="7" spans="1:7" s="1" customFormat="1" ht="16.5" customHeight="1" x14ac:dyDescent="0.2">
      <c r="A7" s="2"/>
      <c r="B7" s="33" t="s">
        <v>4</v>
      </c>
      <c r="C7" s="34"/>
      <c r="D7" s="37">
        <v>1</v>
      </c>
    </row>
    <row r="8" spans="1:7" s="1" customFormat="1" ht="16.5" customHeight="1" x14ac:dyDescent="0.2">
      <c r="A8" s="2">
        <v>500</v>
      </c>
      <c r="B8" s="33" t="s">
        <v>22</v>
      </c>
      <c r="C8" s="34"/>
      <c r="D8" s="35">
        <f>A8/10000</f>
        <v>0.05</v>
      </c>
      <c r="G8" s="78" t="s">
        <v>24</v>
      </c>
    </row>
    <row r="9" spans="1:7" s="1" customFormat="1" ht="16.5" customHeight="1" x14ac:dyDescent="0.2">
      <c r="A9" s="2">
        <v>20</v>
      </c>
      <c r="B9" s="33" t="s">
        <v>21</v>
      </c>
      <c r="C9" s="34"/>
      <c r="D9" s="37">
        <f>A9*1000000</f>
        <v>20000000</v>
      </c>
      <c r="G9" s="1" t="s">
        <v>29</v>
      </c>
    </row>
    <row r="10" spans="1:7" s="1" customFormat="1" ht="16.5" customHeight="1" x14ac:dyDescent="0.2">
      <c r="A10" s="2">
        <v>5</v>
      </c>
      <c r="B10" s="33" t="s">
        <v>19</v>
      </c>
      <c r="C10" s="34"/>
      <c r="D10" s="37">
        <f>A10*1000000</f>
        <v>5000000</v>
      </c>
      <c r="G10" s="1" t="s">
        <v>25</v>
      </c>
    </row>
    <row r="11" spans="1:7" s="1" customFormat="1" ht="16.5" customHeight="1" x14ac:dyDescent="0.2">
      <c r="B11" s="15"/>
      <c r="C11" s="15"/>
      <c r="D11" s="15"/>
      <c r="G11" s="1" t="s">
        <v>26</v>
      </c>
    </row>
    <row r="12" spans="1:7" s="1" customFormat="1" ht="15" customHeight="1" x14ac:dyDescent="0.2">
      <c r="B12" s="32"/>
      <c r="C12" s="31"/>
      <c r="D12" s="39" t="s">
        <v>5</v>
      </c>
      <c r="E12" s="39" t="s">
        <v>7</v>
      </c>
      <c r="G12" s="56" t="s">
        <v>27</v>
      </c>
    </row>
    <row r="13" spans="1:7" s="1" customFormat="1" ht="15" customHeight="1" x14ac:dyDescent="0.2">
      <c r="C13" s="41" t="s">
        <v>6</v>
      </c>
      <c r="D13" s="42">
        <f>-FV(D3,D4,D5,D6,D7)</f>
        <v>520850517.57812488</v>
      </c>
      <c r="E13" s="42">
        <f>D13/(1+D8)^D4</f>
        <v>428505009.80815595</v>
      </c>
    </row>
    <row r="14" spans="1:7" s="1" customFormat="1" ht="15" customHeight="1" x14ac:dyDescent="0.2">
      <c r="C14" s="44">
        <f>D9</f>
        <v>20000000</v>
      </c>
      <c r="D14" s="40"/>
      <c r="E14" s="16"/>
    </row>
    <row r="15" spans="1:7" s="1" customFormat="1" ht="15" customHeight="1" x14ac:dyDescent="0.2">
      <c r="C15" s="44">
        <f t="shared" ref="C15:C23" si="0">C14+D$10</f>
        <v>25000000</v>
      </c>
      <c r="D15" s="40"/>
      <c r="E15" s="16"/>
    </row>
    <row r="16" spans="1:7" s="1" customFormat="1" ht="15" customHeight="1" x14ac:dyDescent="0.2">
      <c r="C16" s="44">
        <f t="shared" si="0"/>
        <v>30000000</v>
      </c>
      <c r="D16" s="40"/>
      <c r="E16" s="16"/>
    </row>
    <row r="17" spans="2:8" s="1" customFormat="1" ht="15" customHeight="1" x14ac:dyDescent="0.2">
      <c r="C17" s="44">
        <f t="shared" si="0"/>
        <v>35000000</v>
      </c>
      <c r="D17" s="40"/>
      <c r="E17" s="16"/>
    </row>
    <row r="18" spans="2:8" s="1" customFormat="1" ht="15" customHeight="1" x14ac:dyDescent="0.2">
      <c r="C18" s="44">
        <f t="shared" si="0"/>
        <v>40000000</v>
      </c>
      <c r="D18" s="40"/>
      <c r="E18" s="16"/>
    </row>
    <row r="19" spans="2:8" s="1" customFormat="1" ht="15" customHeight="1" x14ac:dyDescent="0.2">
      <c r="C19" s="44">
        <f t="shared" si="0"/>
        <v>45000000</v>
      </c>
      <c r="D19" s="40"/>
      <c r="E19" s="16"/>
    </row>
    <row r="20" spans="2:8" s="1" customFormat="1" ht="15" customHeight="1" x14ac:dyDescent="0.2">
      <c r="C20" s="44">
        <f t="shared" si="0"/>
        <v>50000000</v>
      </c>
      <c r="D20" s="40"/>
      <c r="E20" s="16"/>
    </row>
    <row r="21" spans="2:8" s="1" customFormat="1" ht="15" customHeight="1" x14ac:dyDescent="0.25">
      <c r="C21" s="44">
        <f t="shared" si="0"/>
        <v>55000000</v>
      </c>
      <c r="D21" s="40"/>
      <c r="E21" s="16"/>
      <c r="G21" s="29" t="s">
        <v>28</v>
      </c>
      <c r="H21" s="29"/>
    </row>
    <row r="22" spans="2:8" s="1" customFormat="1" ht="15" customHeight="1" x14ac:dyDescent="0.25">
      <c r="C22" s="44">
        <f t="shared" si="0"/>
        <v>60000000</v>
      </c>
      <c r="D22" s="40"/>
      <c r="E22" s="16"/>
      <c r="F22" s="29"/>
      <c r="G22" s="29"/>
      <c r="H22" s="29"/>
    </row>
    <row r="23" spans="2:8" ht="15" customHeight="1" x14ac:dyDescent="0.25">
      <c r="B23" s="1"/>
      <c r="C23" s="44">
        <f t="shared" si="0"/>
        <v>65000000</v>
      </c>
      <c r="D23" s="40"/>
      <c r="E23" s="43"/>
    </row>
    <row r="24" spans="2:8" ht="19.5" customHeight="1" x14ac:dyDescent="0.25"/>
  </sheetData>
  <pageMargins left="0.75" right="0.75" top="1" bottom="1" header="0.5" footer="0.5"/>
  <pageSetup paperSize="9"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Scroll Bar 1">
              <controlPr defaultSize="0" autoPict="0">
                <anchor moveWithCells="1">
                  <from>
                    <xdr:col>2</xdr:col>
                    <xdr:colOff>561975</xdr:colOff>
                    <xdr:row>4</xdr:row>
                    <xdr:rowOff>19050</xdr:rowOff>
                  </from>
                  <to>
                    <xdr:col>2</xdr:col>
                    <xdr:colOff>1047750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Scroll Bar 2">
              <controlPr defaultSize="0" autoPict="0">
                <anchor moveWithCells="1">
                  <from>
                    <xdr:col>2</xdr:col>
                    <xdr:colOff>561975</xdr:colOff>
                    <xdr:row>5</xdr:row>
                    <xdr:rowOff>19050</xdr:rowOff>
                  </from>
                  <to>
                    <xdr:col>2</xdr:col>
                    <xdr:colOff>1047750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Scroll Bar 3">
              <controlPr defaultSize="0" autoPict="0">
                <anchor moveWithCells="1">
                  <from>
                    <xdr:col>2</xdr:col>
                    <xdr:colOff>561975</xdr:colOff>
                    <xdr:row>6</xdr:row>
                    <xdr:rowOff>19050</xdr:rowOff>
                  </from>
                  <to>
                    <xdr:col>2</xdr:col>
                    <xdr:colOff>1047750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4" r:id="rId7" name="Scroll Bar 4">
              <controlPr defaultSize="0" autoPict="0">
                <anchor moveWithCells="1">
                  <from>
                    <xdr:col>2</xdr:col>
                    <xdr:colOff>561975</xdr:colOff>
                    <xdr:row>8</xdr:row>
                    <xdr:rowOff>19050</xdr:rowOff>
                  </from>
                  <to>
                    <xdr:col>2</xdr:col>
                    <xdr:colOff>1047750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5" r:id="rId8" name="Scroll Bar 5">
              <controlPr defaultSize="0" autoPict="0">
                <anchor moveWithCells="1">
                  <from>
                    <xdr:col>2</xdr:col>
                    <xdr:colOff>561975</xdr:colOff>
                    <xdr:row>9</xdr:row>
                    <xdr:rowOff>19050</xdr:rowOff>
                  </from>
                  <to>
                    <xdr:col>2</xdr:col>
                    <xdr:colOff>1047750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6" r:id="rId9" name="Scroll Bar 6">
              <controlPr defaultSize="0" autoPict="0">
                <anchor moveWithCells="1">
                  <from>
                    <xdr:col>2</xdr:col>
                    <xdr:colOff>561975</xdr:colOff>
                    <xdr:row>3</xdr:row>
                    <xdr:rowOff>19050</xdr:rowOff>
                  </from>
                  <to>
                    <xdr:col>2</xdr:col>
                    <xdr:colOff>1047750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7" r:id="rId10" name="Scroll Bar 7">
              <controlPr defaultSize="0" autoPict="0">
                <anchor moveWithCells="1">
                  <from>
                    <xdr:col>2</xdr:col>
                    <xdr:colOff>561975</xdr:colOff>
                    <xdr:row>2</xdr:row>
                    <xdr:rowOff>19050</xdr:rowOff>
                  </from>
                  <to>
                    <xdr:col>2</xdr:col>
                    <xdr:colOff>1047750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8" r:id="rId11" name="Scroll Bar 8">
              <controlPr defaultSize="0" autoPict="0">
                <anchor moveWithCells="1">
                  <from>
                    <xdr:col>2</xdr:col>
                    <xdr:colOff>561975</xdr:colOff>
                    <xdr:row>7</xdr:row>
                    <xdr:rowOff>19050</xdr:rowOff>
                  </from>
                  <to>
                    <xdr:col>2</xdr:col>
                    <xdr:colOff>1047750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2"/>
  <sheetViews>
    <sheetView showGridLines="0" zoomScale="91" zoomScaleNormal="91" workbookViewId="0">
      <selection activeCell="I4" sqref="I4:N18"/>
    </sheetView>
  </sheetViews>
  <sheetFormatPr defaultRowHeight="15" x14ac:dyDescent="0.2"/>
  <cols>
    <col min="1" max="1" width="5.85546875" style="1" customWidth="1"/>
    <col min="2" max="2" width="12.140625" style="1" customWidth="1"/>
    <col min="3" max="3" width="5.42578125" style="1" customWidth="1"/>
    <col min="4" max="4" width="16.85546875" style="1" customWidth="1"/>
    <col min="5" max="5" width="14.5703125" style="1" customWidth="1"/>
    <col min="6" max="6" width="4.28515625" style="1" customWidth="1"/>
    <col min="7" max="7" width="4.140625" style="1" customWidth="1"/>
    <col min="8" max="8" width="14.5703125" style="1" customWidth="1"/>
    <col min="9" max="14" width="15" style="1" customWidth="1"/>
    <col min="15" max="15" width="5.85546875" style="1" customWidth="1"/>
    <col min="16" max="16384" width="9.140625" style="1"/>
  </cols>
  <sheetData>
    <row r="1" spans="1:14" ht="20.25" customHeight="1" x14ac:dyDescent="0.2"/>
    <row r="2" spans="1:14" ht="20.25" customHeight="1" x14ac:dyDescent="0.2">
      <c r="B2" s="9" t="s">
        <v>176</v>
      </c>
      <c r="I2" s="2">
        <v>1</v>
      </c>
      <c r="J2" s="2">
        <v>2</v>
      </c>
      <c r="K2" s="2">
        <v>3</v>
      </c>
      <c r="L2" s="2">
        <v>4</v>
      </c>
      <c r="M2" s="2">
        <v>5</v>
      </c>
      <c r="N2" s="2">
        <v>6</v>
      </c>
    </row>
    <row r="3" spans="1:14" ht="16.5" customHeight="1" x14ac:dyDescent="0.2">
      <c r="A3" s="2">
        <v>800</v>
      </c>
      <c r="B3" s="33" t="s">
        <v>0</v>
      </c>
      <c r="C3" s="8"/>
      <c r="D3" s="8"/>
      <c r="E3" s="12">
        <f>A3/10000</f>
        <v>0.08</v>
      </c>
      <c r="G3" s="50"/>
      <c r="H3" s="51">
        <f>-FV(E3,E4,E5,E6,E7)</f>
        <v>525730245.12000024</v>
      </c>
      <c r="I3" s="48">
        <v>7.4999999999999997E-2</v>
      </c>
      <c r="J3" s="47">
        <f>I3+$E10</f>
        <v>7.7499999999999999E-2</v>
      </c>
      <c r="K3" s="47">
        <f>J3+$E10</f>
        <v>0.08</v>
      </c>
      <c r="L3" s="47">
        <f>K3+$E10</f>
        <v>8.2500000000000004E-2</v>
      </c>
      <c r="M3" s="47">
        <f>L3+$E10</f>
        <v>8.5000000000000006E-2</v>
      </c>
      <c r="N3" s="47">
        <f>M3+$E10</f>
        <v>8.7500000000000008E-2</v>
      </c>
    </row>
    <row r="4" spans="1:14" ht="16.5" customHeight="1" x14ac:dyDescent="0.2">
      <c r="A4" s="2"/>
      <c r="B4" s="33" t="s">
        <v>1</v>
      </c>
      <c r="C4" s="8"/>
      <c r="D4" s="8"/>
      <c r="E4" s="45">
        <v>5</v>
      </c>
      <c r="F4" s="2">
        <v>1</v>
      </c>
      <c r="G4" s="341" t="s">
        <v>6</v>
      </c>
      <c r="H4" s="49">
        <f>E8</f>
        <v>25000000</v>
      </c>
      <c r="I4" s="26"/>
      <c r="J4" s="26"/>
      <c r="K4" s="26"/>
      <c r="L4" s="26"/>
      <c r="M4" s="26"/>
      <c r="N4" s="27"/>
    </row>
    <row r="5" spans="1:14" ht="16.5" customHeight="1" x14ac:dyDescent="0.2">
      <c r="A5" s="2">
        <v>25</v>
      </c>
      <c r="B5" s="33" t="s">
        <v>2</v>
      </c>
      <c r="C5" s="8"/>
      <c r="D5" s="8"/>
      <c r="E5" s="14">
        <f>A5*1000000</f>
        <v>25000000</v>
      </c>
      <c r="F5" s="2">
        <v>2</v>
      </c>
      <c r="G5" s="332"/>
      <c r="H5" s="49">
        <f t="shared" ref="H5:H13" si="0">H4+E$9</f>
        <v>30000000</v>
      </c>
      <c r="I5" s="26"/>
      <c r="J5" s="26"/>
      <c r="K5" s="26"/>
      <c r="L5" s="26"/>
      <c r="M5" s="26"/>
      <c r="N5" s="27"/>
    </row>
    <row r="6" spans="1:14" ht="16.5" customHeight="1" x14ac:dyDescent="0.2">
      <c r="A6" s="2">
        <v>250</v>
      </c>
      <c r="B6" s="33" t="s">
        <v>3</v>
      </c>
      <c r="C6" s="8"/>
      <c r="D6" s="8"/>
      <c r="E6" s="14">
        <f>A6*1000000</f>
        <v>250000000</v>
      </c>
      <c r="F6" s="2">
        <v>3</v>
      </c>
      <c r="G6" s="332"/>
      <c r="H6" s="49">
        <f t="shared" si="0"/>
        <v>35000000</v>
      </c>
      <c r="I6" s="26"/>
      <c r="J6" s="26"/>
      <c r="K6" s="26"/>
      <c r="L6" s="26"/>
      <c r="M6" s="26"/>
      <c r="N6" s="27"/>
    </row>
    <row r="7" spans="1:14" ht="16.5" customHeight="1" x14ac:dyDescent="0.2">
      <c r="A7" s="2"/>
      <c r="B7" s="33" t="s">
        <v>4</v>
      </c>
      <c r="C7" s="8"/>
      <c r="D7" s="8"/>
      <c r="E7" s="46">
        <v>1</v>
      </c>
      <c r="F7" s="2">
        <v>4</v>
      </c>
      <c r="G7" s="332"/>
      <c r="H7" s="49">
        <f t="shared" si="0"/>
        <v>40000000</v>
      </c>
      <c r="I7" s="26"/>
      <c r="J7" s="26"/>
      <c r="K7" s="26"/>
      <c r="L7" s="26"/>
      <c r="M7" s="26"/>
      <c r="N7" s="27"/>
    </row>
    <row r="8" spans="1:14" ht="16.5" customHeight="1" x14ac:dyDescent="0.2">
      <c r="A8" s="2">
        <v>25</v>
      </c>
      <c r="B8" s="28" t="s">
        <v>177</v>
      </c>
      <c r="C8" s="8"/>
      <c r="D8" s="8"/>
      <c r="E8" s="14">
        <f>A8*1000000</f>
        <v>25000000</v>
      </c>
      <c r="F8" s="2">
        <v>5</v>
      </c>
      <c r="G8" s="332"/>
      <c r="H8" s="49">
        <f t="shared" si="0"/>
        <v>45000000</v>
      </c>
      <c r="I8" s="26"/>
      <c r="J8" s="26"/>
      <c r="K8" s="26"/>
      <c r="L8" s="26"/>
      <c r="M8" s="26"/>
      <c r="N8" s="27"/>
    </row>
    <row r="9" spans="1:14" ht="16.5" customHeight="1" x14ac:dyDescent="0.2">
      <c r="A9" s="2">
        <v>5</v>
      </c>
      <c r="B9" s="28" t="s">
        <v>19</v>
      </c>
      <c r="C9" s="8"/>
      <c r="D9" s="8"/>
      <c r="E9" s="14">
        <f>A9*1000000</f>
        <v>5000000</v>
      </c>
      <c r="F9" s="2">
        <v>6</v>
      </c>
      <c r="G9" s="332"/>
      <c r="H9" s="49">
        <f t="shared" si="0"/>
        <v>50000000</v>
      </c>
      <c r="I9" s="26"/>
      <c r="J9" s="26"/>
      <c r="K9" s="26"/>
      <c r="L9" s="26"/>
      <c r="M9" s="26"/>
      <c r="N9" s="27"/>
    </row>
    <row r="10" spans="1:14" ht="16.5" customHeight="1" x14ac:dyDescent="0.2">
      <c r="A10" s="2">
        <v>25</v>
      </c>
      <c r="B10" s="28" t="s">
        <v>178</v>
      </c>
      <c r="C10" s="8"/>
      <c r="D10" s="8"/>
      <c r="E10" s="12">
        <f>A10/10000</f>
        <v>2.5000000000000001E-3</v>
      </c>
      <c r="F10" s="2">
        <v>7</v>
      </c>
      <c r="G10" s="332"/>
      <c r="H10" s="49">
        <f t="shared" si="0"/>
        <v>55000000</v>
      </c>
      <c r="I10" s="26"/>
      <c r="J10" s="26"/>
      <c r="K10" s="26"/>
      <c r="L10" s="26"/>
      <c r="M10" s="26"/>
      <c r="N10" s="27"/>
    </row>
    <row r="11" spans="1:14" ht="16.5" customHeight="1" x14ac:dyDescent="0.2">
      <c r="F11" s="2">
        <v>8</v>
      </c>
      <c r="G11" s="332"/>
      <c r="H11" s="49">
        <f t="shared" si="0"/>
        <v>60000000</v>
      </c>
      <c r="I11" s="26"/>
      <c r="J11" s="26"/>
      <c r="K11" s="26"/>
      <c r="L11" s="26"/>
      <c r="M11" s="26"/>
      <c r="N11" s="27"/>
    </row>
    <row r="12" spans="1:14" ht="16.5" customHeight="1" x14ac:dyDescent="0.2">
      <c r="F12" s="2">
        <v>9</v>
      </c>
      <c r="G12" s="332"/>
      <c r="H12" s="49">
        <f t="shared" si="0"/>
        <v>65000000</v>
      </c>
      <c r="I12" s="26"/>
      <c r="J12" s="26"/>
      <c r="K12" s="26"/>
      <c r="L12" s="26"/>
      <c r="M12" s="26"/>
      <c r="N12" s="27"/>
    </row>
    <row r="13" spans="1:14" ht="15.75" customHeight="1" x14ac:dyDescent="0.25">
      <c r="B13" s="279" t="s">
        <v>24</v>
      </c>
      <c r="F13" s="2">
        <v>10</v>
      </c>
      <c r="G13" s="332"/>
      <c r="H13" s="49">
        <f t="shared" si="0"/>
        <v>70000000</v>
      </c>
      <c r="I13" s="26"/>
      <c r="J13" s="26"/>
      <c r="K13" s="26"/>
      <c r="L13" s="26"/>
      <c r="M13" s="26"/>
      <c r="N13" s="27"/>
    </row>
    <row r="14" spans="1:14" ht="15.75" customHeight="1" x14ac:dyDescent="0.2">
      <c r="B14" s="1" t="s">
        <v>43</v>
      </c>
      <c r="F14" s="2">
        <v>11</v>
      </c>
      <c r="G14" s="332"/>
      <c r="H14" s="49">
        <f>H13+E$9</f>
        <v>75000000</v>
      </c>
      <c r="I14" s="26"/>
      <c r="J14" s="26"/>
      <c r="K14" s="26"/>
      <c r="L14" s="26"/>
      <c r="M14" s="26"/>
      <c r="N14" s="27"/>
    </row>
    <row r="15" spans="1:14" ht="15.75" customHeight="1" x14ac:dyDescent="0.2">
      <c r="B15" s="1" t="s">
        <v>25</v>
      </c>
      <c r="F15" s="2">
        <v>12</v>
      </c>
      <c r="G15" s="332"/>
      <c r="H15" s="49">
        <f>H14+E$9</f>
        <v>80000000</v>
      </c>
      <c r="I15" s="26"/>
      <c r="J15" s="26"/>
      <c r="K15" s="26"/>
      <c r="L15" s="26"/>
      <c r="M15" s="26"/>
      <c r="N15" s="27"/>
    </row>
    <row r="16" spans="1:14" ht="15.75" customHeight="1" x14ac:dyDescent="0.2">
      <c r="B16" s="1" t="s">
        <v>44</v>
      </c>
      <c r="F16" s="2">
        <v>13</v>
      </c>
      <c r="G16" s="332"/>
      <c r="H16" s="49">
        <f>H15+E$9</f>
        <v>85000000</v>
      </c>
      <c r="I16" s="26"/>
      <c r="J16" s="26"/>
      <c r="K16" s="26"/>
      <c r="L16" s="26"/>
      <c r="M16" s="26"/>
      <c r="N16" s="27"/>
    </row>
    <row r="17" spans="2:14" ht="15.75" customHeight="1" x14ac:dyDescent="0.2">
      <c r="B17" s="56" t="s">
        <v>27</v>
      </c>
      <c r="F17" s="2">
        <v>14</v>
      </c>
      <c r="G17" s="332"/>
      <c r="H17" s="49">
        <f>H16+E$9</f>
        <v>90000000</v>
      </c>
      <c r="I17" s="26"/>
      <c r="J17" s="26"/>
      <c r="K17" s="26"/>
      <c r="L17" s="26"/>
      <c r="M17" s="26"/>
      <c r="N17" s="27"/>
    </row>
    <row r="18" spans="2:14" ht="15.75" customHeight="1" x14ac:dyDescent="0.2">
      <c r="F18" s="2">
        <v>15</v>
      </c>
      <c r="G18" s="332"/>
      <c r="H18" s="49">
        <f>H17+E$9</f>
        <v>95000000</v>
      </c>
      <c r="I18" s="26"/>
      <c r="J18" s="26"/>
      <c r="K18" s="26"/>
      <c r="L18" s="26"/>
      <c r="M18" s="26"/>
      <c r="N18" s="27"/>
    </row>
    <row r="19" spans="2:14" ht="9.75" customHeight="1" x14ac:dyDescent="0.2"/>
    <row r="20" spans="2:14" ht="16.5" customHeight="1" x14ac:dyDescent="0.2">
      <c r="F20" s="2">
        <v>6</v>
      </c>
      <c r="G20" s="286" t="s">
        <v>179</v>
      </c>
      <c r="H20" s="286"/>
      <c r="I20" s="8"/>
      <c r="J20" s="291">
        <f>VLOOKUP(F20,F4:H18,3)</f>
        <v>50000000</v>
      </c>
    </row>
    <row r="21" spans="2:14" ht="16.5" customHeight="1" x14ac:dyDescent="0.2">
      <c r="F21" s="2">
        <v>3</v>
      </c>
      <c r="G21" s="296" t="s">
        <v>180</v>
      </c>
      <c r="H21" s="20"/>
      <c r="I21" s="20"/>
      <c r="J21" s="297">
        <f>HLOOKUP(F21,I2:N3,2)</f>
        <v>0.08</v>
      </c>
    </row>
    <row r="22" spans="2:14" ht="16.5" customHeight="1" x14ac:dyDescent="0.2">
      <c r="F22" s="2"/>
      <c r="G22" s="292"/>
      <c r="H22" s="262"/>
      <c r="I22" s="293" t="s">
        <v>181</v>
      </c>
      <c r="J22" s="295">
        <f>INDEX(INVESTASI,MATCH(J20,H3:H18,),MATCH(J21,H3:N3,))</f>
        <v>0</v>
      </c>
    </row>
    <row r="23" spans="2:14" ht="9.75" customHeight="1" x14ac:dyDescent="0.2"/>
    <row r="24" spans="2:14" ht="15.75" customHeight="1" x14ac:dyDescent="0.2">
      <c r="H24" s="331" t="str">
        <f>"Artinya, jika seseorang memiliki saldo awal deposito sebesar Rp "&amp;TEXT(E6,"#.000")&amp;" dan setiap tahun mendepositokan dana sebesar Rp "&amp;TEXT(J20,"#.000")&amp;" selama "&amp;E4&amp;" tahun dengan bunga deposito per tahun (diasumsikan tidak ada perubahan) sebesar "&amp;TEXT(J21,"#,00%")&amp;", pada akhir tahun ke-"&amp;E4&amp;" secara teoritis menjadi Rp "&amp;TEXT(J22,"#.###")</f>
        <v xml:space="preserve">Artinya, jika seseorang memiliki saldo awal deposito sebesar Rp 250.000.000 dan setiap tahun mendepositokan dana sebesar Rp 50.000.000 selama 5 tahun dengan bunga deposito per tahun (diasumsikan tidak ada perubahan) sebesar 8,00%, pada akhir tahun ke-5 secara teoritis menjadi Rp </v>
      </c>
      <c r="I24" s="331"/>
      <c r="J24" s="331"/>
      <c r="K24" s="331"/>
      <c r="L24" s="331"/>
      <c r="M24" s="331"/>
      <c r="N24" s="331"/>
    </row>
    <row r="25" spans="2:14" ht="15" customHeight="1" x14ac:dyDescent="0.2">
      <c r="H25" s="331"/>
      <c r="I25" s="331"/>
      <c r="J25" s="331"/>
      <c r="K25" s="331"/>
      <c r="L25" s="331"/>
      <c r="M25" s="331"/>
      <c r="N25" s="331"/>
    </row>
    <row r="26" spans="2:14" x14ac:dyDescent="0.25">
      <c r="B26" s="29" t="s">
        <v>28</v>
      </c>
      <c r="H26" s="331"/>
      <c r="I26" s="331"/>
      <c r="J26" s="331"/>
      <c r="K26" s="331"/>
      <c r="L26" s="331"/>
      <c r="M26" s="331"/>
      <c r="N26" s="331"/>
    </row>
    <row r="27" spans="2:14" ht="19.5" customHeight="1" x14ac:dyDescent="0.2"/>
    <row r="32" spans="2:14" x14ac:dyDescent="0.2">
      <c r="F32" s="1" t="s">
        <v>12</v>
      </c>
    </row>
  </sheetData>
  <mergeCells count="2">
    <mergeCell ref="G4:G18"/>
    <mergeCell ref="H24:N26"/>
  </mergeCells>
  <conditionalFormatting sqref="I4:N18">
    <cfRule type="cellIs" dxfId="0" priority="1" operator="equal">
      <formula>$J$22</formula>
    </cfRule>
  </conditionalFormatting>
  <pageMargins left="0.75" right="0.75" top="1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Scroll Bar 1">
              <controlPr defaultSize="0" autoPict="0">
                <anchor moveWithCells="1">
                  <from>
                    <xdr:col>3</xdr:col>
                    <xdr:colOff>561975</xdr:colOff>
                    <xdr:row>7</xdr:row>
                    <xdr:rowOff>19050</xdr:rowOff>
                  </from>
                  <to>
                    <xdr:col>3</xdr:col>
                    <xdr:colOff>1047750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Scroll Bar 2">
              <controlPr defaultSize="0" autoPict="0">
                <anchor moveWithCells="1">
                  <from>
                    <xdr:col>3</xdr:col>
                    <xdr:colOff>561975</xdr:colOff>
                    <xdr:row>8</xdr:row>
                    <xdr:rowOff>9525</xdr:rowOff>
                  </from>
                  <to>
                    <xdr:col>3</xdr:col>
                    <xdr:colOff>1047750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4" r:id="rId6" name="Scroll Bar 4">
              <controlPr defaultSize="0" autoPict="0">
                <anchor moveWithCells="1">
                  <from>
                    <xdr:col>3</xdr:col>
                    <xdr:colOff>561975</xdr:colOff>
                    <xdr:row>9</xdr:row>
                    <xdr:rowOff>0</xdr:rowOff>
                  </from>
                  <to>
                    <xdr:col>3</xdr:col>
                    <xdr:colOff>1047750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5" r:id="rId7" name="Scroll Bar 5">
              <controlPr defaultSize="0" autoPict="0">
                <anchor moveWithCells="1">
                  <from>
                    <xdr:col>3</xdr:col>
                    <xdr:colOff>561975</xdr:colOff>
                    <xdr:row>6</xdr:row>
                    <xdr:rowOff>19050</xdr:rowOff>
                  </from>
                  <to>
                    <xdr:col>3</xdr:col>
                    <xdr:colOff>1047750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6" r:id="rId8" name="Scroll Bar 6">
              <controlPr defaultSize="0" autoPict="0">
                <anchor moveWithCells="1">
                  <from>
                    <xdr:col>3</xdr:col>
                    <xdr:colOff>561975</xdr:colOff>
                    <xdr:row>5</xdr:row>
                    <xdr:rowOff>19050</xdr:rowOff>
                  </from>
                  <to>
                    <xdr:col>3</xdr:col>
                    <xdr:colOff>1047750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7" r:id="rId9" name="Scroll Bar 7">
              <controlPr defaultSize="0" autoPict="0">
                <anchor moveWithCells="1">
                  <from>
                    <xdr:col>3</xdr:col>
                    <xdr:colOff>561975</xdr:colOff>
                    <xdr:row>4</xdr:row>
                    <xdr:rowOff>19050</xdr:rowOff>
                  </from>
                  <to>
                    <xdr:col>3</xdr:col>
                    <xdr:colOff>1047750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8" r:id="rId10" name="Scroll Bar 8">
              <controlPr defaultSize="0" autoPict="0">
                <anchor moveWithCells="1">
                  <from>
                    <xdr:col>3</xdr:col>
                    <xdr:colOff>561975</xdr:colOff>
                    <xdr:row>3</xdr:row>
                    <xdr:rowOff>19050</xdr:rowOff>
                  </from>
                  <to>
                    <xdr:col>3</xdr:col>
                    <xdr:colOff>1047750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9" r:id="rId11" name="Scroll Bar 9">
              <controlPr defaultSize="0" autoPict="0">
                <anchor moveWithCells="1">
                  <from>
                    <xdr:col>3</xdr:col>
                    <xdr:colOff>561975</xdr:colOff>
                    <xdr:row>2</xdr:row>
                    <xdr:rowOff>28575</xdr:rowOff>
                  </from>
                  <to>
                    <xdr:col>3</xdr:col>
                    <xdr:colOff>1047750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0" r:id="rId12" name="Scroll Bar 10">
              <controlPr defaultSize="0" autoPict="0">
                <anchor moveWithCells="1">
                  <from>
                    <xdr:col>8</xdr:col>
                    <xdr:colOff>371475</xdr:colOff>
                    <xdr:row>19</xdr:row>
                    <xdr:rowOff>28575</xdr:rowOff>
                  </from>
                  <to>
                    <xdr:col>8</xdr:col>
                    <xdr:colOff>857250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1" r:id="rId13" name="Scroll Bar 11">
              <controlPr defaultSize="0" autoPict="0">
                <anchor moveWithCells="1">
                  <from>
                    <xdr:col>8</xdr:col>
                    <xdr:colOff>371475</xdr:colOff>
                    <xdr:row>20</xdr:row>
                    <xdr:rowOff>19050</xdr:rowOff>
                  </from>
                  <to>
                    <xdr:col>8</xdr:col>
                    <xdr:colOff>857250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6"/>
  <sheetViews>
    <sheetView showGridLines="0" workbookViewId="0">
      <selection activeCell="D13" sqref="D13"/>
    </sheetView>
  </sheetViews>
  <sheetFormatPr defaultRowHeight="15" customHeight="1" x14ac:dyDescent="0.2"/>
  <cols>
    <col min="1" max="1" width="5.85546875" style="118" customWidth="1"/>
    <col min="2" max="2" width="13.42578125" style="121" customWidth="1"/>
    <col min="3" max="3" width="31.42578125" style="121" customWidth="1"/>
    <col min="4" max="4" width="16.5703125" style="121" customWidth="1"/>
    <col min="5" max="5" width="4.5703125" style="4" customWidth="1"/>
    <col min="6" max="6" width="8" style="121" customWidth="1"/>
    <col min="7" max="7" width="18.85546875" style="121" customWidth="1"/>
    <col min="8" max="8" width="5.85546875" style="121" customWidth="1"/>
    <col min="9" max="16384" width="9.140625" style="121"/>
  </cols>
  <sheetData>
    <row r="1" spans="1:7" ht="19.5" customHeight="1" x14ac:dyDescent="0.2">
      <c r="B1" s="119"/>
      <c r="C1" s="120"/>
      <c r="D1" s="119"/>
    </row>
    <row r="2" spans="1:7" ht="15" customHeight="1" x14ac:dyDescent="0.3">
      <c r="B2" s="122" t="s">
        <v>58</v>
      </c>
      <c r="C2" s="119"/>
      <c r="D2" s="119"/>
    </row>
    <row r="3" spans="1:7" ht="18" customHeight="1" x14ac:dyDescent="0.2">
      <c r="B3" s="302" t="s">
        <v>59</v>
      </c>
      <c r="C3" s="302"/>
      <c r="D3" s="302"/>
    </row>
    <row r="4" spans="1:7" s="127" customFormat="1" ht="15" customHeight="1" x14ac:dyDescent="0.25">
      <c r="A4" s="123"/>
      <c r="B4" s="124" t="s">
        <v>60</v>
      </c>
      <c r="C4" s="125"/>
      <c r="D4" s="125"/>
      <c r="E4" s="126"/>
    </row>
    <row r="5" spans="1:7" s="127" customFormat="1" ht="15" customHeight="1" x14ac:dyDescent="0.25">
      <c r="A5" s="123"/>
      <c r="B5" s="128" t="s">
        <v>61</v>
      </c>
      <c r="C5" s="125"/>
      <c r="D5" s="125"/>
      <c r="E5" s="126"/>
    </row>
    <row r="6" spans="1:7" s="127" customFormat="1" ht="15" customHeight="1" x14ac:dyDescent="0.25">
      <c r="A6" s="123"/>
      <c r="B6" s="124" t="s">
        <v>62</v>
      </c>
      <c r="C6" s="125"/>
      <c r="D6" s="125"/>
      <c r="E6" s="126"/>
    </row>
    <row r="7" spans="1:7" ht="15" customHeight="1" x14ac:dyDescent="0.25">
      <c r="B7" s="129"/>
      <c r="C7" s="119"/>
      <c r="D7" s="119"/>
    </row>
    <row r="8" spans="1:7" ht="15" customHeight="1" thickBot="1" x14ac:dyDescent="0.25">
      <c r="B8" s="130" t="s">
        <v>63</v>
      </c>
      <c r="C8" s="131"/>
      <c r="D8" s="107">
        <f>E8/10000</f>
        <v>8.2500000000000004E-2</v>
      </c>
      <c r="E8" s="4">
        <v>825</v>
      </c>
      <c r="F8" s="132" t="s">
        <v>64</v>
      </c>
      <c r="G8" s="132" t="s">
        <v>65</v>
      </c>
    </row>
    <row r="9" spans="1:7" ht="15" customHeight="1" x14ac:dyDescent="0.2">
      <c r="B9" s="130" t="s">
        <v>66</v>
      </c>
      <c r="C9" s="131"/>
      <c r="D9" s="133">
        <v>10</v>
      </c>
      <c r="F9" s="134">
        <v>0</v>
      </c>
      <c r="G9" s="135" t="s">
        <v>67</v>
      </c>
    </row>
    <row r="10" spans="1:7" ht="15" customHeight="1" thickBot="1" x14ac:dyDescent="0.25">
      <c r="B10" s="130" t="s">
        <v>68</v>
      </c>
      <c r="C10" s="131"/>
      <c r="D10" s="136">
        <v>0</v>
      </c>
      <c r="F10" s="137">
        <v>1</v>
      </c>
      <c r="G10" s="138" t="s">
        <v>69</v>
      </c>
    </row>
    <row r="11" spans="1:7" ht="15" customHeight="1" x14ac:dyDescent="0.2">
      <c r="B11" s="130" t="s">
        <v>70</v>
      </c>
      <c r="C11" s="131"/>
      <c r="D11" s="160">
        <f>E11*100000</f>
        <v>150000000</v>
      </c>
      <c r="E11" s="4">
        <v>1500</v>
      </c>
    </row>
    <row r="12" spans="1:7" ht="15" customHeight="1" x14ac:dyDescent="0.2">
      <c r="B12" s="130" t="s">
        <v>71</v>
      </c>
      <c r="C12" s="131"/>
      <c r="D12" s="110">
        <v>1</v>
      </c>
    </row>
    <row r="13" spans="1:7" ht="16.5" customHeight="1" x14ac:dyDescent="0.2">
      <c r="B13" s="303" t="s">
        <v>72</v>
      </c>
      <c r="C13" s="303"/>
      <c r="D13" s="226">
        <f>-PV(D8,D9,,D11,D12)</f>
        <v>67891000.491278157</v>
      </c>
      <c r="E13" s="139" t="str">
        <f ca="1">_xlfn.FORMULATEXT(D13)</f>
        <v>=-PV(D8;D9;;D11;D12)</v>
      </c>
    </row>
    <row r="14" spans="1:7" ht="19.5" customHeight="1" x14ac:dyDescent="0.2">
      <c r="B14" s="140"/>
      <c r="C14" s="141"/>
      <c r="D14" s="141"/>
    </row>
    <row r="15" spans="1:7" ht="15" customHeight="1" x14ac:dyDescent="0.2">
      <c r="B15" s="118"/>
      <c r="C15" s="118"/>
      <c r="D15" s="118"/>
    </row>
    <row r="16" spans="1:7" ht="15" customHeight="1" x14ac:dyDescent="0.2">
      <c r="B16" s="118"/>
      <c r="C16" s="118"/>
      <c r="D16" s="118"/>
    </row>
  </sheetData>
  <mergeCells count="2">
    <mergeCell ref="B3:D3"/>
    <mergeCell ref="B13:C13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0529" r:id="rId3" name="Scroll Bar 1">
              <controlPr defaultSize="0" autoPict="0">
                <anchor moveWithCells="1">
                  <from>
                    <xdr:col>2</xdr:col>
                    <xdr:colOff>1552575</xdr:colOff>
                    <xdr:row>7</xdr:row>
                    <xdr:rowOff>28575</xdr:rowOff>
                  </from>
                  <to>
                    <xdr:col>2</xdr:col>
                    <xdr:colOff>2038350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530" r:id="rId4" name="Scroll Bar 2">
              <controlPr defaultSize="0" autoPict="0">
                <anchor moveWithCells="1">
                  <from>
                    <xdr:col>2</xdr:col>
                    <xdr:colOff>1552575</xdr:colOff>
                    <xdr:row>8</xdr:row>
                    <xdr:rowOff>28575</xdr:rowOff>
                  </from>
                  <to>
                    <xdr:col>2</xdr:col>
                    <xdr:colOff>2038350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531" r:id="rId5" name="Scroll Bar 3">
              <controlPr defaultSize="0" autoPict="0">
                <anchor moveWithCells="1">
                  <from>
                    <xdr:col>2</xdr:col>
                    <xdr:colOff>1552575</xdr:colOff>
                    <xdr:row>9</xdr:row>
                    <xdr:rowOff>180975</xdr:rowOff>
                  </from>
                  <to>
                    <xdr:col>2</xdr:col>
                    <xdr:colOff>2038350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0532" r:id="rId6" name="Scroll Bar 4">
              <controlPr defaultSize="0" autoPict="0">
                <anchor moveWithCells="1">
                  <from>
                    <xdr:col>2</xdr:col>
                    <xdr:colOff>1552575</xdr:colOff>
                    <xdr:row>10</xdr:row>
                    <xdr:rowOff>180975</xdr:rowOff>
                  </from>
                  <to>
                    <xdr:col>2</xdr:col>
                    <xdr:colOff>2038350</xdr:colOff>
                    <xdr:row>11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2"/>
  <sheetViews>
    <sheetView showGridLines="0" workbookViewId="0">
      <selection activeCell="D12" sqref="D12"/>
    </sheetView>
  </sheetViews>
  <sheetFormatPr defaultRowHeight="15" x14ac:dyDescent="0.2"/>
  <cols>
    <col min="1" max="1" width="5.85546875" style="118" customWidth="1"/>
    <col min="2" max="2" width="12" style="121" customWidth="1"/>
    <col min="3" max="3" width="33.5703125" style="121" customWidth="1"/>
    <col min="4" max="4" width="15.7109375" style="121" customWidth="1"/>
    <col min="5" max="5" width="5.85546875" style="118" customWidth="1"/>
    <col min="6" max="6" width="9.140625" style="118"/>
    <col min="7" max="7" width="47.5703125" style="121" customWidth="1"/>
    <col min="8" max="8" width="5.85546875" style="121" customWidth="1"/>
    <col min="9" max="16384" width="9.140625" style="121"/>
  </cols>
  <sheetData>
    <row r="1" spans="1:7" ht="19.5" customHeight="1" x14ac:dyDescent="0.2">
      <c r="B1" s="119"/>
      <c r="C1" s="120"/>
      <c r="D1" s="119"/>
    </row>
    <row r="2" spans="1:7" ht="18.75" x14ac:dyDescent="0.2">
      <c r="B2" s="142" t="s">
        <v>76</v>
      </c>
      <c r="C2" s="119"/>
      <c r="D2" s="119"/>
    </row>
    <row r="3" spans="1:7" ht="18" customHeight="1" x14ac:dyDescent="0.2">
      <c r="A3" s="119"/>
      <c r="B3" s="304" t="s">
        <v>77</v>
      </c>
      <c r="C3" s="304"/>
      <c r="D3" s="304"/>
    </row>
    <row r="4" spans="1:7" x14ac:dyDescent="0.2">
      <c r="A4" s="119"/>
      <c r="B4" s="143" t="s">
        <v>78</v>
      </c>
      <c r="C4" s="119"/>
      <c r="D4" s="119"/>
    </row>
    <row r="5" spans="1:7" x14ac:dyDescent="0.2">
      <c r="A5" s="119"/>
      <c r="B5" s="124" t="s">
        <v>79</v>
      </c>
      <c r="C5" s="119"/>
      <c r="D5" s="119"/>
    </row>
    <row r="6" spans="1:7" x14ac:dyDescent="0.2">
      <c r="A6" s="119"/>
      <c r="C6" s="119"/>
      <c r="D6" s="119"/>
    </row>
    <row r="7" spans="1:7" ht="18" customHeight="1" thickBot="1" x14ac:dyDescent="0.25">
      <c r="A7" s="119"/>
      <c r="B7" s="130" t="s">
        <v>63</v>
      </c>
      <c r="C7" s="144"/>
      <c r="D7" s="145">
        <f>E7/10000</f>
        <v>0.105</v>
      </c>
      <c r="E7" s="146">
        <v>1050</v>
      </c>
      <c r="F7" s="147" t="s">
        <v>64</v>
      </c>
      <c r="G7" s="147" t="s">
        <v>65</v>
      </c>
    </row>
    <row r="8" spans="1:7" ht="18" customHeight="1" x14ac:dyDescent="0.2">
      <c r="A8" s="119"/>
      <c r="B8" s="130" t="s">
        <v>80</v>
      </c>
      <c r="C8" s="144"/>
      <c r="D8" s="148">
        <v>8</v>
      </c>
      <c r="E8" s="146"/>
      <c r="F8" s="134">
        <v>0</v>
      </c>
      <c r="G8" s="149" t="s">
        <v>81</v>
      </c>
    </row>
    <row r="9" spans="1:7" ht="18" customHeight="1" thickBot="1" x14ac:dyDescent="0.25">
      <c r="A9" s="119"/>
      <c r="B9" s="130" t="s">
        <v>68</v>
      </c>
      <c r="C9" s="144"/>
      <c r="D9" s="150">
        <f>E9*1000</f>
        <v>5000000</v>
      </c>
      <c r="E9" s="146">
        <v>5000</v>
      </c>
      <c r="F9" s="137">
        <v>1</v>
      </c>
      <c r="G9" s="151" t="s">
        <v>82</v>
      </c>
    </row>
    <row r="10" spans="1:7" ht="18" customHeight="1" x14ac:dyDescent="0.2">
      <c r="A10" s="119"/>
      <c r="B10" s="130" t="s">
        <v>83</v>
      </c>
      <c r="C10" s="144"/>
      <c r="D10" s="152">
        <f>E10*10000</f>
        <v>25000000</v>
      </c>
      <c r="E10" s="146">
        <v>2500</v>
      </c>
      <c r="F10" s="121"/>
    </row>
    <row r="11" spans="1:7" ht="18" customHeight="1" x14ac:dyDescent="0.2">
      <c r="A11" s="119"/>
      <c r="B11" s="153" t="s">
        <v>84</v>
      </c>
      <c r="C11" s="154"/>
      <c r="D11" s="155">
        <v>0</v>
      </c>
      <c r="F11" s="121"/>
    </row>
    <row r="12" spans="1:7" ht="18" customHeight="1" x14ac:dyDescent="0.2">
      <c r="A12" s="119"/>
      <c r="B12" s="305" t="s">
        <v>85</v>
      </c>
      <c r="C12" s="305"/>
      <c r="D12" s="156">
        <f>-FV(D7,D8,D9,D10,D11)</f>
        <v>113797767.1405091</v>
      </c>
      <c r="F12" s="121"/>
    </row>
    <row r="13" spans="1:7" ht="15" customHeight="1" x14ac:dyDescent="0.2">
      <c r="B13" s="157"/>
      <c r="C13" s="157"/>
      <c r="D13" s="158" t="str">
        <f ca="1">_xlfn.FORMULATEXT(D12)</f>
        <v>=-FV(D7;D8;D9;D10;D11)</v>
      </c>
      <c r="F13" s="121"/>
    </row>
    <row r="14" spans="1:7" ht="19.5" customHeight="1" x14ac:dyDescent="0.2">
      <c r="F14" s="121"/>
    </row>
    <row r="15" spans="1:7" x14ac:dyDescent="0.2">
      <c r="B15" s="118"/>
      <c r="C15" s="118"/>
      <c r="D15" s="118"/>
    </row>
    <row r="16" spans="1:7" x14ac:dyDescent="0.2">
      <c r="B16" s="118"/>
      <c r="C16" s="118"/>
      <c r="D16" s="118"/>
    </row>
    <row r="17" spans="2:7" x14ac:dyDescent="0.2">
      <c r="B17" s="118"/>
      <c r="C17" s="118"/>
      <c r="D17" s="118"/>
    </row>
    <row r="18" spans="2:7" x14ac:dyDescent="0.2">
      <c r="B18" s="118"/>
      <c r="C18" s="118"/>
      <c r="D18" s="118"/>
    </row>
    <row r="19" spans="2:7" x14ac:dyDescent="0.2">
      <c r="B19" s="118"/>
      <c r="C19" s="118"/>
      <c r="D19" s="118"/>
    </row>
    <row r="20" spans="2:7" x14ac:dyDescent="0.2">
      <c r="B20" s="118"/>
      <c r="C20" s="118"/>
      <c r="D20" s="118"/>
    </row>
    <row r="21" spans="2:7" x14ac:dyDescent="0.2">
      <c r="B21" s="118"/>
      <c r="C21" s="118"/>
      <c r="D21" s="118"/>
    </row>
    <row r="22" spans="2:7" x14ac:dyDescent="0.2">
      <c r="B22" s="118"/>
      <c r="C22" s="118"/>
      <c r="D22" s="118"/>
    </row>
    <row r="23" spans="2:7" x14ac:dyDescent="0.2">
      <c r="B23" s="118"/>
      <c r="C23" s="118"/>
      <c r="D23" s="118"/>
    </row>
    <row r="24" spans="2:7" x14ac:dyDescent="0.2">
      <c r="B24" s="118"/>
      <c r="C24" s="118"/>
      <c r="D24" s="118"/>
    </row>
    <row r="25" spans="2:7" s="118" customFormat="1" x14ac:dyDescent="0.2">
      <c r="G25" s="121"/>
    </row>
    <row r="26" spans="2:7" s="118" customFormat="1" x14ac:dyDescent="0.2">
      <c r="G26" s="121"/>
    </row>
    <row r="27" spans="2:7" s="118" customFormat="1" x14ac:dyDescent="0.2">
      <c r="G27" s="121"/>
    </row>
    <row r="28" spans="2:7" s="118" customFormat="1" x14ac:dyDescent="0.2">
      <c r="G28" s="121"/>
    </row>
    <row r="29" spans="2:7" s="118" customFormat="1" x14ac:dyDescent="0.2">
      <c r="G29" s="121"/>
    </row>
    <row r="30" spans="2:7" s="118" customFormat="1" x14ac:dyDescent="0.2">
      <c r="G30" s="121"/>
    </row>
    <row r="31" spans="2:7" s="118" customFormat="1" x14ac:dyDescent="0.2">
      <c r="G31" s="121"/>
    </row>
    <row r="32" spans="2:7" s="118" customFormat="1" x14ac:dyDescent="0.2">
      <c r="G32" s="121"/>
    </row>
    <row r="33" spans="7:7" s="118" customFormat="1" x14ac:dyDescent="0.2">
      <c r="G33" s="121"/>
    </row>
    <row r="34" spans="7:7" s="118" customFormat="1" x14ac:dyDescent="0.2">
      <c r="G34" s="121"/>
    </row>
    <row r="35" spans="7:7" s="118" customFormat="1" x14ac:dyDescent="0.2">
      <c r="G35" s="121"/>
    </row>
    <row r="36" spans="7:7" s="118" customFormat="1" x14ac:dyDescent="0.2">
      <c r="G36" s="121"/>
    </row>
    <row r="37" spans="7:7" s="118" customFormat="1" x14ac:dyDescent="0.2">
      <c r="G37" s="121"/>
    </row>
    <row r="38" spans="7:7" s="118" customFormat="1" x14ac:dyDescent="0.2">
      <c r="G38" s="121"/>
    </row>
    <row r="39" spans="7:7" s="118" customFormat="1" x14ac:dyDescent="0.2">
      <c r="G39" s="121"/>
    </row>
    <row r="40" spans="7:7" s="118" customFormat="1" x14ac:dyDescent="0.2">
      <c r="G40" s="121"/>
    </row>
    <row r="41" spans="7:7" s="118" customFormat="1" x14ac:dyDescent="0.2">
      <c r="G41" s="121"/>
    </row>
    <row r="42" spans="7:7" s="118" customFormat="1" x14ac:dyDescent="0.2">
      <c r="G42" s="121"/>
    </row>
  </sheetData>
  <mergeCells count="2">
    <mergeCell ref="B3:D3"/>
    <mergeCell ref="B12:C12"/>
  </mergeCells>
  <dataValidations count="1">
    <dataValidation type="list" allowBlank="1" showInputMessage="1" showErrorMessage="1" sqref="D8">
      <formula1>Waktu</formula1>
    </dataValidation>
  </dataValidation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1553" r:id="rId3" name="Scroll Bar 1">
              <controlPr defaultSize="0" autoPict="0">
                <anchor moveWithCells="1">
                  <from>
                    <xdr:col>2</xdr:col>
                    <xdr:colOff>1695450</xdr:colOff>
                    <xdr:row>6</xdr:row>
                    <xdr:rowOff>28575</xdr:rowOff>
                  </from>
                  <to>
                    <xdr:col>2</xdr:col>
                    <xdr:colOff>2181225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554" r:id="rId4" name="Scroll Bar 2">
              <controlPr defaultSize="0" autoPict="0">
                <anchor moveWithCells="1">
                  <from>
                    <xdr:col>2</xdr:col>
                    <xdr:colOff>1695450</xdr:colOff>
                    <xdr:row>7</xdr:row>
                    <xdr:rowOff>28575</xdr:rowOff>
                  </from>
                  <to>
                    <xdr:col>2</xdr:col>
                    <xdr:colOff>2181225</xdr:colOff>
                    <xdr:row>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555" r:id="rId5" name="Scroll Bar 3">
              <controlPr defaultSize="0" autoPict="0">
                <anchor moveWithCells="1">
                  <from>
                    <xdr:col>2</xdr:col>
                    <xdr:colOff>1695450</xdr:colOff>
                    <xdr:row>8</xdr:row>
                    <xdr:rowOff>28575</xdr:rowOff>
                  </from>
                  <to>
                    <xdr:col>2</xdr:col>
                    <xdr:colOff>2181225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556" r:id="rId6" name="Scroll Bar 4">
              <controlPr defaultSize="0" autoPict="0">
                <anchor moveWithCells="1">
                  <from>
                    <xdr:col>2</xdr:col>
                    <xdr:colOff>1695450</xdr:colOff>
                    <xdr:row>9</xdr:row>
                    <xdr:rowOff>28575</xdr:rowOff>
                  </from>
                  <to>
                    <xdr:col>2</xdr:col>
                    <xdr:colOff>2181225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1557" r:id="rId7" name="Scroll Bar 5">
              <controlPr defaultSize="0" autoPict="0">
                <anchor moveWithCells="1">
                  <from>
                    <xdr:col>2</xdr:col>
                    <xdr:colOff>1695450</xdr:colOff>
                    <xdr:row>10</xdr:row>
                    <xdr:rowOff>28575</xdr:rowOff>
                  </from>
                  <to>
                    <xdr:col>2</xdr:col>
                    <xdr:colOff>2181225</xdr:colOff>
                    <xdr:row>10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3"/>
  <sheetViews>
    <sheetView showGridLines="0" workbookViewId="0">
      <selection activeCell="D12" sqref="D12"/>
    </sheetView>
  </sheetViews>
  <sheetFormatPr defaultRowHeight="15" x14ac:dyDescent="0.2"/>
  <cols>
    <col min="1" max="1" width="5.85546875" style="118" customWidth="1"/>
    <col min="2" max="2" width="15.42578125" style="121" customWidth="1"/>
    <col min="3" max="3" width="38.28515625" style="121" customWidth="1"/>
    <col min="4" max="4" width="14.42578125" style="121" customWidth="1"/>
    <col min="5" max="5" width="4.42578125" style="146" customWidth="1"/>
    <col min="6" max="6" width="9.140625" style="121"/>
    <col min="7" max="7" width="20" style="121" customWidth="1"/>
    <col min="8" max="8" width="5.85546875" style="121" customWidth="1"/>
    <col min="9" max="16384" width="9.140625" style="121"/>
  </cols>
  <sheetData>
    <row r="1" spans="2:7" ht="18" customHeight="1" x14ac:dyDescent="0.2">
      <c r="B1" s="119"/>
      <c r="C1" s="120"/>
      <c r="D1" s="119"/>
    </row>
    <row r="2" spans="2:7" ht="18.75" x14ac:dyDescent="0.2">
      <c r="B2" s="142" t="s">
        <v>86</v>
      </c>
      <c r="C2" s="119"/>
      <c r="D2" s="119"/>
    </row>
    <row r="3" spans="2:7" ht="18" customHeight="1" x14ac:dyDescent="0.2">
      <c r="B3" s="306" t="s">
        <v>87</v>
      </c>
      <c r="C3" s="306"/>
      <c r="D3" s="306"/>
    </row>
    <row r="4" spans="2:7" x14ac:dyDescent="0.2">
      <c r="B4" s="124" t="s">
        <v>88</v>
      </c>
      <c r="C4" s="119"/>
      <c r="D4" s="119"/>
    </row>
    <row r="5" spans="2:7" x14ac:dyDescent="0.2">
      <c r="B5" s="128" t="s">
        <v>89</v>
      </c>
      <c r="C5" s="119"/>
      <c r="D5" s="119"/>
    </row>
    <row r="6" spans="2:7" x14ac:dyDescent="0.2">
      <c r="C6" s="119"/>
      <c r="D6" s="119"/>
    </row>
    <row r="7" spans="2:7" ht="15.75" customHeight="1" thickBot="1" x14ac:dyDescent="0.25">
      <c r="B7" s="130" t="s">
        <v>90</v>
      </c>
      <c r="C7" s="130"/>
      <c r="D7" s="107">
        <f>E7/100000</f>
        <v>1.4999999999999999E-2</v>
      </c>
      <c r="E7" s="146">
        <v>1500</v>
      </c>
      <c r="F7" s="132" t="s">
        <v>64</v>
      </c>
      <c r="G7" s="132" t="s">
        <v>65</v>
      </c>
    </row>
    <row r="8" spans="2:7" ht="15.75" customHeight="1" x14ac:dyDescent="0.2">
      <c r="B8" s="130" t="s">
        <v>91</v>
      </c>
      <c r="C8" s="130"/>
      <c r="D8" s="159">
        <v>12</v>
      </c>
      <c r="F8" s="134">
        <v>0</v>
      </c>
      <c r="G8" s="135" t="s">
        <v>67</v>
      </c>
    </row>
    <row r="9" spans="2:7" ht="15.75" customHeight="1" thickBot="1" x14ac:dyDescent="0.25">
      <c r="B9" s="130" t="s">
        <v>92</v>
      </c>
      <c r="C9" s="130"/>
      <c r="D9" s="160">
        <f>E9*1000000</f>
        <v>30000000</v>
      </c>
      <c r="E9" s="146">
        <v>30</v>
      </c>
      <c r="F9" s="137">
        <v>1</v>
      </c>
      <c r="G9" s="138" t="s">
        <v>69</v>
      </c>
    </row>
    <row r="10" spans="2:7" ht="15.75" customHeight="1" x14ac:dyDescent="0.2">
      <c r="B10" s="130" t="s">
        <v>70</v>
      </c>
      <c r="C10" s="130"/>
      <c r="D10" s="160">
        <f>E10*1000000</f>
        <v>0</v>
      </c>
      <c r="E10" s="146">
        <v>0</v>
      </c>
    </row>
    <row r="11" spans="2:7" ht="15.75" customHeight="1" x14ac:dyDescent="0.2">
      <c r="B11" s="161" t="s">
        <v>84</v>
      </c>
      <c r="C11" s="161"/>
      <c r="D11" s="162">
        <v>1</v>
      </c>
    </row>
    <row r="12" spans="2:7" ht="15.75" customHeight="1" x14ac:dyDescent="0.2">
      <c r="B12" s="303" t="s">
        <v>93</v>
      </c>
      <c r="C12" s="307"/>
      <c r="D12" s="163">
        <f>-PMT(D7,D8,D9,D10,D11)</f>
        <v>2709753.4849131708</v>
      </c>
      <c r="E12" s="164" t="str">
        <f ca="1">_xlfn.FORMULATEXT(D12)</f>
        <v>=-PMT(D7;D8;D9;D10;D11)</v>
      </c>
    </row>
    <row r="13" spans="2:7" ht="19.5" customHeight="1" x14ac:dyDescent="0.2">
      <c r="B13" s="118"/>
      <c r="C13" s="118"/>
      <c r="D13" s="118"/>
    </row>
  </sheetData>
  <mergeCells count="2">
    <mergeCell ref="B3:D3"/>
    <mergeCell ref="B12:C12"/>
  </mergeCells>
  <pageMargins left="0.75" right="0.75" top="1" bottom="1" header="0.5" footer="0.5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2577" r:id="rId3" name="Scroll Bar 1">
              <controlPr defaultSize="0" autoPict="0">
                <anchor moveWithCells="1">
                  <from>
                    <xdr:col>2</xdr:col>
                    <xdr:colOff>2000250</xdr:colOff>
                    <xdr:row>6</xdr:row>
                    <xdr:rowOff>28575</xdr:rowOff>
                  </from>
                  <to>
                    <xdr:col>2</xdr:col>
                    <xdr:colOff>2486025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578" r:id="rId4" name="Scroll Bar 2">
              <controlPr defaultSize="0" autoPict="0">
                <anchor moveWithCells="1">
                  <from>
                    <xdr:col>2</xdr:col>
                    <xdr:colOff>2000250</xdr:colOff>
                    <xdr:row>7</xdr:row>
                    <xdr:rowOff>19050</xdr:rowOff>
                  </from>
                  <to>
                    <xdr:col>2</xdr:col>
                    <xdr:colOff>2486025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579" r:id="rId5" name="Scroll Bar 3">
              <controlPr defaultSize="0" autoPict="0">
                <anchor moveWithCells="1">
                  <from>
                    <xdr:col>2</xdr:col>
                    <xdr:colOff>2000250</xdr:colOff>
                    <xdr:row>8</xdr:row>
                    <xdr:rowOff>9525</xdr:rowOff>
                  </from>
                  <to>
                    <xdr:col>2</xdr:col>
                    <xdr:colOff>2486025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580" r:id="rId6" name="Scroll Bar 4">
              <controlPr defaultSize="0" autoPict="0">
                <anchor moveWithCells="1">
                  <from>
                    <xdr:col>2</xdr:col>
                    <xdr:colOff>2000250</xdr:colOff>
                    <xdr:row>9</xdr:row>
                    <xdr:rowOff>190500</xdr:rowOff>
                  </from>
                  <to>
                    <xdr:col>2</xdr:col>
                    <xdr:colOff>2486025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2581" r:id="rId7" name="Scroll Bar 5">
              <controlPr defaultSize="0" autoPict="0">
                <anchor moveWithCells="1">
                  <from>
                    <xdr:col>2</xdr:col>
                    <xdr:colOff>2000250</xdr:colOff>
                    <xdr:row>9</xdr:row>
                    <xdr:rowOff>0</xdr:rowOff>
                  </from>
                  <to>
                    <xdr:col>2</xdr:col>
                    <xdr:colOff>2486025</xdr:colOff>
                    <xdr:row>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8"/>
  <sheetViews>
    <sheetView showGridLines="0" workbookViewId="0">
      <selection activeCell="E10" sqref="E10:I10"/>
    </sheetView>
  </sheetViews>
  <sheetFormatPr defaultRowHeight="15" x14ac:dyDescent="0.2"/>
  <cols>
    <col min="1" max="1" width="5.85546875" style="1" customWidth="1"/>
    <col min="2" max="2" width="19.5703125" style="1" customWidth="1"/>
    <col min="3" max="3" width="5.140625" style="1" customWidth="1"/>
    <col min="4" max="4" width="12.7109375" style="1" customWidth="1"/>
    <col min="5" max="9" width="13" style="1" customWidth="1"/>
    <col min="10" max="10" width="5.85546875" style="1" customWidth="1"/>
    <col min="11" max="16384" width="9.140625" style="1"/>
  </cols>
  <sheetData>
    <row r="1" spans="1:9" ht="19.5" customHeight="1" x14ac:dyDescent="0.2"/>
    <row r="2" spans="1:9" ht="18.75" x14ac:dyDescent="0.2">
      <c r="B2" s="9" t="s">
        <v>48</v>
      </c>
      <c r="C2" s="9"/>
    </row>
    <row r="3" spans="1:9" ht="17.25" customHeight="1" x14ac:dyDescent="0.2">
      <c r="B3" s="85" t="s">
        <v>45</v>
      </c>
      <c r="C3" s="85"/>
      <c r="D3" s="71">
        <v>15</v>
      </c>
    </row>
    <row r="4" spans="1:9" ht="17.25" customHeight="1" x14ac:dyDescent="0.2">
      <c r="B4" s="85" t="s">
        <v>46</v>
      </c>
      <c r="C4" s="85"/>
      <c r="D4" s="71">
        <v>10</v>
      </c>
    </row>
    <row r="5" spans="1:9" ht="17.25" customHeight="1" x14ac:dyDescent="0.2">
      <c r="B5" s="85" t="s">
        <v>54</v>
      </c>
      <c r="C5" s="85"/>
      <c r="D5" s="71">
        <f>D3*D4</f>
        <v>150</v>
      </c>
    </row>
    <row r="6" spans="1:9" ht="17.25" customHeight="1" x14ac:dyDescent="0.2">
      <c r="A6" s="2">
        <v>1250</v>
      </c>
      <c r="B6" s="94" t="s">
        <v>103</v>
      </c>
      <c r="C6" s="85"/>
      <c r="D6" s="71">
        <f>A6*1000</f>
        <v>1250000</v>
      </c>
    </row>
    <row r="8" spans="1:9" x14ac:dyDescent="0.2">
      <c r="D8" s="72"/>
      <c r="E8" s="308" t="s">
        <v>56</v>
      </c>
      <c r="F8" s="308"/>
      <c r="G8" s="308"/>
      <c r="H8" s="308"/>
      <c r="I8" s="308"/>
    </row>
    <row r="9" spans="1:9" x14ac:dyDescent="0.2">
      <c r="D9" s="75" t="s">
        <v>47</v>
      </c>
      <c r="E9" s="95">
        <v>140</v>
      </c>
      <c r="F9" s="95">
        <f>E9+5</f>
        <v>145</v>
      </c>
      <c r="G9" s="95">
        <f>F9+5</f>
        <v>150</v>
      </c>
      <c r="H9" s="95">
        <f>G9+5</f>
        <v>155</v>
      </c>
      <c r="I9" s="96">
        <f>H9+5</f>
        <v>160</v>
      </c>
    </row>
    <row r="10" spans="1:9" x14ac:dyDescent="0.2">
      <c r="D10" s="74">
        <f>D5*D6</f>
        <v>187500000</v>
      </c>
      <c r="E10" s="76"/>
      <c r="F10" s="76"/>
      <c r="G10" s="76"/>
      <c r="H10" s="76"/>
      <c r="I10" s="73"/>
    </row>
    <row r="12" spans="1:9" x14ac:dyDescent="0.2">
      <c r="B12" s="78" t="s">
        <v>50</v>
      </c>
    </row>
    <row r="13" spans="1:9" ht="17.25" x14ac:dyDescent="0.25">
      <c r="B13" s="70">
        <f>E9</f>
        <v>140</v>
      </c>
      <c r="C13" s="1" t="s">
        <v>49</v>
      </c>
      <c r="D13" s="69" t="str">
        <f>TEXT(B13,"# x ")&amp;TEXT(D$6,"#.###")&amp;" = "&amp;TEXT(D$6*B13,"#.###")</f>
        <v>140 x 1.250.000 = 175.000.000</v>
      </c>
    </row>
    <row r="14" spans="1:9" ht="17.25" x14ac:dyDescent="0.25">
      <c r="B14" s="70">
        <f>F9</f>
        <v>145</v>
      </c>
      <c r="C14" s="1" t="s">
        <v>49</v>
      </c>
      <c r="D14" s="69" t="str">
        <f>TEXT(B14,"# x ")&amp;TEXT(D$6,"#.###")&amp;" = "&amp;TEXT(D$6*B14,"#.###")</f>
        <v>145 x 1.250.000 = 181.250.000</v>
      </c>
    </row>
    <row r="15" spans="1:9" ht="17.25" x14ac:dyDescent="0.25">
      <c r="B15" s="70">
        <f>G9</f>
        <v>150</v>
      </c>
      <c r="C15" s="1" t="s">
        <v>49</v>
      </c>
      <c r="D15" s="69" t="str">
        <f>TEXT(B15,"# x ")&amp;TEXT(D$6,"#.###")&amp;" = "&amp;TEXT(D$6*B15,"#.###")</f>
        <v>150 x 1.250.000 = 187.500.000</v>
      </c>
    </row>
    <row r="16" spans="1:9" ht="17.25" x14ac:dyDescent="0.25">
      <c r="B16" s="70">
        <f>H9</f>
        <v>155</v>
      </c>
      <c r="C16" s="1" t="s">
        <v>49</v>
      </c>
      <c r="D16" s="69" t="str">
        <f>TEXT(B16,"# x ")&amp;TEXT(D$6,"#.###")&amp;" = "&amp;TEXT(D$6*B16,"#.###")</f>
        <v>155 x 1.250.000 = 193.750.000</v>
      </c>
    </row>
    <row r="17" spans="2:4" ht="17.25" x14ac:dyDescent="0.25">
      <c r="B17" s="70">
        <f>I9</f>
        <v>160</v>
      </c>
      <c r="C17" s="1" t="s">
        <v>49</v>
      </c>
      <c r="D17" s="69" t="str">
        <f>TEXT(B17,"# x ")&amp;TEXT(D$6,"#.###")&amp;" = "&amp;TEXT(D$6*B17,"#.###")</f>
        <v>160 x 1.250.000 = 200.000.000</v>
      </c>
    </row>
    <row r="18" spans="2:4" ht="19.5" customHeight="1" x14ac:dyDescent="0.2">
      <c r="B18" s="69"/>
    </row>
  </sheetData>
  <mergeCells count="1">
    <mergeCell ref="E8:I8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5649" r:id="rId3" name="Scroll Bar 1">
              <controlPr defaultSize="0" autoPict="0">
                <anchor moveWithCells="1">
                  <from>
                    <xdr:col>1</xdr:col>
                    <xdr:colOff>1019175</xdr:colOff>
                    <xdr:row>2</xdr:row>
                    <xdr:rowOff>28575</xdr:rowOff>
                  </from>
                  <to>
                    <xdr:col>2</xdr:col>
                    <xdr:colOff>200025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650" r:id="rId4" name="Scroll Bar 2">
              <controlPr defaultSize="0" autoPict="0">
                <anchor moveWithCells="1">
                  <from>
                    <xdr:col>1</xdr:col>
                    <xdr:colOff>1019175</xdr:colOff>
                    <xdr:row>3</xdr:row>
                    <xdr:rowOff>28575</xdr:rowOff>
                  </from>
                  <to>
                    <xdr:col>2</xdr:col>
                    <xdr:colOff>200025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5651" r:id="rId5" name="Scroll Bar 3">
              <controlPr defaultSize="0" autoPict="0">
                <anchor moveWithCells="1">
                  <from>
                    <xdr:col>1</xdr:col>
                    <xdr:colOff>1019175</xdr:colOff>
                    <xdr:row>5</xdr:row>
                    <xdr:rowOff>28575</xdr:rowOff>
                  </from>
                  <to>
                    <xdr:col>2</xdr:col>
                    <xdr:colOff>200025</xdr:colOff>
                    <xdr:row>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7"/>
  <sheetViews>
    <sheetView showGridLines="0" workbookViewId="0">
      <selection activeCell="E9" sqref="E9:E13"/>
    </sheetView>
  </sheetViews>
  <sheetFormatPr defaultRowHeight="15" x14ac:dyDescent="0.2"/>
  <cols>
    <col min="1" max="1" width="5.85546875" style="1" customWidth="1"/>
    <col min="2" max="2" width="18.28515625" style="1" customWidth="1"/>
    <col min="3" max="3" width="5.5703125" style="1" customWidth="1"/>
    <col min="4" max="4" width="12.7109375" style="1" customWidth="1"/>
    <col min="5" max="5" width="13" style="1" customWidth="1"/>
    <col min="6" max="6" width="2.7109375" style="1" customWidth="1"/>
    <col min="7" max="7" width="13" style="1" customWidth="1"/>
    <col min="8" max="8" width="5" style="1" customWidth="1"/>
    <col min="9" max="10" width="13" style="1" customWidth="1"/>
    <col min="11" max="11" width="5.85546875" style="1" customWidth="1"/>
    <col min="12" max="16384" width="9.140625" style="1"/>
  </cols>
  <sheetData>
    <row r="1" spans="1:10" ht="19.5" customHeight="1" x14ac:dyDescent="0.2"/>
    <row r="2" spans="1:10" ht="18.75" x14ac:dyDescent="0.2">
      <c r="B2" s="93" t="s">
        <v>52</v>
      </c>
      <c r="C2" s="9"/>
    </row>
    <row r="3" spans="1:10" ht="17.25" customHeight="1" x14ac:dyDescent="0.2">
      <c r="B3" s="77" t="s">
        <v>45</v>
      </c>
      <c r="C3" s="77"/>
      <c r="D3" s="71">
        <v>15</v>
      </c>
    </row>
    <row r="4" spans="1:10" ht="17.25" customHeight="1" x14ac:dyDescent="0.2">
      <c r="B4" s="77" t="s">
        <v>46</v>
      </c>
      <c r="C4" s="77"/>
      <c r="D4" s="71">
        <v>10</v>
      </c>
      <c r="F4" s="82"/>
      <c r="G4" s="32"/>
      <c r="H4" s="32"/>
      <c r="I4" s="32"/>
      <c r="J4" s="32"/>
    </row>
    <row r="5" spans="1:10" ht="17.25" customHeight="1" x14ac:dyDescent="0.2">
      <c r="B5" s="77" t="s">
        <v>54</v>
      </c>
      <c r="C5" s="77"/>
      <c r="D5" s="71">
        <f>D3*D4</f>
        <v>150</v>
      </c>
      <c r="G5" s="32"/>
      <c r="H5" s="32"/>
      <c r="I5" s="32"/>
      <c r="J5" s="32"/>
    </row>
    <row r="6" spans="1:10" ht="17.25" customHeight="1" x14ac:dyDescent="0.2">
      <c r="A6" s="2">
        <v>1250</v>
      </c>
      <c r="B6" s="77" t="s">
        <v>55</v>
      </c>
      <c r="C6" s="77"/>
      <c r="D6" s="71">
        <f>A6*1000</f>
        <v>1250000</v>
      </c>
      <c r="G6" s="15"/>
      <c r="H6" s="15"/>
      <c r="I6" s="15"/>
      <c r="J6" s="15"/>
    </row>
    <row r="8" spans="1:10" x14ac:dyDescent="0.2">
      <c r="C8" s="309" t="s">
        <v>51</v>
      </c>
      <c r="D8" s="80" t="s">
        <v>47</v>
      </c>
      <c r="E8" s="81">
        <f>D5*D6</f>
        <v>187500000</v>
      </c>
      <c r="F8" s="15"/>
      <c r="G8" s="178" t="s">
        <v>50</v>
      </c>
      <c r="H8" s="78"/>
      <c r="I8" s="78"/>
    </row>
    <row r="9" spans="1:10" ht="17.25" customHeight="1" x14ac:dyDescent="0.25">
      <c r="C9" s="309"/>
      <c r="D9" s="79">
        <v>140</v>
      </c>
      <c r="E9" s="71"/>
      <c r="F9" s="88"/>
      <c r="G9" s="102">
        <f>D9</f>
        <v>140</v>
      </c>
      <c r="H9" s="1" t="s">
        <v>49</v>
      </c>
      <c r="I9" s="69" t="str">
        <f>TEXT(G9,"# x ")&amp;TEXT(D$6,"#.###")&amp;" = "&amp;TEXT(D$6*G9,"#.###")</f>
        <v>140 x 1.250.000 = 175.000.000</v>
      </c>
    </row>
    <row r="10" spans="1:10" ht="17.25" x14ac:dyDescent="0.25">
      <c r="C10" s="309"/>
      <c r="D10" s="79">
        <f>D9+5</f>
        <v>145</v>
      </c>
      <c r="E10" s="71"/>
      <c r="F10" s="24"/>
      <c r="G10" s="70">
        <f>D10</f>
        <v>145</v>
      </c>
      <c r="H10" s="1" t="s">
        <v>49</v>
      </c>
      <c r="I10" s="69" t="str">
        <f>TEXT(G10,"# x ")&amp;TEXT(D$6,"#.###")&amp;" = "&amp;TEXT(D$6*G10,"#.###")</f>
        <v>145 x 1.250.000 = 181.250.000</v>
      </c>
    </row>
    <row r="11" spans="1:10" ht="17.25" x14ac:dyDescent="0.25">
      <c r="C11" s="309"/>
      <c r="D11" s="79">
        <f>D10+5</f>
        <v>150</v>
      </c>
      <c r="E11" s="71"/>
      <c r="G11" s="70">
        <f>D11</f>
        <v>150</v>
      </c>
      <c r="H11" s="1" t="s">
        <v>49</v>
      </c>
      <c r="I11" s="69" t="str">
        <f>TEXT(G11,"# x ")&amp;TEXT(D$6,"#.###")&amp;" = "&amp;TEXT(D$6*G11,"#.###")</f>
        <v>150 x 1.250.000 = 187.500.000</v>
      </c>
    </row>
    <row r="12" spans="1:10" ht="17.25" x14ac:dyDescent="0.25">
      <c r="C12" s="309"/>
      <c r="D12" s="79">
        <f>D11+5</f>
        <v>155</v>
      </c>
      <c r="E12" s="71"/>
      <c r="G12" s="70">
        <f>D12</f>
        <v>155</v>
      </c>
      <c r="H12" s="1" t="s">
        <v>49</v>
      </c>
      <c r="I12" s="69" t="str">
        <f>TEXT(G12,"# x ")&amp;TEXT(D$6,"#.###")&amp;" = "&amp;TEXT(D$6*G12,"#.###")</f>
        <v>155 x 1.250.000 = 193.750.000</v>
      </c>
    </row>
    <row r="13" spans="1:10" ht="17.25" x14ac:dyDescent="0.25">
      <c r="C13" s="309"/>
      <c r="D13" s="79">
        <f>D12+5</f>
        <v>160</v>
      </c>
      <c r="E13" s="71"/>
      <c r="G13" s="70">
        <f>D13</f>
        <v>160</v>
      </c>
      <c r="H13" s="1" t="s">
        <v>49</v>
      </c>
      <c r="I13" s="69" t="str">
        <f>TEXT(G13,"# x ")&amp;TEXT(D$6,"#.###")&amp;" = "&amp;TEXT(D$6*G13,"#.###")</f>
        <v>160 x 1.250.000 = 200.000.000</v>
      </c>
    </row>
    <row r="14" spans="1:10" ht="19.5" customHeight="1" x14ac:dyDescent="0.2">
      <c r="C14" s="15"/>
      <c r="D14" s="15"/>
      <c r="E14" s="15"/>
    </row>
    <row r="17" spans="2:2" ht="19.5" customHeight="1" x14ac:dyDescent="0.2">
      <c r="B17" s="69"/>
    </row>
  </sheetData>
  <mergeCells count="1">
    <mergeCell ref="C8:C13"/>
  </mergeCell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1137" r:id="rId4" name="Scroll Bar 1">
              <controlPr defaultSize="0" autoPict="0">
                <anchor moveWithCells="1">
                  <from>
                    <xdr:col>1</xdr:col>
                    <xdr:colOff>1019175</xdr:colOff>
                    <xdr:row>2</xdr:row>
                    <xdr:rowOff>28575</xdr:rowOff>
                  </from>
                  <to>
                    <xdr:col>2</xdr:col>
                    <xdr:colOff>285750</xdr:colOff>
                    <xdr:row>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138" r:id="rId5" name="Scroll Bar 2">
              <controlPr defaultSize="0" autoPict="0">
                <anchor moveWithCells="1">
                  <from>
                    <xdr:col>1</xdr:col>
                    <xdr:colOff>1019175</xdr:colOff>
                    <xdr:row>3</xdr:row>
                    <xdr:rowOff>28575</xdr:rowOff>
                  </from>
                  <to>
                    <xdr:col>2</xdr:col>
                    <xdr:colOff>285750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139" r:id="rId6" name="Scroll Bar 3">
              <controlPr defaultSize="0" autoPict="0">
                <anchor moveWithCells="1">
                  <from>
                    <xdr:col>1</xdr:col>
                    <xdr:colOff>1019175</xdr:colOff>
                    <xdr:row>5</xdr:row>
                    <xdr:rowOff>28575</xdr:rowOff>
                  </from>
                  <to>
                    <xdr:col>2</xdr:col>
                    <xdr:colOff>285750</xdr:colOff>
                    <xdr:row>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showGridLines="0" topLeftCell="C1" zoomScaleNormal="100" workbookViewId="0">
      <selection activeCell="H5" sqref="H5:L12"/>
    </sheetView>
  </sheetViews>
  <sheetFormatPr defaultRowHeight="15" x14ac:dyDescent="0.2"/>
  <cols>
    <col min="1" max="1" width="5.85546875" style="1" customWidth="1"/>
    <col min="2" max="2" width="21.7109375" style="1" customWidth="1"/>
    <col min="3" max="3" width="9.5703125" style="1" customWidth="1"/>
    <col min="4" max="4" width="13.85546875" style="1" customWidth="1"/>
    <col min="5" max="5" width="4.140625" style="1" customWidth="1"/>
    <col min="6" max="6" width="4.42578125" style="1" customWidth="1"/>
    <col min="7" max="7" width="13.5703125" style="1" customWidth="1"/>
    <col min="8" max="12" width="14.85546875" style="1" customWidth="1"/>
    <col min="13" max="13" width="5.85546875" style="1" customWidth="1"/>
    <col min="14" max="16384" width="9.140625" style="1"/>
  </cols>
  <sheetData>
    <row r="1" spans="1:12" ht="19.5" customHeight="1" x14ac:dyDescent="0.2"/>
    <row r="2" spans="1:12" ht="18.75" x14ac:dyDescent="0.2">
      <c r="B2" s="9" t="s">
        <v>95</v>
      </c>
      <c r="C2" s="9"/>
    </row>
    <row r="3" spans="1:12" ht="17.25" customHeight="1" x14ac:dyDescent="0.2">
      <c r="A3" s="69"/>
      <c r="B3" s="85" t="s">
        <v>45</v>
      </c>
      <c r="C3" s="165"/>
      <c r="D3" s="71">
        <v>15</v>
      </c>
      <c r="F3" s="72"/>
      <c r="G3" s="171"/>
      <c r="H3" s="310" t="s">
        <v>99</v>
      </c>
      <c r="I3" s="310"/>
      <c r="J3" s="310"/>
      <c r="K3" s="310"/>
      <c r="L3" s="310"/>
    </row>
    <row r="4" spans="1:12" ht="17.25" customHeight="1" x14ac:dyDescent="0.2">
      <c r="A4" s="69"/>
      <c r="B4" s="85" t="s">
        <v>46</v>
      </c>
      <c r="C4" s="165"/>
      <c r="D4" s="71">
        <v>10</v>
      </c>
      <c r="F4" s="169"/>
      <c r="G4" s="100">
        <f>D5*D6</f>
        <v>187500000</v>
      </c>
      <c r="H4" s="95">
        <v>140</v>
      </c>
      <c r="I4" s="170">
        <f>H4+D7</f>
        <v>145</v>
      </c>
      <c r="J4" s="170">
        <f>I4+D7</f>
        <v>150</v>
      </c>
      <c r="K4" s="170">
        <f>J4+D7</f>
        <v>155</v>
      </c>
      <c r="L4" s="168">
        <f>K4+D7</f>
        <v>160</v>
      </c>
    </row>
    <row r="5" spans="1:12" ht="17.25" customHeight="1" x14ac:dyDescent="0.2">
      <c r="A5" s="69"/>
      <c r="B5" s="85" t="s">
        <v>54</v>
      </c>
      <c r="C5" s="165"/>
      <c r="D5" s="71">
        <f>D3*D4</f>
        <v>150</v>
      </c>
      <c r="F5" s="311" t="s">
        <v>94</v>
      </c>
      <c r="G5" s="166">
        <f>D9</f>
        <v>1225000</v>
      </c>
      <c r="H5" s="26"/>
      <c r="I5" s="26"/>
      <c r="J5" s="26"/>
      <c r="K5" s="26"/>
      <c r="L5" s="26"/>
    </row>
    <row r="6" spans="1:12" ht="17.25" customHeight="1" x14ac:dyDescent="0.2">
      <c r="A6" s="69"/>
      <c r="B6" s="85" t="s">
        <v>55</v>
      </c>
      <c r="C6" s="165"/>
      <c r="D6" s="71">
        <f>E6*1000</f>
        <v>1250000</v>
      </c>
      <c r="E6" s="2">
        <v>1250</v>
      </c>
      <c r="F6" s="311"/>
      <c r="G6" s="167">
        <f>G5+D$8</f>
        <v>1250000</v>
      </c>
      <c r="H6" s="27"/>
      <c r="I6" s="27"/>
      <c r="J6" s="27"/>
      <c r="K6" s="27"/>
      <c r="L6" s="27"/>
    </row>
    <row r="7" spans="1:12" ht="17.25" customHeight="1" x14ac:dyDescent="0.2">
      <c r="A7" s="69"/>
      <c r="B7" s="85" t="s">
        <v>97</v>
      </c>
      <c r="C7" s="114"/>
      <c r="D7" s="53">
        <v>5</v>
      </c>
      <c r="E7" s="2"/>
      <c r="F7" s="311"/>
      <c r="G7" s="167">
        <f t="shared" ref="G7:G12" si="0">G6+D$8</f>
        <v>1275000</v>
      </c>
      <c r="H7" s="27"/>
      <c r="I7" s="27"/>
      <c r="J7" s="27"/>
      <c r="K7" s="27"/>
      <c r="L7" s="27"/>
    </row>
    <row r="8" spans="1:12" ht="17.25" customHeight="1" x14ac:dyDescent="0.2">
      <c r="B8" s="85" t="s">
        <v>96</v>
      </c>
      <c r="C8" s="114"/>
      <c r="D8" s="53">
        <f>E8*1000</f>
        <v>25000</v>
      </c>
      <c r="E8" s="2">
        <v>25</v>
      </c>
      <c r="F8" s="311"/>
      <c r="G8" s="167">
        <f t="shared" si="0"/>
        <v>1300000</v>
      </c>
      <c r="H8" s="27"/>
      <c r="I8" s="27"/>
      <c r="J8" s="27"/>
      <c r="K8" s="27"/>
      <c r="L8" s="27"/>
    </row>
    <row r="9" spans="1:12" x14ac:dyDescent="0.2">
      <c r="B9" s="92">
        <f>D6-50000</f>
        <v>1200000</v>
      </c>
      <c r="D9" s="2">
        <f>(E6-E8)*1000</f>
        <v>1225000</v>
      </c>
      <c r="F9" s="311"/>
      <c r="G9" s="167">
        <f t="shared" si="0"/>
        <v>1325000</v>
      </c>
      <c r="H9" s="27"/>
      <c r="I9" s="27"/>
      <c r="J9" s="27"/>
      <c r="K9" s="27"/>
      <c r="L9" s="27"/>
    </row>
    <row r="10" spans="1:12" ht="15" customHeight="1" x14ac:dyDescent="0.2">
      <c r="B10" s="183" t="s">
        <v>24</v>
      </c>
      <c r="F10" s="311"/>
      <c r="G10" s="167">
        <f t="shared" si="0"/>
        <v>1350000</v>
      </c>
      <c r="H10" s="27"/>
      <c r="I10" s="27"/>
      <c r="J10" s="27"/>
      <c r="K10" s="27"/>
      <c r="L10" s="27"/>
    </row>
    <row r="11" spans="1:12" x14ac:dyDescent="0.2">
      <c r="B11" s="69" t="s">
        <v>102</v>
      </c>
      <c r="F11" s="311"/>
      <c r="G11" s="167">
        <f t="shared" si="0"/>
        <v>1375000</v>
      </c>
      <c r="H11" s="27"/>
      <c r="I11" s="27"/>
      <c r="J11" s="27"/>
      <c r="K11" s="27"/>
      <c r="L11" s="27"/>
    </row>
    <row r="12" spans="1:12" x14ac:dyDescent="0.2">
      <c r="B12" s="69" t="s">
        <v>104</v>
      </c>
      <c r="F12" s="311"/>
      <c r="G12" s="167">
        <f t="shared" si="0"/>
        <v>1400000</v>
      </c>
      <c r="H12" s="27"/>
      <c r="I12" s="27"/>
      <c r="J12" s="27"/>
      <c r="K12" s="27"/>
      <c r="L12" s="27"/>
    </row>
    <row r="13" spans="1:12" x14ac:dyDescent="0.2">
      <c r="B13" s="56" t="s">
        <v>105</v>
      </c>
    </row>
    <row r="14" spans="1:12" x14ac:dyDescent="0.2">
      <c r="F14" s="178" t="s">
        <v>50</v>
      </c>
    </row>
    <row r="15" spans="1:12" ht="15" customHeight="1" x14ac:dyDescent="0.2">
      <c r="G15" s="175" t="s">
        <v>101</v>
      </c>
      <c r="H15" s="173">
        <v>150</v>
      </c>
    </row>
    <row r="16" spans="1:12" ht="17.25" x14ac:dyDescent="0.2">
      <c r="G16" s="176" t="s">
        <v>100</v>
      </c>
      <c r="H16" s="177">
        <v>1300000</v>
      </c>
    </row>
    <row r="17" spans="2:8" x14ac:dyDescent="0.2">
      <c r="G17" s="172" t="s">
        <v>98</v>
      </c>
      <c r="H17" s="174">
        <f>H15*H16</f>
        <v>195000000</v>
      </c>
    </row>
    <row r="18" spans="2:8" ht="15" customHeight="1" x14ac:dyDescent="0.2"/>
    <row r="19" spans="2:8" x14ac:dyDescent="0.2">
      <c r="C19" s="2"/>
      <c r="D19" s="2"/>
    </row>
    <row r="20" spans="2:8" ht="15" customHeight="1" x14ac:dyDescent="0.2">
      <c r="B20" s="69"/>
      <c r="C20" s="2"/>
      <c r="D20" s="2"/>
    </row>
    <row r="21" spans="2:8" x14ac:dyDescent="0.2">
      <c r="B21" s="1" t="s">
        <v>106</v>
      </c>
      <c r="C21" s="2"/>
      <c r="D21" s="2"/>
    </row>
    <row r="22" spans="2:8" ht="19.5" customHeight="1" x14ac:dyDescent="0.2">
      <c r="B22" s="2"/>
      <c r="C22" s="2"/>
      <c r="D22" s="2"/>
    </row>
    <row r="23" spans="2:8" x14ac:dyDescent="0.2">
      <c r="B23" s="2"/>
      <c r="C23" s="2"/>
      <c r="D23" s="2"/>
    </row>
  </sheetData>
  <mergeCells count="2">
    <mergeCell ref="H3:L3"/>
    <mergeCell ref="F5:F12"/>
  </mergeCells>
  <conditionalFormatting sqref="G6:G12">
    <cfRule type="notContainsBlanks" dxfId="16" priority="5">
      <formula>LEN(TRIM(G6))&gt;0</formula>
    </cfRule>
  </conditionalFormatting>
  <conditionalFormatting sqref="H5:L12">
    <cfRule type="cellIs" dxfId="15" priority="1" operator="equal">
      <formula>$H$17</formula>
    </cfRule>
    <cfRule type="cellIs" dxfId="14" priority="2" operator="equal">
      <formula>$H$17</formula>
    </cfRule>
  </conditionalFormatting>
  <dataValidations count="2">
    <dataValidation type="list" allowBlank="1" showInputMessage="1" showErrorMessage="1" sqref="H15">
      <formula1>$H$4:$L$4</formula1>
    </dataValidation>
    <dataValidation type="list" allowBlank="1" showInputMessage="1" showErrorMessage="1" sqref="H16">
      <formula1>$G$5:$G$12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4625" r:id="rId4" name="Scroll Bar 1">
              <controlPr defaultSize="0" autoPict="0">
                <anchor moveWithCells="1">
                  <from>
                    <xdr:col>2</xdr:col>
                    <xdr:colOff>19050</xdr:colOff>
                    <xdr:row>2</xdr:row>
                    <xdr:rowOff>38100</xdr:rowOff>
                  </from>
                  <to>
                    <xdr:col>2</xdr:col>
                    <xdr:colOff>504825</xdr:colOff>
                    <xdr:row>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26" r:id="rId5" name="Scroll Bar 2">
              <controlPr defaultSize="0" autoPict="0">
                <anchor moveWithCells="1">
                  <from>
                    <xdr:col>2</xdr:col>
                    <xdr:colOff>19050</xdr:colOff>
                    <xdr:row>3</xdr:row>
                    <xdr:rowOff>28575</xdr:rowOff>
                  </from>
                  <to>
                    <xdr:col>2</xdr:col>
                    <xdr:colOff>504825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27" r:id="rId6" name="Scroll Bar 3">
              <controlPr defaultSize="0" autoPict="0">
                <anchor moveWithCells="1">
                  <from>
                    <xdr:col>2</xdr:col>
                    <xdr:colOff>9525</xdr:colOff>
                    <xdr:row>5</xdr:row>
                    <xdr:rowOff>47625</xdr:rowOff>
                  </from>
                  <to>
                    <xdr:col>2</xdr:col>
                    <xdr:colOff>495300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30" r:id="rId7" name="Scroll Bar 6">
              <controlPr defaultSize="0" autoPict="0">
                <anchor moveWithCells="1">
                  <from>
                    <xdr:col>2</xdr:col>
                    <xdr:colOff>9525</xdr:colOff>
                    <xdr:row>6</xdr:row>
                    <xdr:rowOff>28575</xdr:rowOff>
                  </from>
                  <to>
                    <xdr:col>2</xdr:col>
                    <xdr:colOff>495300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632" r:id="rId8" name="Scroll Bar 8">
              <controlPr defaultSize="0" autoPict="0">
                <anchor moveWithCells="1">
                  <from>
                    <xdr:col>2</xdr:col>
                    <xdr:colOff>9525</xdr:colOff>
                    <xdr:row>7</xdr:row>
                    <xdr:rowOff>19050</xdr:rowOff>
                  </from>
                  <to>
                    <xdr:col>2</xdr:col>
                    <xdr:colOff>495300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showGridLines="0" topLeftCell="C1" zoomScaleNormal="100" workbookViewId="0">
      <selection activeCell="H5" sqref="H5:L12"/>
    </sheetView>
  </sheetViews>
  <sheetFormatPr defaultRowHeight="15" x14ac:dyDescent="0.2"/>
  <cols>
    <col min="1" max="1" width="5.85546875" style="1" customWidth="1"/>
    <col min="2" max="2" width="21.7109375" style="1" customWidth="1"/>
    <col min="3" max="3" width="9.5703125" style="1" customWidth="1"/>
    <col min="4" max="4" width="13.85546875" style="1" customWidth="1"/>
    <col min="5" max="5" width="4.140625" style="1" customWidth="1"/>
    <col min="6" max="6" width="4.42578125" style="1" customWidth="1"/>
    <col min="7" max="7" width="13.5703125" style="1" customWidth="1"/>
    <col min="8" max="12" width="14.85546875" style="1" customWidth="1"/>
    <col min="13" max="13" width="5.85546875" style="1" customWidth="1"/>
    <col min="14" max="16384" width="9.140625" style="1"/>
  </cols>
  <sheetData>
    <row r="1" spans="1:12" ht="19.5" customHeight="1" x14ac:dyDescent="0.2"/>
    <row r="2" spans="1:12" ht="18.75" x14ac:dyDescent="0.2">
      <c r="B2" s="9" t="s">
        <v>95</v>
      </c>
      <c r="C2" s="9"/>
    </row>
    <row r="3" spans="1:12" ht="17.25" customHeight="1" x14ac:dyDescent="0.2">
      <c r="A3" s="69"/>
      <c r="B3" s="180" t="s">
        <v>45</v>
      </c>
      <c r="C3" s="165"/>
      <c r="D3" s="71">
        <v>15</v>
      </c>
      <c r="F3" s="72"/>
      <c r="G3" s="171"/>
      <c r="H3" s="310" t="s">
        <v>108</v>
      </c>
      <c r="I3" s="310"/>
      <c r="J3" s="310"/>
      <c r="K3" s="310"/>
      <c r="L3" s="310"/>
    </row>
    <row r="4" spans="1:12" ht="17.25" customHeight="1" x14ac:dyDescent="0.2">
      <c r="A4" s="69"/>
      <c r="B4" s="180" t="s">
        <v>46</v>
      </c>
      <c r="C4" s="165"/>
      <c r="D4" s="71">
        <v>10</v>
      </c>
      <c r="F4" s="169"/>
      <c r="G4" s="100">
        <f>D5*D6</f>
        <v>187500000</v>
      </c>
      <c r="H4" s="95">
        <f>D9</f>
        <v>1225000</v>
      </c>
      <c r="I4" s="170">
        <f>H4+$D8</f>
        <v>1250000</v>
      </c>
      <c r="J4" s="170">
        <f t="shared" ref="J4:K4" si="0">I4+$D8</f>
        <v>1275000</v>
      </c>
      <c r="K4" s="170">
        <f t="shared" si="0"/>
        <v>1300000</v>
      </c>
      <c r="L4" s="168">
        <f>K4+$D8</f>
        <v>1325000</v>
      </c>
    </row>
    <row r="5" spans="1:12" ht="17.25" customHeight="1" x14ac:dyDescent="0.2">
      <c r="A5" s="69"/>
      <c r="B5" s="180" t="s">
        <v>54</v>
      </c>
      <c r="C5" s="165"/>
      <c r="D5" s="71">
        <f>D3*D4</f>
        <v>150</v>
      </c>
      <c r="F5" s="311" t="s">
        <v>107</v>
      </c>
      <c r="G5" s="184">
        <v>140</v>
      </c>
      <c r="H5" s="26"/>
      <c r="I5" s="26"/>
      <c r="J5" s="26"/>
      <c r="K5" s="26"/>
      <c r="L5" s="26"/>
    </row>
    <row r="6" spans="1:12" ht="17.25" customHeight="1" x14ac:dyDescent="0.2">
      <c r="A6" s="69"/>
      <c r="B6" s="180" t="s">
        <v>55</v>
      </c>
      <c r="C6" s="165"/>
      <c r="D6" s="71">
        <f>E6*1000</f>
        <v>1250000</v>
      </c>
      <c r="E6" s="2">
        <v>1250</v>
      </c>
      <c r="F6" s="311"/>
      <c r="G6" s="185">
        <f>G5+D$7</f>
        <v>145</v>
      </c>
      <c r="H6" s="27"/>
      <c r="I6" s="27"/>
      <c r="J6" s="27"/>
      <c r="K6" s="27"/>
      <c r="L6" s="27"/>
    </row>
    <row r="7" spans="1:12" ht="17.25" customHeight="1" x14ac:dyDescent="0.2">
      <c r="A7" s="69"/>
      <c r="B7" s="180" t="s">
        <v>97</v>
      </c>
      <c r="C7" s="114"/>
      <c r="D7" s="53">
        <v>5</v>
      </c>
      <c r="E7" s="2"/>
      <c r="F7" s="311"/>
      <c r="G7" s="185">
        <f t="shared" ref="G7:G11" si="1">G6+D$7</f>
        <v>150</v>
      </c>
      <c r="H7" s="27"/>
      <c r="I7" s="27"/>
      <c r="J7" s="27"/>
      <c r="K7" s="27"/>
      <c r="L7" s="27"/>
    </row>
    <row r="8" spans="1:12" ht="17.25" customHeight="1" x14ac:dyDescent="0.2">
      <c r="B8" s="180" t="s">
        <v>96</v>
      </c>
      <c r="C8" s="114"/>
      <c r="D8" s="53">
        <f>E8*1000</f>
        <v>25000</v>
      </c>
      <c r="E8" s="2">
        <v>25</v>
      </c>
      <c r="F8" s="311"/>
      <c r="G8" s="185">
        <f t="shared" si="1"/>
        <v>155</v>
      </c>
      <c r="H8" s="27"/>
      <c r="I8" s="27"/>
      <c r="J8" s="27"/>
      <c r="K8" s="27"/>
      <c r="L8" s="27"/>
    </row>
    <row r="9" spans="1:12" x14ac:dyDescent="0.2">
      <c r="B9" s="92">
        <f>D6-50000</f>
        <v>1200000</v>
      </c>
      <c r="D9" s="2">
        <f>(E6-E8)*1000</f>
        <v>1225000</v>
      </c>
      <c r="F9" s="311"/>
      <c r="G9" s="185">
        <f t="shared" si="1"/>
        <v>160</v>
      </c>
      <c r="H9" s="27"/>
      <c r="I9" s="27"/>
      <c r="J9" s="27"/>
      <c r="K9" s="27"/>
      <c r="L9" s="27"/>
    </row>
    <row r="10" spans="1:12" ht="15" customHeight="1" x14ac:dyDescent="0.2">
      <c r="B10" s="183" t="s">
        <v>24</v>
      </c>
      <c r="F10" s="311"/>
      <c r="G10" s="185">
        <f t="shared" si="1"/>
        <v>165</v>
      </c>
      <c r="H10" s="27"/>
      <c r="I10" s="27"/>
      <c r="J10" s="27"/>
      <c r="K10" s="27"/>
      <c r="L10" s="27"/>
    </row>
    <row r="11" spans="1:12" x14ac:dyDescent="0.2">
      <c r="B11" s="69" t="s">
        <v>102</v>
      </c>
      <c r="F11" s="311"/>
      <c r="G11" s="185">
        <f t="shared" si="1"/>
        <v>170</v>
      </c>
      <c r="H11" s="27"/>
      <c r="I11" s="27"/>
      <c r="J11" s="27"/>
      <c r="K11" s="27"/>
      <c r="L11" s="27"/>
    </row>
    <row r="12" spans="1:12" x14ac:dyDescent="0.2">
      <c r="B12" s="69" t="s">
        <v>104</v>
      </c>
      <c r="F12" s="311"/>
      <c r="G12" s="185">
        <f>G11+D$7</f>
        <v>175</v>
      </c>
      <c r="H12" s="27"/>
      <c r="I12" s="27"/>
      <c r="J12" s="27"/>
      <c r="K12" s="27"/>
      <c r="L12" s="27"/>
    </row>
    <row r="13" spans="1:12" x14ac:dyDescent="0.2">
      <c r="B13" s="56" t="s">
        <v>105</v>
      </c>
    </row>
    <row r="14" spans="1:12" x14ac:dyDescent="0.2">
      <c r="F14" s="178" t="s">
        <v>50</v>
      </c>
    </row>
    <row r="15" spans="1:12" ht="15" customHeight="1" x14ac:dyDescent="0.2">
      <c r="G15" s="175" t="s">
        <v>101</v>
      </c>
      <c r="H15" s="173">
        <v>160</v>
      </c>
    </row>
    <row r="16" spans="1:12" ht="17.25" x14ac:dyDescent="0.2">
      <c r="G16" s="176" t="s">
        <v>100</v>
      </c>
      <c r="H16" s="177">
        <v>1250000</v>
      </c>
    </row>
    <row r="17" spans="2:8" x14ac:dyDescent="0.2">
      <c r="G17" s="172" t="s">
        <v>98</v>
      </c>
      <c r="H17" s="174">
        <f>H15*H16</f>
        <v>200000000</v>
      </c>
    </row>
    <row r="18" spans="2:8" ht="15" customHeight="1" x14ac:dyDescent="0.2"/>
    <row r="20" spans="2:8" ht="15" customHeight="1" x14ac:dyDescent="0.2">
      <c r="B20" s="69"/>
    </row>
    <row r="21" spans="2:8" x14ac:dyDescent="0.2">
      <c r="B21" s="1" t="s">
        <v>106</v>
      </c>
    </row>
    <row r="22" spans="2:8" ht="19.5" customHeight="1" x14ac:dyDescent="0.2">
      <c r="B22" s="2"/>
      <c r="C22" s="2"/>
      <c r="D22" s="2"/>
    </row>
    <row r="23" spans="2:8" x14ac:dyDescent="0.2">
      <c r="B23" s="2"/>
      <c r="C23" s="2"/>
      <c r="D23" s="2"/>
    </row>
  </sheetData>
  <mergeCells count="2">
    <mergeCell ref="H3:L3"/>
    <mergeCell ref="F5:F12"/>
  </mergeCells>
  <conditionalFormatting sqref="G6:G12">
    <cfRule type="notContainsBlanks" dxfId="13" priority="3">
      <formula>LEN(TRIM(G6))&gt;0</formula>
    </cfRule>
  </conditionalFormatting>
  <conditionalFormatting sqref="H5:L12">
    <cfRule type="cellIs" dxfId="12" priority="1" operator="equal">
      <formula>$H$17</formula>
    </cfRule>
    <cfRule type="cellIs" dxfId="11" priority="2" operator="equal">
      <formula>$H$17</formula>
    </cfRule>
  </conditionalFormatting>
  <dataValidations count="2">
    <dataValidation type="list" allowBlank="1" showInputMessage="1" showErrorMessage="1" sqref="H16">
      <formula1>$H$4:$L$4</formula1>
    </dataValidation>
    <dataValidation type="list" allowBlank="1" showInputMessage="1" showErrorMessage="1" sqref="H15">
      <formula1>$G$5:$G$12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6369" r:id="rId4" name="Scroll Bar 1">
              <controlPr defaultSize="0" autoPict="0">
                <anchor moveWithCells="1">
                  <from>
                    <xdr:col>2</xdr:col>
                    <xdr:colOff>19050</xdr:colOff>
                    <xdr:row>2</xdr:row>
                    <xdr:rowOff>38100</xdr:rowOff>
                  </from>
                  <to>
                    <xdr:col>2</xdr:col>
                    <xdr:colOff>504825</xdr:colOff>
                    <xdr:row>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70" r:id="rId5" name="Scroll Bar 2">
              <controlPr defaultSize="0" autoPict="0">
                <anchor moveWithCells="1">
                  <from>
                    <xdr:col>2</xdr:col>
                    <xdr:colOff>19050</xdr:colOff>
                    <xdr:row>3</xdr:row>
                    <xdr:rowOff>28575</xdr:rowOff>
                  </from>
                  <to>
                    <xdr:col>2</xdr:col>
                    <xdr:colOff>504825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71" r:id="rId6" name="Scroll Bar 3">
              <controlPr defaultSize="0" autoPict="0">
                <anchor moveWithCells="1">
                  <from>
                    <xdr:col>2</xdr:col>
                    <xdr:colOff>9525</xdr:colOff>
                    <xdr:row>5</xdr:row>
                    <xdr:rowOff>47625</xdr:rowOff>
                  </from>
                  <to>
                    <xdr:col>2</xdr:col>
                    <xdr:colOff>495300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72" r:id="rId7" name="Scroll Bar 4">
              <controlPr defaultSize="0" autoPict="0">
                <anchor moveWithCells="1">
                  <from>
                    <xdr:col>2</xdr:col>
                    <xdr:colOff>9525</xdr:colOff>
                    <xdr:row>6</xdr:row>
                    <xdr:rowOff>28575</xdr:rowOff>
                  </from>
                  <to>
                    <xdr:col>2</xdr:col>
                    <xdr:colOff>495300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73" r:id="rId8" name="Scroll Bar 5">
              <controlPr defaultSize="0" autoPict="0">
                <anchor moveWithCells="1">
                  <from>
                    <xdr:col>2</xdr:col>
                    <xdr:colOff>9525</xdr:colOff>
                    <xdr:row>7</xdr:row>
                    <xdr:rowOff>19050</xdr:rowOff>
                  </from>
                  <to>
                    <xdr:col>2</xdr:col>
                    <xdr:colOff>495300</xdr:colOff>
                    <xdr:row>7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6</vt:i4>
      </vt:variant>
    </vt:vector>
  </HeadingPairs>
  <TitlesOfParts>
    <vt:vector size="29" baseType="lpstr">
      <vt:lpstr>TABEL DATA1</vt:lpstr>
      <vt:lpstr>TABEL DATA2</vt:lpstr>
      <vt:lpstr>PV</vt:lpstr>
      <vt:lpstr>FV</vt:lpstr>
      <vt:lpstr>PMT</vt:lpstr>
      <vt:lpstr>KASUS1</vt:lpstr>
      <vt:lpstr>KASUS2</vt:lpstr>
      <vt:lpstr>KASUS3 </vt:lpstr>
      <vt:lpstr>KASUS4</vt:lpstr>
      <vt:lpstr>KASUS5</vt:lpstr>
      <vt:lpstr>KASUS6</vt:lpstr>
      <vt:lpstr>KASUS7</vt:lpstr>
      <vt:lpstr>KASUS8</vt:lpstr>
      <vt:lpstr>KASUS9</vt:lpstr>
      <vt:lpstr>KASUS10</vt:lpstr>
      <vt:lpstr>KASUS11</vt:lpstr>
      <vt:lpstr>KASUS12</vt:lpstr>
      <vt:lpstr>KASUS13</vt:lpstr>
      <vt:lpstr>KASUS14</vt:lpstr>
      <vt:lpstr>KASUS15</vt:lpstr>
      <vt:lpstr>KASUS16</vt:lpstr>
      <vt:lpstr>KASUS17</vt:lpstr>
      <vt:lpstr>KASUS18</vt:lpstr>
      <vt:lpstr>ANGSURAN</vt:lpstr>
      <vt:lpstr>INVESTASI</vt:lpstr>
      <vt:lpstr>LABA</vt:lpstr>
      <vt:lpstr>PINJAM</vt:lpstr>
      <vt:lpstr>PROYEKSI</vt:lpstr>
      <vt:lpstr>TABUNGAN</vt:lpstr>
    </vt:vector>
  </TitlesOfParts>
  <Company>CENDIKIA INDOMEDIA ARTHA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JOHAR ARIFIN</dc:creator>
  <cp:lastModifiedBy>user</cp:lastModifiedBy>
  <dcterms:created xsi:type="dcterms:W3CDTF">2001-08-02T01:51:15Z</dcterms:created>
  <dcterms:modified xsi:type="dcterms:W3CDTF">2017-04-21T19:32:44Z</dcterms:modified>
</cp:coreProperties>
</file>