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9875" windowHeight="9240"/>
  </bookViews>
  <sheets>
    <sheet name="DATA" sheetId="5" r:id="rId1"/>
    <sheet name="KASUS1" sheetId="6" r:id="rId2"/>
    <sheet name="KASUS2" sheetId="7" r:id="rId3"/>
    <sheet name="KASUS3" sheetId="8" r:id="rId4"/>
  </sheets>
  <externalReferences>
    <externalReference r:id="rId5"/>
    <externalReference r:id="rId6"/>
  </externalReferences>
  <definedNames>
    <definedName name="__IntlFixup" hidden="1">TRUE</definedName>
    <definedName name="AccessDatabase" hidden="1">"C:\My Documents\MAUI MALL1.mdb"</definedName>
    <definedName name="ACwvu.CapersView." localSheetId="0" hidden="1">[1]MASTER!#REF!</definedName>
    <definedName name="ACwvu.CapersView." localSheetId="1" hidden="1">[1]MASTER!#REF!</definedName>
    <definedName name="ACwvu.CapersView." localSheetId="2" hidden="1">[1]MASTER!#REF!</definedName>
    <definedName name="ACwvu.CapersView." localSheetId="3" hidden="1">[1]MASTER!#REF!</definedName>
    <definedName name="ACwvu.CapersView." hidden="1">[1]MASTER!#REF!</definedName>
    <definedName name="ACwvu.Japan_Capers_Ed_Pub." localSheetId="0" hidden="1">#REF!</definedName>
    <definedName name="ACwvu.Japan_Capers_Ed_Pub." localSheetId="1" hidden="1">#REF!</definedName>
    <definedName name="ACwvu.Japan_Capers_Ed_Pub." localSheetId="2" hidden="1">#REF!</definedName>
    <definedName name="ACwvu.Japan_Capers_Ed_Pub." localSheetId="3" hidden="1">#REF!</definedName>
    <definedName name="ACwvu.Japan_Capers_Ed_Pub." hidden="1">#REF!</definedName>
    <definedName name="ACwvu.KJP_CC." localSheetId="0" hidden="1">#REF!</definedName>
    <definedName name="ACwvu.KJP_CC." localSheetId="1" hidden="1">#REF!</definedName>
    <definedName name="ACwvu.KJP_CC." localSheetId="2" hidden="1">#REF!</definedName>
    <definedName name="ACwvu.KJP_CC." localSheetId="3" hidden="1">#REF!</definedName>
    <definedName name="ACwvu.KJP_CC." hidden="1">#REF!</definedName>
    <definedName name="anscount" hidden="1">4</definedName>
    <definedName name="Cwvu.CapersView." localSheetId="0" hidden="1">[1]MASTER!#REF!</definedName>
    <definedName name="Cwvu.CapersView." localSheetId="1" hidden="1">[1]MASTER!#REF!</definedName>
    <definedName name="Cwvu.CapersView." localSheetId="2" hidden="1">[1]MASTER!#REF!</definedName>
    <definedName name="Cwvu.CapersView." localSheetId="3" hidden="1">[1]MASTER!#REF!</definedName>
    <definedName name="Cwvu.CapersView." hidden="1">[1]MASTER!#REF!</definedName>
    <definedName name="Cwvu.Japan_Capers_Ed_Pub." localSheetId="0" hidden="1">[1]MASTER!#REF!</definedName>
    <definedName name="Cwvu.Japan_Capers_Ed_Pub." localSheetId="1" hidden="1">[1]MASTER!#REF!</definedName>
    <definedName name="Cwvu.Japan_Capers_Ed_Pub." localSheetId="2" hidden="1">[1]MASTER!#REF!</definedName>
    <definedName name="Cwvu.Japan_Capers_Ed_Pub." localSheetId="3" hidden="1">[1]MASTER!#REF!</definedName>
    <definedName name="Cwvu.Japan_Capers_Ed_Pub." hidden="1">[1]MASTER!#REF!</definedName>
    <definedName name="Cwvu.KJP_CC." localSheetId="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limcount" hidden="1">3</definedName>
    <definedName name="MOBIL">DATA!$F$5:$H$12</definedName>
    <definedName name="Rwvu.CapersView." localSheetId="0" hidden="1">#REF!</definedName>
    <definedName name="Rwvu.CapersView." localSheetId="1" hidden="1">#REF!</definedName>
    <definedName name="Rwvu.CapersView." localSheetId="2" hidden="1">#REF!</definedName>
    <definedName name="Rwvu.CapersView." localSheetId="3" hidden="1">#REF!</definedName>
    <definedName name="Rwvu.CapersView." hidden="1">#REF!</definedName>
    <definedName name="Rwvu.Japan_Capers_Ed_Pub." localSheetId="0" hidden="1">#REF!</definedName>
    <definedName name="Rwvu.Japan_Capers_Ed_Pub." localSheetId="1" hidden="1">#REF!</definedName>
    <definedName name="Rwvu.Japan_Capers_Ed_Pub." localSheetId="2" hidden="1">#REF!</definedName>
    <definedName name="Rwvu.Japan_Capers_Ed_Pub." localSheetId="3" hidden="1">#REF!</definedName>
    <definedName name="Rwvu.Japan_Capers_Ed_Pub." hidden="1">#REF!</definedName>
    <definedName name="Rwvu.KJP_CC." localSheetId="0" hidden="1">#REF!</definedName>
    <definedName name="Rwvu.KJP_CC." localSheetId="1" hidden="1">#REF!</definedName>
    <definedName name="Rwvu.KJP_CC." localSheetId="2" hidden="1">#REF!</definedName>
    <definedName name="Rwvu.KJP_CC." localSheetId="3" hidden="1">#REF!</definedName>
    <definedName name="Rwvu.KJP_CC." hidden="1">#REF!</definedName>
    <definedName name="sencount" hidden="1">3</definedName>
    <definedName name="ss" localSheetId="0" hidden="1">[1]MASTER!#REF!</definedName>
    <definedName name="ss" localSheetId="1" hidden="1">[1]MASTER!#REF!</definedName>
    <definedName name="ss" localSheetId="2" hidden="1">[1]MASTER!#REF!</definedName>
    <definedName name="ss" localSheetId="3" hidden="1">[1]MASTER!#REF!</definedName>
    <definedName name="ss" hidden="1">[1]MASTER!#REF!</definedName>
    <definedName name="Swvu.CapersView." localSheetId="0" hidden="1">[1]MASTER!#REF!</definedName>
    <definedName name="Swvu.CapersView." localSheetId="1" hidden="1">[1]MASTER!#REF!</definedName>
    <definedName name="Swvu.CapersView." localSheetId="2" hidden="1">[1]MASTER!#REF!</definedName>
    <definedName name="Swvu.CapersView." localSheetId="3" hidden="1">[1]MASTER!#REF!</definedName>
    <definedName name="Swvu.CapersView." hidden="1">[1]MASTER!#REF!</definedName>
    <definedName name="Swvu.Japan_Capers_Ed_Pub." localSheetId="0" hidden="1">#REF!</definedName>
    <definedName name="Swvu.Japan_Capers_Ed_Pub." localSheetId="1" hidden="1">#REF!</definedName>
    <definedName name="Swvu.Japan_Capers_Ed_Pub." localSheetId="2" hidden="1">#REF!</definedName>
    <definedName name="Swvu.Japan_Capers_Ed_Pub." localSheetId="3" hidden="1">#REF!</definedName>
    <definedName name="Swvu.Japan_Capers_Ed_Pub." hidden="1">#REF!</definedName>
    <definedName name="Swvu.KJP_CC." localSheetId="0" hidden="1">#REF!</definedName>
    <definedName name="Swvu.KJP_CC." localSheetId="1" hidden="1">#REF!</definedName>
    <definedName name="Swvu.KJP_CC." localSheetId="2" hidden="1">#REF!</definedName>
    <definedName name="Swvu.KJP_CC." localSheetId="3" hidden="1">#REF!</definedName>
    <definedName name="Swvu.KJP_CC." hidden="1">#REF!</definedName>
    <definedName name="TABEL" localSheetId="3">KASUS3!$E$14:$J$49</definedName>
    <definedName name="trte" hidden="1">{#N/A,#N/A,FALSE,"PRJCTED QTRLY $'s"}</definedName>
    <definedName name="v" hidden="1">{"'PRODUCTIONCOST SHEET'!$B$3:$G$48"}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[2]lookup_trend!$D$2:$D$14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0" hidden="1">#REF!</definedName>
    <definedName name="Z_9A428CE1_B4D9_11D0_A8AA_0000C071AEE7_.wvu.PrintArea" localSheetId="1" hidden="1">#REF!</definedName>
    <definedName name="Z_9A428CE1_B4D9_11D0_A8AA_0000C071AEE7_.wvu.PrintArea" localSheetId="2" hidden="1">#REF!</definedName>
    <definedName name="Z_9A428CE1_B4D9_11D0_A8AA_0000C071AEE7_.wvu.PrintArea" localSheetId="3" hidden="1">#REF!</definedName>
    <definedName name="Z_9A428CE1_B4D9_11D0_A8AA_0000C071AEE7_.wvu.PrintArea" hidden="1">#REF!</definedName>
    <definedName name="Z_9A428CE1_B4D9_11D0_A8AA_0000C071AEE7_.wvu.Rows" localSheetId="0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25725"/>
</workbook>
</file>

<file path=xl/calcChain.xml><?xml version="1.0" encoding="utf-8"?>
<calcChain xmlns="http://schemas.openxmlformats.org/spreadsheetml/2006/main">
  <c r="G3" i="7"/>
  <c r="G3" i="8"/>
  <c r="F14" s="1"/>
  <c r="C3"/>
  <c r="H9" s="1"/>
  <c r="E2"/>
  <c r="E2" i="7"/>
  <c r="G5" i="8" l="1"/>
  <c r="C8"/>
  <c r="E15"/>
  <c r="C14"/>
  <c r="C4"/>
  <c r="C13" s="1"/>
  <c r="C5"/>
  <c r="C7"/>
  <c r="C12" s="1"/>
  <c r="E16" l="1"/>
  <c r="H15"/>
  <c r="F15"/>
  <c r="G15"/>
  <c r="C11"/>
  <c r="C15" s="1"/>
  <c r="B5"/>
  <c r="C16" l="1"/>
  <c r="H14"/>
  <c r="G16"/>
  <c r="E17"/>
  <c r="H16"/>
  <c r="F16"/>
  <c r="I16" l="1"/>
  <c r="J16" s="1"/>
  <c r="E18"/>
  <c r="H17"/>
  <c r="F17"/>
  <c r="I17"/>
  <c r="J17" s="1"/>
  <c r="G17"/>
  <c r="I14"/>
  <c r="J14" s="1"/>
  <c r="I15"/>
  <c r="J15" s="1"/>
  <c r="G18" l="1"/>
  <c r="E19"/>
  <c r="H18"/>
  <c r="F18"/>
  <c r="E20" l="1"/>
  <c r="H19"/>
  <c r="F19"/>
  <c r="I19"/>
  <c r="J19" s="1"/>
  <c r="G19"/>
  <c r="I18"/>
  <c r="J18" s="1"/>
  <c r="E21" l="1"/>
  <c r="G20"/>
  <c r="H20"/>
  <c r="I20" s="1"/>
  <c r="J20" s="1"/>
  <c r="F20"/>
  <c r="E22" l="1"/>
  <c r="G21"/>
  <c r="H21"/>
  <c r="I21" s="1"/>
  <c r="J21" s="1"/>
  <c r="F21"/>
  <c r="E23" l="1"/>
  <c r="G22"/>
  <c r="H22"/>
  <c r="I22" s="1"/>
  <c r="J22" s="1"/>
  <c r="F22"/>
  <c r="E24" l="1"/>
  <c r="G23"/>
  <c r="H23"/>
  <c r="I23" s="1"/>
  <c r="J23" s="1"/>
  <c r="F23"/>
  <c r="E25" l="1"/>
  <c r="G24"/>
  <c r="H24"/>
  <c r="I24" s="1"/>
  <c r="J24" s="1"/>
  <c r="F24"/>
  <c r="E26" l="1"/>
  <c r="G25"/>
  <c r="H25"/>
  <c r="I25" s="1"/>
  <c r="J25" s="1"/>
  <c r="F25"/>
  <c r="E27" l="1"/>
  <c r="G26"/>
  <c r="H26"/>
  <c r="I26" s="1"/>
  <c r="J26" s="1"/>
  <c r="F26"/>
  <c r="E28" l="1"/>
  <c r="G27"/>
  <c r="H27"/>
  <c r="I27" s="1"/>
  <c r="J27" s="1"/>
  <c r="F27"/>
  <c r="E29" l="1"/>
  <c r="G28"/>
  <c r="H28"/>
  <c r="I28" s="1"/>
  <c r="J28" s="1"/>
  <c r="F28"/>
  <c r="E30" l="1"/>
  <c r="G29"/>
  <c r="H29"/>
  <c r="I29" s="1"/>
  <c r="J29" s="1"/>
  <c r="F29"/>
  <c r="E31" l="1"/>
  <c r="G30"/>
  <c r="H30"/>
  <c r="I30" s="1"/>
  <c r="J30" s="1"/>
  <c r="F30"/>
  <c r="E32" l="1"/>
  <c r="G31"/>
  <c r="H31"/>
  <c r="I31" s="1"/>
  <c r="J31" s="1"/>
  <c r="F31"/>
  <c r="E33" l="1"/>
  <c r="G32"/>
  <c r="H32"/>
  <c r="I32" s="1"/>
  <c r="J32" s="1"/>
  <c r="F32"/>
  <c r="E34" l="1"/>
  <c r="G33"/>
  <c r="H33"/>
  <c r="I33" s="1"/>
  <c r="J33" s="1"/>
  <c r="F33"/>
  <c r="E35" l="1"/>
  <c r="G34"/>
  <c r="H34"/>
  <c r="I34" s="1"/>
  <c r="J34" s="1"/>
  <c r="F34"/>
  <c r="E36" l="1"/>
  <c r="G35"/>
  <c r="H35"/>
  <c r="I35" s="1"/>
  <c r="J35" s="1"/>
  <c r="F35"/>
  <c r="E37" l="1"/>
  <c r="G36"/>
  <c r="H36"/>
  <c r="I36" s="1"/>
  <c r="J36" s="1"/>
  <c r="F36"/>
  <c r="E38" l="1"/>
  <c r="G37"/>
  <c r="H37"/>
  <c r="I37" s="1"/>
  <c r="J37" s="1"/>
  <c r="F37"/>
  <c r="E39" l="1"/>
  <c r="G38"/>
  <c r="H38"/>
  <c r="I38" s="1"/>
  <c r="J38" s="1"/>
  <c r="F38"/>
  <c r="E40" l="1"/>
  <c r="G39"/>
  <c r="H39"/>
  <c r="I39" s="1"/>
  <c r="J39" s="1"/>
  <c r="F39"/>
  <c r="E41" l="1"/>
  <c r="G40"/>
  <c r="H40"/>
  <c r="I40" s="1"/>
  <c r="J40" s="1"/>
  <c r="F40"/>
  <c r="E42" l="1"/>
  <c r="G41"/>
  <c r="H41"/>
  <c r="I41" s="1"/>
  <c r="J41" s="1"/>
  <c r="F41"/>
  <c r="E43" l="1"/>
  <c r="G42"/>
  <c r="H42"/>
  <c r="I42" s="1"/>
  <c r="J42" s="1"/>
  <c r="F42"/>
  <c r="E44" l="1"/>
  <c r="G43"/>
  <c r="H43"/>
  <c r="I43" s="1"/>
  <c r="J43" s="1"/>
  <c r="F43"/>
  <c r="E45" l="1"/>
  <c r="G44"/>
  <c r="H44"/>
  <c r="I44" s="1"/>
  <c r="J44" s="1"/>
  <c r="F44"/>
  <c r="E46" l="1"/>
  <c r="G45"/>
  <c r="H45"/>
  <c r="I45" s="1"/>
  <c r="J45" s="1"/>
  <c r="F45"/>
  <c r="E47" l="1"/>
  <c r="G46"/>
  <c r="H46"/>
  <c r="I46" s="1"/>
  <c r="J46" s="1"/>
  <c r="F46"/>
  <c r="E48" l="1"/>
  <c r="G47"/>
  <c r="H47"/>
  <c r="I47" s="1"/>
  <c r="J47" s="1"/>
  <c r="F47"/>
  <c r="E49" l="1"/>
  <c r="G48"/>
  <c r="H48"/>
  <c r="I48" s="1"/>
  <c r="J48" s="1"/>
  <c r="F48"/>
  <c r="G49" l="1"/>
  <c r="H49"/>
  <c r="G4" s="1"/>
  <c r="F49"/>
  <c r="I49" l="1"/>
  <c r="J49" s="1"/>
  <c r="G8" s="1"/>
  <c r="E7" s="1"/>
  <c r="G9" l="1"/>
  <c r="G10"/>
  <c r="C3" i="7" l="1"/>
  <c r="C14" s="1"/>
  <c r="C3" i="6"/>
  <c r="F10" i="7"/>
  <c r="F8" i="5"/>
  <c r="C6" i="8" s="1"/>
  <c r="G7" i="5"/>
  <c r="H7" s="1"/>
  <c r="H6"/>
  <c r="G6"/>
  <c r="C4" i="6" l="1"/>
  <c r="C12" s="1"/>
  <c r="C13"/>
  <c r="C5"/>
  <c r="C7"/>
  <c r="C5" i="7"/>
  <c r="C7"/>
  <c r="C12" s="1"/>
  <c r="C4"/>
  <c r="C13" s="1"/>
  <c r="C8"/>
  <c r="G5"/>
  <c r="E11"/>
  <c r="C10" i="6"/>
  <c r="C11"/>
  <c r="B20" s="1"/>
  <c r="H8" i="5"/>
  <c r="C6" i="6" s="1"/>
  <c r="G8" i="5"/>
  <c r="C6" i="7" l="1"/>
  <c r="B5" i="6"/>
  <c r="C11" i="7"/>
  <c r="C15" s="1"/>
  <c r="B5"/>
  <c r="E12"/>
  <c r="H11"/>
  <c r="F11"/>
  <c r="G11"/>
  <c r="C14" i="6"/>
  <c r="E13" i="7" l="1"/>
  <c r="G12"/>
  <c r="H12"/>
  <c r="F12"/>
  <c r="C16"/>
  <c r="H10"/>
  <c r="I11" s="1"/>
  <c r="J11" s="1"/>
  <c r="B19" i="6"/>
  <c r="C15"/>
  <c r="I12" i="7" l="1"/>
  <c r="J12" s="1"/>
  <c r="I10"/>
  <c r="J10" s="1"/>
  <c r="E14"/>
  <c r="G13"/>
  <c r="H13"/>
  <c r="F13"/>
  <c r="I13" l="1"/>
  <c r="J13" s="1"/>
  <c r="G14"/>
  <c r="E15"/>
  <c r="H14"/>
  <c r="F14"/>
  <c r="I14" l="1"/>
  <c r="J14" s="1"/>
  <c r="E16"/>
  <c r="H15"/>
  <c r="F15"/>
  <c r="I15"/>
  <c r="J15" s="1"/>
  <c r="G15"/>
  <c r="G16" l="1"/>
  <c r="E17"/>
  <c r="H16"/>
  <c r="I16" s="1"/>
  <c r="J16" s="1"/>
  <c r="F16"/>
  <c r="E18" l="1"/>
  <c r="H17"/>
  <c r="F17"/>
  <c r="I17"/>
  <c r="J17" s="1"/>
  <c r="G17"/>
  <c r="G18" l="1"/>
  <c r="E19"/>
  <c r="H18"/>
  <c r="I18" s="1"/>
  <c r="J18" s="1"/>
  <c r="F18"/>
  <c r="E20" l="1"/>
  <c r="H19"/>
  <c r="F19"/>
  <c r="I19"/>
  <c r="J19" s="1"/>
  <c r="G19"/>
  <c r="E21" l="1"/>
  <c r="G20"/>
  <c r="H20"/>
  <c r="I20" s="1"/>
  <c r="J20" s="1"/>
  <c r="F20"/>
  <c r="E22" l="1"/>
  <c r="G21"/>
  <c r="H21"/>
  <c r="I21" s="1"/>
  <c r="J21" s="1"/>
  <c r="F21"/>
  <c r="E23" l="1"/>
  <c r="G22"/>
  <c r="H22"/>
  <c r="I22" s="1"/>
  <c r="J22" s="1"/>
  <c r="F22"/>
  <c r="G23" l="1"/>
  <c r="E24"/>
  <c r="H23"/>
  <c r="I23" s="1"/>
  <c r="J23" s="1"/>
  <c r="F23"/>
  <c r="E25" l="1"/>
  <c r="H24"/>
  <c r="F24"/>
  <c r="I24"/>
  <c r="J24" s="1"/>
  <c r="G24"/>
  <c r="E26" l="1"/>
  <c r="G25"/>
  <c r="H25"/>
  <c r="I25" s="1"/>
  <c r="J25" s="1"/>
  <c r="F25"/>
  <c r="E27" l="1"/>
  <c r="G26"/>
  <c r="H26"/>
  <c r="I26" s="1"/>
  <c r="J26" s="1"/>
  <c r="F26"/>
  <c r="E28" l="1"/>
  <c r="G27"/>
  <c r="H27"/>
  <c r="I27" s="1"/>
  <c r="J27" s="1"/>
  <c r="F27"/>
  <c r="E29" l="1"/>
  <c r="G28"/>
  <c r="H28"/>
  <c r="I28" s="1"/>
  <c r="J28" s="1"/>
  <c r="F28"/>
  <c r="E30" l="1"/>
  <c r="G29"/>
  <c r="H29"/>
  <c r="I29" s="1"/>
  <c r="J29" s="1"/>
  <c r="F29"/>
  <c r="E31" l="1"/>
  <c r="G30"/>
  <c r="H30"/>
  <c r="I30" s="1"/>
  <c r="J30" s="1"/>
  <c r="F30"/>
  <c r="E32" l="1"/>
  <c r="G31"/>
  <c r="H31"/>
  <c r="I31" s="1"/>
  <c r="J31" s="1"/>
  <c r="F31"/>
  <c r="E33" l="1"/>
  <c r="G32"/>
  <c r="H32"/>
  <c r="I32" s="1"/>
  <c r="J32" s="1"/>
  <c r="F32"/>
  <c r="E34" l="1"/>
  <c r="G33"/>
  <c r="H33"/>
  <c r="I33" s="1"/>
  <c r="J33" s="1"/>
  <c r="F33"/>
  <c r="E35" l="1"/>
  <c r="G34"/>
  <c r="H34"/>
  <c r="I34" s="1"/>
  <c r="J34" s="1"/>
  <c r="F34"/>
  <c r="E36" l="1"/>
  <c r="G35"/>
  <c r="H35"/>
  <c r="I35" s="1"/>
  <c r="J35" s="1"/>
  <c r="F35"/>
  <c r="E37" l="1"/>
  <c r="G36"/>
  <c r="H36"/>
  <c r="I36" s="1"/>
  <c r="J36" s="1"/>
  <c r="F36"/>
  <c r="E38" l="1"/>
  <c r="G37"/>
  <c r="H37"/>
  <c r="I37" s="1"/>
  <c r="J37" s="1"/>
  <c r="F37"/>
  <c r="E39" l="1"/>
  <c r="G38"/>
  <c r="H38"/>
  <c r="I38" s="1"/>
  <c r="J38" s="1"/>
  <c r="F38"/>
  <c r="E40" l="1"/>
  <c r="G39"/>
  <c r="H39"/>
  <c r="I39" s="1"/>
  <c r="J39" s="1"/>
  <c r="F39"/>
  <c r="E41" l="1"/>
  <c r="G40"/>
  <c r="H40"/>
  <c r="I40" s="1"/>
  <c r="J40" s="1"/>
  <c r="F40"/>
  <c r="E42" l="1"/>
  <c r="G41"/>
  <c r="H41"/>
  <c r="I41" s="1"/>
  <c r="J41" s="1"/>
  <c r="F41"/>
  <c r="E43" l="1"/>
  <c r="G42"/>
  <c r="H42"/>
  <c r="I42" s="1"/>
  <c r="J42" s="1"/>
  <c r="F42"/>
  <c r="E44" l="1"/>
  <c r="G43"/>
  <c r="H43"/>
  <c r="I43" s="1"/>
  <c r="J43" s="1"/>
  <c r="F43"/>
  <c r="E45" l="1"/>
  <c r="G44"/>
  <c r="H44"/>
  <c r="I44" s="1"/>
  <c r="J44" s="1"/>
  <c r="F44"/>
  <c r="G45" l="1"/>
  <c r="H45"/>
  <c r="G4" s="1"/>
  <c r="F45"/>
  <c r="I45" l="1"/>
  <c r="J45" s="1"/>
</calcChain>
</file>

<file path=xl/sharedStrings.xml><?xml version="1.0" encoding="utf-8"?>
<sst xmlns="http://schemas.openxmlformats.org/spreadsheetml/2006/main" count="89" uniqueCount="40">
  <si>
    <t>Merk</t>
  </si>
  <si>
    <t>Toyota</t>
  </si>
  <si>
    <t>Model</t>
  </si>
  <si>
    <t>All New Avanza</t>
  </si>
  <si>
    <t>Transaksi</t>
  </si>
  <si>
    <t>Tipe</t>
  </si>
  <si>
    <t>1.5 Veloz A/T</t>
  </si>
  <si>
    <t>Harga Perolehan</t>
  </si>
  <si>
    <t>Kota</t>
  </si>
  <si>
    <t>JABODETABEKSER</t>
  </si>
  <si>
    <t>Angsuran Terakhir</t>
  </si>
  <si>
    <t>Tabel Angsuran</t>
  </si>
  <si>
    <t>Keterangan</t>
  </si>
  <si>
    <t>Jangka Waktu Kredit</t>
  </si>
  <si>
    <t>Waktu Kredit</t>
  </si>
  <si>
    <t>Harga Mobil</t>
  </si>
  <si>
    <t>No</t>
  </si>
  <si>
    <t>Bulan</t>
  </si>
  <si>
    <t>Uang Muka</t>
  </si>
  <si>
    <t>Angsuran</t>
  </si>
  <si>
    <t>Administrasi</t>
  </si>
  <si>
    <t>Pembayaran Pertama</t>
  </si>
  <si>
    <t>Pokok Hutang</t>
  </si>
  <si>
    <t>Suku Bunga</t>
  </si>
  <si>
    <t>Asuransi Comprehensive</t>
  </si>
  <si>
    <t>Angsuran Pertama</t>
  </si>
  <si>
    <t>Jumlah</t>
  </si>
  <si>
    <t>Kesimpulan</t>
  </si>
  <si>
    <t>% dari Harga Mobil</t>
  </si>
  <si>
    <t>Jangka waktu kredit dalam tabel harus dibaca lama angsuran tersisa setelah pembayaran</t>
  </si>
  <si>
    <t>Kebutuhan Dana</t>
  </si>
  <si>
    <t>% dari Harga Kendaraan</t>
  </si>
  <si>
    <t>Tabel Pembayaran</t>
  </si>
  <si>
    <t>PERHITUNGAN KREDIT MOBIL</t>
  </si>
  <si>
    <t>&lt;&lt; cell link</t>
  </si>
  <si>
    <t>Pilih bulan</t>
  </si>
  <si>
    <t>% dari harga kendaraan</t>
  </si>
  <si>
    <t>TAWARAN KREDIT KENDARAAN</t>
  </si>
  <si>
    <t>PEMBAYARAN PERTAMA</t>
  </si>
  <si>
    <t>&lt;&lt; =IF(C3&lt;=H8;C3+1;H8+1)</t>
  </si>
</sst>
</file>

<file path=xl/styles.xml><?xml version="1.0" encoding="utf-8"?>
<styleSheet xmlns="http://schemas.openxmlformats.org/spreadsheetml/2006/main">
  <numFmts count="15">
    <numFmt numFmtId="41" formatCode="_(* #,##0_);_(* \(#,##0\);_(* &quot;-&quot;_);_(@_)"/>
    <numFmt numFmtId="43" formatCode="_(* #,##0.00_);_(* \(#,##0.00\);_(* &quot;-&quot;??_);_(@_)"/>
    <numFmt numFmtId="164" formatCode="mmmm\ yyyy"/>
    <numFmt numFmtId="165" formatCode="0\ &quot;bulan &quot;"/>
    <numFmt numFmtId="166" formatCode="#,##0;[Red]#,##0"/>
    <numFmt numFmtId="167" formatCode="&quot;Angsuran ke-&quot;0"/>
    <numFmt numFmtId="168" formatCode="&quot;$&quot;#,##0"/>
    <numFmt numFmtId="169" formatCode="&quot;$&quot;#,##0.00_);[Red]\(&quot;$&quot;#,##0.00\)"/>
    <numFmt numFmtId="170" formatCode="0.00000%"/>
    <numFmt numFmtId="171" formatCode="0.0%"/>
    <numFmt numFmtId="172" formatCode="_-&quot;£&quot;* #,##0_-;\-&quot;£&quot;* #,##0_-;_-&quot;£&quot;* &quot;-&quot;_-;_-@_-"/>
    <numFmt numFmtId="173" formatCode="_-* #,##0_-;\-* #,##0_-;_-* &quot;-&quot;_-;_-@_-"/>
    <numFmt numFmtId="174" formatCode="_-* #,##0.00_-;\-* #,##0.00_-;_-* &quot;-&quot;??_-;_-@_-"/>
    <numFmt numFmtId="175" formatCode="_-&quot;£&quot;* #,##0.00_-;\-&quot;£&quot;* #,##0.00_-;_-&quot;£&quot;* &quot;-&quot;??_-;_-@_-"/>
    <numFmt numFmtId="176" formatCode="General&quot;x&quot;"/>
  </numFmts>
  <fonts count="3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indexed="8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8"/>
      <color indexed="63"/>
      <name val="Verdana"/>
      <family val="2"/>
    </font>
    <font>
      <b/>
      <sz val="9"/>
      <name val="Arial"/>
      <family val="2"/>
    </font>
    <font>
      <sz val="11"/>
      <color rgb="FFFF0000"/>
      <name val="Calibri"/>
      <family val="2"/>
      <charset val="1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rgb="FF00B050"/>
      </left>
      <right style="thin">
        <color theme="0"/>
      </right>
      <top style="medium">
        <color rgb="FF00B050"/>
      </top>
      <bottom/>
      <diagonal/>
    </border>
    <border>
      <left style="thin">
        <color theme="0"/>
      </left>
      <right style="thin">
        <color theme="0"/>
      </right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thin">
        <color theme="0"/>
      </right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 style="thin">
        <color theme="0"/>
      </right>
      <top/>
      <bottom style="medium">
        <color rgb="FF00B050"/>
      </bottom>
      <diagonal/>
    </border>
    <border>
      <left style="thin">
        <color theme="0"/>
      </left>
      <right style="thin">
        <color theme="0"/>
      </right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thin">
        <color theme="0"/>
      </left>
      <right/>
      <top/>
      <bottom style="medium">
        <color rgb="FF00B050"/>
      </bottom>
      <diagonal/>
    </border>
    <border>
      <left/>
      <right/>
      <top/>
      <bottom style="medium">
        <color rgb="FF00B050"/>
      </bottom>
      <diagonal/>
    </border>
  </borders>
  <cellStyleXfs count="109">
    <xf numFmtId="0" fontId="0" fillId="0" borderId="0"/>
    <xf numFmtId="0" fontId="2" fillId="0" borderId="0"/>
    <xf numFmtId="0" fontId="1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6" fillId="7" borderId="0" applyNumberFormat="0" applyBorder="0" applyAlignment="0" applyProtection="0"/>
    <xf numFmtId="0" fontId="6" fillId="17" borderId="0" applyNumberFormat="0" applyBorder="0" applyAlignment="0" applyProtection="0"/>
    <xf numFmtId="0" fontId="8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8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8" fillId="24" borderId="0" applyNumberFormat="0" applyBorder="0" applyAlignment="0" applyProtection="0"/>
    <xf numFmtId="0" fontId="6" fillId="8" borderId="0" applyNumberFormat="0" applyBorder="0" applyAlignment="0" applyProtection="0"/>
    <xf numFmtId="0" fontId="6" fillId="25" borderId="0" applyNumberFormat="0" applyBorder="0" applyAlignment="0" applyProtection="0"/>
    <xf numFmtId="0" fontId="8" fillId="26" borderId="0" applyNumberFormat="0" applyBorder="0" applyAlignment="0" applyProtection="0"/>
    <xf numFmtId="37" fontId="10" fillId="27" borderId="7" applyBorder="0" applyProtection="0">
      <alignment vertical="center"/>
    </xf>
    <xf numFmtId="0" fontId="11" fillId="28" borderId="0" applyBorder="0">
      <alignment horizontal="left" vertical="center" indent="1"/>
    </xf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3" fillId="0" borderId="0">
      <alignment horizontal="left" vertical="center" indent="1"/>
    </xf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37" fontId="15" fillId="32" borderId="8" applyBorder="0">
      <alignment horizontal="left" vertical="center" indent="1"/>
    </xf>
    <xf numFmtId="37" fontId="16" fillId="0" borderId="9">
      <alignment vertical="center"/>
    </xf>
    <xf numFmtId="0" fontId="16" fillId="33" borderId="10" applyNumberFormat="0">
      <alignment horizontal="left" vertical="top" indent="1"/>
    </xf>
    <xf numFmtId="0" fontId="16" fillId="27" borderId="0" applyBorder="0">
      <alignment horizontal="left" vertical="center" indent="1"/>
    </xf>
    <xf numFmtId="0" fontId="16" fillId="0" borderId="10" applyNumberFormat="0" applyFill="0">
      <alignment horizontal="centerContinuous" vertical="top"/>
    </xf>
    <xf numFmtId="0" fontId="17" fillId="27" borderId="11" applyNumberFormat="0" applyBorder="0">
      <alignment horizontal="left" vertical="center" indent="1"/>
    </xf>
    <xf numFmtId="0" fontId="18" fillId="0" borderId="1" applyNumberFormat="0" applyFill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2" borderId="2" applyNumberFormat="0" applyAlignment="0" applyProtection="0"/>
    <xf numFmtId="0" fontId="21" fillId="34" borderId="0">
      <alignment horizontal="left" indent="1"/>
    </xf>
    <xf numFmtId="0" fontId="2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2" fillId="28" borderId="0">
      <alignment horizontal="left" indent="1"/>
    </xf>
    <xf numFmtId="0" fontId="23" fillId="0" borderId="0" applyNumberFormat="0" applyFill="0" applyBorder="0" applyAlignment="0" applyProtection="0"/>
    <xf numFmtId="0" fontId="2" fillId="35" borderId="0"/>
    <xf numFmtId="0" fontId="24" fillId="28" borderId="0" applyBorder="0">
      <alignment horizontal="left" vertical="center" indent="1"/>
    </xf>
    <xf numFmtId="16" fontId="25" fillId="0" borderId="0" applyNumberFormat="0" applyFont="0" applyFill="0" applyBorder="0">
      <alignment horizontal="left"/>
    </xf>
    <xf numFmtId="172" fontId="2" fillId="0" borderId="0" applyFont="0" applyFill="0" applyBorder="0" applyAlignment="0" applyProtection="0"/>
    <xf numFmtId="175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3" borderId="0" xfId="1" applyFont="1" applyFill="1" applyAlignment="1">
      <alignment horizontal="left" vertical="center" indent="1"/>
    </xf>
    <xf numFmtId="0" fontId="3" fillId="4" borderId="3" xfId="1" applyFont="1" applyFill="1" applyBorder="1" applyAlignment="1">
      <alignment horizontal="left" vertical="center" indent="1"/>
    </xf>
    <xf numFmtId="0" fontId="3" fillId="0" borderId="0" xfId="1" applyFont="1" applyAlignment="1">
      <alignment horizontal="left" vertical="center" indent="1"/>
    </xf>
    <xf numFmtId="0" fontId="5" fillId="0" borderId="0" xfId="1" applyFont="1" applyAlignment="1">
      <alignment vertical="center"/>
    </xf>
    <xf numFmtId="0" fontId="6" fillId="3" borderId="0" xfId="0" applyFont="1" applyFill="1" applyAlignment="1">
      <alignment horizontal="left" vertical="center" indent="1"/>
    </xf>
    <xf numFmtId="0" fontId="3" fillId="3" borderId="0" xfId="1" applyFont="1" applyFill="1" applyAlignment="1">
      <alignment vertical="center"/>
    </xf>
    <xf numFmtId="164" fontId="0" fillId="4" borderId="3" xfId="0" applyNumberFormat="1" applyFill="1" applyBorder="1" applyAlignment="1">
      <alignment horizontal="left" vertical="center" indent="1"/>
    </xf>
    <xf numFmtId="37" fontId="3" fillId="4" borderId="3" xfId="1" applyNumberFormat="1" applyFont="1" applyFill="1" applyBorder="1" applyAlignment="1">
      <alignment horizontal="left" vertical="center" indent="1"/>
    </xf>
    <xf numFmtId="164" fontId="3" fillId="4" borderId="3" xfId="1" applyNumberFormat="1" applyFont="1" applyFill="1" applyBorder="1" applyAlignment="1">
      <alignment horizontal="left" vertical="center" inden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vertical="center"/>
    </xf>
    <xf numFmtId="165" fontId="3" fillId="4" borderId="3" xfId="1" applyNumberFormat="1" applyFont="1" applyFill="1" applyBorder="1" applyAlignment="1">
      <alignment horizontal="left" vertical="center" indent="1"/>
    </xf>
    <xf numFmtId="0" fontId="3" fillId="4" borderId="0" xfId="1" applyFont="1" applyFill="1" applyAlignment="1">
      <alignment horizontal="left" vertical="center" indent="1"/>
    </xf>
    <xf numFmtId="166" fontId="3" fillId="4" borderId="6" xfId="1" applyNumberFormat="1" applyFont="1" applyFill="1" applyBorder="1" applyAlignment="1">
      <alignment horizontal="right" vertical="center" indent="1"/>
    </xf>
    <xf numFmtId="37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horizontal="left" vertical="center" indent="1"/>
    </xf>
    <xf numFmtId="167" fontId="3" fillId="0" borderId="0" xfId="1" applyNumberFormat="1" applyFont="1" applyAlignment="1">
      <alignment horizontal="left" vertical="center" indent="1"/>
    </xf>
    <xf numFmtId="10" fontId="3" fillId="4" borderId="3" xfId="1" applyNumberFormat="1" applyFont="1" applyFill="1" applyBorder="1" applyAlignment="1">
      <alignment horizontal="left" vertical="center" indent="1"/>
    </xf>
    <xf numFmtId="10" fontId="3" fillId="4" borderId="6" xfId="1" applyNumberFormat="1" applyFont="1" applyFill="1" applyBorder="1" applyAlignment="1">
      <alignment horizontal="right" vertical="center" indent="1"/>
    </xf>
    <xf numFmtId="0" fontId="3" fillId="3" borderId="5" xfId="1" applyFont="1" applyFill="1" applyBorder="1" applyAlignment="1">
      <alignment horizontal="left" vertical="center" indent="1"/>
    </xf>
    <xf numFmtId="0" fontId="3" fillId="4" borderId="0" xfId="1" applyFont="1" applyFill="1" applyAlignment="1">
      <alignment vertical="center"/>
    </xf>
    <xf numFmtId="14" fontId="3" fillId="0" borderId="0" xfId="1" applyNumberFormat="1" applyFont="1" applyAlignment="1">
      <alignment vertical="center"/>
    </xf>
    <xf numFmtId="0" fontId="3" fillId="4" borderId="12" xfId="1" applyFont="1" applyFill="1" applyBorder="1" applyAlignment="1">
      <alignment horizontal="right" vertical="center" indent="1"/>
    </xf>
    <xf numFmtId="10" fontId="3" fillId="4" borderId="14" xfId="1" applyNumberFormat="1" applyFont="1" applyFill="1" applyBorder="1" applyAlignment="1">
      <alignment horizontal="center" vertical="center"/>
    </xf>
    <xf numFmtId="10" fontId="3" fillId="0" borderId="0" xfId="1" applyNumberFormat="1" applyFont="1" applyAlignment="1">
      <alignment horizontal="center" vertical="center"/>
    </xf>
    <xf numFmtId="0" fontId="9" fillId="6" borderId="0" xfId="1" applyFont="1" applyFill="1" applyAlignment="1">
      <alignment horizontal="center" vertical="center"/>
    </xf>
    <xf numFmtId="0" fontId="9" fillId="6" borderId="0" xfId="1" applyFont="1" applyFill="1" applyAlignment="1">
      <alignment horizontal="center" vertical="center" wrapText="1"/>
    </xf>
    <xf numFmtId="0" fontId="9" fillId="6" borderId="6" xfId="1" applyFont="1" applyFill="1" applyBorder="1" applyAlignment="1">
      <alignment horizontal="center" vertical="center" wrapText="1"/>
    </xf>
    <xf numFmtId="0" fontId="9" fillId="6" borderId="6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vertical="center" indent="1"/>
    </xf>
    <xf numFmtId="0" fontId="26" fillId="0" borderId="0" xfId="0" applyFont="1" applyAlignment="1">
      <alignment vertical="center"/>
    </xf>
    <xf numFmtId="0" fontId="27" fillId="0" borderId="0" xfId="1" applyFont="1" applyAlignment="1">
      <alignment vertical="center"/>
    </xf>
    <xf numFmtId="37" fontId="3" fillId="4" borderId="3" xfId="1" applyNumberFormat="1" applyFont="1" applyFill="1" applyBorder="1" applyAlignment="1">
      <alignment horizontal="right" vertical="center" indent="1"/>
    </xf>
    <xf numFmtId="37" fontId="3" fillId="4" borderId="4" xfId="1" applyNumberFormat="1" applyFont="1" applyFill="1" applyBorder="1" applyAlignment="1">
      <alignment horizontal="right" vertical="center" indent="1"/>
    </xf>
    <xf numFmtId="37" fontId="3" fillId="3" borderId="13" xfId="1" applyNumberFormat="1" applyFont="1" applyFill="1" applyBorder="1" applyAlignment="1">
      <alignment horizontal="right" vertical="center" indent="1"/>
    </xf>
    <xf numFmtId="166" fontId="3" fillId="4" borderId="18" xfId="1" applyNumberFormat="1" applyFont="1" applyFill="1" applyBorder="1" applyAlignment="1">
      <alignment horizontal="right" vertical="center" indent="1"/>
    </xf>
    <xf numFmtId="166" fontId="3" fillId="4" borderId="19" xfId="1" applyNumberFormat="1" applyFont="1" applyFill="1" applyBorder="1" applyAlignment="1">
      <alignment horizontal="right" vertical="center" indent="1"/>
    </xf>
    <xf numFmtId="10" fontId="3" fillId="4" borderId="18" xfId="1" applyNumberFormat="1" applyFont="1" applyFill="1" applyBorder="1" applyAlignment="1">
      <alignment horizontal="right" vertical="center" indent="1"/>
    </xf>
    <xf numFmtId="10" fontId="3" fillId="4" borderId="19" xfId="1" applyNumberFormat="1" applyFont="1" applyFill="1" applyBorder="1" applyAlignment="1">
      <alignment horizontal="right" vertical="center" indent="1"/>
    </xf>
    <xf numFmtId="166" fontId="3" fillId="4" borderId="20" xfId="1" applyNumberFormat="1" applyFont="1" applyFill="1" applyBorder="1" applyAlignment="1">
      <alignment horizontal="right" vertical="center" indent="1"/>
    </xf>
    <xf numFmtId="166" fontId="3" fillId="4" borderId="21" xfId="1" applyNumberFormat="1" applyFont="1" applyFill="1" applyBorder="1" applyAlignment="1">
      <alignment horizontal="right" vertical="center" indent="1"/>
    </xf>
    <xf numFmtId="166" fontId="3" fillId="4" borderId="22" xfId="1" applyNumberFormat="1" applyFont="1" applyFill="1" applyBorder="1" applyAlignment="1">
      <alignment horizontal="right" vertical="center" indent="1"/>
    </xf>
    <xf numFmtId="0" fontId="2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164" fontId="3" fillId="0" borderId="3" xfId="1" applyNumberFormat="1" applyFont="1" applyFill="1" applyBorder="1" applyAlignment="1">
      <alignment horizontal="left" vertical="center" indent="1"/>
    </xf>
    <xf numFmtId="0" fontId="27" fillId="0" borderId="0" xfId="1" applyFont="1" applyFill="1" applyAlignment="1">
      <alignment vertical="center"/>
    </xf>
    <xf numFmtId="14" fontId="3" fillId="0" borderId="0" xfId="1" applyNumberFormat="1" applyFont="1" applyFill="1" applyAlignment="1">
      <alignment vertical="center"/>
    </xf>
    <xf numFmtId="37" fontId="3" fillId="0" borderId="3" xfId="1" applyNumberFormat="1" applyFont="1" applyFill="1" applyBorder="1" applyAlignment="1">
      <alignment horizontal="left" vertical="center" indent="1"/>
    </xf>
    <xf numFmtId="10" fontId="3" fillId="0" borderId="3" xfId="1" applyNumberFormat="1" applyFont="1" applyFill="1" applyBorder="1" applyAlignment="1">
      <alignment horizontal="left" vertical="center" indent="1"/>
    </xf>
    <xf numFmtId="176" fontId="3" fillId="5" borderId="15" xfId="1" applyNumberFormat="1" applyFont="1" applyFill="1" applyBorder="1" applyAlignment="1">
      <alignment horizontal="center" vertical="center"/>
    </xf>
    <xf numFmtId="176" fontId="3" fillId="5" borderId="16" xfId="1" applyNumberFormat="1" applyFont="1" applyFill="1" applyBorder="1" applyAlignment="1">
      <alignment horizontal="center" vertical="center"/>
    </xf>
    <xf numFmtId="176" fontId="3" fillId="5" borderId="17" xfId="1" applyNumberFormat="1" applyFont="1" applyFill="1" applyBorder="1" applyAlignment="1">
      <alignment horizontal="center" vertical="center"/>
    </xf>
    <xf numFmtId="0" fontId="28" fillId="0" borderId="0" xfId="1" applyFont="1" applyFill="1" applyAlignment="1">
      <alignment vertical="center"/>
    </xf>
    <xf numFmtId="0" fontId="29" fillId="0" borderId="0" xfId="1" quotePrefix="1" applyFont="1" applyAlignment="1">
      <alignment vertical="center"/>
    </xf>
    <xf numFmtId="0" fontId="30" fillId="0" borderId="0" xfId="1" quotePrefix="1" applyFont="1" applyAlignment="1">
      <alignment vertical="center"/>
    </xf>
    <xf numFmtId="0" fontId="3" fillId="5" borderId="0" xfId="1" applyFont="1" applyFill="1" applyAlignment="1">
      <alignment horizontal="center" vertical="center" wrapText="1"/>
    </xf>
    <xf numFmtId="0" fontId="3" fillId="5" borderId="23" xfId="1" applyFont="1" applyFill="1" applyBorder="1" applyAlignment="1">
      <alignment horizontal="center" vertical="center"/>
    </xf>
    <xf numFmtId="0" fontId="3" fillId="5" borderId="24" xfId="1" applyFont="1" applyFill="1" applyBorder="1" applyAlignment="1">
      <alignment horizontal="center" vertical="center"/>
    </xf>
    <xf numFmtId="0" fontId="9" fillId="6" borderId="0" xfId="1" applyFont="1" applyFill="1" applyAlignment="1">
      <alignment horizontal="center" vertical="center" wrapText="1"/>
    </xf>
    <xf numFmtId="0" fontId="9" fillId="6" borderId="0" xfId="1" applyFont="1" applyFill="1" applyAlignment="1">
      <alignment horizontal="center" vertical="center"/>
    </xf>
    <xf numFmtId="0" fontId="9" fillId="6" borderId="6" xfId="1" applyFont="1" applyFill="1" applyBorder="1" applyAlignment="1">
      <alignment horizontal="center" vertical="center"/>
    </xf>
    <xf numFmtId="0" fontId="9" fillId="6" borderId="6" xfId="1" applyFont="1" applyFill="1" applyBorder="1" applyAlignment="1">
      <alignment horizontal="center" vertical="center" wrapText="1"/>
    </xf>
  </cellXfs>
  <cellStyles count="109">
    <cellStyle name="20% - Accent3 2" xfId="3"/>
    <cellStyle name="20% - Accent6 2" xfId="4"/>
    <cellStyle name="Accent1 - 20%" xfId="5"/>
    <cellStyle name="Accent1 - 40%" xfId="6"/>
    <cellStyle name="Accent1 - 60%" xfId="7"/>
    <cellStyle name="Accent1 2" xfId="8"/>
    <cellStyle name="Accent2 - 20%" xfId="9"/>
    <cellStyle name="Accent2 - 40%" xfId="10"/>
    <cellStyle name="Accent2 - 60%" xfId="11"/>
    <cellStyle name="Accent2 2" xfId="12"/>
    <cellStyle name="Accent3 - 20%" xfId="13"/>
    <cellStyle name="Accent3 - 40%" xfId="14"/>
    <cellStyle name="Accent3 - 60%" xfId="15"/>
    <cellStyle name="Accent4 - 20%" xfId="16"/>
    <cellStyle name="Accent4 - 40%" xfId="17"/>
    <cellStyle name="Accent4 - 60%" xfId="18"/>
    <cellStyle name="Accent5 - 20%" xfId="19"/>
    <cellStyle name="Accent5 - 40%" xfId="20"/>
    <cellStyle name="Accent5 - 60%" xfId="21"/>
    <cellStyle name="Accent6 - 20%" xfId="22"/>
    <cellStyle name="Accent6 - 40%" xfId="23"/>
    <cellStyle name="Accent6 - 60%" xfId="24"/>
    <cellStyle name="amount" xfId="25"/>
    <cellStyle name="Body text" xfId="26"/>
    <cellStyle name="Comma [0] 2" xfId="27"/>
    <cellStyle name="Comma [0] 2 2" xfId="28"/>
    <cellStyle name="Comma [0] 3" xfId="29"/>
    <cellStyle name="Comma [0] 4" xfId="30"/>
    <cellStyle name="Comma [0] 5" xfId="31"/>
    <cellStyle name="Comma 2" xfId="32"/>
    <cellStyle name="Comma 2 2" xfId="33"/>
    <cellStyle name="Comma 3" xfId="34"/>
    <cellStyle name="Comma 4" xfId="35"/>
    <cellStyle name="Comma 5" xfId="36"/>
    <cellStyle name="Comma 6" xfId="37"/>
    <cellStyle name="ContentsHyperlink" xfId="38"/>
    <cellStyle name="Currency 10" xfId="39"/>
    <cellStyle name="Currency 11" xfId="40"/>
    <cellStyle name="Currency 12" xfId="41"/>
    <cellStyle name="Currency 13" xfId="42"/>
    <cellStyle name="Currency 14" xfId="43"/>
    <cellStyle name="Currency 15" xfId="44"/>
    <cellStyle name="Currency 16" xfId="45"/>
    <cellStyle name="Currency 17" xfId="46"/>
    <cellStyle name="Currency 18" xfId="47"/>
    <cellStyle name="Currency 19" xfId="48"/>
    <cellStyle name="Currency 2" xfId="49"/>
    <cellStyle name="Currency 2 2" xfId="50"/>
    <cellStyle name="Currency 2 3" xfId="51"/>
    <cellStyle name="Currency 2 4" xfId="52"/>
    <cellStyle name="Currency 20" xfId="53"/>
    <cellStyle name="Currency 21" xfId="54"/>
    <cellStyle name="Currency 22" xfId="55"/>
    <cellStyle name="Currency 23" xfId="56"/>
    <cellStyle name="Currency 24" xfId="57"/>
    <cellStyle name="Currency 3" xfId="58"/>
    <cellStyle name="Currency 3 2" xfId="59"/>
    <cellStyle name="Currency 3 3" xfId="60"/>
    <cellStyle name="Currency 4" xfId="61"/>
    <cellStyle name="Currency 4 2" xfId="62"/>
    <cellStyle name="Currency 5" xfId="63"/>
    <cellStyle name="Currency 5 2" xfId="64"/>
    <cellStyle name="Currency 6" xfId="65"/>
    <cellStyle name="Currency 6 2" xfId="66"/>
    <cellStyle name="Currency 7" xfId="67"/>
    <cellStyle name="Currency 7 2" xfId="68"/>
    <cellStyle name="Currency 7 3" xfId="69"/>
    <cellStyle name="Currency 8" xfId="70"/>
    <cellStyle name="Currency 8 2" xfId="71"/>
    <cellStyle name="Currency 8 3" xfId="72"/>
    <cellStyle name="Currency 9" xfId="73"/>
    <cellStyle name="Dezimal [0]_Compiling Utility Macros" xfId="74"/>
    <cellStyle name="Dezimal_Compiling Utility Macros" xfId="75"/>
    <cellStyle name="Emphasis 1" xfId="76"/>
    <cellStyle name="Emphasis 2" xfId="77"/>
    <cellStyle name="Emphasis 3" xfId="78"/>
    <cellStyle name="header" xfId="79"/>
    <cellStyle name="Header Total" xfId="80"/>
    <cellStyle name="Header1" xfId="81"/>
    <cellStyle name="Header2" xfId="82"/>
    <cellStyle name="Header3" xfId="83"/>
    <cellStyle name="Header4" xfId="84"/>
    <cellStyle name="Heading 1 2" xfId="85"/>
    <cellStyle name="Hyperlink 2" xfId="86"/>
    <cellStyle name="Input 2" xfId="87"/>
    <cellStyle name="NonPrint_Heading" xfId="88"/>
    <cellStyle name="Normal" xfId="0" builtinId="0"/>
    <cellStyle name="Normal 2" xfId="1"/>
    <cellStyle name="Normal 2 2" xfId="89"/>
    <cellStyle name="Normal 2 2 2" xfId="90"/>
    <cellStyle name="Normal 2 3" xfId="91"/>
    <cellStyle name="Normal 3" xfId="92"/>
    <cellStyle name="Normal 3 2" xfId="93"/>
    <cellStyle name="Normal 3 3" xfId="94"/>
    <cellStyle name="Normal 4" xfId="95"/>
    <cellStyle name="Normal 5" xfId="96"/>
    <cellStyle name="Normal 6" xfId="2"/>
    <cellStyle name="Normal 6 2" xfId="97"/>
    <cellStyle name="Percent 2" xfId="98"/>
    <cellStyle name="Percent 3" xfId="99"/>
    <cellStyle name="Percent 4" xfId="100"/>
    <cellStyle name="Percent 5" xfId="101"/>
    <cellStyle name="Product Title" xfId="102"/>
    <cellStyle name="Sheet Title" xfId="103"/>
    <cellStyle name="Standard_Anpassen der Amortisation" xfId="104"/>
    <cellStyle name="Text" xfId="105"/>
    <cellStyle name="update" xfId="106"/>
    <cellStyle name="Währung [0]_Compiling Utility Macros" xfId="107"/>
    <cellStyle name="Währung_Compiling Utility Macros" xfId="108"/>
  </cellStyles>
  <dxfs count="2">
    <dxf>
      <border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  <vertical/>
        <horizontal/>
      </border>
    </dxf>
    <dxf>
      <border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  <vertical/>
        <horizontal/>
      </border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49"/>
  <sheetViews>
    <sheetView showGridLines="0" tabSelected="1" workbookViewId="0">
      <selection activeCell="C3" sqref="C3"/>
    </sheetView>
  </sheetViews>
  <sheetFormatPr defaultRowHeight="15"/>
  <cols>
    <col min="1" max="1" width="5.85546875" style="1" customWidth="1"/>
    <col min="2" max="2" width="25.85546875" style="1" customWidth="1"/>
    <col min="3" max="3" width="18" style="1" customWidth="1"/>
    <col min="4" max="4" width="3.85546875" style="1" customWidth="1"/>
    <col min="5" max="5" width="26.42578125" style="1" customWidth="1"/>
    <col min="6" max="8" width="15.5703125" style="1" customWidth="1"/>
    <col min="9" max="9" width="6" style="1" customWidth="1"/>
    <col min="10" max="16384" width="9.140625" style="1"/>
  </cols>
  <sheetData>
    <row r="1" spans="2:8" ht="19.5" customHeight="1"/>
    <row r="2" spans="2:8" ht="18.75">
      <c r="B2" s="2" t="s">
        <v>37</v>
      </c>
    </row>
    <row r="3" spans="2:8" ht="16.5" customHeight="1">
      <c r="B3" s="3" t="s">
        <v>0</v>
      </c>
      <c r="C3" s="4" t="s">
        <v>1</v>
      </c>
      <c r="E3" s="12" t="s">
        <v>11</v>
      </c>
    </row>
    <row r="4" spans="2:8" ht="16.5" customHeight="1" thickBot="1">
      <c r="B4" s="3" t="s">
        <v>2</v>
      </c>
      <c r="C4" s="4" t="s">
        <v>3</v>
      </c>
      <c r="E4" s="59" t="s">
        <v>12</v>
      </c>
      <c r="F4" s="60" t="s">
        <v>13</v>
      </c>
      <c r="G4" s="61"/>
      <c r="H4" s="61"/>
    </row>
    <row r="5" spans="2:8" ht="16.5" customHeight="1">
      <c r="B5" s="3" t="s">
        <v>5</v>
      </c>
      <c r="C5" s="4" t="s">
        <v>6</v>
      </c>
      <c r="E5" s="59"/>
      <c r="F5" s="53">
        <v>11</v>
      </c>
      <c r="G5" s="54">
        <v>23</v>
      </c>
      <c r="H5" s="55">
        <v>35</v>
      </c>
    </row>
    <row r="6" spans="2:8" ht="16.5" customHeight="1">
      <c r="B6" s="3" t="s">
        <v>8</v>
      </c>
      <c r="C6" s="4" t="s">
        <v>9</v>
      </c>
      <c r="E6" s="15" t="s">
        <v>15</v>
      </c>
      <c r="F6" s="38">
        <v>193000000</v>
      </c>
      <c r="G6" s="16">
        <f>F6</f>
        <v>193000000</v>
      </c>
      <c r="H6" s="39">
        <f>F6</f>
        <v>193000000</v>
      </c>
    </row>
    <row r="7" spans="2:8" ht="16.5" customHeight="1">
      <c r="E7" s="15" t="s">
        <v>18</v>
      </c>
      <c r="F7" s="38">
        <v>57900000</v>
      </c>
      <c r="G7" s="16">
        <f>F7</f>
        <v>57900000</v>
      </c>
      <c r="H7" s="39">
        <f>G7</f>
        <v>57900000</v>
      </c>
    </row>
    <row r="8" spans="2:8" ht="16.5" customHeight="1">
      <c r="E8" s="15" t="s">
        <v>22</v>
      </c>
      <c r="F8" s="38">
        <f>F6-F7</f>
        <v>135100000</v>
      </c>
      <c r="G8" s="16">
        <f>G6-G7</f>
        <v>135100000</v>
      </c>
      <c r="H8" s="39">
        <f>H6-H7</f>
        <v>135100000</v>
      </c>
    </row>
    <row r="9" spans="2:8" ht="16.5" customHeight="1">
      <c r="E9" s="15" t="s">
        <v>19</v>
      </c>
      <c r="F9" s="38">
        <v>11990200</v>
      </c>
      <c r="G9" s="16">
        <v>6439800</v>
      </c>
      <c r="H9" s="39">
        <v>4631000</v>
      </c>
    </row>
    <row r="10" spans="2:8" ht="16.5" customHeight="1">
      <c r="E10" s="15" t="s">
        <v>23</v>
      </c>
      <c r="F10" s="40">
        <v>6.5000000000000002E-2</v>
      </c>
      <c r="G10" s="21">
        <v>7.1999999999999995E-2</v>
      </c>
      <c r="H10" s="41">
        <v>7.8E-2</v>
      </c>
    </row>
    <row r="11" spans="2:8" ht="16.5" customHeight="1">
      <c r="E11" s="15" t="s">
        <v>24</v>
      </c>
      <c r="F11" s="40">
        <v>3.5999999999999997E-2</v>
      </c>
      <c r="G11" s="21">
        <v>6.8400000000000002E-2</v>
      </c>
      <c r="H11" s="41">
        <v>9.7199999999999995E-2</v>
      </c>
    </row>
    <row r="12" spans="2:8" ht="16.5" customHeight="1" thickBot="1">
      <c r="E12" s="15" t="s">
        <v>20</v>
      </c>
      <c r="F12" s="42">
        <v>1300000</v>
      </c>
      <c r="G12" s="43">
        <v>1400000</v>
      </c>
      <c r="H12" s="44">
        <v>1500000</v>
      </c>
    </row>
    <row r="13" spans="2:8" ht="21" customHeight="1"/>
    <row r="15" spans="2:8">
      <c r="C15" s="17"/>
      <c r="D15" s="17"/>
      <c r="E15" s="17"/>
    </row>
    <row r="16" spans="2:8">
      <c r="C16" s="17"/>
      <c r="D16" s="17"/>
      <c r="E16" s="17"/>
    </row>
    <row r="18" spans="3:5">
      <c r="C18" s="17"/>
      <c r="D18" s="17"/>
      <c r="E18" s="17"/>
    </row>
    <row r="19" spans="3:5">
      <c r="C19" s="17"/>
      <c r="D19" s="17"/>
      <c r="E19" s="17"/>
    </row>
    <row r="49" ht="19.5" customHeight="1"/>
  </sheetData>
  <mergeCells count="2">
    <mergeCell ref="E4:E5"/>
    <mergeCell ref="F4:H4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47"/>
  <sheetViews>
    <sheetView showGridLines="0" workbookViewId="0">
      <selection activeCell="C15" sqref="C15"/>
    </sheetView>
  </sheetViews>
  <sheetFormatPr defaultRowHeight="15"/>
  <cols>
    <col min="1" max="1" width="5.85546875" style="1" customWidth="1"/>
    <col min="2" max="2" width="25.28515625" style="1" customWidth="1"/>
    <col min="3" max="3" width="16.28515625" style="1" customWidth="1"/>
    <col min="4" max="4" width="38.42578125" style="1" customWidth="1"/>
    <col min="5" max="5" width="10.7109375" style="1" customWidth="1"/>
    <col min="6" max="6" width="5.85546875" style="1" customWidth="1"/>
    <col min="7" max="16384" width="9.140625" style="1"/>
  </cols>
  <sheetData>
    <row r="1" spans="2:5" ht="19.5" customHeight="1"/>
    <row r="2" spans="2:5" ht="19.5" customHeight="1">
      <c r="B2" s="2" t="s">
        <v>38</v>
      </c>
    </row>
    <row r="3" spans="2:5" ht="16.5" customHeight="1">
      <c r="B3" s="3" t="s">
        <v>14</v>
      </c>
      <c r="C3" s="14">
        <f>IF(D3=1,DATA!F5,IF(D3=2,DATA!G5,DATA!H5))</f>
        <v>11</v>
      </c>
      <c r="D3" s="1">
        <v>1</v>
      </c>
      <c r="E3" s="45" t="s">
        <v>34</v>
      </c>
    </row>
    <row r="4" spans="2:5" ht="16.5" customHeight="1">
      <c r="B4" s="3" t="s">
        <v>15</v>
      </c>
      <c r="C4" s="10">
        <f>HLOOKUP(C$3,MOBIL,2)</f>
        <v>193000000</v>
      </c>
    </row>
    <row r="5" spans="2:5" ht="16.5" customHeight="1">
      <c r="B5" s="3" t="str">
        <f>"Uang Muka "&amp;TEXT(C5/C4,"#%")</f>
        <v>Uang Muka 30%</v>
      </c>
      <c r="C5" s="10">
        <f>HLOOKUP(C$3,MOBIL,3)</f>
        <v>57900000</v>
      </c>
    </row>
    <row r="6" spans="2:5" ht="16.5" customHeight="1">
      <c r="B6" s="3" t="s">
        <v>22</v>
      </c>
      <c r="C6" s="10">
        <f>HLOOKUP(C$3,MOBIL,4)</f>
        <v>135100000</v>
      </c>
    </row>
    <row r="7" spans="2:5" ht="16.5" customHeight="1">
      <c r="B7" s="3" t="s">
        <v>19</v>
      </c>
      <c r="C7" s="10">
        <f>HLOOKUP(C$3,MOBIL,5)</f>
        <v>11990200</v>
      </c>
    </row>
    <row r="9" spans="2:5" ht="15" customHeight="1">
      <c r="B9" s="12" t="s">
        <v>21</v>
      </c>
    </row>
    <row r="10" spans="2:5">
      <c r="B10" s="3" t="s">
        <v>18</v>
      </c>
      <c r="C10" s="35">
        <f>C5</f>
        <v>57900000</v>
      </c>
    </row>
    <row r="11" spans="2:5">
      <c r="B11" s="3" t="s">
        <v>25</v>
      </c>
      <c r="C11" s="35">
        <f>C7</f>
        <v>11990200</v>
      </c>
    </row>
    <row r="12" spans="2:5">
      <c r="B12" s="3" t="s">
        <v>24</v>
      </c>
      <c r="C12" s="35">
        <f>HLOOKUP(C$3,MOBIL,7)*C4</f>
        <v>6947999.9999999991</v>
      </c>
    </row>
    <row r="13" spans="2:5">
      <c r="B13" s="22" t="s">
        <v>20</v>
      </c>
      <c r="C13" s="36">
        <f>HLOOKUP(C$3,MOBIL,8)</f>
        <v>1300000</v>
      </c>
    </row>
    <row r="14" spans="2:5">
      <c r="B14" s="25" t="s">
        <v>26</v>
      </c>
      <c r="C14" s="37">
        <f>SUM(C10:C13)</f>
        <v>78138200</v>
      </c>
    </row>
    <row r="15" spans="2:5">
      <c r="B15" s="3" t="s">
        <v>28</v>
      </c>
      <c r="C15" s="26">
        <f>C14/C4</f>
        <v>0.40486113989637307</v>
      </c>
    </row>
    <row r="17" spans="2:4">
      <c r="B17" s="12" t="s">
        <v>27</v>
      </c>
    </row>
    <row r="18" spans="2:4">
      <c r="B18" s="15" t="s">
        <v>29</v>
      </c>
      <c r="C18" s="23"/>
      <c r="D18" s="23"/>
    </row>
    <row r="19" spans="2:4">
      <c r="B19" s="15" t="str">
        <f>"pertama. Artinya, setelah pembayaran sebesar Rp "&amp;TEXT(C14,"#.000")&amp;" dilanjutkan membayar  "</f>
        <v xml:space="preserve">pertama. Artinya, setelah pembayaran sebesar Rp 78.138.200 dilanjutkan membayar  </v>
      </c>
      <c r="C19" s="23"/>
      <c r="D19" s="23"/>
    </row>
    <row r="20" spans="2:4">
      <c r="B20" s="15" t="str">
        <f>"angsuran per bulan sebesar Rp "&amp;TEXT(C11,"#.000")&amp;" selama "&amp;C3&amp;"x (bulan lagi)."</f>
        <v>angsuran per bulan sebesar Rp 11.990.200 selama 11x (bulan lagi).</v>
      </c>
      <c r="C20" s="23"/>
      <c r="D20" s="23"/>
    </row>
    <row r="21" spans="2:4" ht="19.5" customHeight="1"/>
    <row r="47" ht="19.5" customHeight="1"/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M52"/>
  <sheetViews>
    <sheetView showGridLines="0" workbookViewId="0">
      <selection activeCell="C3" sqref="C3"/>
    </sheetView>
  </sheetViews>
  <sheetFormatPr defaultRowHeight="15"/>
  <cols>
    <col min="1" max="1" width="5.85546875" style="1" customWidth="1"/>
    <col min="2" max="2" width="25.28515625" style="1" customWidth="1"/>
    <col min="3" max="3" width="16.28515625" style="1" customWidth="1"/>
    <col min="4" max="4" width="5.85546875" style="1" customWidth="1"/>
    <col min="5" max="5" width="4.7109375" style="1" customWidth="1"/>
    <col min="6" max="6" width="18" style="1" customWidth="1"/>
    <col min="7" max="7" width="21.42578125" style="1" customWidth="1"/>
    <col min="8" max="8" width="14.42578125" style="1" customWidth="1"/>
    <col min="9" max="9" width="16.5703125" style="1" customWidth="1"/>
    <col min="10" max="10" width="16.140625" style="1" customWidth="1"/>
    <col min="11" max="11" width="5.85546875" style="1" customWidth="1"/>
    <col min="12" max="12" width="9.140625" style="1"/>
    <col min="13" max="13" width="10.7109375" style="1" bestFit="1" customWidth="1"/>
    <col min="14" max="16384" width="9.140625" style="1"/>
  </cols>
  <sheetData>
    <row r="1" spans="2:13" ht="19.5" customHeight="1"/>
    <row r="2" spans="2:13" ht="16.5" customHeight="1">
      <c r="B2" s="2" t="s">
        <v>33</v>
      </c>
      <c r="E2" s="6" t="str">
        <f>"Pembelian "&amp;DATA!C3&amp;" "&amp;DATA!C4</f>
        <v>Pembelian Toyota All New Avanza</v>
      </c>
    </row>
    <row r="3" spans="2:13" ht="16.5" customHeight="1">
      <c r="B3" s="3" t="s">
        <v>14</v>
      </c>
      <c r="C3" s="14">
        <f>IF(D3=1,DATA!F5,IF(D3=2,DATA!G5,DATA!H5))</f>
        <v>35</v>
      </c>
      <c r="D3" s="34">
        <v>3</v>
      </c>
      <c r="E3" s="7" t="s">
        <v>4</v>
      </c>
      <c r="F3" s="8"/>
      <c r="G3" s="9">
        <f>(H3*30)+42360</f>
        <v>42420</v>
      </c>
      <c r="H3" s="33">
        <v>2</v>
      </c>
      <c r="I3" s="56" t="s">
        <v>34</v>
      </c>
      <c r="J3" s="48"/>
      <c r="K3" s="49"/>
      <c r="L3" s="47"/>
      <c r="M3" s="50"/>
    </row>
    <row r="4" spans="2:13" ht="16.5" customHeight="1">
      <c r="B4" s="3" t="s">
        <v>15</v>
      </c>
      <c r="C4" s="10">
        <f>HLOOKUP(C$3,MOBIL,2)</f>
        <v>193000000</v>
      </c>
      <c r="E4" s="3" t="s">
        <v>7</v>
      </c>
      <c r="F4" s="8"/>
      <c r="G4" s="10">
        <f>SUM(H10:H45)</f>
        <v>244875600</v>
      </c>
      <c r="I4" s="50"/>
      <c r="J4" s="51"/>
      <c r="K4" s="47"/>
      <c r="L4" s="47"/>
      <c r="M4" s="47"/>
    </row>
    <row r="5" spans="2:13" ht="16.5" customHeight="1">
      <c r="B5" s="3" t="str">
        <f>"Uang Muka "&amp;TEXT(C5/C4,"#%")</f>
        <v>Uang Muka 30%</v>
      </c>
      <c r="C5" s="10">
        <f>HLOOKUP(C$3,MOBIL,3)</f>
        <v>57900000</v>
      </c>
      <c r="E5" s="3" t="s">
        <v>10</v>
      </c>
      <c r="F5" s="8"/>
      <c r="G5" s="11">
        <f>EOMONTH(G3,C3)</f>
        <v>43496</v>
      </c>
      <c r="I5" s="47"/>
      <c r="J5" s="52"/>
      <c r="K5" s="47"/>
      <c r="L5" s="47"/>
      <c r="M5" s="47"/>
    </row>
    <row r="6" spans="2:13" ht="16.5" customHeight="1">
      <c r="B6" s="3" t="s">
        <v>22</v>
      </c>
      <c r="C6" s="10">
        <f>HLOOKUP(C$3,MOBIL,4)</f>
        <v>135100000</v>
      </c>
    </row>
    <row r="7" spans="2:13" ht="16.5" customHeight="1">
      <c r="B7" s="3" t="s">
        <v>19</v>
      </c>
      <c r="C7" s="10">
        <f>HLOOKUP(C$3,MOBIL,5)</f>
        <v>4631000</v>
      </c>
      <c r="E7" s="13" t="s">
        <v>32</v>
      </c>
    </row>
    <row r="8" spans="2:13" ht="16.5" customHeight="1">
      <c r="B8" s="3" t="s">
        <v>23</v>
      </c>
      <c r="C8" s="20">
        <f>HLOOKUP(C$3,MOBIL,6)</f>
        <v>7.8E-2</v>
      </c>
      <c r="E8" s="63" t="s">
        <v>16</v>
      </c>
      <c r="F8" s="64" t="s">
        <v>17</v>
      </c>
      <c r="G8" s="64" t="s">
        <v>12</v>
      </c>
      <c r="H8" s="64" t="s">
        <v>26</v>
      </c>
      <c r="I8" s="65" t="s">
        <v>30</v>
      </c>
      <c r="J8" s="62" t="s">
        <v>31</v>
      </c>
    </row>
    <row r="9" spans="2:13" ht="16.5" customHeight="1">
      <c r="E9" s="63"/>
      <c r="F9" s="64"/>
      <c r="G9" s="64"/>
      <c r="H9" s="64"/>
      <c r="I9" s="65"/>
      <c r="J9" s="62"/>
    </row>
    <row r="10" spans="2:13" ht="16.5" customHeight="1">
      <c r="B10" s="12" t="s">
        <v>21</v>
      </c>
      <c r="E10" s="17">
        <v>1</v>
      </c>
      <c r="F10" s="18">
        <f>G3</f>
        <v>42420</v>
      </c>
      <c r="G10" s="5" t="s">
        <v>21</v>
      </c>
      <c r="H10" s="17">
        <f>C15</f>
        <v>82790600</v>
      </c>
      <c r="I10" s="17">
        <f>IF(E10="","",SUM(H$10:H10))</f>
        <v>82790600</v>
      </c>
      <c r="J10" s="27">
        <f t="shared" ref="J10:J45" si="0">IF(E10="","",I10/C$4)</f>
        <v>0.42896683937823832</v>
      </c>
    </row>
    <row r="11" spans="2:13" ht="16.5" customHeight="1">
      <c r="B11" s="3" t="s">
        <v>18</v>
      </c>
      <c r="C11" s="35">
        <f>C5</f>
        <v>57900000</v>
      </c>
      <c r="E11" s="17">
        <f t="shared" ref="E11:E45" si="1">IF(E10&lt;C$3+1,E10+1,"")</f>
        <v>2</v>
      </c>
      <c r="F11" s="18">
        <f>IF(E11="","",EOMONTH(F10,1))</f>
        <v>42460</v>
      </c>
      <c r="G11" s="19">
        <f>IF(E11="","",E11-1)</f>
        <v>1</v>
      </c>
      <c r="H11" s="17">
        <f t="shared" ref="H11:H45" si="2">IF(E11="","",C$7)</f>
        <v>4631000</v>
      </c>
      <c r="I11" s="17">
        <f>IF(E11="","",SUM(H$10:H11))</f>
        <v>87421600</v>
      </c>
      <c r="J11" s="27">
        <f t="shared" si="0"/>
        <v>0.45296165803108807</v>
      </c>
    </row>
    <row r="12" spans="2:13">
      <c r="B12" s="3" t="s">
        <v>25</v>
      </c>
      <c r="C12" s="35">
        <f>C7</f>
        <v>4631000</v>
      </c>
      <c r="E12" s="17">
        <f t="shared" si="1"/>
        <v>3</v>
      </c>
      <c r="F12" s="18">
        <f t="shared" ref="F12:F45" si="3">IF(E12="","",EOMONTH(F11,1))</f>
        <v>42490</v>
      </c>
      <c r="G12" s="19">
        <f t="shared" ref="G12:G45" si="4">IF(E12="","",E12-1)</f>
        <v>2</v>
      </c>
      <c r="H12" s="17">
        <f t="shared" si="2"/>
        <v>4631000</v>
      </c>
      <c r="I12" s="17">
        <f>IF(E12="","",SUM(H$10:H12))</f>
        <v>92052600</v>
      </c>
      <c r="J12" s="27">
        <f t="shared" si="0"/>
        <v>0.47695647668393781</v>
      </c>
    </row>
    <row r="13" spans="2:13">
      <c r="B13" s="3" t="s">
        <v>24</v>
      </c>
      <c r="C13" s="35">
        <f>HLOOKUP(C$3,MOBIL,7)*C4</f>
        <v>18759600</v>
      </c>
      <c r="E13" s="17">
        <f t="shared" si="1"/>
        <v>4</v>
      </c>
      <c r="F13" s="18">
        <f t="shared" si="3"/>
        <v>42521</v>
      </c>
      <c r="G13" s="19">
        <f t="shared" si="4"/>
        <v>3</v>
      </c>
      <c r="H13" s="17">
        <f t="shared" si="2"/>
        <v>4631000</v>
      </c>
      <c r="I13" s="17">
        <f>IF(E13="","",SUM(H$10:H13))</f>
        <v>96683600</v>
      </c>
      <c r="J13" s="27">
        <f t="shared" si="0"/>
        <v>0.50095129533678762</v>
      </c>
    </row>
    <row r="14" spans="2:13" ht="15" customHeight="1">
      <c r="B14" s="22" t="s">
        <v>20</v>
      </c>
      <c r="C14" s="36">
        <f>HLOOKUP(C$3,MOBIL,8)</f>
        <v>1500000</v>
      </c>
      <c r="E14" s="17">
        <f t="shared" si="1"/>
        <v>5</v>
      </c>
      <c r="F14" s="18">
        <f t="shared" si="3"/>
        <v>42551</v>
      </c>
      <c r="G14" s="19">
        <f t="shared" si="4"/>
        <v>4</v>
      </c>
      <c r="H14" s="17">
        <f t="shared" si="2"/>
        <v>4631000</v>
      </c>
      <c r="I14" s="17">
        <f>IF(E14="","",SUM(H$10:H14))</f>
        <v>101314600</v>
      </c>
      <c r="J14" s="27">
        <f t="shared" si="0"/>
        <v>0.52494611398963731</v>
      </c>
    </row>
    <row r="15" spans="2:13">
      <c r="B15" s="25" t="s">
        <v>26</v>
      </c>
      <c r="C15" s="37">
        <f>SUM(C11:C14)</f>
        <v>82790600</v>
      </c>
      <c r="E15" s="17">
        <f t="shared" si="1"/>
        <v>6</v>
      </c>
      <c r="F15" s="18">
        <f t="shared" si="3"/>
        <v>42582</v>
      </c>
      <c r="G15" s="19">
        <f t="shared" si="4"/>
        <v>5</v>
      </c>
      <c r="H15" s="17">
        <f t="shared" si="2"/>
        <v>4631000</v>
      </c>
      <c r="I15" s="17">
        <f>IF(E15="","",SUM(H$10:H15))</f>
        <v>105945600</v>
      </c>
      <c r="J15" s="27">
        <f t="shared" si="0"/>
        <v>0.548940932642487</v>
      </c>
    </row>
    <row r="16" spans="2:13">
      <c r="B16" s="3" t="s">
        <v>28</v>
      </c>
      <c r="C16" s="26">
        <f>C15/C4</f>
        <v>0.42896683937823832</v>
      </c>
      <c r="E16" s="17">
        <f t="shared" si="1"/>
        <v>7</v>
      </c>
      <c r="F16" s="18">
        <f t="shared" si="3"/>
        <v>42613</v>
      </c>
      <c r="G16" s="19">
        <f t="shared" si="4"/>
        <v>6</v>
      </c>
      <c r="H16" s="17">
        <f t="shared" si="2"/>
        <v>4631000</v>
      </c>
      <c r="I16" s="17">
        <f>IF(E16="","",SUM(H$10:H16))</f>
        <v>110576600</v>
      </c>
      <c r="J16" s="27">
        <f t="shared" si="0"/>
        <v>0.5729357512953368</v>
      </c>
    </row>
    <row r="17" spans="2:10">
      <c r="E17" s="17">
        <f t="shared" si="1"/>
        <v>8</v>
      </c>
      <c r="F17" s="18">
        <f t="shared" si="3"/>
        <v>42643</v>
      </c>
      <c r="G17" s="19">
        <f t="shared" si="4"/>
        <v>7</v>
      </c>
      <c r="H17" s="17">
        <f t="shared" si="2"/>
        <v>4631000</v>
      </c>
      <c r="I17" s="17">
        <f>IF(E17="","",SUM(H$10:H17))</f>
        <v>115207600</v>
      </c>
      <c r="J17" s="27">
        <f t="shared" si="0"/>
        <v>0.5969305699481865</v>
      </c>
    </row>
    <row r="18" spans="2:10">
      <c r="E18" s="17">
        <f t="shared" si="1"/>
        <v>9</v>
      </c>
      <c r="F18" s="18">
        <f t="shared" si="3"/>
        <v>42674</v>
      </c>
      <c r="G18" s="19">
        <f t="shared" si="4"/>
        <v>8</v>
      </c>
      <c r="H18" s="17">
        <f t="shared" si="2"/>
        <v>4631000</v>
      </c>
      <c r="I18" s="17">
        <f>IF(E18="","",SUM(H$10:H18))</f>
        <v>119838600</v>
      </c>
      <c r="J18" s="27">
        <f t="shared" si="0"/>
        <v>0.6209253886010363</v>
      </c>
    </row>
    <row r="19" spans="2:10">
      <c r="E19" s="17">
        <f t="shared" si="1"/>
        <v>10</v>
      </c>
      <c r="F19" s="18">
        <f t="shared" si="3"/>
        <v>42704</v>
      </c>
      <c r="G19" s="19">
        <f t="shared" si="4"/>
        <v>9</v>
      </c>
      <c r="H19" s="17">
        <f t="shared" si="2"/>
        <v>4631000</v>
      </c>
      <c r="I19" s="17">
        <f>IF(E19="","",SUM(H$10:H19))</f>
        <v>124469600</v>
      </c>
      <c r="J19" s="27">
        <f t="shared" si="0"/>
        <v>0.64492020725388599</v>
      </c>
    </row>
    <row r="20" spans="2:10">
      <c r="E20" s="17">
        <f t="shared" si="1"/>
        <v>11</v>
      </c>
      <c r="F20" s="18">
        <f t="shared" si="3"/>
        <v>42735</v>
      </c>
      <c r="G20" s="19">
        <f t="shared" si="4"/>
        <v>10</v>
      </c>
      <c r="H20" s="17">
        <f t="shared" si="2"/>
        <v>4631000</v>
      </c>
      <c r="I20" s="17">
        <f>IF(E20="","",SUM(H$10:H20))</f>
        <v>129100600</v>
      </c>
      <c r="J20" s="27">
        <f t="shared" si="0"/>
        <v>0.66891502590673579</v>
      </c>
    </row>
    <row r="21" spans="2:10">
      <c r="E21" s="17">
        <f t="shared" si="1"/>
        <v>12</v>
      </c>
      <c r="F21" s="18">
        <f t="shared" si="3"/>
        <v>42766</v>
      </c>
      <c r="G21" s="19">
        <f t="shared" si="4"/>
        <v>11</v>
      </c>
      <c r="H21" s="17">
        <f t="shared" si="2"/>
        <v>4631000</v>
      </c>
      <c r="I21" s="17">
        <f>IF(E21="","",SUM(H$10:H21))</f>
        <v>133731600</v>
      </c>
      <c r="J21" s="27">
        <f t="shared" si="0"/>
        <v>0.69290984455958549</v>
      </c>
    </row>
    <row r="22" spans="2:10">
      <c r="B22" s="12"/>
      <c r="E22" s="17">
        <f t="shared" si="1"/>
        <v>13</v>
      </c>
      <c r="F22" s="18">
        <f t="shared" si="3"/>
        <v>42794</v>
      </c>
      <c r="G22" s="19">
        <f t="shared" si="4"/>
        <v>12</v>
      </c>
      <c r="H22" s="17">
        <f t="shared" si="2"/>
        <v>4631000</v>
      </c>
      <c r="I22" s="17">
        <f>IF(E22="","",SUM(H$10:H22))</f>
        <v>138362600</v>
      </c>
      <c r="J22" s="27">
        <f t="shared" si="0"/>
        <v>0.71690466321243518</v>
      </c>
    </row>
    <row r="23" spans="2:10">
      <c r="B23" s="32"/>
      <c r="C23" s="47"/>
      <c r="E23" s="17">
        <f t="shared" si="1"/>
        <v>14</v>
      </c>
      <c r="F23" s="18">
        <f t="shared" si="3"/>
        <v>42825</v>
      </c>
      <c r="G23" s="19">
        <f t="shared" si="4"/>
        <v>13</v>
      </c>
      <c r="H23" s="17">
        <f t="shared" si="2"/>
        <v>4631000</v>
      </c>
      <c r="I23" s="17">
        <f>IF(E23="","",SUM(H$10:H23))</f>
        <v>142993600</v>
      </c>
      <c r="J23" s="27">
        <f t="shared" si="0"/>
        <v>0.74089948186528498</v>
      </c>
    </row>
    <row r="24" spans="2:10">
      <c r="B24" s="32"/>
      <c r="C24" s="47"/>
      <c r="E24" s="17">
        <f t="shared" si="1"/>
        <v>15</v>
      </c>
      <c r="F24" s="18">
        <f t="shared" si="3"/>
        <v>42855</v>
      </c>
      <c r="G24" s="19">
        <f t="shared" si="4"/>
        <v>14</v>
      </c>
      <c r="H24" s="17">
        <f t="shared" si="2"/>
        <v>4631000</v>
      </c>
      <c r="I24" s="17">
        <f>IF(E24="","",SUM(H$10:H24))</f>
        <v>147624600</v>
      </c>
      <c r="J24" s="27">
        <f t="shared" si="0"/>
        <v>0.76489430051813467</v>
      </c>
    </row>
    <row r="25" spans="2:10">
      <c r="B25" s="32"/>
      <c r="C25" s="47"/>
      <c r="E25" s="17">
        <f t="shared" si="1"/>
        <v>16</v>
      </c>
      <c r="F25" s="18">
        <f t="shared" si="3"/>
        <v>42886</v>
      </c>
      <c r="G25" s="19">
        <f t="shared" si="4"/>
        <v>15</v>
      </c>
      <c r="H25" s="17">
        <f t="shared" si="2"/>
        <v>4631000</v>
      </c>
      <c r="I25" s="17">
        <f>IF(E25="","",SUM(H$10:H25))</f>
        <v>152255600</v>
      </c>
      <c r="J25" s="27">
        <f t="shared" si="0"/>
        <v>0.78888911917098448</v>
      </c>
    </row>
    <row r="26" spans="2:10">
      <c r="E26" s="17">
        <f t="shared" si="1"/>
        <v>17</v>
      </c>
      <c r="F26" s="18">
        <f t="shared" si="3"/>
        <v>42916</v>
      </c>
      <c r="G26" s="19">
        <f t="shared" si="4"/>
        <v>16</v>
      </c>
      <c r="H26" s="17">
        <f t="shared" si="2"/>
        <v>4631000</v>
      </c>
      <c r="I26" s="17">
        <f>IF(E26="","",SUM(H$10:H26))</f>
        <v>156886600</v>
      </c>
      <c r="J26" s="27">
        <f t="shared" si="0"/>
        <v>0.81288393782383417</v>
      </c>
    </row>
    <row r="27" spans="2:10">
      <c r="E27" s="17">
        <f t="shared" si="1"/>
        <v>18</v>
      </c>
      <c r="F27" s="18">
        <f t="shared" si="3"/>
        <v>42947</v>
      </c>
      <c r="G27" s="19">
        <f t="shared" si="4"/>
        <v>17</v>
      </c>
      <c r="H27" s="17">
        <f t="shared" si="2"/>
        <v>4631000</v>
      </c>
      <c r="I27" s="17">
        <f>IF(E27="","",SUM(H$10:H27))</f>
        <v>161517600</v>
      </c>
      <c r="J27" s="27">
        <f t="shared" si="0"/>
        <v>0.83687875647668397</v>
      </c>
    </row>
    <row r="28" spans="2:10">
      <c r="E28" s="17">
        <f t="shared" si="1"/>
        <v>19</v>
      </c>
      <c r="F28" s="18">
        <f t="shared" si="3"/>
        <v>42978</v>
      </c>
      <c r="G28" s="19">
        <f t="shared" si="4"/>
        <v>18</v>
      </c>
      <c r="H28" s="17">
        <f t="shared" si="2"/>
        <v>4631000</v>
      </c>
      <c r="I28" s="17">
        <f>IF(E28="","",SUM(H$10:H28))</f>
        <v>166148600</v>
      </c>
      <c r="J28" s="27">
        <f t="shared" si="0"/>
        <v>0.86087357512953366</v>
      </c>
    </row>
    <row r="29" spans="2:10">
      <c r="E29" s="17">
        <f t="shared" si="1"/>
        <v>20</v>
      </c>
      <c r="F29" s="18">
        <f t="shared" si="3"/>
        <v>43008</v>
      </c>
      <c r="G29" s="19">
        <f t="shared" si="4"/>
        <v>19</v>
      </c>
      <c r="H29" s="17">
        <f t="shared" si="2"/>
        <v>4631000</v>
      </c>
      <c r="I29" s="17">
        <f>IF(E29="","",SUM(H$10:H29))</f>
        <v>170779600</v>
      </c>
      <c r="J29" s="27">
        <f t="shared" si="0"/>
        <v>0.88486839378238347</v>
      </c>
    </row>
    <row r="30" spans="2:10">
      <c r="E30" s="17">
        <f t="shared" si="1"/>
        <v>21</v>
      </c>
      <c r="F30" s="18">
        <f t="shared" si="3"/>
        <v>43039</v>
      </c>
      <c r="G30" s="19">
        <f t="shared" si="4"/>
        <v>20</v>
      </c>
      <c r="H30" s="17">
        <f t="shared" si="2"/>
        <v>4631000</v>
      </c>
      <c r="I30" s="17">
        <f>IF(E30="","",SUM(H$10:H30))</f>
        <v>175410600</v>
      </c>
      <c r="J30" s="27">
        <f t="shared" si="0"/>
        <v>0.90886321243523316</v>
      </c>
    </row>
    <row r="31" spans="2:10">
      <c r="E31" s="17">
        <f t="shared" si="1"/>
        <v>22</v>
      </c>
      <c r="F31" s="18">
        <f t="shared" si="3"/>
        <v>43069</v>
      </c>
      <c r="G31" s="19">
        <f t="shared" si="4"/>
        <v>21</v>
      </c>
      <c r="H31" s="17">
        <f t="shared" si="2"/>
        <v>4631000</v>
      </c>
      <c r="I31" s="17">
        <f>IF(E31="","",SUM(H$10:H31))</f>
        <v>180041600</v>
      </c>
      <c r="J31" s="27">
        <f t="shared" si="0"/>
        <v>0.93285803108808285</v>
      </c>
    </row>
    <row r="32" spans="2:10">
      <c r="E32" s="17">
        <f t="shared" si="1"/>
        <v>23</v>
      </c>
      <c r="F32" s="18">
        <f t="shared" si="3"/>
        <v>43100</v>
      </c>
      <c r="G32" s="19">
        <f t="shared" si="4"/>
        <v>22</v>
      </c>
      <c r="H32" s="17">
        <f t="shared" si="2"/>
        <v>4631000</v>
      </c>
      <c r="I32" s="17">
        <f>IF(E32="","",SUM(H$10:H32))</f>
        <v>184672600</v>
      </c>
      <c r="J32" s="27">
        <f t="shared" si="0"/>
        <v>0.95685284974093265</v>
      </c>
    </row>
    <row r="33" spans="5:10">
      <c r="E33" s="17">
        <f t="shared" si="1"/>
        <v>24</v>
      </c>
      <c r="F33" s="18">
        <f t="shared" si="3"/>
        <v>43131</v>
      </c>
      <c r="G33" s="19">
        <f t="shared" si="4"/>
        <v>23</v>
      </c>
      <c r="H33" s="17">
        <f t="shared" si="2"/>
        <v>4631000</v>
      </c>
      <c r="I33" s="17">
        <f>IF(E33="","",SUM(H$10:H33))</f>
        <v>189303600</v>
      </c>
      <c r="J33" s="27">
        <f t="shared" si="0"/>
        <v>0.98084766839378235</v>
      </c>
    </row>
    <row r="34" spans="5:10">
      <c r="E34" s="17">
        <f t="shared" si="1"/>
        <v>25</v>
      </c>
      <c r="F34" s="18">
        <f t="shared" si="3"/>
        <v>43159</v>
      </c>
      <c r="G34" s="19">
        <f t="shared" si="4"/>
        <v>24</v>
      </c>
      <c r="H34" s="17">
        <f t="shared" si="2"/>
        <v>4631000</v>
      </c>
      <c r="I34" s="17">
        <f>IF(E34="","",SUM(H$10:H34))</f>
        <v>193934600</v>
      </c>
      <c r="J34" s="27">
        <f t="shared" si="0"/>
        <v>1.0048424870466321</v>
      </c>
    </row>
    <row r="35" spans="5:10">
      <c r="E35" s="17">
        <f t="shared" si="1"/>
        <v>26</v>
      </c>
      <c r="F35" s="18">
        <f t="shared" si="3"/>
        <v>43190</v>
      </c>
      <c r="G35" s="19">
        <f t="shared" si="4"/>
        <v>25</v>
      </c>
      <c r="H35" s="17">
        <f t="shared" si="2"/>
        <v>4631000</v>
      </c>
      <c r="I35" s="17">
        <f>IF(E35="","",SUM(H$10:H35))</f>
        <v>198565600</v>
      </c>
      <c r="J35" s="27">
        <f t="shared" si="0"/>
        <v>1.028837305699482</v>
      </c>
    </row>
    <row r="36" spans="5:10">
      <c r="E36" s="17">
        <f t="shared" si="1"/>
        <v>27</v>
      </c>
      <c r="F36" s="18">
        <f t="shared" si="3"/>
        <v>43220</v>
      </c>
      <c r="G36" s="19">
        <f t="shared" si="4"/>
        <v>26</v>
      </c>
      <c r="H36" s="17">
        <f t="shared" si="2"/>
        <v>4631000</v>
      </c>
      <c r="I36" s="17">
        <f>IF(E36="","",SUM(H$10:H36))</f>
        <v>203196600</v>
      </c>
      <c r="J36" s="27">
        <f t="shared" si="0"/>
        <v>1.0528321243523315</v>
      </c>
    </row>
    <row r="37" spans="5:10">
      <c r="E37" s="17">
        <f t="shared" si="1"/>
        <v>28</v>
      </c>
      <c r="F37" s="18">
        <f t="shared" si="3"/>
        <v>43251</v>
      </c>
      <c r="G37" s="19">
        <f t="shared" si="4"/>
        <v>27</v>
      </c>
      <c r="H37" s="17">
        <f t="shared" si="2"/>
        <v>4631000</v>
      </c>
      <c r="I37" s="17">
        <f>IF(E37="","",SUM(H$10:H37))</f>
        <v>207827600</v>
      </c>
      <c r="J37" s="27">
        <f t="shared" si="0"/>
        <v>1.0768269430051813</v>
      </c>
    </row>
    <row r="38" spans="5:10">
      <c r="E38" s="17">
        <f t="shared" si="1"/>
        <v>29</v>
      </c>
      <c r="F38" s="18">
        <f t="shared" si="3"/>
        <v>43281</v>
      </c>
      <c r="G38" s="19">
        <f t="shared" si="4"/>
        <v>28</v>
      </c>
      <c r="H38" s="17">
        <f t="shared" si="2"/>
        <v>4631000</v>
      </c>
      <c r="I38" s="17">
        <f>IF(E38="","",SUM(H$10:H38))</f>
        <v>212458600</v>
      </c>
      <c r="J38" s="27">
        <f t="shared" si="0"/>
        <v>1.1008217616580311</v>
      </c>
    </row>
    <row r="39" spans="5:10">
      <c r="E39" s="17">
        <f t="shared" si="1"/>
        <v>30</v>
      </c>
      <c r="F39" s="18">
        <f t="shared" si="3"/>
        <v>43312</v>
      </c>
      <c r="G39" s="19">
        <f t="shared" si="4"/>
        <v>29</v>
      </c>
      <c r="H39" s="17">
        <f t="shared" si="2"/>
        <v>4631000</v>
      </c>
      <c r="I39" s="17">
        <f>IF(E39="","",SUM(H$10:H39))</f>
        <v>217089600</v>
      </c>
      <c r="J39" s="27">
        <f t="shared" si="0"/>
        <v>1.1248165803108807</v>
      </c>
    </row>
    <row r="40" spans="5:10">
      <c r="E40" s="17">
        <f t="shared" si="1"/>
        <v>31</v>
      </c>
      <c r="F40" s="18">
        <f t="shared" si="3"/>
        <v>43343</v>
      </c>
      <c r="G40" s="19">
        <f t="shared" si="4"/>
        <v>30</v>
      </c>
      <c r="H40" s="17">
        <f t="shared" si="2"/>
        <v>4631000</v>
      </c>
      <c r="I40" s="17">
        <f>IF(E40="","",SUM(H$10:H40))</f>
        <v>221720600</v>
      </c>
      <c r="J40" s="27">
        <f t="shared" si="0"/>
        <v>1.1488113989637305</v>
      </c>
    </row>
    <row r="41" spans="5:10">
      <c r="E41" s="17">
        <f t="shared" si="1"/>
        <v>32</v>
      </c>
      <c r="F41" s="18">
        <f t="shared" si="3"/>
        <v>43373</v>
      </c>
      <c r="G41" s="19">
        <f t="shared" si="4"/>
        <v>31</v>
      </c>
      <c r="H41" s="17">
        <f t="shared" si="2"/>
        <v>4631000</v>
      </c>
      <c r="I41" s="17">
        <f>IF(E41="","",SUM(H$10:H41))</f>
        <v>226351600</v>
      </c>
      <c r="J41" s="27">
        <f t="shared" si="0"/>
        <v>1.1728062176165803</v>
      </c>
    </row>
    <row r="42" spans="5:10">
      <c r="E42" s="17">
        <f t="shared" si="1"/>
        <v>33</v>
      </c>
      <c r="F42" s="18">
        <f t="shared" si="3"/>
        <v>43404</v>
      </c>
      <c r="G42" s="19">
        <f t="shared" si="4"/>
        <v>32</v>
      </c>
      <c r="H42" s="17">
        <f t="shared" si="2"/>
        <v>4631000</v>
      </c>
      <c r="I42" s="17">
        <f>IF(E42="","",SUM(H$10:H42))</f>
        <v>230982600</v>
      </c>
      <c r="J42" s="27">
        <f t="shared" si="0"/>
        <v>1.1968010362694301</v>
      </c>
    </row>
    <row r="43" spans="5:10">
      <c r="E43" s="17">
        <f t="shared" si="1"/>
        <v>34</v>
      </c>
      <c r="F43" s="18">
        <f t="shared" si="3"/>
        <v>43434</v>
      </c>
      <c r="G43" s="19">
        <f t="shared" si="4"/>
        <v>33</v>
      </c>
      <c r="H43" s="17">
        <f t="shared" si="2"/>
        <v>4631000</v>
      </c>
      <c r="I43" s="17">
        <f>IF(E43="","",SUM(H$10:H43))</f>
        <v>235613600</v>
      </c>
      <c r="J43" s="27">
        <f t="shared" si="0"/>
        <v>1.2207958549222797</v>
      </c>
    </row>
    <row r="44" spans="5:10">
      <c r="E44" s="17">
        <f t="shared" si="1"/>
        <v>35</v>
      </c>
      <c r="F44" s="18">
        <f t="shared" si="3"/>
        <v>43465</v>
      </c>
      <c r="G44" s="19">
        <f t="shared" si="4"/>
        <v>34</v>
      </c>
      <c r="H44" s="17">
        <f t="shared" si="2"/>
        <v>4631000</v>
      </c>
      <c r="I44" s="17">
        <f>IF(E44="","",SUM(H$10:H44))</f>
        <v>240244600</v>
      </c>
      <c r="J44" s="27">
        <f t="shared" si="0"/>
        <v>1.2447906735751295</v>
      </c>
    </row>
    <row r="45" spans="5:10">
      <c r="E45" s="17">
        <f t="shared" si="1"/>
        <v>36</v>
      </c>
      <c r="F45" s="18">
        <f t="shared" si="3"/>
        <v>43496</v>
      </c>
      <c r="G45" s="19">
        <f t="shared" si="4"/>
        <v>35</v>
      </c>
      <c r="H45" s="17">
        <f t="shared" si="2"/>
        <v>4631000</v>
      </c>
      <c r="I45" s="17">
        <f>IF(E45="","",SUM(H$10:H45))</f>
        <v>244875600</v>
      </c>
      <c r="J45" s="27">
        <f t="shared" si="0"/>
        <v>1.2687854922279793</v>
      </c>
    </row>
    <row r="52" ht="19.5" customHeight="1"/>
  </sheetData>
  <mergeCells count="6">
    <mergeCell ref="J8:J9"/>
    <mergeCell ref="E8:E9"/>
    <mergeCell ref="F8:F9"/>
    <mergeCell ref="G8:G9"/>
    <mergeCell ref="H8:H9"/>
    <mergeCell ref="I8:I9"/>
  </mergeCells>
  <conditionalFormatting sqref="E10:J45">
    <cfRule type="notContainsBlanks" dxfId="1" priority="1">
      <formula>LEN(TRIM(E10))&gt;0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M52"/>
  <sheetViews>
    <sheetView showGridLines="0" workbookViewId="0">
      <selection activeCell="G10" sqref="G10"/>
    </sheetView>
  </sheetViews>
  <sheetFormatPr defaultRowHeight="15"/>
  <cols>
    <col min="1" max="1" width="5.85546875" style="1" customWidth="1"/>
    <col min="2" max="2" width="25.28515625" style="1" customWidth="1"/>
    <col min="3" max="3" width="16.28515625" style="1" customWidth="1"/>
    <col min="4" max="4" width="5.85546875" style="1" customWidth="1"/>
    <col min="5" max="5" width="4.7109375" style="1" customWidth="1"/>
    <col min="6" max="6" width="18" style="1" customWidth="1"/>
    <col min="7" max="7" width="21.42578125" style="1" customWidth="1"/>
    <col min="8" max="8" width="14.42578125" style="1" customWidth="1"/>
    <col min="9" max="9" width="16.5703125" style="1" customWidth="1"/>
    <col min="10" max="10" width="14.140625" style="1" customWidth="1"/>
    <col min="11" max="11" width="5.85546875" style="1" customWidth="1"/>
    <col min="12" max="12" width="9.140625" style="1"/>
    <col min="13" max="13" width="10.7109375" style="1" bestFit="1" customWidth="1"/>
    <col min="14" max="16384" width="9.140625" style="1"/>
  </cols>
  <sheetData>
    <row r="1" spans="2:13" ht="19.5" customHeight="1"/>
    <row r="2" spans="2:13" ht="16.5" customHeight="1">
      <c r="B2" s="2" t="s">
        <v>33</v>
      </c>
      <c r="E2" s="6" t="str">
        <f>"Pembelian "&amp;DATA!C3&amp;" "&amp;DATA!C4</f>
        <v>Pembelian Toyota All New Avanza</v>
      </c>
    </row>
    <row r="3" spans="2:13" ht="16.5" customHeight="1">
      <c r="B3" s="3" t="s">
        <v>14</v>
      </c>
      <c r="C3" s="14">
        <f>IF(D3=1,DATA!F5,IF(D3=2,DATA!G5,DATA!H5))</f>
        <v>11</v>
      </c>
      <c r="D3" s="46">
        <v>1</v>
      </c>
      <c r="E3" s="7" t="s">
        <v>4</v>
      </c>
      <c r="F3" s="8"/>
      <c r="G3" s="9">
        <f>(H3*30)+42360</f>
        <v>42390</v>
      </c>
      <c r="H3" s="33">
        <v>1</v>
      </c>
      <c r="I3" s="56" t="s">
        <v>34</v>
      </c>
      <c r="M3" s="24"/>
    </row>
    <row r="4" spans="2:13" ht="16.5" customHeight="1">
      <c r="B4" s="3" t="s">
        <v>15</v>
      </c>
      <c r="C4" s="10">
        <f>HLOOKUP(C$3,MOBIL,2)</f>
        <v>193000000</v>
      </c>
      <c r="E4" s="3" t="s">
        <v>7</v>
      </c>
      <c r="F4" s="8"/>
      <c r="G4" s="10">
        <f>SUM(H14:H49)</f>
        <v>210030400</v>
      </c>
    </row>
    <row r="5" spans="2:13" ht="16.5" customHeight="1">
      <c r="B5" s="3" t="str">
        <f>"Uang Muka "&amp;TEXT(C5/C4,"#%")</f>
        <v>Uang Muka 30%</v>
      </c>
      <c r="C5" s="10">
        <f>HLOOKUP(C$3,MOBIL,3)</f>
        <v>57900000</v>
      </c>
      <c r="E5" s="3" t="s">
        <v>10</v>
      </c>
      <c r="F5" s="8"/>
      <c r="G5" s="11">
        <f>EOMONTH(G3,C3)</f>
        <v>42735</v>
      </c>
    </row>
    <row r="6" spans="2:13" ht="16.5" customHeight="1">
      <c r="B6" s="3" t="s">
        <v>22</v>
      </c>
      <c r="C6" s="10">
        <f>HLOOKUP(C$3,MOBIL,4)</f>
        <v>135100000</v>
      </c>
    </row>
    <row r="7" spans="2:13" ht="16.5" customHeight="1">
      <c r="B7" s="3" t="s">
        <v>19</v>
      </c>
      <c r="C7" s="10">
        <f>HLOOKUP(C$3,MOBIL,5)</f>
        <v>11990200</v>
      </c>
      <c r="E7" s="13" t="str">
        <f>"Kebutuhan Dana s.d. "&amp;TEXT(G8,"mmmm yyy")</f>
        <v>Kebutuhan Dana s.d. Desember 2016</v>
      </c>
    </row>
    <row r="8" spans="2:13" ht="16.5" customHeight="1">
      <c r="B8" s="3" t="s">
        <v>23</v>
      </c>
      <c r="C8" s="20">
        <f>HLOOKUP(C$3,MOBIL,6)</f>
        <v>6.5000000000000002E-2</v>
      </c>
      <c r="E8" s="8" t="s">
        <v>35</v>
      </c>
      <c r="F8" s="8"/>
      <c r="G8" s="11">
        <f>VLOOKUP(H9,TABEL,2)</f>
        <v>42735</v>
      </c>
      <c r="H8" s="34">
        <v>35</v>
      </c>
      <c r="I8" s="56" t="s">
        <v>34</v>
      </c>
    </row>
    <row r="9" spans="2:13" ht="16.5" customHeight="1">
      <c r="E9" s="8" t="s">
        <v>30</v>
      </c>
      <c r="F9" s="8"/>
      <c r="G9" s="10">
        <f>VLOOKUP(H9,TABEL,5)</f>
        <v>210030400</v>
      </c>
      <c r="H9" s="57">
        <f>IF(C3&lt;=H8,C3+1,H8+1)</f>
        <v>12</v>
      </c>
      <c r="I9" s="58" t="s">
        <v>39</v>
      </c>
    </row>
    <row r="10" spans="2:13" ht="16.5" customHeight="1">
      <c r="B10" s="12" t="s">
        <v>21</v>
      </c>
      <c r="E10" s="8" t="s">
        <v>36</v>
      </c>
      <c r="F10" s="8"/>
      <c r="G10" s="20">
        <f>VLOOKUP(H9,TABEL,6)</f>
        <v>1.088240414507772</v>
      </c>
    </row>
    <row r="11" spans="2:13" ht="16.5" customHeight="1">
      <c r="B11" s="3" t="s">
        <v>18</v>
      </c>
      <c r="C11" s="35">
        <f>C5</f>
        <v>57900000</v>
      </c>
    </row>
    <row r="12" spans="2:13" ht="15" customHeight="1">
      <c r="B12" s="3" t="s">
        <v>25</v>
      </c>
      <c r="C12" s="35">
        <f>C7</f>
        <v>11990200</v>
      </c>
      <c r="E12" s="13" t="s">
        <v>32</v>
      </c>
    </row>
    <row r="13" spans="2:13" ht="15" customHeight="1">
      <c r="B13" s="3" t="s">
        <v>24</v>
      </c>
      <c r="C13" s="35">
        <f>HLOOKUP(C$3,MOBIL,7)*C4</f>
        <v>6947999.9999999991</v>
      </c>
      <c r="E13" s="28" t="s">
        <v>16</v>
      </c>
      <c r="F13" s="31" t="s">
        <v>17</v>
      </c>
      <c r="G13" s="31" t="s">
        <v>12</v>
      </c>
      <c r="H13" s="31" t="s">
        <v>26</v>
      </c>
      <c r="I13" s="30" t="s">
        <v>30</v>
      </c>
      <c r="J13" s="29" t="s">
        <v>31</v>
      </c>
    </row>
    <row r="14" spans="2:13" ht="15" customHeight="1">
      <c r="B14" s="22" t="s">
        <v>20</v>
      </c>
      <c r="C14" s="36">
        <f>HLOOKUP(C$3,MOBIL,8)</f>
        <v>1300000</v>
      </c>
      <c r="E14" s="17">
        <v>1</v>
      </c>
      <c r="F14" s="18">
        <f>G3</f>
        <v>42390</v>
      </c>
      <c r="G14" s="5" t="s">
        <v>21</v>
      </c>
      <c r="H14" s="17">
        <f>C15</f>
        <v>78138200</v>
      </c>
      <c r="I14" s="17">
        <f>IF(E14="","",SUM(H$14:H14))</f>
        <v>78138200</v>
      </c>
      <c r="J14" s="27">
        <f t="shared" ref="J14:J49" si="0">IF(E14="","",I14/C$4)</f>
        <v>0.40486113989637307</v>
      </c>
    </row>
    <row r="15" spans="2:13">
      <c r="B15" s="25" t="s">
        <v>26</v>
      </c>
      <c r="C15" s="37">
        <f>SUM(C11:C14)</f>
        <v>78138200</v>
      </c>
      <c r="E15" s="17">
        <f t="shared" ref="E15:E49" si="1">IF(E14&lt;C$3+1,E14+1,"")</f>
        <v>2</v>
      </c>
      <c r="F15" s="18">
        <f>IF(E15="","",EOMONTH(F14,1))</f>
        <v>42429</v>
      </c>
      <c r="G15" s="19">
        <f>IF(E15="","",E15-1)</f>
        <v>1</v>
      </c>
      <c r="H15" s="17">
        <f t="shared" ref="H15:H49" si="2">IF(E15="","",C$7)</f>
        <v>11990200</v>
      </c>
      <c r="I15" s="17">
        <f>IF(E15="","",SUM(H$14:H15))</f>
        <v>90128400</v>
      </c>
      <c r="J15" s="27">
        <f t="shared" si="0"/>
        <v>0.46698652849740935</v>
      </c>
    </row>
    <row r="16" spans="2:13">
      <c r="B16" s="3" t="s">
        <v>28</v>
      </c>
      <c r="C16" s="26">
        <f>C15/C4</f>
        <v>0.40486113989637307</v>
      </c>
      <c r="E16" s="17">
        <f t="shared" si="1"/>
        <v>3</v>
      </c>
      <c r="F16" s="18">
        <f t="shared" ref="F16:F49" si="3">IF(E16="","",EOMONTH(F15,1))</f>
        <v>42460</v>
      </c>
      <c r="G16" s="19">
        <f t="shared" ref="G16:G49" si="4">IF(E16="","",E16-1)</f>
        <v>2</v>
      </c>
      <c r="H16" s="17">
        <f t="shared" si="2"/>
        <v>11990200</v>
      </c>
      <c r="I16" s="17">
        <f>IF(E16="","",SUM(H$14:H16))</f>
        <v>102118600</v>
      </c>
      <c r="J16" s="27">
        <f t="shared" si="0"/>
        <v>0.52911191709844563</v>
      </c>
    </row>
    <row r="17" spans="2:10">
      <c r="E17" s="17">
        <f t="shared" si="1"/>
        <v>4</v>
      </c>
      <c r="F17" s="18">
        <f t="shared" si="3"/>
        <v>42490</v>
      </c>
      <c r="G17" s="19">
        <f t="shared" si="4"/>
        <v>3</v>
      </c>
      <c r="H17" s="17">
        <f t="shared" si="2"/>
        <v>11990200</v>
      </c>
      <c r="I17" s="17">
        <f>IF(E17="","",SUM(H$14:H17))</f>
        <v>114108800</v>
      </c>
      <c r="J17" s="27">
        <f t="shared" si="0"/>
        <v>0.59123730569948185</v>
      </c>
    </row>
    <row r="18" spans="2:10">
      <c r="E18" s="17">
        <f t="shared" si="1"/>
        <v>5</v>
      </c>
      <c r="F18" s="18">
        <f t="shared" si="3"/>
        <v>42521</v>
      </c>
      <c r="G18" s="19">
        <f t="shared" si="4"/>
        <v>4</v>
      </c>
      <c r="H18" s="17">
        <f t="shared" si="2"/>
        <v>11990200</v>
      </c>
      <c r="I18" s="17">
        <f>IF(E18="","",SUM(H$14:H18))</f>
        <v>126099000</v>
      </c>
      <c r="J18" s="27">
        <f t="shared" si="0"/>
        <v>0.65336269430051819</v>
      </c>
    </row>
    <row r="19" spans="2:10">
      <c r="E19" s="17">
        <f t="shared" si="1"/>
        <v>6</v>
      </c>
      <c r="F19" s="18">
        <f t="shared" si="3"/>
        <v>42551</v>
      </c>
      <c r="G19" s="19">
        <f t="shared" si="4"/>
        <v>5</v>
      </c>
      <c r="H19" s="17">
        <f t="shared" si="2"/>
        <v>11990200</v>
      </c>
      <c r="I19" s="17">
        <f>IF(E19="","",SUM(H$14:H19))</f>
        <v>138089200</v>
      </c>
      <c r="J19" s="27">
        <f t="shared" si="0"/>
        <v>0.71548808290155441</v>
      </c>
    </row>
    <row r="20" spans="2:10">
      <c r="E20" s="17">
        <f t="shared" si="1"/>
        <v>7</v>
      </c>
      <c r="F20" s="18">
        <f t="shared" si="3"/>
        <v>42582</v>
      </c>
      <c r="G20" s="19">
        <f t="shared" si="4"/>
        <v>6</v>
      </c>
      <c r="H20" s="17">
        <f t="shared" si="2"/>
        <v>11990200</v>
      </c>
      <c r="I20" s="17">
        <f>IF(E20="","",SUM(H$14:H20))</f>
        <v>150079400</v>
      </c>
      <c r="J20" s="27">
        <f t="shared" si="0"/>
        <v>0.77761347150259064</v>
      </c>
    </row>
    <row r="21" spans="2:10">
      <c r="E21" s="17">
        <f t="shared" si="1"/>
        <v>8</v>
      </c>
      <c r="F21" s="18">
        <f t="shared" si="3"/>
        <v>42613</v>
      </c>
      <c r="G21" s="19">
        <f t="shared" si="4"/>
        <v>7</v>
      </c>
      <c r="H21" s="17">
        <f t="shared" si="2"/>
        <v>11990200</v>
      </c>
      <c r="I21" s="17">
        <f>IF(E21="","",SUM(H$14:H21))</f>
        <v>162069600</v>
      </c>
      <c r="J21" s="27">
        <f t="shared" si="0"/>
        <v>0.83973886010362697</v>
      </c>
    </row>
    <row r="22" spans="2:10">
      <c r="B22" s="12"/>
      <c r="E22" s="17">
        <f t="shared" si="1"/>
        <v>9</v>
      </c>
      <c r="F22" s="18">
        <f t="shared" si="3"/>
        <v>42643</v>
      </c>
      <c r="G22" s="19">
        <f t="shared" si="4"/>
        <v>8</v>
      </c>
      <c r="H22" s="17">
        <f t="shared" si="2"/>
        <v>11990200</v>
      </c>
      <c r="I22" s="17">
        <f>IF(E22="","",SUM(H$14:H22))</f>
        <v>174059800</v>
      </c>
      <c r="J22" s="27">
        <f t="shared" si="0"/>
        <v>0.9018642487046632</v>
      </c>
    </row>
    <row r="23" spans="2:10">
      <c r="B23" s="32"/>
      <c r="C23" s="47"/>
      <c r="E23" s="17">
        <f t="shared" si="1"/>
        <v>10</v>
      </c>
      <c r="F23" s="18">
        <f t="shared" si="3"/>
        <v>42674</v>
      </c>
      <c r="G23" s="19">
        <f t="shared" si="4"/>
        <v>9</v>
      </c>
      <c r="H23" s="17">
        <f t="shared" si="2"/>
        <v>11990200</v>
      </c>
      <c r="I23" s="17">
        <f>IF(E23="","",SUM(H$14:H23))</f>
        <v>186050000</v>
      </c>
      <c r="J23" s="27">
        <f t="shared" si="0"/>
        <v>0.96398963730569953</v>
      </c>
    </row>
    <row r="24" spans="2:10">
      <c r="B24" s="32"/>
      <c r="C24" s="47"/>
      <c r="E24" s="17">
        <f t="shared" si="1"/>
        <v>11</v>
      </c>
      <c r="F24" s="18">
        <f t="shared" si="3"/>
        <v>42704</v>
      </c>
      <c r="G24" s="19">
        <f t="shared" si="4"/>
        <v>10</v>
      </c>
      <c r="H24" s="17">
        <f t="shared" si="2"/>
        <v>11990200</v>
      </c>
      <c r="I24" s="17">
        <f>IF(E24="","",SUM(H$14:H24))</f>
        <v>198040200</v>
      </c>
      <c r="J24" s="27">
        <f t="shared" si="0"/>
        <v>1.0261150259067358</v>
      </c>
    </row>
    <row r="25" spans="2:10">
      <c r="B25" s="32"/>
      <c r="C25" s="47"/>
      <c r="E25" s="17">
        <f t="shared" si="1"/>
        <v>12</v>
      </c>
      <c r="F25" s="18">
        <f t="shared" si="3"/>
        <v>42735</v>
      </c>
      <c r="G25" s="19">
        <f t="shared" si="4"/>
        <v>11</v>
      </c>
      <c r="H25" s="17">
        <f t="shared" si="2"/>
        <v>11990200</v>
      </c>
      <c r="I25" s="17">
        <f>IF(E25="","",SUM(H$14:H25))</f>
        <v>210030400</v>
      </c>
      <c r="J25" s="27">
        <f t="shared" si="0"/>
        <v>1.088240414507772</v>
      </c>
    </row>
    <row r="26" spans="2:10">
      <c r="E26" s="17" t="str">
        <f t="shared" si="1"/>
        <v/>
      </c>
      <c r="F26" s="18" t="str">
        <f t="shared" si="3"/>
        <v/>
      </c>
      <c r="G26" s="19" t="str">
        <f t="shared" si="4"/>
        <v/>
      </c>
      <c r="H26" s="17" t="str">
        <f t="shared" si="2"/>
        <v/>
      </c>
      <c r="I26" s="17" t="str">
        <f>IF(E26="","",SUM(H$14:H26))</f>
        <v/>
      </c>
      <c r="J26" s="27" t="str">
        <f t="shared" si="0"/>
        <v/>
      </c>
    </row>
    <row r="27" spans="2:10">
      <c r="E27" s="17" t="str">
        <f t="shared" si="1"/>
        <v/>
      </c>
      <c r="F27" s="18" t="str">
        <f t="shared" si="3"/>
        <v/>
      </c>
      <c r="G27" s="19" t="str">
        <f t="shared" si="4"/>
        <v/>
      </c>
      <c r="H27" s="17" t="str">
        <f t="shared" si="2"/>
        <v/>
      </c>
      <c r="I27" s="17" t="str">
        <f>IF(E27="","",SUM(H$14:H27))</f>
        <v/>
      </c>
      <c r="J27" s="27" t="str">
        <f t="shared" si="0"/>
        <v/>
      </c>
    </row>
    <row r="28" spans="2:10">
      <c r="E28" s="17" t="str">
        <f t="shared" si="1"/>
        <v/>
      </c>
      <c r="F28" s="18" t="str">
        <f t="shared" si="3"/>
        <v/>
      </c>
      <c r="G28" s="19" t="str">
        <f t="shared" si="4"/>
        <v/>
      </c>
      <c r="H28" s="17" t="str">
        <f t="shared" si="2"/>
        <v/>
      </c>
      <c r="I28" s="17" t="str">
        <f>IF(E28="","",SUM(H$14:H28))</f>
        <v/>
      </c>
      <c r="J28" s="27" t="str">
        <f t="shared" si="0"/>
        <v/>
      </c>
    </row>
    <row r="29" spans="2:10">
      <c r="E29" s="17" t="str">
        <f t="shared" si="1"/>
        <v/>
      </c>
      <c r="F29" s="18" t="str">
        <f t="shared" si="3"/>
        <v/>
      </c>
      <c r="G29" s="19" t="str">
        <f t="shared" si="4"/>
        <v/>
      </c>
      <c r="H29" s="17" t="str">
        <f t="shared" si="2"/>
        <v/>
      </c>
      <c r="I29" s="17" t="str">
        <f>IF(E29="","",SUM(H$14:H29))</f>
        <v/>
      </c>
      <c r="J29" s="27" t="str">
        <f t="shared" si="0"/>
        <v/>
      </c>
    </row>
    <row r="30" spans="2:10">
      <c r="E30" s="17" t="str">
        <f t="shared" si="1"/>
        <v/>
      </c>
      <c r="F30" s="18" t="str">
        <f t="shared" si="3"/>
        <v/>
      </c>
      <c r="G30" s="19" t="str">
        <f t="shared" si="4"/>
        <v/>
      </c>
      <c r="H30" s="17" t="str">
        <f t="shared" si="2"/>
        <v/>
      </c>
      <c r="I30" s="17" t="str">
        <f>IF(E30="","",SUM(H$14:H30))</f>
        <v/>
      </c>
      <c r="J30" s="27" t="str">
        <f t="shared" si="0"/>
        <v/>
      </c>
    </row>
    <row r="31" spans="2:10">
      <c r="E31" s="17" t="str">
        <f t="shared" si="1"/>
        <v/>
      </c>
      <c r="F31" s="18" t="str">
        <f t="shared" si="3"/>
        <v/>
      </c>
      <c r="G31" s="19" t="str">
        <f t="shared" si="4"/>
        <v/>
      </c>
      <c r="H31" s="17" t="str">
        <f t="shared" si="2"/>
        <v/>
      </c>
      <c r="I31" s="17" t="str">
        <f>IF(E31="","",SUM(H$14:H31))</f>
        <v/>
      </c>
      <c r="J31" s="27" t="str">
        <f t="shared" si="0"/>
        <v/>
      </c>
    </row>
    <row r="32" spans="2:10">
      <c r="E32" s="17" t="str">
        <f t="shared" si="1"/>
        <v/>
      </c>
      <c r="F32" s="18" t="str">
        <f t="shared" si="3"/>
        <v/>
      </c>
      <c r="G32" s="19" t="str">
        <f t="shared" si="4"/>
        <v/>
      </c>
      <c r="H32" s="17" t="str">
        <f t="shared" si="2"/>
        <v/>
      </c>
      <c r="I32" s="17" t="str">
        <f>IF(E32="","",SUM(H$14:H32))</f>
        <v/>
      </c>
      <c r="J32" s="27" t="str">
        <f t="shared" si="0"/>
        <v/>
      </c>
    </row>
    <row r="33" spans="5:10">
      <c r="E33" s="17" t="str">
        <f t="shared" si="1"/>
        <v/>
      </c>
      <c r="F33" s="18" t="str">
        <f t="shared" si="3"/>
        <v/>
      </c>
      <c r="G33" s="19" t="str">
        <f t="shared" si="4"/>
        <v/>
      </c>
      <c r="H33" s="17" t="str">
        <f t="shared" si="2"/>
        <v/>
      </c>
      <c r="I33" s="17" t="str">
        <f>IF(E33="","",SUM(H$14:H33))</f>
        <v/>
      </c>
      <c r="J33" s="27" t="str">
        <f t="shared" si="0"/>
        <v/>
      </c>
    </row>
    <row r="34" spans="5:10">
      <c r="E34" s="17" t="str">
        <f t="shared" si="1"/>
        <v/>
      </c>
      <c r="F34" s="18" t="str">
        <f t="shared" si="3"/>
        <v/>
      </c>
      <c r="G34" s="19" t="str">
        <f t="shared" si="4"/>
        <v/>
      </c>
      <c r="H34" s="17" t="str">
        <f t="shared" si="2"/>
        <v/>
      </c>
      <c r="I34" s="17" t="str">
        <f>IF(E34="","",SUM(H$14:H34))</f>
        <v/>
      </c>
      <c r="J34" s="27" t="str">
        <f t="shared" si="0"/>
        <v/>
      </c>
    </row>
    <row r="35" spans="5:10">
      <c r="E35" s="17" t="str">
        <f t="shared" si="1"/>
        <v/>
      </c>
      <c r="F35" s="18" t="str">
        <f t="shared" si="3"/>
        <v/>
      </c>
      <c r="G35" s="19" t="str">
        <f t="shared" si="4"/>
        <v/>
      </c>
      <c r="H35" s="17" t="str">
        <f t="shared" si="2"/>
        <v/>
      </c>
      <c r="I35" s="17" t="str">
        <f>IF(E35="","",SUM(H$14:H35))</f>
        <v/>
      </c>
      <c r="J35" s="27" t="str">
        <f t="shared" si="0"/>
        <v/>
      </c>
    </row>
    <row r="36" spans="5:10">
      <c r="E36" s="17" t="str">
        <f t="shared" si="1"/>
        <v/>
      </c>
      <c r="F36" s="18" t="str">
        <f t="shared" si="3"/>
        <v/>
      </c>
      <c r="G36" s="19" t="str">
        <f t="shared" si="4"/>
        <v/>
      </c>
      <c r="H36" s="17" t="str">
        <f t="shared" si="2"/>
        <v/>
      </c>
      <c r="I36" s="17" t="str">
        <f>IF(E36="","",SUM(H$14:H36))</f>
        <v/>
      </c>
      <c r="J36" s="27" t="str">
        <f t="shared" si="0"/>
        <v/>
      </c>
    </row>
    <row r="37" spans="5:10">
      <c r="E37" s="17" t="str">
        <f t="shared" si="1"/>
        <v/>
      </c>
      <c r="F37" s="18" t="str">
        <f t="shared" si="3"/>
        <v/>
      </c>
      <c r="G37" s="19" t="str">
        <f t="shared" si="4"/>
        <v/>
      </c>
      <c r="H37" s="17" t="str">
        <f t="shared" si="2"/>
        <v/>
      </c>
      <c r="I37" s="17" t="str">
        <f>IF(E37="","",SUM(H$14:H37))</f>
        <v/>
      </c>
      <c r="J37" s="27" t="str">
        <f t="shared" si="0"/>
        <v/>
      </c>
    </row>
    <row r="38" spans="5:10">
      <c r="E38" s="17" t="str">
        <f t="shared" si="1"/>
        <v/>
      </c>
      <c r="F38" s="18" t="str">
        <f t="shared" si="3"/>
        <v/>
      </c>
      <c r="G38" s="19" t="str">
        <f t="shared" si="4"/>
        <v/>
      </c>
      <c r="H38" s="17" t="str">
        <f t="shared" si="2"/>
        <v/>
      </c>
      <c r="I38" s="17" t="str">
        <f>IF(E38="","",SUM(H$14:H38))</f>
        <v/>
      </c>
      <c r="J38" s="27" t="str">
        <f t="shared" si="0"/>
        <v/>
      </c>
    </row>
    <row r="39" spans="5:10">
      <c r="E39" s="17" t="str">
        <f t="shared" si="1"/>
        <v/>
      </c>
      <c r="F39" s="18" t="str">
        <f t="shared" si="3"/>
        <v/>
      </c>
      <c r="G39" s="19" t="str">
        <f t="shared" si="4"/>
        <v/>
      </c>
      <c r="H39" s="17" t="str">
        <f t="shared" si="2"/>
        <v/>
      </c>
      <c r="I39" s="17" t="str">
        <f>IF(E39="","",SUM(H$14:H39))</f>
        <v/>
      </c>
      <c r="J39" s="27" t="str">
        <f t="shared" si="0"/>
        <v/>
      </c>
    </row>
    <row r="40" spans="5:10">
      <c r="E40" s="17" t="str">
        <f t="shared" si="1"/>
        <v/>
      </c>
      <c r="F40" s="18" t="str">
        <f t="shared" si="3"/>
        <v/>
      </c>
      <c r="G40" s="19" t="str">
        <f t="shared" si="4"/>
        <v/>
      </c>
      <c r="H40" s="17" t="str">
        <f t="shared" si="2"/>
        <v/>
      </c>
      <c r="I40" s="17" t="str">
        <f>IF(E40="","",SUM(H$14:H40))</f>
        <v/>
      </c>
      <c r="J40" s="27" t="str">
        <f t="shared" si="0"/>
        <v/>
      </c>
    </row>
    <row r="41" spans="5:10">
      <c r="E41" s="17" t="str">
        <f t="shared" si="1"/>
        <v/>
      </c>
      <c r="F41" s="18" t="str">
        <f t="shared" si="3"/>
        <v/>
      </c>
      <c r="G41" s="19" t="str">
        <f t="shared" si="4"/>
        <v/>
      </c>
      <c r="H41" s="17" t="str">
        <f t="shared" si="2"/>
        <v/>
      </c>
      <c r="I41" s="17" t="str">
        <f>IF(E41="","",SUM(H$14:H41))</f>
        <v/>
      </c>
      <c r="J41" s="27" t="str">
        <f t="shared" si="0"/>
        <v/>
      </c>
    </row>
    <row r="42" spans="5:10">
      <c r="E42" s="17" t="str">
        <f t="shared" si="1"/>
        <v/>
      </c>
      <c r="F42" s="18" t="str">
        <f t="shared" si="3"/>
        <v/>
      </c>
      <c r="G42" s="19" t="str">
        <f t="shared" si="4"/>
        <v/>
      </c>
      <c r="H42" s="17" t="str">
        <f t="shared" si="2"/>
        <v/>
      </c>
      <c r="I42" s="17" t="str">
        <f>IF(E42="","",SUM(H$14:H42))</f>
        <v/>
      </c>
      <c r="J42" s="27" t="str">
        <f t="shared" si="0"/>
        <v/>
      </c>
    </row>
    <row r="43" spans="5:10">
      <c r="E43" s="17" t="str">
        <f t="shared" si="1"/>
        <v/>
      </c>
      <c r="F43" s="18" t="str">
        <f t="shared" si="3"/>
        <v/>
      </c>
      <c r="G43" s="19" t="str">
        <f t="shared" si="4"/>
        <v/>
      </c>
      <c r="H43" s="17" t="str">
        <f t="shared" si="2"/>
        <v/>
      </c>
      <c r="I43" s="17" t="str">
        <f>IF(E43="","",SUM(H$14:H43))</f>
        <v/>
      </c>
      <c r="J43" s="27" t="str">
        <f t="shared" si="0"/>
        <v/>
      </c>
    </row>
    <row r="44" spans="5:10">
      <c r="E44" s="17" t="str">
        <f t="shared" si="1"/>
        <v/>
      </c>
      <c r="F44" s="18" t="str">
        <f t="shared" si="3"/>
        <v/>
      </c>
      <c r="G44" s="19" t="str">
        <f t="shared" si="4"/>
        <v/>
      </c>
      <c r="H44" s="17" t="str">
        <f t="shared" si="2"/>
        <v/>
      </c>
      <c r="I44" s="17" t="str">
        <f>IF(E44="","",SUM(H$14:H44))</f>
        <v/>
      </c>
      <c r="J44" s="27" t="str">
        <f t="shared" si="0"/>
        <v/>
      </c>
    </row>
    <row r="45" spans="5:10">
      <c r="E45" s="17" t="str">
        <f t="shared" si="1"/>
        <v/>
      </c>
      <c r="F45" s="18" t="str">
        <f t="shared" si="3"/>
        <v/>
      </c>
      <c r="G45" s="19" t="str">
        <f t="shared" si="4"/>
        <v/>
      </c>
      <c r="H45" s="17" t="str">
        <f t="shared" si="2"/>
        <v/>
      </c>
      <c r="I45" s="17" t="str">
        <f>IF(E45="","",SUM(H$14:H45))</f>
        <v/>
      </c>
      <c r="J45" s="27" t="str">
        <f t="shared" si="0"/>
        <v/>
      </c>
    </row>
    <row r="46" spans="5:10">
      <c r="E46" s="17" t="str">
        <f t="shared" si="1"/>
        <v/>
      </c>
      <c r="F46" s="18" t="str">
        <f t="shared" si="3"/>
        <v/>
      </c>
      <c r="G46" s="19" t="str">
        <f t="shared" si="4"/>
        <v/>
      </c>
      <c r="H46" s="17" t="str">
        <f t="shared" si="2"/>
        <v/>
      </c>
      <c r="I46" s="17" t="str">
        <f>IF(E46="","",SUM(H$14:H46))</f>
        <v/>
      </c>
      <c r="J46" s="27" t="str">
        <f t="shared" si="0"/>
        <v/>
      </c>
    </row>
    <row r="47" spans="5:10">
      <c r="E47" s="17" t="str">
        <f t="shared" si="1"/>
        <v/>
      </c>
      <c r="F47" s="18" t="str">
        <f t="shared" si="3"/>
        <v/>
      </c>
      <c r="G47" s="19" t="str">
        <f t="shared" si="4"/>
        <v/>
      </c>
      <c r="H47" s="17" t="str">
        <f t="shared" si="2"/>
        <v/>
      </c>
      <c r="I47" s="17" t="str">
        <f>IF(E47="","",SUM(H$14:H47))</f>
        <v/>
      </c>
      <c r="J47" s="27" t="str">
        <f t="shared" si="0"/>
        <v/>
      </c>
    </row>
    <row r="48" spans="5:10">
      <c r="E48" s="17" t="str">
        <f t="shared" si="1"/>
        <v/>
      </c>
      <c r="F48" s="18" t="str">
        <f t="shared" si="3"/>
        <v/>
      </c>
      <c r="G48" s="19" t="str">
        <f t="shared" si="4"/>
        <v/>
      </c>
      <c r="H48" s="17" t="str">
        <f t="shared" si="2"/>
        <v/>
      </c>
      <c r="I48" s="17" t="str">
        <f>IF(E48="","",SUM(H$14:H48))</f>
        <v/>
      </c>
      <c r="J48" s="27" t="str">
        <f t="shared" si="0"/>
        <v/>
      </c>
    </row>
    <row r="49" spans="5:10">
      <c r="E49" s="17" t="str">
        <f t="shared" si="1"/>
        <v/>
      </c>
      <c r="F49" s="18" t="str">
        <f t="shared" si="3"/>
        <v/>
      </c>
      <c r="G49" s="19" t="str">
        <f t="shared" si="4"/>
        <v/>
      </c>
      <c r="H49" s="17" t="str">
        <f t="shared" si="2"/>
        <v/>
      </c>
      <c r="I49" s="17" t="str">
        <f>IF(E49="","",SUM(H$14:H49))</f>
        <v/>
      </c>
      <c r="J49" s="27" t="str">
        <f t="shared" si="0"/>
        <v/>
      </c>
    </row>
    <row r="52" spans="5:10" ht="19.5" customHeight="1"/>
  </sheetData>
  <conditionalFormatting sqref="E14:J49">
    <cfRule type="notContainsBlanks" dxfId="0" priority="1">
      <formula>LEN(TRIM(E14))&gt;0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DATA</vt:lpstr>
      <vt:lpstr>KASUS1</vt:lpstr>
      <vt:lpstr>KASUS2</vt:lpstr>
      <vt:lpstr>KASUS3</vt:lpstr>
      <vt:lpstr>MOBIL</vt:lpstr>
      <vt:lpstr>KASUS3!TABEL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2013-11-05T10:58:48Z</dcterms:created>
  <dcterms:modified xsi:type="dcterms:W3CDTF">2016-03-04T02:34:47Z</dcterms:modified>
</cp:coreProperties>
</file>